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xl/worksheets/sheet8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7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 Id="rId1" Type="http://schemas.openxmlformats.org/officeDocument/2006/relationships/extended-properties" Target="docProps/app.xml"/><Relationship  Id="rId2" Type="http://schemas.openxmlformats.org/package/2006/relationships/metadata/core-properties" Target="docProps/core.xml"/><Relationship 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/>
  <bookViews>
    <workbookView xWindow="360" yWindow="15" windowWidth="20955" windowHeight="9720" activeTab="3"/>
  </bookViews>
  <sheets>
    <sheet name="АНАЛИЗ" sheetId="1" state="visible" r:id="rId2"/>
    <sheet name="Расход-2026" sheetId="2" state="visible" r:id="rId3"/>
    <sheet name="2026" sheetId="3" state="visible" r:id="rId4"/>
    <sheet name="Приемник" sheetId="4" state="visible" r:id="rId5"/>
    <sheet name="Доходы ОМС" sheetId="5" state="visible" r:id="rId6"/>
    <sheet name="зарплата" sheetId="6" state="visible" r:id="rId7"/>
    <sheet name="Платные" sheetId="7" state="visible" r:id="rId8"/>
    <sheet name="Расход Ю" sheetId="8" state="visible" r:id="rId9"/>
    <sheet name="Вспомогательная по объемам" sheetId="9" state="visible" r:id="rId10"/>
    <sheet name="Юля Анализ" sheetId="10" state="visible" r:id="rId11"/>
  </sheets>
  <externalReferences>
    <externalReference r:id="rId1"/>
  </externalReferences>
  <definedNames>
    <definedName name="_xlnm._FilterDatabase" localSheetId="1" hidden="1">'Расход-2026'!$A$8:$B$103</definedName>
    <definedName name="Print_Titles" localSheetId="1">'Расход-2026'!#REF!</definedName>
    <definedName name="_xlnm.Print_Area" localSheetId="1">'Расход-2026'!$E$7:$BD$1278</definedName>
    <definedName name="_xlnm.Print_Area" localSheetId="2">'2026'!$A$2:$FY$1198</definedName>
    <definedName name="к1222">#REF!</definedName>
    <definedName name="_xlnm._FilterDatabase" localSheetId="1" hidden="1">'Расход-2026'!$A$8:$B$103</definedName>
  </definedNames>
  <calcPr/>
  <extLst>
    <ext xmlns:x15="http://schemas.microsoft.com/office/spreadsheetml/2010/11/main" uri="{D0CA8CA8-9F24-4464-BF8E-62219DCF47F9}"/>
  </extLst>
</workbook>
</file>

<file path=xl/sharedStrings.xml><?xml version="1.0" encoding="utf-8"?>
<sst xmlns="http://schemas.openxmlformats.org/spreadsheetml/2006/main" count="1076" uniqueCount="1076">
  <si>
    <t xml:space="preserve">уже РАЗНЕСЕНА!!!!!!!!!!!!</t>
  </si>
  <si>
    <t xml:space="preserve">СООТНОШЕНИЕ ФАКТИЧЕСКИХ РАСХОДОВ НА МЕДИКАМЕНТОЗНОЕ ОБЕСПЕЧЕНИЕ 1 ПРОЛЕЧЕННОГО БОЛЬНОГО</t>
  </si>
  <si>
    <r>
      <t xml:space="preserve">И  ДЕЙСТВУЮЩЕГО ТАРИФА В СИСТЕМЕ ОМС  ЗА _______   месяца  2024 г</t>
    </r>
    <r>
      <rPr>
        <b/>
        <sz val="12"/>
        <rFont val="Times New Roman"/>
      </rPr>
      <t>.</t>
    </r>
  </si>
  <si>
    <t xml:space="preserve">ВСПОМОГАТЕЛЬНАЯ ТАБЛИЦА ДЛЯ РАСЧЕТА АНАЛИЗА </t>
  </si>
  <si>
    <t>ЗА</t>
  </si>
  <si>
    <t>год</t>
  </si>
  <si>
    <t>январь</t>
  </si>
  <si>
    <t>февраль</t>
  </si>
  <si>
    <t>март</t>
  </si>
  <si>
    <t xml:space="preserve">1 квартал</t>
  </si>
  <si>
    <t>апрель</t>
  </si>
  <si>
    <t>май</t>
  </si>
  <si>
    <t>июнь</t>
  </si>
  <si>
    <t xml:space="preserve">1 полугодие</t>
  </si>
  <si>
    <t>июль</t>
  </si>
  <si>
    <t>август</t>
  </si>
  <si>
    <t>сентябрь</t>
  </si>
  <si>
    <t xml:space="preserve">3 квартал</t>
  </si>
  <si>
    <t>октябрь</t>
  </si>
  <si>
    <t>ноябрь</t>
  </si>
  <si>
    <t>декабрь</t>
  </si>
  <si>
    <t xml:space="preserve">2 полугодие </t>
  </si>
  <si>
    <t>ИТОГО</t>
  </si>
  <si>
    <t xml:space="preserve">ИТОГО ОМС+ВМП</t>
  </si>
  <si>
    <t xml:space="preserve">Наименование отделений</t>
  </si>
  <si>
    <t xml:space="preserve">Фактические расходы по статье '' медикаменты'' по отделениям АОКБ ,  руб.</t>
  </si>
  <si>
    <t>Приемное</t>
  </si>
  <si>
    <t>Итого</t>
  </si>
  <si>
    <t xml:space="preserve">Кол-во пролеч. больных всеми страховыми организациями</t>
  </si>
  <si>
    <t xml:space="preserve">Расходы по медикаментам на 1 пролеченного больного всеми страховыми, руб </t>
  </si>
  <si>
    <t>Заработная</t>
  </si>
  <si>
    <t xml:space="preserve">Оплата по ОМС</t>
  </si>
  <si>
    <t xml:space="preserve">Оплата по ВМП</t>
  </si>
  <si>
    <t>Кол-во</t>
  </si>
  <si>
    <t xml:space="preserve">Сумма фактически оплаченных больных всеми страховыми организациями</t>
  </si>
  <si>
    <t xml:space="preserve">в т.ч. % (медикамен-ты и расходный материал) руб.    </t>
  </si>
  <si>
    <r>
      <rPr>
        <b/>
        <sz val="8"/>
        <rFont val="Times New Roman"/>
      </rPr>
      <t xml:space="preserve">Сумма расходов</t>
    </r>
    <r>
      <rPr>
        <sz val="8"/>
        <rFont val="Times New Roman"/>
      </rPr>
      <t xml:space="preserve">  по медикаментам </t>
    </r>
    <r>
      <rPr>
        <b/>
        <sz val="8"/>
        <rFont val="Times New Roman"/>
      </rPr>
      <t>АОКБ</t>
    </r>
    <r>
      <rPr>
        <sz val="8"/>
        <rFont val="Times New Roman"/>
      </rPr>
      <t xml:space="preserve">  на 1-го пролеченного больного,руб.                                   </t>
    </r>
    <r>
      <rPr>
        <b/>
        <sz val="8"/>
        <rFont val="Times New Roman"/>
      </rPr>
      <t xml:space="preserve"> (гр.26/гр.27)</t>
    </r>
  </si>
  <si>
    <r>
      <rPr>
        <b/>
        <sz val="8"/>
        <rFont val="Times New Roman"/>
      </rPr>
      <t xml:space="preserve">Оплата из средств ОМС</t>
    </r>
    <r>
      <rPr>
        <sz val="8"/>
        <rFont val="Times New Roman"/>
      </rPr>
      <t xml:space="preserve"> на 1-го пролеченного больного,по статье</t>
    </r>
    <r>
      <rPr>
        <b/>
        <sz val="7"/>
        <rFont val="Times New Roman"/>
      </rPr>
      <t xml:space="preserve"> "МЕДИКАМЕНТЫ"</t>
    </r>
    <r>
      <rPr>
        <sz val="8"/>
        <rFont val="Times New Roman"/>
      </rPr>
      <t xml:space="preserve">,           руб.   </t>
    </r>
    <r>
      <rPr>
        <b/>
        <sz val="8"/>
        <rFont val="Times New Roman"/>
      </rPr>
      <t>(гр.34/гр.27)</t>
    </r>
  </si>
  <si>
    <t xml:space="preserve"> + экон</t>
  </si>
  <si>
    <t xml:space="preserve"> + эконом</t>
  </si>
  <si>
    <t xml:space="preserve"> </t>
  </si>
  <si>
    <t xml:space="preserve">Приемное отделение поступившие</t>
  </si>
  <si>
    <t>амбу-латорные</t>
  </si>
  <si>
    <t xml:space="preserve">КОЛ-ВО ПРОЛЕЧЕННЫХ БОЛЬНЫХ,                        ВСЕГО</t>
  </si>
  <si>
    <t xml:space="preserve">КОЛ-ВО ПРОЛЕЧЕННЫХ БОЛЬНЫХ,                        </t>
  </si>
  <si>
    <t xml:space="preserve">КОЛ-ВО ПРОЛЕЧЕННЫХ БОЛЬНЫХ,                       </t>
  </si>
  <si>
    <t xml:space="preserve">ОПЛАТА (руб.)</t>
  </si>
  <si>
    <t xml:space="preserve">Приемное отделение поступившие (из сводного отчета по отделениям (ОМС) по стационару - от Александра Генн)</t>
  </si>
  <si>
    <t xml:space="preserve">Оплата по ОМС+ВМП</t>
  </si>
  <si>
    <t xml:space="preserve">КДЛ +</t>
  </si>
  <si>
    <t xml:space="preserve">РАО 1</t>
  </si>
  <si>
    <t xml:space="preserve">РАО III</t>
  </si>
  <si>
    <t>Кисло-</t>
  </si>
  <si>
    <t>ЦСО</t>
  </si>
  <si>
    <t>отделение</t>
  </si>
  <si>
    <t>расход</t>
  </si>
  <si>
    <t xml:space="preserve"> плата</t>
  </si>
  <si>
    <t xml:space="preserve">Накладные </t>
  </si>
  <si>
    <t>сеансов</t>
  </si>
  <si>
    <t xml:space="preserve"> -  перер.</t>
  </si>
  <si>
    <t xml:space="preserve"> -  перерасх</t>
  </si>
  <si>
    <t>Доходы</t>
  </si>
  <si>
    <t>РАО</t>
  </si>
  <si>
    <t>Каб-т</t>
  </si>
  <si>
    <t xml:space="preserve">Отчет Гречко О.В.</t>
  </si>
  <si>
    <t>ВСЕГО</t>
  </si>
  <si>
    <t xml:space="preserve">по отделению</t>
  </si>
  <si>
    <t>опер.бл</t>
  </si>
  <si>
    <t>РХМДиЛ</t>
  </si>
  <si>
    <t>Рентг.</t>
  </si>
  <si>
    <t xml:space="preserve">Иммунол. лаб.</t>
  </si>
  <si>
    <t xml:space="preserve">Бак лаб.</t>
  </si>
  <si>
    <t xml:space="preserve">Экспр.лаб.                   (до июля)</t>
  </si>
  <si>
    <t>ОФД</t>
  </si>
  <si>
    <t>эндоск</t>
  </si>
  <si>
    <t>ФТО</t>
  </si>
  <si>
    <t>УЗИ-1</t>
  </si>
  <si>
    <t>УЗИ-2</t>
  </si>
  <si>
    <t>ГБО</t>
  </si>
  <si>
    <t>родблок</t>
  </si>
  <si>
    <t>КЦО</t>
  </si>
  <si>
    <t>РАО2</t>
  </si>
  <si>
    <t>новор.</t>
  </si>
  <si>
    <t>род</t>
  </si>
  <si>
    <t>Пат.анатом</t>
  </si>
  <si>
    <t>поступившие</t>
  </si>
  <si>
    <t>амбул.</t>
  </si>
  <si>
    <t xml:space="preserve">по медикам. АОКБ</t>
  </si>
  <si>
    <t xml:space="preserve">по медикам. Параклин службы</t>
  </si>
  <si>
    <t>расходы</t>
  </si>
  <si>
    <t xml:space="preserve">Кол-во пролеч больных, чел</t>
  </si>
  <si>
    <t xml:space="preserve">Сумма оплаченных больных, руб</t>
  </si>
  <si>
    <t>кол-во</t>
  </si>
  <si>
    <r>
      <t xml:space="preserve">сумма пролечен. больных,                                 </t>
    </r>
    <r>
      <rPr>
        <b/>
        <sz val="8"/>
        <rFont val="Times New Roman"/>
      </rPr>
      <t>руб.</t>
    </r>
  </si>
  <si>
    <r>
      <t xml:space="preserve">на 1-го пролеченного больного,                             </t>
    </r>
    <r>
      <rPr>
        <b/>
        <sz val="8"/>
        <rFont val="Times New Roman"/>
      </rPr>
      <t>(гр.36-гр.35)</t>
    </r>
  </si>
  <si>
    <t xml:space="preserve">по статье медикаменты</t>
  </si>
  <si>
    <t xml:space="preserve">Наименование  </t>
  </si>
  <si>
    <t>Экспр-лаб</t>
  </si>
  <si>
    <t xml:space="preserve">КДЛ+КДЛ ОПЦ</t>
  </si>
  <si>
    <t>бак.лаб.</t>
  </si>
  <si>
    <t>РСЦ</t>
  </si>
  <si>
    <t>перелив.</t>
  </si>
  <si>
    <t xml:space="preserve">Кол-во пролеч. </t>
  </si>
  <si>
    <t xml:space="preserve">Кол-во к/дней </t>
  </si>
  <si>
    <t xml:space="preserve">Сумма оплаченных </t>
  </si>
  <si>
    <t>медикам</t>
  </si>
  <si>
    <t xml:space="preserve">расх. мат.</t>
  </si>
  <si>
    <t>v</t>
  </si>
  <si>
    <t>руб.</t>
  </si>
  <si>
    <t xml:space="preserve">    руб.</t>
  </si>
  <si>
    <t xml:space="preserve"> руб.</t>
  </si>
  <si>
    <t xml:space="preserve">  v</t>
  </si>
  <si>
    <t>бол-ые</t>
  </si>
  <si>
    <t xml:space="preserve">   руб.</t>
  </si>
  <si>
    <t xml:space="preserve">без опер.блока,  РАО, РХМДЛ</t>
  </si>
  <si>
    <t xml:space="preserve">без опер.блока,  РАО</t>
  </si>
  <si>
    <r>
      <t xml:space="preserve">ВСЕГО </t>
    </r>
    <r>
      <rPr>
        <b/>
        <sz val="8"/>
        <rFont val="Times New Roman"/>
      </rPr>
      <t xml:space="preserve"> </t>
    </r>
    <r>
      <rPr>
        <b/>
        <sz val="7"/>
        <rFont val="Times New Roman"/>
      </rPr>
      <t>(гр.28+гр.30+гр.32)</t>
    </r>
    <r>
      <rPr>
        <b/>
        <sz val="8"/>
        <rFont val="Times New Roman"/>
      </rPr>
      <t xml:space="preserve">       </t>
    </r>
  </si>
  <si>
    <t>человек</t>
  </si>
  <si>
    <t>гемодиализа</t>
  </si>
  <si>
    <r>
      <t xml:space="preserve">ВСЕГО,                </t>
    </r>
    <r>
      <rPr>
        <b/>
        <sz val="8"/>
        <rFont val="Times New Roman"/>
      </rPr>
      <t xml:space="preserve"> руб.                                              (гр.29+31)</t>
    </r>
  </si>
  <si>
    <t xml:space="preserve">(гр.33 * % медикам.)</t>
  </si>
  <si>
    <r>
      <t xml:space="preserve">по отд.,руб. </t>
    </r>
    <r>
      <rPr>
        <b/>
        <sz val="8"/>
        <rFont val="Times New Roman"/>
      </rPr>
      <t>(гр.34-гр.26)</t>
    </r>
  </si>
  <si>
    <t xml:space="preserve">за вычетом расходов</t>
  </si>
  <si>
    <t>отделения</t>
  </si>
  <si>
    <t>к-день</t>
  </si>
  <si>
    <t>ПДО</t>
  </si>
  <si>
    <t xml:space="preserve">в т. числе:</t>
  </si>
  <si>
    <t>ОМС</t>
  </si>
  <si>
    <t>ВМП</t>
  </si>
  <si>
    <t xml:space="preserve">Количество койко-дней</t>
  </si>
  <si>
    <r>
      <t xml:space="preserve">больных,  </t>
    </r>
    <r>
      <rPr>
        <sz val="8"/>
        <rFont val="Times New Roman"/>
      </rPr>
      <t xml:space="preserve"> чел.</t>
    </r>
  </si>
  <si>
    <t>УЕТ</t>
  </si>
  <si>
    <r>
      <t xml:space="preserve">больных, </t>
    </r>
    <r>
      <rPr>
        <sz val="8"/>
        <rFont val="Times New Roman"/>
      </rPr>
      <t xml:space="preserve"> руб.</t>
    </r>
  </si>
  <si>
    <t xml:space="preserve">больных,   чел.</t>
  </si>
  <si>
    <t xml:space="preserve">больных,  руб.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</si>
  <si>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</si>
  <si>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</si>
  <si>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</si>
  <si>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</si>
  <si>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</si>
  <si>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</si>
  <si>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</si>
  <si>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</si>
  <si>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</si>
  <si>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</si>
  <si>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</si>
  <si>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</si>
  <si>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</si>
  <si>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</si>
  <si>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</si>
  <si>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</si>
  <si>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</si>
  <si>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</si>
  <si>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</si>
  <si>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</si>
  <si>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</si>
  <si>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</si>
  <si>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</si>
  <si>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</si>
  <si>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</si>
  <si>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</si>
  <si>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</si>
  <si>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</si>
  <si>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</si>
  <si>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</si>
  <si>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</si>
  <si>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</si>
  <si>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</si>
  <si>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</si>
  <si>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</si>
  <si>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</si>
  <si>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</si>
  <si>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</si>
  <si>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Отделения</t>
  </si>
  <si>
    <t xml:space="preserve">2 квартал</t>
  </si>
  <si>
    <t xml:space="preserve">1 Полугодие </t>
  </si>
  <si>
    <t xml:space="preserve">9 мес</t>
  </si>
  <si>
    <t xml:space="preserve">4 квартал</t>
  </si>
  <si>
    <t>Гематологическое</t>
  </si>
  <si>
    <t>Гастро-Эндокрин</t>
  </si>
  <si>
    <t>Гастроэнтерологическое</t>
  </si>
  <si>
    <t>Кардиологическое</t>
  </si>
  <si>
    <t>Пульмонологическое</t>
  </si>
  <si>
    <t>Нефрологическое</t>
  </si>
  <si>
    <t>Неврологическое</t>
  </si>
  <si>
    <t>Ревматологическое</t>
  </si>
  <si>
    <t>Гемодиализ</t>
  </si>
  <si>
    <t xml:space="preserve">Экстрен. кардиология</t>
  </si>
  <si>
    <t xml:space="preserve">Экстрен. невролог.</t>
  </si>
  <si>
    <t xml:space="preserve">Кабинет диализа</t>
  </si>
  <si>
    <t>гемодиализ</t>
  </si>
  <si>
    <t xml:space="preserve">мед реабил</t>
  </si>
  <si>
    <t xml:space="preserve">Мед. РЕАБИЛИТАЦИЯ</t>
  </si>
  <si>
    <t>перитон.</t>
  </si>
  <si>
    <t>Микрохирургическое</t>
  </si>
  <si>
    <t>Хирургическое</t>
  </si>
  <si>
    <t>Травматологическое</t>
  </si>
  <si>
    <t xml:space="preserve">Медицинская реабилитация</t>
  </si>
  <si>
    <t xml:space="preserve">Мед. реабилитация</t>
  </si>
  <si>
    <t xml:space="preserve">Кардиологическое отделение для больных с острым инфарктом миокарда</t>
  </si>
  <si>
    <t xml:space="preserve">Сочетанная травма</t>
  </si>
  <si>
    <t>СХО</t>
  </si>
  <si>
    <t xml:space="preserve">Неврологическое отделение для больных с острыми нарушениями мозгового кровообращения</t>
  </si>
  <si>
    <t>ЛОР</t>
  </si>
  <si>
    <t>ЧЛХ</t>
  </si>
  <si>
    <t>Ожоговое</t>
  </si>
  <si>
    <t>Урологическое</t>
  </si>
  <si>
    <t>НХО</t>
  </si>
  <si>
    <t>Колопроктологическое</t>
  </si>
  <si>
    <t>Проктологическое</t>
  </si>
  <si>
    <t>Торакальное</t>
  </si>
  <si>
    <t xml:space="preserve">Гинекологическое </t>
  </si>
  <si>
    <t>деньги</t>
  </si>
  <si>
    <t xml:space="preserve">Акушерское обсервацион</t>
  </si>
  <si>
    <t>соч</t>
  </si>
  <si>
    <t xml:space="preserve">Патологии беременности</t>
  </si>
  <si>
    <t>травм</t>
  </si>
  <si>
    <t xml:space="preserve">Отделение сосудистой хирургии</t>
  </si>
  <si>
    <t xml:space="preserve">Недоношенные II этап</t>
  </si>
  <si>
    <t xml:space="preserve">Патологии берем</t>
  </si>
  <si>
    <t>новорожден</t>
  </si>
  <si>
    <t xml:space="preserve">Оториноларингологическое </t>
  </si>
  <si>
    <t>ОВРТ(ЭКО)</t>
  </si>
  <si>
    <t xml:space="preserve">ИТОГО ОПЦ</t>
  </si>
  <si>
    <t xml:space="preserve">Челюстно-лицевой хирургии</t>
  </si>
  <si>
    <t>паллиатив</t>
  </si>
  <si>
    <t>Поликлиника</t>
  </si>
  <si>
    <t>Нейрохирургическое</t>
  </si>
  <si>
    <t xml:space="preserve">Пол-ка детск.</t>
  </si>
  <si>
    <t xml:space="preserve">Акушерское обсервационное</t>
  </si>
  <si>
    <t>ЦПС</t>
  </si>
  <si>
    <t xml:space="preserve">Акушерское отделение</t>
  </si>
  <si>
    <t xml:space="preserve"> патологии беременности</t>
  </si>
  <si>
    <t xml:space="preserve">Отделение патологии новорожденных и недоношенных детей</t>
  </si>
  <si>
    <t xml:space="preserve">Отделение вспомогательных репродуктивных технологий (ЭКО)</t>
  </si>
  <si>
    <t xml:space="preserve">Благовещенский р-н</t>
  </si>
  <si>
    <t>ЦМР</t>
  </si>
  <si>
    <t>по-ка</t>
  </si>
  <si>
    <t xml:space="preserve">Всего  пол-ка</t>
  </si>
  <si>
    <t xml:space="preserve">амб. ПДО</t>
  </si>
  <si>
    <t xml:space="preserve">Областная консультативно-диагностическая поликлиника</t>
  </si>
  <si>
    <t xml:space="preserve">Приемное отделение</t>
  </si>
  <si>
    <t xml:space="preserve">ВСЕГО РАСХОДЫ  ПО СЧЕТУ 105.01.03(ОМС)</t>
  </si>
  <si>
    <t xml:space="preserve">Отделение лучевой диагностики (КТ и МРТ)</t>
  </si>
  <si>
    <t xml:space="preserve">Отделение ультразвукавой диагностики (УЗИ сердечно сосудистой системы)</t>
  </si>
  <si>
    <t xml:space="preserve">Отделение ультразвукавой диагностики ОПЦ (скриниег 11-14 недель)</t>
  </si>
  <si>
    <t xml:space="preserve">Иммунологическая лаборатория (скрининг 18-21 неделя)</t>
  </si>
  <si>
    <t xml:space="preserve">Эндоскопическое отделение</t>
  </si>
  <si>
    <t xml:space="preserve">Клинико-диагностическая лаборатория (Тестирование на ковид)</t>
  </si>
  <si>
    <t xml:space="preserve">Паталогоанатомическое отделение (гистологические исследования)</t>
  </si>
  <si>
    <t xml:space="preserve">КТ и МРТ</t>
  </si>
  <si>
    <t xml:space="preserve">РАО № 1</t>
  </si>
  <si>
    <t>амбулат</t>
  </si>
  <si>
    <t>стоматолог</t>
  </si>
  <si>
    <t>ЖК</t>
  </si>
  <si>
    <t xml:space="preserve">Женск консультация</t>
  </si>
  <si>
    <t>11-14</t>
  </si>
  <si>
    <t xml:space="preserve">Женская консультация</t>
  </si>
  <si>
    <t>18-21</t>
  </si>
  <si>
    <t xml:space="preserve">ИТОГО пол-ка</t>
  </si>
  <si>
    <t xml:space="preserve">ИТОГО  пол-ки</t>
  </si>
  <si>
    <t>пол-ка</t>
  </si>
  <si>
    <t xml:space="preserve">дневн стац</t>
  </si>
  <si>
    <t>стоматол</t>
  </si>
  <si>
    <t>дневн</t>
  </si>
  <si>
    <t xml:space="preserve">РАО РСЦ</t>
  </si>
  <si>
    <t>СМП</t>
  </si>
  <si>
    <t xml:space="preserve">РАО № 2</t>
  </si>
  <si>
    <t xml:space="preserve">Итого Благ р-н</t>
  </si>
  <si>
    <t>круглос</t>
  </si>
  <si>
    <t xml:space="preserve">РАО № 3</t>
  </si>
  <si>
    <t xml:space="preserve">ИТОГО Благ р-н</t>
  </si>
  <si>
    <t xml:space="preserve">Новорожденных (От.новорожд.)</t>
  </si>
  <si>
    <t xml:space="preserve">ЦМР (центр мед реабилитац)</t>
  </si>
  <si>
    <r>
      <t xml:space="preserve">ВСЕГО РАСХОДЫ  </t>
    </r>
    <r>
      <rPr>
        <b/>
        <sz val="10"/>
        <color indexed="46"/>
        <rFont val="Times New Roman"/>
      </rPr>
      <t xml:space="preserve">ПО СЧЕТУ 105.01.03(ОМС)</t>
    </r>
  </si>
  <si>
    <t xml:space="preserve">Приемное </t>
  </si>
  <si>
    <t xml:space="preserve">Акушерское ОПЦ прием</t>
  </si>
  <si>
    <t>Оперблок</t>
  </si>
  <si>
    <t>Родзал</t>
  </si>
  <si>
    <t>Амбулаторно</t>
  </si>
  <si>
    <t xml:space="preserve">% на медикаменты</t>
  </si>
  <si>
    <t>Сотрудники</t>
  </si>
  <si>
    <t xml:space="preserve">Круглосуточный стац</t>
  </si>
  <si>
    <t xml:space="preserve">Паллиативная помощь</t>
  </si>
  <si>
    <t xml:space="preserve">Дневной стационар</t>
  </si>
  <si>
    <t>Эндоскопическое</t>
  </si>
  <si>
    <t>Новорожденных</t>
  </si>
  <si>
    <t>Поликлиники</t>
  </si>
  <si>
    <t>Диализ</t>
  </si>
  <si>
    <t>КДЛ</t>
  </si>
  <si>
    <t>перитониальный</t>
  </si>
  <si>
    <t>Бак.лаборатория</t>
  </si>
  <si>
    <t xml:space="preserve">Экстренная лабор</t>
  </si>
  <si>
    <t xml:space="preserve">ИмМунологиЧЕСКая лаб</t>
  </si>
  <si>
    <t xml:space="preserve">Скорая помощь</t>
  </si>
  <si>
    <t>стомат</t>
  </si>
  <si>
    <t xml:space="preserve">Рентген </t>
  </si>
  <si>
    <r>
      <t xml:space="preserve">КПК </t>
    </r>
    <r>
      <rPr>
        <i/>
        <sz val="8"/>
        <rFont val="Times New Roman"/>
      </rPr>
      <t xml:space="preserve">(каб перелив крови</t>
    </r>
    <r>
      <rPr>
        <sz val="10"/>
        <rFont val="Times New Roman"/>
      </rPr>
      <t>)</t>
    </r>
  </si>
  <si>
    <t>ЦСО-ЭПИД.отд</t>
  </si>
  <si>
    <t>Прачка</t>
  </si>
  <si>
    <t xml:space="preserve">Др. отделения</t>
  </si>
  <si>
    <t>УЗД-1</t>
  </si>
  <si>
    <t>УЗД-2</t>
  </si>
  <si>
    <t xml:space="preserve">Провизорный госпиталь</t>
  </si>
  <si>
    <t xml:space="preserve">Инфекционный госпиталь</t>
  </si>
  <si>
    <t xml:space="preserve">Иммунологическая лаб.</t>
  </si>
  <si>
    <t xml:space="preserve">ОПУ  (ЛДЦ+Мицар+      )</t>
  </si>
  <si>
    <t>КПК</t>
  </si>
  <si>
    <t>ЦСО-</t>
  </si>
  <si>
    <t xml:space="preserve">Прочие организации</t>
  </si>
  <si>
    <t xml:space="preserve">Провизрный госпиталь</t>
  </si>
  <si>
    <t>ОПУ</t>
  </si>
  <si>
    <t>Инфекционный</t>
  </si>
  <si>
    <t>5+6</t>
  </si>
  <si>
    <t xml:space="preserve">прочие категории персонала</t>
  </si>
  <si>
    <t>,</t>
  </si>
  <si>
    <t>БЦРП</t>
  </si>
  <si>
    <t>Общее</t>
  </si>
  <si>
    <r>
      <t xml:space="preserve">ВУБ  </t>
    </r>
    <r>
      <rPr>
        <sz val="12"/>
        <color indexed="17"/>
        <rFont val="Times New Roman"/>
      </rPr>
      <t>(Волково)</t>
    </r>
  </si>
  <si>
    <r>
      <t>НУБ</t>
    </r>
    <r>
      <rPr>
        <sz val="12"/>
        <color indexed="17"/>
        <rFont val="Times New Roman"/>
      </rPr>
      <t xml:space="preserve">  (Новопетровка)</t>
    </r>
  </si>
  <si>
    <r>
      <t xml:space="preserve">СУБ </t>
    </r>
    <r>
      <rPr>
        <sz val="12"/>
        <color indexed="17"/>
        <rFont val="Times New Roman"/>
      </rPr>
      <t xml:space="preserve">(Сергеевка) </t>
    </r>
    <r>
      <rPr>
        <sz val="9"/>
        <color indexed="17"/>
        <rFont val="Times New Roman"/>
      </rPr>
      <t>Марково</t>
    </r>
  </si>
  <si>
    <t xml:space="preserve">Прочие категории</t>
  </si>
  <si>
    <t xml:space="preserve">ЗАБОРНАЯ ведомость </t>
  </si>
  <si>
    <t xml:space="preserve">2026 г</t>
  </si>
  <si>
    <t xml:space="preserve">УБРАТЬ ЭТУ СУММУ!!!!!!!!!!!</t>
  </si>
  <si>
    <t>БЮДЖЕТ</t>
  </si>
  <si>
    <t xml:space="preserve">ОПУ   (ПД)</t>
  </si>
  <si>
    <t xml:space="preserve">ВМП ОМС</t>
  </si>
  <si>
    <t xml:space="preserve">ВМП Бюджет</t>
  </si>
  <si>
    <t xml:space="preserve">Наименования отделений</t>
  </si>
  <si>
    <t xml:space="preserve">Показатели для распределения</t>
  </si>
  <si>
    <t xml:space="preserve">Центр дохода</t>
  </si>
  <si>
    <t xml:space="preserve">без перевязки Медикаменты</t>
  </si>
  <si>
    <t xml:space="preserve">перевязка  (ИМН)</t>
  </si>
  <si>
    <t xml:space="preserve">итого с перевязкой</t>
  </si>
  <si>
    <t xml:space="preserve">итого без БЮДЖЕТА</t>
  </si>
  <si>
    <t>спирт</t>
  </si>
  <si>
    <t>наркот</t>
  </si>
  <si>
    <t>растворы</t>
  </si>
  <si>
    <t xml:space="preserve">перевязка    ИМН</t>
  </si>
  <si>
    <t xml:space="preserve">Итого (спирт+наркотики+растворы+перевязка)</t>
  </si>
  <si>
    <t>%</t>
  </si>
  <si>
    <t xml:space="preserve">без перевязки    Медикаменты</t>
  </si>
  <si>
    <t xml:space="preserve">итого с перевязкой       без БЮДЖЕТА</t>
  </si>
  <si>
    <t>медик</t>
  </si>
  <si>
    <t xml:space="preserve"> без перевязки</t>
  </si>
  <si>
    <t xml:space="preserve">Расход  медикаментов ЯНВАРЬ </t>
  </si>
  <si>
    <t xml:space="preserve">Заборная ведомость (ОМС+Бюджет+ОПУ+ВМП ОМС+ВМП Бюджет)</t>
  </si>
  <si>
    <t xml:space="preserve">Итого без БЮДЖЕТА</t>
  </si>
  <si>
    <t xml:space="preserve">ВМП БЮДЖЕТ</t>
  </si>
  <si>
    <t>Наименования</t>
  </si>
  <si>
    <t xml:space="preserve">итого без перевязки</t>
  </si>
  <si>
    <t xml:space="preserve">Павельева Л.Г.</t>
  </si>
  <si>
    <t xml:space="preserve">Губаренко О.Н.</t>
  </si>
  <si>
    <t>Гастроэнтер.+эндокрин.</t>
  </si>
  <si>
    <t xml:space="preserve">Петрюк Е.В.</t>
  </si>
  <si>
    <t xml:space="preserve">Кутько И.Г.</t>
  </si>
  <si>
    <t>Пульмонологическ</t>
  </si>
  <si>
    <t xml:space="preserve">Елина С.И.</t>
  </si>
  <si>
    <t xml:space="preserve">Никитина О.Г.</t>
  </si>
  <si>
    <t xml:space="preserve">Судакова Е.С.</t>
  </si>
  <si>
    <t>Мед.Реабилитация</t>
  </si>
  <si>
    <t xml:space="preserve">Осипова А.А.</t>
  </si>
  <si>
    <t>Итого:</t>
  </si>
  <si>
    <t xml:space="preserve">Отд. микрох. глаза</t>
  </si>
  <si>
    <t xml:space="preserve">Сметанина О.В.</t>
  </si>
  <si>
    <t xml:space="preserve">Козенко С.С.</t>
  </si>
  <si>
    <t xml:space="preserve">Сочетанной травмы</t>
  </si>
  <si>
    <t xml:space="preserve">Разумец Е.Г.</t>
  </si>
  <si>
    <t xml:space="preserve">Шарова Т.М.</t>
  </si>
  <si>
    <t xml:space="preserve">Крошка С.С.</t>
  </si>
  <si>
    <t xml:space="preserve">Козлитина Н.В.</t>
  </si>
  <si>
    <t xml:space="preserve">Баженова И.В.</t>
  </si>
  <si>
    <t xml:space="preserve">Герингер О.А.</t>
  </si>
  <si>
    <t xml:space="preserve">Ничипуренко И.А.</t>
  </si>
  <si>
    <t>Колопроктологическ</t>
  </si>
  <si>
    <t xml:space="preserve">Дылыкова А.А. Закусова О.А. Бондаренко НФ</t>
  </si>
  <si>
    <t xml:space="preserve">Мазуренко А.Н.</t>
  </si>
  <si>
    <t xml:space="preserve">Румак В.Н, Стоянова ЕП</t>
  </si>
  <si>
    <t xml:space="preserve">Акушерское обсерв</t>
  </si>
  <si>
    <t xml:space="preserve">Голубцова О.В.</t>
  </si>
  <si>
    <t xml:space="preserve">Акушерское ОПЦ</t>
  </si>
  <si>
    <t xml:space="preserve">Бородулина М.П.</t>
  </si>
  <si>
    <t xml:space="preserve">Паталогия берем.</t>
  </si>
  <si>
    <t xml:space="preserve">Буханова Т.И. Мансурова А.Г.</t>
  </si>
  <si>
    <t xml:space="preserve">Патол.новорож. и недон.дет.2 этап</t>
  </si>
  <si>
    <t xml:space="preserve">Мирошник Е.В.</t>
  </si>
  <si>
    <t xml:space="preserve">Отделение новорожденых</t>
  </si>
  <si>
    <t>Итого:ОПЦ</t>
  </si>
  <si>
    <t xml:space="preserve">Зиненко Ю.А. Шаповалова Т.Ю.</t>
  </si>
  <si>
    <t xml:space="preserve">Неотл.кардиолог.с блок.инт.терап. </t>
  </si>
  <si>
    <t xml:space="preserve">Майорова И.В.</t>
  </si>
  <si>
    <t xml:space="preserve">Невролог.для больн.с ОНМК</t>
  </si>
  <si>
    <t xml:space="preserve">Молчанова НМ, Гребенюк Ю.С.</t>
  </si>
  <si>
    <t>Итого:РСЦ</t>
  </si>
  <si>
    <t xml:space="preserve">Шевченко Е.А.</t>
  </si>
  <si>
    <t xml:space="preserve">Лещенко О.А.</t>
  </si>
  <si>
    <t xml:space="preserve">РАО 2</t>
  </si>
  <si>
    <t xml:space="preserve">Павленко И.В.</t>
  </si>
  <si>
    <t xml:space="preserve">РАО для новорожд</t>
  </si>
  <si>
    <t xml:space="preserve">Итого стац</t>
  </si>
  <si>
    <t xml:space="preserve">Куприянова А.В.</t>
  </si>
  <si>
    <t>Пол-ка</t>
  </si>
  <si>
    <t xml:space="preserve">Попова И.Ю.</t>
  </si>
  <si>
    <t xml:space="preserve">Пол-ка дет</t>
  </si>
  <si>
    <t xml:space="preserve">Итого поликлиника:</t>
  </si>
  <si>
    <t>Всего:</t>
  </si>
  <si>
    <t xml:space="preserve">ЦПС  </t>
  </si>
  <si>
    <t xml:space="preserve">Леоненко Г.Н</t>
  </si>
  <si>
    <t xml:space="preserve">ЦПС (ОПЦ)</t>
  </si>
  <si>
    <t xml:space="preserve">Саяпина О.А.</t>
  </si>
  <si>
    <t xml:space="preserve">Эко (ОВРТ)</t>
  </si>
  <si>
    <t xml:space="preserve">Дегтярева Е.И. Акилова С.В.</t>
  </si>
  <si>
    <t xml:space="preserve">ЦСО  </t>
  </si>
  <si>
    <t xml:space="preserve">ЦСО  ОПЦ</t>
  </si>
  <si>
    <t xml:space="preserve">Ковалевская О.А.</t>
  </si>
  <si>
    <t xml:space="preserve">Род блок (зал)</t>
  </si>
  <si>
    <t xml:space="preserve">Никонова-Цыганова Н.А.</t>
  </si>
  <si>
    <t xml:space="preserve">Шевкунова СА</t>
  </si>
  <si>
    <t xml:space="preserve">Опер блок</t>
  </si>
  <si>
    <t xml:space="preserve">Шеламкова Н.В.</t>
  </si>
  <si>
    <t xml:space="preserve">Рентген (ОЛД)</t>
  </si>
  <si>
    <t xml:space="preserve">Буланова О.Н. Сычева Ю.В.</t>
  </si>
  <si>
    <t xml:space="preserve">Бояринцева Н.А.</t>
  </si>
  <si>
    <t xml:space="preserve">КДЛ ОПЦ</t>
  </si>
  <si>
    <t xml:space="preserve">Соболева Т.Ю.</t>
  </si>
  <si>
    <t xml:space="preserve">Бак лабор</t>
  </si>
  <si>
    <t>Экстрен.лаб</t>
  </si>
  <si>
    <t xml:space="preserve">Астапова С.А.</t>
  </si>
  <si>
    <t xml:space="preserve">Кирпа Е.Д.</t>
  </si>
  <si>
    <t xml:space="preserve">Трофимкина Н.В.</t>
  </si>
  <si>
    <t>УЗД</t>
  </si>
  <si>
    <t xml:space="preserve">Жилкина В.В.</t>
  </si>
  <si>
    <t xml:space="preserve">УЗД ОПЦ</t>
  </si>
  <si>
    <t xml:space="preserve">Марушенко В.Н. Донцова Н.Г.</t>
  </si>
  <si>
    <t>Эндоскопич</t>
  </si>
  <si>
    <t xml:space="preserve">Морфолог лабор</t>
  </si>
  <si>
    <t xml:space="preserve">Кузнецова Е.В.</t>
  </si>
  <si>
    <t xml:space="preserve">Титякова Т.А.</t>
  </si>
  <si>
    <t>Эпид.отдел</t>
  </si>
  <si>
    <t xml:space="preserve">Стрельникова АГ, Липатова СН</t>
  </si>
  <si>
    <t xml:space="preserve">Каб  перелив.крови</t>
  </si>
  <si>
    <t xml:space="preserve">Куликова А.Г.</t>
  </si>
  <si>
    <t xml:space="preserve">Жандарова ИВ, Елина С.И.</t>
  </si>
  <si>
    <t xml:space="preserve">Бояркина Л.Е. Кондратьева АА</t>
  </si>
  <si>
    <t xml:space="preserve">ОСП БЦРП Чигири</t>
  </si>
  <si>
    <t xml:space="preserve">Трофимчук О.Е., Радченко Т.А.   Куция НЛ  Красносельская (усть-Ивановка)</t>
  </si>
  <si>
    <t xml:space="preserve">ОСП Волковская уч.бол-ца</t>
  </si>
  <si>
    <t xml:space="preserve">Третьяк О.М.</t>
  </si>
  <si>
    <t xml:space="preserve">ОСП Новопетровская уч.бол-ца</t>
  </si>
  <si>
    <t xml:space="preserve">ОСП Сергеевская уч.бол-ца</t>
  </si>
  <si>
    <t xml:space="preserve">Бедина и Позднякова</t>
  </si>
  <si>
    <t xml:space="preserve">ТЦМК (резерв)</t>
  </si>
  <si>
    <t xml:space="preserve">Макарова Е.В.</t>
  </si>
  <si>
    <t>ТЦМК</t>
  </si>
  <si>
    <t xml:space="preserve">Юшкова Н.Г.</t>
  </si>
  <si>
    <t>Завхоз</t>
  </si>
  <si>
    <t>АХЧ</t>
  </si>
  <si>
    <t xml:space="preserve">АХЧ ОПЦ</t>
  </si>
  <si>
    <t xml:space="preserve">Прачечная </t>
  </si>
  <si>
    <t xml:space="preserve">Прачечная ОПЦ</t>
  </si>
  <si>
    <t>Пищеблок</t>
  </si>
  <si>
    <t xml:space="preserve">Пищеблок ОПЦ</t>
  </si>
  <si>
    <t>Мед.склад</t>
  </si>
  <si>
    <t xml:space="preserve">Мед техника</t>
  </si>
  <si>
    <t>Справка</t>
  </si>
  <si>
    <t xml:space="preserve">Радченко Т.А.</t>
  </si>
  <si>
    <t xml:space="preserve">Паллиативная помощь (Волково)</t>
  </si>
  <si>
    <t xml:space="preserve">Старшие м.- АОКБ (кислород)</t>
  </si>
  <si>
    <t xml:space="preserve">Прочие </t>
  </si>
  <si>
    <t xml:space="preserve">ВСЕГО январь</t>
  </si>
  <si>
    <t xml:space="preserve">Расход  медикаментов Февраль</t>
  </si>
  <si>
    <t xml:space="preserve">Белова СА</t>
  </si>
  <si>
    <t xml:space="preserve">ВСЕГО Февраль</t>
  </si>
  <si>
    <t xml:space="preserve">Расход  медикаментов  Март </t>
  </si>
  <si>
    <t xml:space="preserve">Гребенюк Ю.С.,  Молчанова Н.М.</t>
  </si>
  <si>
    <t xml:space="preserve">Шевченко ЕА, Мацак ЕН</t>
  </si>
  <si>
    <t xml:space="preserve">Никонова-Цыганова Н.А. Столберова МИ</t>
  </si>
  <si>
    <t xml:space="preserve">ВСЕГО март</t>
  </si>
  <si>
    <t xml:space="preserve">Расход  медикаментов АПРЕЛЬ </t>
  </si>
  <si>
    <t xml:space="preserve">Шевкунова С.А.</t>
  </si>
  <si>
    <t xml:space="preserve">ВСЕГО апрель</t>
  </si>
  <si>
    <t xml:space="preserve">Расход  медикаментов МАЙ</t>
  </si>
  <si>
    <t xml:space="preserve">ВСЕГО май</t>
  </si>
  <si>
    <t xml:space="preserve">Расход  медикаментов ИЮНЬ</t>
  </si>
  <si>
    <t xml:space="preserve">Румак В.Н,  Стоянова Е.П.</t>
  </si>
  <si>
    <t xml:space="preserve">ВСЕГО июнь</t>
  </si>
  <si>
    <t xml:space="preserve">Расход  медикаментов ИЮЛЬ</t>
  </si>
  <si>
    <t>Цд</t>
  </si>
  <si>
    <t>ЦР</t>
  </si>
  <si>
    <t>Койко-дни</t>
  </si>
  <si>
    <t xml:space="preserve">на отделение новорожденных</t>
  </si>
  <si>
    <t xml:space="preserve">Кол-во исследований</t>
  </si>
  <si>
    <t xml:space="preserve">Кол-во биксов</t>
  </si>
  <si>
    <t xml:space="preserve">Кол-во пациентов</t>
  </si>
  <si>
    <t xml:space="preserve">на РАО 1</t>
  </si>
  <si>
    <t>Усл.ед.</t>
  </si>
  <si>
    <t>Исследования</t>
  </si>
  <si>
    <t>Сеансы</t>
  </si>
  <si>
    <t>Кусочки</t>
  </si>
  <si>
    <t>ЦД</t>
  </si>
  <si>
    <t xml:space="preserve">ВСЕГО июль</t>
  </si>
  <si>
    <t xml:space="preserve">Расход  медикаментов АВГУСТ</t>
  </si>
  <si>
    <t xml:space="preserve">Шевченко ЕА, Мацак ЕН,  Ворокова ВЕ</t>
  </si>
  <si>
    <t xml:space="preserve">ЦСО  (ОПЦ)</t>
  </si>
  <si>
    <t xml:space="preserve">Ковалевская ОА,  Горнухина НЕ</t>
  </si>
  <si>
    <t xml:space="preserve">Каб  перелив.крови (КТТ)</t>
  </si>
  <si>
    <t xml:space="preserve">ВСЕГО  август</t>
  </si>
  <si>
    <t xml:space="preserve">Расход  медикаментов СЕНТЯБРЬ</t>
  </si>
  <si>
    <t xml:space="preserve">Дылыкова А.А. Закусова О.А.  Фоменко Т.В.</t>
  </si>
  <si>
    <t xml:space="preserve">Стрельникова А.Г.,  Липатова С.Н.</t>
  </si>
  <si>
    <t>Прочие</t>
  </si>
  <si>
    <t xml:space="preserve">ВСЕГО сентябрь</t>
  </si>
  <si>
    <t xml:space="preserve">Расход  медикаментов  ОКТЯБРЬ</t>
  </si>
  <si>
    <t xml:space="preserve">Елина С.И. Жандарова И.В.</t>
  </si>
  <si>
    <t xml:space="preserve">ВСЕГО октябрь</t>
  </si>
  <si>
    <t xml:space="preserve">РАСХОД  медикаментов НОЯБРЬ  2024г</t>
  </si>
  <si>
    <t xml:space="preserve">Дылыкова А.А. Закусова О.А.  Фоменко Т.В., Бондаренко Н.Ф.</t>
  </si>
  <si>
    <t xml:space="preserve">Мирошник ЕВ Степовая ЛН</t>
  </si>
  <si>
    <t xml:space="preserve">ВСЕГО ноябрь</t>
  </si>
  <si>
    <t xml:space="preserve">Расход  медикаментов  ДЕКАБРЬ</t>
  </si>
  <si>
    <t xml:space="preserve">Попова ТЕ,  Семеров АВ</t>
  </si>
  <si>
    <t xml:space="preserve">ВСЕГО декабрь</t>
  </si>
  <si>
    <t xml:space="preserve">Расход  медикаментов                          ВСЕГО 2025 г.</t>
  </si>
  <si>
    <t xml:space="preserve">итогобез перевязки</t>
  </si>
  <si>
    <t xml:space="preserve">Акуш.отд. патологии беремен</t>
  </si>
  <si>
    <t>Новорожденн</t>
  </si>
  <si>
    <t xml:space="preserve">Итого </t>
  </si>
  <si>
    <t>Всего</t>
  </si>
  <si>
    <t xml:space="preserve">(ЦПС) иммунология КЛД</t>
  </si>
  <si>
    <t xml:space="preserve">БЦРП Чигири</t>
  </si>
  <si>
    <t xml:space="preserve">Волковская уч.бол-ца</t>
  </si>
  <si>
    <t xml:space="preserve">Новопетровская уч.бол-ца</t>
  </si>
  <si>
    <t xml:space="preserve">Сергеевская уч.бол-ца</t>
  </si>
  <si>
    <t>Прачечная</t>
  </si>
  <si>
    <t xml:space="preserve">ВСЕГО за 2025 год</t>
  </si>
  <si>
    <t xml:space="preserve">2026 год</t>
  </si>
  <si>
    <t xml:space="preserve">4 полугодие </t>
  </si>
  <si>
    <t xml:space="preserve">Отчеты оперблока за 2026 год</t>
  </si>
  <si>
    <t xml:space="preserve">ИТОГО 2026 г.</t>
  </si>
  <si>
    <t>сумма</t>
  </si>
  <si>
    <t xml:space="preserve">Мед реаб</t>
  </si>
  <si>
    <t xml:space="preserve">Отд.микрохирургия глаза</t>
  </si>
  <si>
    <t xml:space="preserve">Отд.патол.новорож.и недонош.дет.</t>
  </si>
  <si>
    <t xml:space="preserve">Итого: ОПЦ</t>
  </si>
  <si>
    <t>ВСЕГО:</t>
  </si>
  <si>
    <t xml:space="preserve">РАО 3</t>
  </si>
  <si>
    <t>Новорожденные</t>
  </si>
  <si>
    <t>П-ка</t>
  </si>
  <si>
    <t xml:space="preserve">П-ка дет</t>
  </si>
  <si>
    <t xml:space="preserve">РХМДиЛ  2026 год</t>
  </si>
  <si>
    <t xml:space="preserve">Кардиологическое </t>
  </si>
  <si>
    <t>приемное</t>
  </si>
  <si>
    <t xml:space="preserve">Исследование  ТАБ щитовидной железы:</t>
  </si>
  <si>
    <t xml:space="preserve">ОМС пациенты</t>
  </si>
  <si>
    <t xml:space="preserve">ОМС исследования</t>
  </si>
  <si>
    <t xml:space="preserve">ОПУ пациенты</t>
  </si>
  <si>
    <t xml:space="preserve">ОПУ исследования</t>
  </si>
  <si>
    <t xml:space="preserve">Отчеты рентген-отделения  2026 год</t>
  </si>
  <si>
    <t>усл.ед.</t>
  </si>
  <si>
    <t xml:space="preserve">кол-во исслед</t>
  </si>
  <si>
    <t>Хирургия</t>
  </si>
  <si>
    <r>
      <t xml:space="preserve">Ожоговое  </t>
    </r>
    <r>
      <rPr>
        <sz val="12"/>
        <color indexed="17"/>
        <rFont val="Times New Roman"/>
      </rPr>
      <t xml:space="preserve">(термических поражений)</t>
    </r>
  </si>
  <si>
    <r>
      <t xml:space="preserve">Ожоговое  </t>
    </r>
    <r>
      <rPr>
        <sz val="12"/>
        <color indexed="17"/>
        <rFont val="Times New Roman"/>
      </rPr>
      <t xml:space="preserve">(О Термических Поражений)</t>
    </r>
  </si>
  <si>
    <r>
      <t xml:space="preserve">НХО  </t>
    </r>
    <r>
      <rPr>
        <sz val="12"/>
        <color indexed="17"/>
        <rFont val="Times New Roman"/>
      </rPr>
      <t>(нейрохирургия)</t>
    </r>
  </si>
  <si>
    <r>
      <t xml:space="preserve">ОПЦ </t>
    </r>
    <r>
      <rPr>
        <sz val="12"/>
        <color indexed="17"/>
        <rFont val="Times New Roman"/>
      </rPr>
      <t xml:space="preserve">(перинатальный центр)</t>
    </r>
  </si>
  <si>
    <r>
      <t xml:space="preserve">лдц </t>
    </r>
    <r>
      <rPr>
        <sz val="12"/>
        <color indexed="17"/>
        <rFont val="Times New Roman"/>
      </rPr>
      <t>(ЛДЦ+КХЦ+Мицар)</t>
    </r>
  </si>
  <si>
    <r>
      <t xml:space="preserve">лдц </t>
    </r>
    <r>
      <rPr>
        <sz val="12"/>
        <color indexed="17"/>
        <rFont val="Times New Roman"/>
      </rPr>
      <t xml:space="preserve">(ЛДЦ+глазное/Мицар+микрохирургия глаза+КХЦ)</t>
    </r>
  </si>
  <si>
    <t xml:space="preserve">Благовещенский р-он</t>
  </si>
  <si>
    <r>
      <t xml:space="preserve">опу  </t>
    </r>
    <r>
      <rPr>
        <sz val="12"/>
        <color indexed="17"/>
        <rFont val="Times New Roman"/>
      </rPr>
      <t xml:space="preserve">(платные/ СВО /военный госпиталь)</t>
    </r>
  </si>
  <si>
    <r>
      <t xml:space="preserve">опу  </t>
    </r>
    <r>
      <rPr>
        <sz val="12"/>
        <color indexed="17"/>
        <rFont val="Times New Roman"/>
      </rPr>
      <t xml:space="preserve">(платные услуги/военный госпиталь)</t>
    </r>
  </si>
  <si>
    <t>провизорный</t>
  </si>
  <si>
    <t>инфекционный</t>
  </si>
  <si>
    <t xml:space="preserve">Стационар МРТ</t>
  </si>
  <si>
    <t xml:space="preserve">опнд ОМС</t>
  </si>
  <si>
    <r>
      <t xml:space="preserve">Приемное отделение   </t>
    </r>
    <r>
      <rPr>
        <sz val="12"/>
        <color indexed="17"/>
        <rFont val="Times New Roman"/>
      </rPr>
      <t>(ПДО)</t>
    </r>
  </si>
  <si>
    <t xml:space="preserve">ВСЕГО у.е. ОМС</t>
  </si>
  <si>
    <t xml:space="preserve">Рентген исследования</t>
  </si>
  <si>
    <t xml:space="preserve">КТ 120 к.</t>
  </si>
  <si>
    <t xml:space="preserve">КТ 125 к.</t>
  </si>
  <si>
    <t xml:space="preserve">КТ 115 к.</t>
  </si>
  <si>
    <t xml:space="preserve">КТ 128</t>
  </si>
  <si>
    <t>МРТ</t>
  </si>
  <si>
    <t xml:space="preserve">Количество исследований ОМС</t>
  </si>
  <si>
    <t xml:space="preserve">ВСЕГО у.е. ОПУ</t>
  </si>
  <si>
    <t xml:space="preserve">Количество исследований ОПУ</t>
  </si>
  <si>
    <t xml:space="preserve">ВСЕГО у.е.</t>
  </si>
  <si>
    <t xml:space="preserve">ВСЕГО исследований</t>
  </si>
  <si>
    <t xml:space="preserve">Отчеты РАО1 за 2026 год</t>
  </si>
  <si>
    <t xml:space="preserve">Колличество больных</t>
  </si>
  <si>
    <r>
      <t xml:space="preserve">Ожоговое  </t>
    </r>
    <r>
      <rPr>
        <sz val="12"/>
        <color indexed="17"/>
        <rFont val="Times New Roman"/>
      </rPr>
      <t xml:space="preserve"> (ОТП)</t>
    </r>
  </si>
  <si>
    <t xml:space="preserve">Ожоговое   (ОТП)</t>
  </si>
  <si>
    <t xml:space="preserve">Отчеты РАО-2 за 2026 год</t>
  </si>
  <si>
    <t xml:space="preserve">4 квартал </t>
  </si>
  <si>
    <t xml:space="preserve">РАО  РЦС 2026 год</t>
  </si>
  <si>
    <t xml:space="preserve">Количество пациентов</t>
  </si>
  <si>
    <t xml:space="preserve">кол-во пролеченных больных</t>
  </si>
  <si>
    <t xml:space="preserve">Отчеты родблока за 2026 год</t>
  </si>
  <si>
    <t xml:space="preserve">Сан.авиация (ск.пом.)</t>
  </si>
  <si>
    <t>самообращен</t>
  </si>
  <si>
    <t xml:space="preserve">(Инфекц.бол-ца)ЦПС женск.конс., стационар</t>
  </si>
  <si>
    <t>Гор.род.дом.;тубик.</t>
  </si>
  <si>
    <t>п/покой</t>
  </si>
  <si>
    <t xml:space="preserve">РОДЫ </t>
  </si>
  <si>
    <r>
      <t xml:space="preserve">ОПЕРАЦИИ </t>
    </r>
    <r>
      <rPr>
        <b/>
        <sz val="12"/>
        <color indexed="17"/>
        <rFont val="Times New Roman"/>
      </rPr>
      <t>(кесарево)</t>
    </r>
  </si>
  <si>
    <t xml:space="preserve">Сервисные </t>
  </si>
  <si>
    <t xml:space="preserve">Отчеты ОФД за 2026 год</t>
  </si>
  <si>
    <t xml:space="preserve">Количество иследований</t>
  </si>
  <si>
    <r>
      <t xml:space="preserve">Микрохирургическое  </t>
    </r>
    <r>
      <rPr>
        <sz val="12"/>
        <color indexed="17"/>
        <rFont val="Times New Roman"/>
      </rPr>
      <t>(мхг)</t>
    </r>
  </si>
  <si>
    <r>
      <t xml:space="preserve">Хирургическое  </t>
    </r>
    <r>
      <rPr>
        <sz val="12"/>
        <color indexed="17"/>
        <rFont val="Times New Roman"/>
      </rPr>
      <t>(хир.о+абд.ХО)</t>
    </r>
  </si>
  <si>
    <r>
      <t xml:space="preserve">Отд новорожденых</t>
    </r>
    <r>
      <rPr>
        <sz val="12"/>
        <color indexed="17"/>
        <rFont val="Times New Roman"/>
      </rPr>
      <t xml:space="preserve"> </t>
    </r>
    <r>
      <rPr>
        <sz val="10"/>
        <color indexed="17"/>
        <rFont val="Times New Roman"/>
      </rPr>
      <t>(пер.ц.дети+Д/О)</t>
    </r>
  </si>
  <si>
    <r>
      <t xml:space="preserve">Отд.патол.новорож.и недонош.дет.</t>
    </r>
    <r>
      <rPr>
        <sz val="12"/>
        <color indexed="17"/>
        <rFont val="Times New Roman"/>
      </rPr>
      <t xml:space="preserve"> (2 этап)</t>
    </r>
  </si>
  <si>
    <t xml:space="preserve">БИТ РСЦ</t>
  </si>
  <si>
    <r>
      <t xml:space="preserve">РАО 1  </t>
    </r>
    <r>
      <rPr>
        <sz val="12"/>
        <color indexed="17"/>
        <rFont val="Times New Roman"/>
      </rPr>
      <t>(РАО)</t>
    </r>
  </si>
  <si>
    <t xml:space="preserve">Итого РАО:</t>
  </si>
  <si>
    <t xml:space="preserve">Итого полик.:</t>
  </si>
  <si>
    <r>
      <t xml:space="preserve">Приемное ОПЦ </t>
    </r>
    <r>
      <rPr>
        <sz val="12"/>
        <color indexed="17"/>
        <rFont val="Times New Roman"/>
      </rPr>
      <t xml:space="preserve"> (п/п)</t>
    </r>
  </si>
  <si>
    <t xml:space="preserve">ВСЕГО ОФД ОМС:</t>
  </si>
  <si>
    <r>
      <t xml:space="preserve">ОПУ  </t>
    </r>
    <r>
      <rPr>
        <b/>
        <sz val="12"/>
        <color indexed="17"/>
        <rFont val="Times New Roman"/>
      </rPr>
      <t>(хир.центр)</t>
    </r>
  </si>
  <si>
    <t>Паллиатив</t>
  </si>
  <si>
    <t xml:space="preserve">Количество УЕТ врачи  ОФД</t>
  </si>
  <si>
    <t xml:space="preserve">Количество УЕТ м/с ОФД</t>
  </si>
  <si>
    <r>
      <t xml:space="preserve">Количество УЕТ</t>
    </r>
    <r>
      <rPr>
        <b/>
        <sz val="10"/>
        <rFont val="Times New Roman"/>
      </rPr>
      <t xml:space="preserve"> врачи-кардиологи (РСЦ)</t>
    </r>
  </si>
  <si>
    <r>
      <t xml:space="preserve">Количество УЕТ</t>
    </r>
    <r>
      <rPr>
        <b/>
        <sz val="10"/>
        <rFont val="Times New Roman"/>
      </rPr>
      <t xml:space="preserve"> м/с (РСЦ)</t>
    </r>
  </si>
  <si>
    <t xml:space="preserve">Отчеты ВСЕХ ЛАБОРАТОРИЙ   (КДЛ+Экспресс+Бак+Иммун)                 за 2026 год</t>
  </si>
  <si>
    <t>Торакальное(ТХО)</t>
  </si>
  <si>
    <t xml:space="preserve">Акушерское обсерв (РО)</t>
  </si>
  <si>
    <t>Новорожд</t>
  </si>
  <si>
    <t xml:space="preserve">Кардиолог. РСЦ с блок.инт.терап. </t>
  </si>
  <si>
    <t xml:space="preserve">Невролог. РСЦ для больн.с ОНМК </t>
  </si>
  <si>
    <t xml:space="preserve">Приемный покой</t>
  </si>
  <si>
    <t xml:space="preserve">Приемный ОПЦ (ЖК)</t>
  </si>
  <si>
    <t xml:space="preserve">Гемодиализ </t>
  </si>
  <si>
    <t>Род.зал</t>
  </si>
  <si>
    <t xml:space="preserve">ОВРТ (эко)</t>
  </si>
  <si>
    <t xml:space="preserve">Сотрудники + цех</t>
  </si>
  <si>
    <t xml:space="preserve">БЦРП/Чигири+ Благвоещенский р-он</t>
  </si>
  <si>
    <t>СУБ</t>
  </si>
  <si>
    <t>ВУБ</t>
  </si>
  <si>
    <t>НУБ</t>
  </si>
  <si>
    <t xml:space="preserve">Итого район:</t>
  </si>
  <si>
    <t xml:space="preserve">Прочие(Дом ребенка,СИЗО)</t>
  </si>
  <si>
    <t>Патологоанатом</t>
  </si>
  <si>
    <t xml:space="preserve">Сан-эпид. Режим</t>
  </si>
  <si>
    <t>Кавид</t>
  </si>
  <si>
    <t xml:space="preserve">Прочие (пит среда, лаб контроль)</t>
  </si>
  <si>
    <t>ЛДЦ</t>
  </si>
  <si>
    <t>Сертификаты</t>
  </si>
  <si>
    <t xml:space="preserve">ИТОГО </t>
  </si>
  <si>
    <t xml:space="preserve">Отчеты КДЛ +КДЛ ОПЦ за 2026 год</t>
  </si>
  <si>
    <r>
      <t xml:space="preserve">Гастроэнтер.+эндокрин.  </t>
    </r>
    <r>
      <rPr>
        <sz val="12"/>
        <color indexed="17"/>
        <rFont val="Times New Roman"/>
      </rPr>
      <t xml:space="preserve"> (ГЭО)</t>
    </r>
  </si>
  <si>
    <r>
      <t xml:space="preserve">Неврологическое  </t>
    </r>
    <r>
      <rPr>
        <sz val="12"/>
        <color indexed="17"/>
        <rFont val="Times New Roman"/>
      </rPr>
      <t>(НО)</t>
    </r>
  </si>
  <si>
    <r>
      <t xml:space="preserve">Мед. Реабилитация  </t>
    </r>
    <r>
      <rPr>
        <sz val="10"/>
        <color indexed="17"/>
        <rFont val="Times New Roman"/>
      </rPr>
      <t>(омр)</t>
    </r>
  </si>
  <si>
    <r>
      <t xml:space="preserve">Микрохирургическое </t>
    </r>
    <r>
      <rPr>
        <sz val="12"/>
        <color indexed="17"/>
        <rFont val="Times New Roman"/>
      </rPr>
      <t xml:space="preserve"> (глазн.)</t>
    </r>
  </si>
  <si>
    <r>
      <t xml:space="preserve">Хирургическое  </t>
    </r>
    <r>
      <rPr>
        <sz val="12"/>
        <color indexed="17"/>
        <rFont val="Times New Roman"/>
      </rPr>
      <t xml:space="preserve"> (Ахо.)</t>
    </r>
  </si>
  <si>
    <r>
      <t xml:space="preserve">Ожоговое   </t>
    </r>
    <r>
      <rPr>
        <sz val="12"/>
        <color indexed="17"/>
        <rFont val="Times New Roman"/>
      </rPr>
      <t>(ОТП)</t>
    </r>
  </si>
  <si>
    <r>
      <t xml:space="preserve">Торакальное </t>
    </r>
    <r>
      <rPr>
        <sz val="12"/>
        <color indexed="17"/>
        <rFont val="Times New Roman"/>
      </rPr>
      <t xml:space="preserve"> (ТХО)</t>
    </r>
  </si>
  <si>
    <r>
      <t xml:space="preserve">Акушерское обсерв </t>
    </r>
    <r>
      <rPr>
        <sz val="12"/>
        <color indexed="17"/>
        <rFont val="Times New Roman"/>
      </rPr>
      <t>(РО)</t>
    </r>
  </si>
  <si>
    <r>
      <t xml:space="preserve">Акуш.отд. патологии беремен </t>
    </r>
    <r>
      <rPr>
        <sz val="12"/>
        <color indexed="17"/>
        <rFont val="Times New Roman"/>
      </rPr>
      <t xml:space="preserve"> (ПБ)</t>
    </r>
  </si>
  <si>
    <r>
      <t xml:space="preserve">Новорожд </t>
    </r>
    <r>
      <rPr>
        <sz val="12"/>
        <color indexed="17"/>
        <rFont val="Times New Roman"/>
      </rPr>
      <t xml:space="preserve"> (ДО)</t>
    </r>
  </si>
  <si>
    <r>
      <t xml:space="preserve">Отд.патол.новорож.и недонош.дет. </t>
    </r>
    <r>
      <rPr>
        <sz val="12"/>
        <color indexed="17"/>
        <rFont val="Times New Roman"/>
      </rPr>
      <t xml:space="preserve">(2 ЭТ)</t>
    </r>
  </si>
  <si>
    <r>
      <t xml:space="preserve">П-ка  </t>
    </r>
    <r>
      <rPr>
        <sz val="12"/>
        <color indexed="17"/>
        <rFont val="Times New Roman"/>
      </rPr>
      <t>(Амб+поликлиника+Взр.пол.)</t>
    </r>
  </si>
  <si>
    <r>
      <t xml:space="preserve">П-ка дет </t>
    </r>
    <r>
      <rPr>
        <sz val="12"/>
        <color indexed="17"/>
        <rFont val="Times New Roman"/>
      </rPr>
      <t xml:space="preserve">  (д.п.)</t>
    </r>
  </si>
  <si>
    <r>
      <t xml:space="preserve">Приемный покой </t>
    </r>
    <r>
      <rPr>
        <sz val="12"/>
        <color indexed="17"/>
        <rFont val="Times New Roman"/>
      </rPr>
      <t xml:space="preserve"> (пдо)</t>
    </r>
  </si>
  <si>
    <r>
      <t xml:space="preserve">Приемный ОПЦ </t>
    </r>
    <r>
      <rPr>
        <sz val="12"/>
        <color indexed="17"/>
        <rFont val="Times New Roman"/>
      </rPr>
      <t xml:space="preserve">(Опц.+ПП+ЖК+пдо стац)</t>
    </r>
  </si>
  <si>
    <r>
      <t>Гемодиализ</t>
    </r>
    <r>
      <rPr>
        <sz val="12"/>
        <color indexed="17"/>
        <rFont val="Times New Roman"/>
      </rPr>
      <t xml:space="preserve"> (г/д)</t>
    </r>
  </si>
  <si>
    <r>
      <t xml:space="preserve">Род.зал </t>
    </r>
    <r>
      <rPr>
        <sz val="12"/>
        <color indexed="17"/>
        <rFont val="Times New Roman"/>
      </rPr>
      <t xml:space="preserve"> (РОБ)</t>
    </r>
  </si>
  <si>
    <r>
      <t xml:space="preserve">ЦПС  </t>
    </r>
    <r>
      <rPr>
        <sz val="12"/>
        <color indexed="17"/>
        <rFont val="Times New Roman"/>
      </rPr>
      <t xml:space="preserve">(центр планиров семьи)</t>
    </r>
  </si>
  <si>
    <r>
      <t xml:space="preserve">СУБ  </t>
    </r>
    <r>
      <rPr>
        <sz val="12"/>
        <color indexed="17"/>
        <rFont val="Times New Roman"/>
      </rPr>
      <t>(сергеевка+Марково)</t>
    </r>
  </si>
  <si>
    <r>
      <t xml:space="preserve">ВУБ  </t>
    </r>
    <r>
      <rPr>
        <sz val="12"/>
        <color indexed="17"/>
        <rFont val="Times New Roman"/>
      </rPr>
      <t xml:space="preserve">(Волково, гродеково)</t>
    </r>
  </si>
  <si>
    <r>
      <t xml:space="preserve">НУБ </t>
    </r>
    <r>
      <rPr>
        <sz val="12"/>
        <color indexed="17"/>
        <rFont val="Times New Roman"/>
      </rPr>
      <t xml:space="preserve"> (Новопетровка)</t>
    </r>
  </si>
  <si>
    <t xml:space="preserve">Прочие(Дом ребенка,СИЗО,)</t>
  </si>
  <si>
    <t xml:space="preserve">Отчеты  ЭКСПРЕСС ЛАБОРАТОРИИ (экстрен) за 2026 год</t>
  </si>
  <si>
    <t xml:space="preserve">Итого перапия:</t>
  </si>
  <si>
    <r>
      <t xml:space="preserve">Хирургическое  </t>
    </r>
    <r>
      <rPr>
        <sz val="12"/>
        <color indexed="17"/>
        <rFont val="Times New Roman"/>
      </rPr>
      <t xml:space="preserve"> (ХО)</t>
    </r>
  </si>
  <si>
    <r>
      <t xml:space="preserve">Ожоговое </t>
    </r>
    <r>
      <rPr>
        <sz val="12"/>
        <color indexed="17"/>
        <rFont val="Times New Roman"/>
      </rPr>
      <t xml:space="preserve"> (ОТП)</t>
    </r>
  </si>
  <si>
    <t xml:space="preserve">Итого хирургия:</t>
  </si>
  <si>
    <r>
      <t xml:space="preserve">Акушерское обсерв  </t>
    </r>
    <r>
      <rPr>
        <sz val="12"/>
        <color indexed="17"/>
        <rFont val="Times New Roman"/>
      </rPr>
      <t xml:space="preserve"> (опц)</t>
    </r>
  </si>
  <si>
    <t xml:space="preserve">Итого ОПЦ :</t>
  </si>
  <si>
    <r>
      <t xml:space="preserve">Неотл.кардиолог.с блок.инт.терап</t>
    </r>
    <r>
      <rPr>
        <sz val="12"/>
        <color indexed="17"/>
        <rFont val="Times New Roman"/>
      </rPr>
      <t xml:space="preserve">.  (К.рсц)</t>
    </r>
  </si>
  <si>
    <r>
      <t xml:space="preserve">Невролог.для больн.с ОНМК  </t>
    </r>
    <r>
      <rPr>
        <sz val="12"/>
        <color indexed="17"/>
        <rFont val="Times New Roman"/>
      </rPr>
      <t>(Н.рсц)</t>
    </r>
  </si>
  <si>
    <r>
      <t xml:space="preserve">РАО РСЦ </t>
    </r>
    <r>
      <rPr>
        <sz val="12"/>
        <color indexed="17"/>
        <rFont val="Times New Roman"/>
      </rPr>
      <t>(Р.рсц)</t>
    </r>
  </si>
  <si>
    <t xml:space="preserve">Итого РСЦ:</t>
  </si>
  <si>
    <t xml:space="preserve">Итого полик</t>
  </si>
  <si>
    <r>
      <t xml:space="preserve">Приемный покой </t>
    </r>
    <r>
      <rPr>
        <sz val="12"/>
        <color indexed="17"/>
        <rFont val="Times New Roman"/>
      </rPr>
      <t xml:space="preserve">  (ПДО)</t>
    </r>
  </si>
  <si>
    <r>
      <t xml:space="preserve">Гемодиализ </t>
    </r>
    <r>
      <rPr>
        <sz val="12"/>
        <color indexed="17"/>
        <rFont val="Times New Roman"/>
      </rPr>
      <t xml:space="preserve"> (г/д)</t>
    </r>
  </si>
  <si>
    <r>
      <t>ОВРТ</t>
    </r>
    <r>
      <rPr>
        <sz val="12"/>
        <color indexed="17"/>
        <rFont val="Times New Roman"/>
      </rPr>
      <t xml:space="preserve"> (эко)</t>
    </r>
  </si>
  <si>
    <r>
      <t xml:space="preserve">Сотрудники + цех </t>
    </r>
    <r>
      <rPr>
        <sz val="12"/>
        <color indexed="17"/>
        <rFont val="Times New Roman"/>
      </rPr>
      <t xml:space="preserve"> (ц/х)</t>
    </r>
  </si>
  <si>
    <r>
      <t xml:space="preserve">Провизорный госпиталь  </t>
    </r>
    <r>
      <rPr>
        <sz val="12"/>
        <color indexed="17"/>
        <rFont val="Times New Roman"/>
      </rPr>
      <t>(про.госп)</t>
    </r>
  </si>
  <si>
    <t xml:space="preserve">ЛДЦ  (+Мицар)</t>
  </si>
  <si>
    <t xml:space="preserve">Отчеты Бак. лаб. за 2026 год</t>
  </si>
  <si>
    <t xml:space="preserve">Лабораторные единицы </t>
  </si>
  <si>
    <r>
      <t xml:space="preserve">Нефрологическое </t>
    </r>
    <r>
      <rPr>
        <sz val="12"/>
        <color indexed="17"/>
        <rFont val="Times New Roman"/>
      </rPr>
      <t>(нефрология+диализ)</t>
    </r>
  </si>
  <si>
    <r>
      <t xml:space="preserve">Мед. Реабилитация  </t>
    </r>
    <r>
      <rPr>
        <sz val="11"/>
        <color indexed="17"/>
        <rFont val="Times New Roman"/>
      </rPr>
      <t>(омр)</t>
    </r>
  </si>
  <si>
    <t xml:space="preserve">Ожоговое  (ОТП)</t>
  </si>
  <si>
    <r>
      <t xml:space="preserve">Проктологическое   </t>
    </r>
    <r>
      <rPr>
        <sz val="12"/>
        <color indexed="17"/>
        <rFont val="Times New Roman"/>
      </rPr>
      <t>(к/проктология)</t>
    </r>
  </si>
  <si>
    <r>
      <t xml:space="preserve">Торакальное  </t>
    </r>
    <r>
      <rPr>
        <sz val="12"/>
        <color indexed="17"/>
        <rFont val="Times New Roman"/>
      </rPr>
      <t>(ХТО)</t>
    </r>
  </si>
  <si>
    <t xml:space="preserve">Торакальное  (ХТО)</t>
  </si>
  <si>
    <r>
      <t xml:space="preserve">Акушерское обсерв  </t>
    </r>
    <r>
      <rPr>
        <sz val="10"/>
        <color theme="6"/>
        <rFont val="Times New Roman"/>
      </rPr>
      <t xml:space="preserve">(2 родильное)</t>
    </r>
  </si>
  <si>
    <r>
      <t xml:space="preserve">Акуш.отд. патологии беремен  </t>
    </r>
    <r>
      <rPr>
        <sz val="12"/>
        <color indexed="17"/>
        <rFont val="Times New Roman"/>
      </rPr>
      <t>(п/беременных)</t>
    </r>
  </si>
  <si>
    <t xml:space="preserve">Акуш.отд. патологии беремен  (п/беременных)</t>
  </si>
  <si>
    <r>
      <t xml:space="preserve">Отд.патол.новорож.и недонош.дет. </t>
    </r>
    <r>
      <rPr>
        <sz val="12"/>
        <color indexed="17"/>
        <rFont val="Times New Roman"/>
      </rPr>
      <t xml:space="preserve">(2 этап выхаживания)</t>
    </r>
  </si>
  <si>
    <t xml:space="preserve">Отд.патол.новорож.и недонош.дет. (2 этап выхаживания)</t>
  </si>
  <si>
    <r>
      <t xml:space="preserve">Неотл.кардиолог.с блок.инт.терап.  </t>
    </r>
    <r>
      <rPr>
        <sz val="12"/>
        <color indexed="17"/>
        <rFont val="Times New Roman"/>
      </rPr>
      <t xml:space="preserve">(РСЦ кардиологии)</t>
    </r>
  </si>
  <si>
    <r>
      <t xml:space="preserve">Невролог.для больн.с ОНМК </t>
    </r>
    <r>
      <rPr>
        <sz val="12"/>
        <color indexed="17"/>
        <rFont val="Times New Roman"/>
      </rPr>
      <t xml:space="preserve"> (РСЦ неврологии)</t>
    </r>
  </si>
  <si>
    <t xml:space="preserve">РАО 2  </t>
  </si>
  <si>
    <t xml:space="preserve">РАО 2   (2 родильное)</t>
  </si>
  <si>
    <t xml:space="preserve">Итого район</t>
  </si>
  <si>
    <r>
      <t xml:space="preserve">Патологоанатом  </t>
    </r>
    <r>
      <rPr>
        <sz val="12"/>
        <color indexed="17"/>
        <rFont val="Times New Roman"/>
      </rPr>
      <t>(ПАО)</t>
    </r>
  </si>
  <si>
    <r>
      <t xml:space="preserve">Сан-эпид. Режим </t>
    </r>
    <r>
      <rPr>
        <sz val="12"/>
        <color indexed="17"/>
        <rFont val="Times New Roman"/>
      </rPr>
      <t>(Сан-Бакт.исследования)</t>
    </r>
  </si>
  <si>
    <t xml:space="preserve">ЛДЦ (ОПУ)</t>
  </si>
  <si>
    <t xml:space="preserve">Отчеты Иммунологич. лаб. за 2026 год</t>
  </si>
  <si>
    <r>
      <t xml:space="preserve">Неврологическое </t>
    </r>
    <r>
      <rPr>
        <sz val="12"/>
        <color indexed="17"/>
        <rFont val="Times New Roman"/>
      </rPr>
      <t xml:space="preserve"> (н.о.)</t>
    </r>
  </si>
  <si>
    <r>
      <t xml:space="preserve">Хирургическое  </t>
    </r>
    <r>
      <rPr>
        <sz val="12"/>
        <color indexed="17"/>
        <rFont val="Times New Roman"/>
      </rPr>
      <t>(ахо)</t>
    </r>
  </si>
  <si>
    <r>
      <t xml:space="preserve">Торакальное  </t>
    </r>
    <r>
      <rPr>
        <sz val="12"/>
        <color indexed="17"/>
        <rFont val="Times New Roman"/>
      </rPr>
      <t>(тхо)</t>
    </r>
  </si>
  <si>
    <r>
      <t xml:space="preserve">Акушерское обсерв  </t>
    </r>
    <r>
      <rPr>
        <sz val="12"/>
        <color indexed="17"/>
        <rFont val="Times New Roman"/>
      </rPr>
      <t>(ОПЦ)</t>
    </r>
  </si>
  <si>
    <r>
      <t xml:space="preserve">АО патологии беремен </t>
    </r>
    <r>
      <rPr>
        <sz val="12"/>
        <color indexed="17"/>
        <rFont val="Times New Roman"/>
      </rPr>
      <t xml:space="preserve"> (ОПБ)</t>
    </r>
  </si>
  <si>
    <r>
      <t xml:space="preserve">Отд.патол.новорож.и недонош.дет. </t>
    </r>
    <r>
      <rPr>
        <sz val="12"/>
        <color indexed="17"/>
        <rFont val="Times New Roman"/>
      </rPr>
      <t xml:space="preserve">(2 этап)</t>
    </r>
  </si>
  <si>
    <r>
      <t xml:space="preserve">Неотл.кардиолог.с блок.инт.терап.  </t>
    </r>
    <r>
      <rPr>
        <sz val="12"/>
        <color indexed="17"/>
        <rFont val="Times New Roman"/>
      </rPr>
      <t xml:space="preserve">(рсц кард)</t>
    </r>
  </si>
  <si>
    <r>
      <t xml:space="preserve">РАО 1  </t>
    </r>
    <r>
      <rPr>
        <sz val="12"/>
        <color indexed="17"/>
        <rFont val="Times New Roman"/>
      </rPr>
      <t>(рао)</t>
    </r>
  </si>
  <si>
    <r>
      <t xml:space="preserve">РАО 2  </t>
    </r>
    <r>
      <rPr>
        <sz val="12"/>
        <color indexed="17"/>
        <rFont val="Times New Roman"/>
      </rPr>
      <t xml:space="preserve"> (</t>
    </r>
    <r>
      <rPr>
        <sz val="12"/>
        <color indexed="17"/>
        <rFont val="Sitka Small"/>
      </rPr>
      <t>II</t>
    </r>
    <r>
      <rPr>
        <sz val="12"/>
        <color indexed="17"/>
        <rFont val="Times New Roman"/>
      </rPr>
      <t xml:space="preserve"> РО)</t>
    </r>
  </si>
  <si>
    <r>
      <t xml:space="preserve">РАО 3  </t>
    </r>
    <r>
      <rPr>
        <sz val="12"/>
        <color indexed="17"/>
        <rFont val="Times New Roman"/>
      </rPr>
      <t>(ДО+РАО3)</t>
    </r>
  </si>
  <si>
    <t xml:space="preserve">Приемный </t>
  </si>
  <si>
    <t xml:space="preserve">Приемная ОПЦ (ЖК)</t>
  </si>
  <si>
    <t xml:space="preserve">ОВРТ (ЭКО)</t>
  </si>
  <si>
    <r>
      <rPr>
        <sz val="12"/>
        <rFont val="Times New Roman"/>
      </rPr>
      <t xml:space="preserve">Сотрудники + цех</t>
    </r>
    <r>
      <rPr>
        <sz val="12"/>
        <color indexed="17"/>
        <rFont val="Times New Roman"/>
      </rPr>
      <t xml:space="preserve">  (ц/х)</t>
    </r>
  </si>
  <si>
    <r>
      <t xml:space="preserve">БЦРП  </t>
    </r>
    <r>
      <rPr>
        <sz val="12"/>
        <color indexed="17"/>
        <rFont val="Times New Roman"/>
      </rPr>
      <t>(Чигири)</t>
    </r>
  </si>
  <si>
    <r>
      <t xml:space="preserve">СУБ  </t>
    </r>
    <r>
      <rPr>
        <sz val="12"/>
        <color indexed="17"/>
        <rFont val="Times New Roman"/>
      </rPr>
      <t>(Сергеевка+Марково)</t>
    </r>
  </si>
  <si>
    <r>
      <t xml:space="preserve">НУБ  </t>
    </r>
    <r>
      <rPr>
        <sz val="12"/>
        <color indexed="17"/>
        <rFont val="Times New Roman"/>
      </rPr>
      <t>(Новоп)</t>
    </r>
  </si>
  <si>
    <t xml:space="preserve">Прочие(Дом ребенка,СИЗО), бурея, прогресс</t>
  </si>
  <si>
    <t xml:space="preserve">Если что кавид плюсуем в ЛДЦ</t>
  </si>
  <si>
    <t xml:space="preserve">ЛДЦ  (Мицар)</t>
  </si>
  <si>
    <t xml:space="preserve">КДЛ (КДЛ стац.+КДЛ ОПЦ+Иммунологическая лаб. +КДЛ по экстренным анализам)</t>
  </si>
  <si>
    <t xml:space="preserve">Количество исследований</t>
  </si>
  <si>
    <t xml:space="preserve">АО патологии беремен</t>
  </si>
  <si>
    <t xml:space="preserve">Приемный ОПЦ</t>
  </si>
  <si>
    <t xml:space="preserve">Приемпая ОПЦ (ЖК)</t>
  </si>
  <si>
    <t xml:space="preserve">Отчеты УЗИ №1  за 2026 год</t>
  </si>
  <si>
    <t xml:space="preserve">Условные  единицы</t>
  </si>
  <si>
    <r>
      <t xml:space="preserve">Отчеты </t>
    </r>
    <r>
      <rPr>
        <b/>
        <sz val="22"/>
        <rFont val="Times New Roman"/>
      </rPr>
      <t xml:space="preserve">УЗИ №1</t>
    </r>
    <r>
      <rPr>
        <sz val="22"/>
        <rFont val="Times New Roman"/>
      </rPr>
      <t xml:space="preserve"> </t>
    </r>
  </si>
  <si>
    <t xml:space="preserve">кол-во методик</t>
  </si>
  <si>
    <t xml:space="preserve">Мед. Реабилитация</t>
  </si>
  <si>
    <r>
      <t xml:space="preserve">РАО 1  </t>
    </r>
    <r>
      <rPr>
        <sz val="12"/>
        <color indexed="17"/>
        <rFont val="Times New Roman"/>
      </rPr>
      <t>(реанимация)</t>
    </r>
  </si>
  <si>
    <r>
      <t xml:space="preserve">ОПУ  </t>
    </r>
    <r>
      <rPr>
        <sz val="12"/>
        <color indexed="17"/>
        <rFont val="Times New Roman"/>
      </rPr>
      <t xml:space="preserve">(Мицар, КХЦ)</t>
    </r>
  </si>
  <si>
    <t xml:space="preserve">Приемное отд.роддома</t>
  </si>
  <si>
    <t>Род.зал.</t>
  </si>
  <si>
    <t xml:space="preserve">ЦПС(инвазивные методики.)</t>
  </si>
  <si>
    <t xml:space="preserve">ИТОГО   условн единиц.</t>
  </si>
  <si>
    <t xml:space="preserve">ИТОГО исследован.по методик ОМС</t>
  </si>
  <si>
    <r>
      <t xml:space="preserve"> </t>
    </r>
    <r>
      <rPr>
        <sz val="8"/>
        <rFont val="Times New Roman"/>
      </rPr>
      <t xml:space="preserve">Провизорный госпиталь</t>
    </r>
  </si>
  <si>
    <t>Госпитали</t>
  </si>
  <si>
    <r>
      <t xml:space="preserve">тцмк </t>
    </r>
    <r>
      <rPr>
        <sz val="12"/>
        <color indexed="17"/>
        <rFont val="Times New Roman"/>
      </rPr>
      <t xml:space="preserve"> (санавиация, коммандировка, ….)</t>
    </r>
  </si>
  <si>
    <t xml:space="preserve">тцмк  (санавиация, коммандировка, ….)</t>
  </si>
  <si>
    <t xml:space="preserve">ИТОГО исследован.по методик ОПУ</t>
  </si>
  <si>
    <t xml:space="preserve">платные услуги</t>
  </si>
  <si>
    <t xml:space="preserve">Отчеты УЗИ №2 (ОПЦ) за 2026 год</t>
  </si>
  <si>
    <t xml:space="preserve">Число исследований</t>
  </si>
  <si>
    <t>Отделение</t>
  </si>
  <si>
    <t>Стационар</t>
  </si>
  <si>
    <t xml:space="preserve">Отчеты эндоскопии за 2026 год</t>
  </si>
  <si>
    <t xml:space="preserve">Отчеты эндоскопии за 2023 год</t>
  </si>
  <si>
    <r>
      <t xml:space="preserve">Сочетанной травмы  </t>
    </r>
    <r>
      <rPr>
        <sz val="12"/>
        <color indexed="17"/>
        <rFont val="Times New Roman"/>
      </rPr>
      <t>(ОСТ)</t>
    </r>
  </si>
  <si>
    <r>
      <t xml:space="preserve">СХО </t>
    </r>
    <r>
      <rPr>
        <sz val="12"/>
        <color indexed="17"/>
        <rFont val="Times New Roman"/>
      </rPr>
      <t xml:space="preserve">(сосудист хирург)</t>
    </r>
  </si>
  <si>
    <r>
      <t xml:space="preserve">НХО </t>
    </r>
    <r>
      <rPr>
        <sz val="12"/>
        <color indexed="17"/>
        <rFont val="Times New Roman"/>
      </rPr>
      <t>(нейрохирургич)</t>
    </r>
  </si>
  <si>
    <r>
      <t xml:space="preserve">Торакальное  </t>
    </r>
    <r>
      <rPr>
        <sz val="12"/>
        <color indexed="17"/>
        <rFont val="Times New Roman"/>
      </rPr>
      <t>(ТХО)</t>
    </r>
  </si>
  <si>
    <t xml:space="preserve">провизорный госп</t>
  </si>
  <si>
    <t>Эндоскопии</t>
  </si>
  <si>
    <t>Бронхоскопии</t>
  </si>
  <si>
    <r>
      <t xml:space="preserve">КХЦ </t>
    </r>
    <r>
      <rPr>
        <sz val="12"/>
        <color indexed="17"/>
        <rFont val="Times New Roman"/>
      </rPr>
      <t xml:space="preserve">(кардио-хирургич центр) - платный???</t>
    </r>
  </si>
  <si>
    <t xml:space="preserve">КХЦ (кардио-хирургич центр) - платный???</t>
  </si>
  <si>
    <t>У.е.</t>
  </si>
  <si>
    <t xml:space="preserve">Отчеты ФТО за 2026 год</t>
  </si>
  <si>
    <r>
      <t>Гастроэнтер.+эндокрин.</t>
    </r>
    <r>
      <rPr>
        <sz val="12"/>
        <color indexed="17"/>
        <rFont val="Times New Roman"/>
      </rPr>
      <t xml:space="preserve">  (ГЭО)</t>
    </r>
  </si>
  <si>
    <r>
      <t xml:space="preserve">Торакальное  </t>
    </r>
    <r>
      <rPr>
        <sz val="12"/>
        <color indexed="17"/>
        <rFont val="Times New Roman"/>
      </rPr>
      <t xml:space="preserve">(тор. Хирургия)</t>
    </r>
  </si>
  <si>
    <r>
      <t xml:space="preserve">Акушерское обсерв </t>
    </r>
    <r>
      <rPr>
        <sz val="12"/>
        <color indexed="17"/>
        <rFont val="Times New Roman"/>
      </rPr>
      <t>(Родильное)</t>
    </r>
  </si>
  <si>
    <r>
      <t xml:space="preserve">Акуш.отд. патологии беремен </t>
    </r>
    <r>
      <rPr>
        <sz val="12"/>
        <color indexed="17"/>
        <rFont val="Times New Roman"/>
      </rPr>
      <t>(патология)</t>
    </r>
  </si>
  <si>
    <r>
      <t>Новорожденные</t>
    </r>
    <r>
      <rPr>
        <sz val="12"/>
        <color indexed="17"/>
        <rFont val="Times New Roman"/>
      </rPr>
      <t xml:space="preserve">  (От.новорожд.)</t>
    </r>
  </si>
  <si>
    <r>
      <t xml:space="preserve">Неотл.кардиолог.с блок.инт.терап.  </t>
    </r>
    <r>
      <rPr>
        <sz val="12"/>
        <color indexed="17"/>
        <rFont val="Times New Roman"/>
      </rPr>
      <t xml:space="preserve">(РСЦ кардиол)</t>
    </r>
  </si>
  <si>
    <r>
      <t xml:space="preserve">РАО 1  </t>
    </r>
    <r>
      <rPr>
        <sz val="12"/>
        <color indexed="17"/>
        <rFont val="Times New Roman"/>
      </rPr>
      <t xml:space="preserve">(реанимация 1/2)</t>
    </r>
  </si>
  <si>
    <t xml:space="preserve">хо косметолог</t>
  </si>
  <si>
    <t>х/центр</t>
  </si>
  <si>
    <t xml:space="preserve">платные услуги, процедур</t>
  </si>
  <si>
    <t xml:space="preserve">Отчеты ГБО за 2026 год (Отделение не работает с июля2023 г)</t>
  </si>
  <si>
    <t xml:space="preserve">б/платные сеансы  </t>
  </si>
  <si>
    <t xml:space="preserve">Отчеты ГБО за 2026 год </t>
  </si>
  <si>
    <t xml:space="preserve">б/платные больные</t>
  </si>
  <si>
    <t xml:space="preserve">август </t>
  </si>
  <si>
    <t xml:space="preserve">сентябрь </t>
  </si>
  <si>
    <t xml:space="preserve">декабрь </t>
  </si>
  <si>
    <t xml:space="preserve">Перинатальный центр</t>
  </si>
  <si>
    <t xml:space="preserve">П-ка (амбулаторно)</t>
  </si>
  <si>
    <t xml:space="preserve">Технические сеансы</t>
  </si>
  <si>
    <t xml:space="preserve">ВСЕГО ОМС:</t>
  </si>
  <si>
    <t xml:space="preserve">пролечено больных ОМС</t>
  </si>
  <si>
    <t xml:space="preserve">ОПУ сеансы</t>
  </si>
  <si>
    <t xml:space="preserve">пролечено больных ОПУ</t>
  </si>
  <si>
    <t>ИТОГО:</t>
  </si>
  <si>
    <t xml:space="preserve">итого больных</t>
  </si>
  <si>
    <t xml:space="preserve">отпуск с 11июля23</t>
  </si>
  <si>
    <t xml:space="preserve">не раб, выработан ресурс биопрепаратов и не прошла экспертизу промышлен безопасн</t>
  </si>
  <si>
    <t xml:space="preserve">платные больные</t>
  </si>
  <si>
    <t xml:space="preserve">отпуск с 11,07,23</t>
  </si>
  <si>
    <t xml:space="preserve">ЦСО+ЦСО ОПЦ  2026 г</t>
  </si>
  <si>
    <t xml:space="preserve">Количество биксов</t>
  </si>
  <si>
    <t>Мед.реабилитационное</t>
  </si>
  <si>
    <r>
      <t>Урологическое</t>
    </r>
    <r>
      <rPr>
        <sz val="12"/>
        <color indexed="17"/>
        <rFont val="Times New Roman"/>
      </rPr>
      <t xml:space="preserve"> (+ДЛТ)</t>
    </r>
  </si>
  <si>
    <r>
      <t xml:space="preserve">Отд.патол.новорож.и </t>
    </r>
    <r>
      <rPr>
        <sz val="9"/>
        <rFont val="Times New Roman"/>
      </rPr>
      <t>недонош.дет.</t>
    </r>
    <r>
      <rPr>
        <sz val="9"/>
        <color indexed="17"/>
        <rFont val="Times New Roman"/>
      </rPr>
      <t xml:space="preserve"> ( IIэтап)</t>
    </r>
  </si>
  <si>
    <t>Лаборатория</t>
  </si>
  <si>
    <t>Эндоскопия+Бронхокабинет</t>
  </si>
  <si>
    <t xml:space="preserve">Приемное 0ПЦ</t>
  </si>
  <si>
    <t xml:space="preserve">Оперблок </t>
  </si>
  <si>
    <t xml:space="preserve">Род.оперблок ОПЦ</t>
  </si>
  <si>
    <r>
      <t xml:space="preserve">ЦПС </t>
    </r>
    <r>
      <rPr>
        <sz val="8"/>
        <color indexed="17"/>
        <rFont val="Times New Roman"/>
      </rPr>
      <t xml:space="preserve">(центр план семьи)</t>
    </r>
  </si>
  <si>
    <t xml:space="preserve">Физиокабинет ОПЦ</t>
  </si>
  <si>
    <t>Санавиация</t>
  </si>
  <si>
    <t xml:space="preserve">ЦСО ОПЦ</t>
  </si>
  <si>
    <t xml:space="preserve">Цсо Стационар</t>
  </si>
  <si>
    <r>
      <t xml:space="preserve">КПК  </t>
    </r>
    <r>
      <rPr>
        <sz val="10"/>
        <color indexed="17"/>
        <rFont val="Times New Roman"/>
      </rPr>
      <t>(КТТ)</t>
    </r>
  </si>
  <si>
    <r>
      <t xml:space="preserve">ФТО </t>
    </r>
    <r>
      <rPr>
        <sz val="12"/>
        <color indexed="17"/>
        <rFont val="Times New Roman"/>
      </rPr>
      <t>(физиотерапия)</t>
    </r>
  </si>
  <si>
    <t xml:space="preserve">ОФД  (КГГ)</t>
  </si>
  <si>
    <t>ОВРТ(эко)</t>
  </si>
  <si>
    <t>УЗИ</t>
  </si>
  <si>
    <r>
      <t xml:space="preserve">ВУБ  </t>
    </r>
    <r>
      <rPr>
        <sz val="12"/>
        <color indexed="17"/>
        <rFont val="Times New Roman"/>
      </rPr>
      <t xml:space="preserve">(Волково, Грибское)</t>
    </r>
  </si>
  <si>
    <t>Патанатомия</t>
  </si>
  <si>
    <t xml:space="preserve">Каб. ЭКГ</t>
  </si>
  <si>
    <t>Туб</t>
  </si>
  <si>
    <t xml:space="preserve">Количество исследований ОВРТ   (ЭКО)   2026 г.  </t>
  </si>
  <si>
    <t xml:space="preserve">Отчеты Диализа за 2026 год</t>
  </si>
  <si>
    <t xml:space="preserve">кардиохирургич центр</t>
  </si>
  <si>
    <t>ПАПД(перитонеальн.диал)</t>
  </si>
  <si>
    <t xml:space="preserve">Плазмофорез     Циклер</t>
  </si>
  <si>
    <r>
      <t xml:space="preserve">УФОК </t>
    </r>
    <r>
      <rPr>
        <sz val="8"/>
        <rFont val="Times New Roman"/>
      </rPr>
      <t xml:space="preserve">(ультрафиолетовое облучение крови)</t>
    </r>
  </si>
  <si>
    <t>АОДКБ</t>
  </si>
  <si>
    <t>Туб.диспансер,Инфекционка</t>
  </si>
  <si>
    <t xml:space="preserve">б-ца водников</t>
  </si>
  <si>
    <t xml:space="preserve">Отчеты Патанатомия  2026 г</t>
  </si>
  <si>
    <t xml:space="preserve">Прижизненная диагностика (кусочки)</t>
  </si>
  <si>
    <t xml:space="preserve">Отчеты Патанатомия (прижизненная диагностика чел.) </t>
  </si>
  <si>
    <t>Случаи</t>
  </si>
  <si>
    <t>ОПЦ</t>
  </si>
  <si>
    <r>
      <t xml:space="preserve">Эндоскопия  </t>
    </r>
    <r>
      <rPr>
        <sz val="12"/>
        <color indexed="17"/>
        <rFont val="Times New Roman"/>
      </rPr>
      <t>(ФГДС)</t>
    </r>
  </si>
  <si>
    <t>Эндоскопия</t>
  </si>
  <si>
    <r>
      <t xml:space="preserve">ЦПС </t>
    </r>
    <r>
      <rPr>
        <sz val="12"/>
        <color indexed="17"/>
        <rFont val="Times New Roman"/>
      </rPr>
      <t xml:space="preserve">(центр планирования семьи)</t>
    </r>
  </si>
  <si>
    <t>Чигири</t>
  </si>
  <si>
    <t xml:space="preserve">ВСЕГО: ОМС</t>
  </si>
  <si>
    <t xml:space="preserve">ОПУ  (СВО)</t>
  </si>
  <si>
    <t xml:space="preserve">АУТОПСИИ: Всего</t>
  </si>
  <si>
    <t xml:space="preserve">без вскрытий</t>
  </si>
  <si>
    <t xml:space="preserve">со вскрытием </t>
  </si>
  <si>
    <t xml:space="preserve">со вскрытием (кусочки)</t>
  </si>
  <si>
    <t xml:space="preserve">КИСЛОРОД 2026</t>
  </si>
  <si>
    <t xml:space="preserve">Расходы, руб</t>
  </si>
  <si>
    <t>КТТ</t>
  </si>
  <si>
    <t xml:space="preserve">Количество трансфузий</t>
  </si>
  <si>
    <t>Плазмаферез</t>
  </si>
  <si>
    <r>
      <t xml:space="preserve">ОПЦ </t>
    </r>
    <r>
      <rPr>
        <sz val="8"/>
        <color rgb="FF92D050"/>
        <rFont val="Times New Roman"/>
      </rPr>
      <t xml:space="preserve"> (родильное с оперблоком)</t>
    </r>
  </si>
  <si>
    <t xml:space="preserve">Можно брать из метрики, значения совпадают</t>
  </si>
  <si>
    <t>Январь</t>
  </si>
  <si>
    <t>Февраль</t>
  </si>
  <si>
    <t>Март</t>
  </si>
  <si>
    <t>Выписано</t>
  </si>
  <si>
    <t xml:space="preserve">Кол-во койко-дней</t>
  </si>
  <si>
    <t>всего</t>
  </si>
  <si>
    <t xml:space="preserve">Мед Реаб ЦНС</t>
  </si>
  <si>
    <t xml:space="preserve">Мед Реаб ОДА и ПНС</t>
  </si>
  <si>
    <t xml:space="preserve">Код строки из свода зар.платы по категориям в разрезе ЭКР (отчет из ОТиЗ)</t>
  </si>
  <si>
    <t xml:space="preserve">Зарплата параклиника - ВСЕ ИСТОЧНИКИ</t>
  </si>
  <si>
    <t xml:space="preserve">Опер.бл + КТТ</t>
  </si>
  <si>
    <t>Рентген</t>
  </si>
  <si>
    <t xml:space="preserve">КДЛ + Экспр.лаб. </t>
  </si>
  <si>
    <t>УЗИ-3</t>
  </si>
  <si>
    <t>Родблок</t>
  </si>
  <si>
    <t xml:space="preserve">РАО-1  + КЦО</t>
  </si>
  <si>
    <t xml:space="preserve">РАО III новор.</t>
  </si>
  <si>
    <t xml:space="preserve">РАО III  новорожденные</t>
  </si>
  <si>
    <t xml:space="preserve">РАО  РСЦ</t>
  </si>
  <si>
    <t>Кислород</t>
  </si>
  <si>
    <t>пат.анат</t>
  </si>
  <si>
    <t>Пат.анатомия</t>
  </si>
  <si>
    <t xml:space="preserve">Поступившие  Приемное отделение</t>
  </si>
  <si>
    <t xml:space="preserve">заработная плата и начисления параклинической службы, рублей</t>
  </si>
  <si>
    <t xml:space="preserve">заработная плата и начисления параклинич службы без опер.блока, РАО, РХМДЛ, рублей</t>
  </si>
  <si>
    <t>2+1</t>
  </si>
  <si>
    <t>1+2+3</t>
  </si>
  <si>
    <t>3+4</t>
  </si>
  <si>
    <t xml:space="preserve">Зарплата  Декабрь 2025г</t>
  </si>
  <si>
    <t>Койко-день</t>
  </si>
  <si>
    <t>посещения</t>
  </si>
  <si>
    <t xml:space="preserve">з/п прочих</t>
  </si>
  <si>
    <t xml:space="preserve">ИТОГО диагностика в руб,  в%соотношении по кажд.отделению</t>
  </si>
  <si>
    <t xml:space="preserve">з/п прочих (в % как диагностика)</t>
  </si>
  <si>
    <t xml:space="preserve">З/П + диагностика</t>
  </si>
  <si>
    <t xml:space="preserve">ПРОВЕРКА = З/П + диагностика+ з/п прочих</t>
  </si>
  <si>
    <t xml:space="preserve">З/П + диагностика+ з/п прочих</t>
  </si>
  <si>
    <t xml:space="preserve">Всего начислено, руб</t>
  </si>
  <si>
    <t xml:space="preserve">з/п АОКБ - з/п прочих =</t>
  </si>
  <si>
    <t>115+52</t>
  </si>
  <si>
    <t xml:space="preserve">кол-во к/дн</t>
  </si>
  <si>
    <t>ПерифиричНервнСист</t>
  </si>
  <si>
    <t>ЦентрНервнСист</t>
  </si>
  <si>
    <t>182+184</t>
  </si>
  <si>
    <t>54+антирабич.помощь</t>
  </si>
  <si>
    <t>эко</t>
  </si>
  <si>
    <t xml:space="preserve">итого опц -</t>
  </si>
  <si>
    <t xml:space="preserve">222+ моб.мед.бригада+центр.проф.патол</t>
  </si>
  <si>
    <t>129+217*35%+218*35%</t>
  </si>
  <si>
    <t xml:space="preserve">Женск конс</t>
  </si>
  <si>
    <t xml:space="preserve">стр 152+158+164+170</t>
  </si>
  <si>
    <t xml:space="preserve">стр 153+159+165+171</t>
  </si>
  <si>
    <t>руб</t>
  </si>
  <si>
    <t xml:space="preserve">стр 154+160+166+172</t>
  </si>
  <si>
    <t xml:space="preserve"> - проверка</t>
  </si>
  <si>
    <t xml:space="preserve">стр 155+161+167+173</t>
  </si>
  <si>
    <t xml:space="preserve">ЦМР (ц мед реабил)</t>
  </si>
  <si>
    <t>117+208+211/4</t>
  </si>
  <si>
    <t>207+183+211/4</t>
  </si>
  <si>
    <t>148+209+211/4</t>
  </si>
  <si>
    <t>160+210+211/4</t>
  </si>
  <si>
    <t>122+19</t>
  </si>
  <si>
    <t>120+127</t>
  </si>
  <si>
    <t xml:space="preserve">216+219+223+217*65%+218*65%+ дистанц конс ЦЛД</t>
  </si>
  <si>
    <t>102+213</t>
  </si>
  <si>
    <t xml:space="preserve">КПК (отделение трансфузиологии)</t>
  </si>
  <si>
    <t>164+49</t>
  </si>
  <si>
    <t>154+214</t>
  </si>
  <si>
    <t>188+215</t>
  </si>
  <si>
    <t xml:space="preserve">1+2+3+4+5+8+9+10+11+12+17+28+36+51+121+144+146+156+227+226+301+430+432+433+436+452+456+466+472+475+   СТР 156 + СТР 162 + СТР 168 + СТР 174</t>
  </si>
  <si>
    <t xml:space="preserve"> - Это сумма з/п по оставшимся диагностич отделениям  = прочие +новорожден+приемн ОПЦ+ КПК+Прачка+Провиз госпит</t>
  </si>
  <si>
    <t xml:space="preserve">675+679+681+682+683+685+687+688+689+690+691+692+698+699+701+704+ неотлож пом</t>
  </si>
  <si>
    <t>680+702</t>
  </si>
  <si>
    <t>695+703</t>
  </si>
  <si>
    <t>708+710+711+712+714+715+734+735+737+740</t>
  </si>
  <si>
    <t>747+749</t>
  </si>
  <si>
    <t>746+750</t>
  </si>
  <si>
    <t>757+758+759+760+765+772+778</t>
  </si>
  <si>
    <t>776+779</t>
  </si>
  <si>
    <t>623+624+626+633+638+640+643</t>
  </si>
  <si>
    <r>
      <rPr>
        <sz val="10"/>
        <color indexed="17"/>
        <rFont val="Times New Roman"/>
      </rPr>
      <t>637</t>
    </r>
    <r>
      <rPr>
        <sz val="10"/>
        <rFont val="Times New Roman"/>
      </rPr>
      <t>+645</t>
    </r>
    <r>
      <rPr>
        <sz val="10"/>
        <color indexed="17"/>
        <rFont val="Times New Roman"/>
      </rPr>
      <t xml:space="preserve"> с июля</t>
    </r>
  </si>
  <si>
    <t>Зарплата</t>
  </si>
  <si>
    <t xml:space="preserve">ИТОГО 2024 г</t>
  </si>
  <si>
    <t xml:space="preserve">Прочие: Акушерский дистанционный кнсультативный центр, Аптека готовых лекарственных форм, Бухгалтерия, гараж, Кабинет организации ВМП, Канцелярия, Общебольничный немедицинский персонал, общебольничный персонал, Организационно-методический отдел, организационно-правовой отдел, Организационно-методическое отделение, отдел АСУ и ТТ, Отдел гражданской обороны и мобилизационной работы, отдел кадров, отдел материально-технического снабжения, отдел медицинской техники, отдел охраны труда, отдел размещения гос заказов, отдел системы менеджмента качества, отделение клинико-экспертной работы, отделение клинической фармакологии, отделение медицинской статистики, пищеблок, планово-экономический отдел, региональный-сосудистый центр, руководители, служба управления персоналом, технический отдел, хозяйственный отдел</t>
  </si>
  <si>
    <t>ОВРТ</t>
  </si>
  <si>
    <t>Биопсия</t>
  </si>
  <si>
    <t xml:space="preserve">В/венные введения лекар. средств</t>
  </si>
  <si>
    <t xml:space="preserve">В/мышечные иньекции</t>
  </si>
  <si>
    <t xml:space="preserve">Внутриматочная инсеминация </t>
  </si>
  <si>
    <t>Гомоинсемизация</t>
  </si>
  <si>
    <t xml:space="preserve">ДНК фрагментация</t>
  </si>
  <si>
    <t xml:space="preserve">Донорство ооцитов</t>
  </si>
  <si>
    <t xml:space="preserve">Донорство спермы</t>
  </si>
  <si>
    <t xml:space="preserve">Забор крови</t>
  </si>
  <si>
    <t xml:space="preserve">Забор мазка</t>
  </si>
  <si>
    <t xml:space="preserve">Забор материала</t>
  </si>
  <si>
    <t xml:space="preserve">Забор ПЦР</t>
  </si>
  <si>
    <t>ИКСИ</t>
  </si>
  <si>
    <t>ИМСИ</t>
  </si>
  <si>
    <t xml:space="preserve">Консультация андролога</t>
  </si>
  <si>
    <t xml:space="preserve">Консультация гинеколога-репродук</t>
  </si>
  <si>
    <t xml:space="preserve">Консультация эмбриолога</t>
  </si>
  <si>
    <t xml:space="preserve">Криоконсервация ооцитов</t>
  </si>
  <si>
    <t xml:space="preserve">Криоконсервация спермы</t>
  </si>
  <si>
    <t xml:space="preserve">Криоконсервация эмбрионов</t>
  </si>
  <si>
    <t xml:space="preserve">Криохранение эмбрионов</t>
  </si>
  <si>
    <t xml:space="preserve">Мазок на атипию </t>
  </si>
  <si>
    <t xml:space="preserve">Мазок на флору</t>
  </si>
  <si>
    <t xml:space="preserve">Мониторинг пациентов</t>
  </si>
  <si>
    <t>MAR-тест</t>
  </si>
  <si>
    <t>МЕЗА</t>
  </si>
  <si>
    <t xml:space="preserve">Перенос эмбрионов</t>
  </si>
  <si>
    <t>ПИКСИ</t>
  </si>
  <si>
    <t>Пункция</t>
  </si>
  <si>
    <t xml:space="preserve">Спермограмма расшир</t>
  </si>
  <si>
    <t xml:space="preserve">Спермограмма обычная</t>
  </si>
  <si>
    <t xml:space="preserve">Тест на совместительство (пенитрации)</t>
  </si>
  <si>
    <t xml:space="preserve">УЗИ малого таза</t>
  </si>
  <si>
    <t xml:space="preserve">Фрагментация ДНК</t>
  </si>
  <si>
    <r>
      <t xml:space="preserve">Хетчинг - </t>
    </r>
    <r>
      <rPr>
        <sz val="7"/>
        <rFont val="Arial"/>
      </rPr>
      <t xml:space="preserve">это искусственное вскрытие оболочки оплодотворённой яйцеклетки </t>
    </r>
  </si>
  <si>
    <t xml:space="preserve">Хранение замороженного материала</t>
  </si>
  <si>
    <t xml:space="preserve">Эмбриологический  этап</t>
  </si>
  <si>
    <t>Плазмолифтинг</t>
  </si>
  <si>
    <t xml:space="preserve">ЧИП (отбор сперматозоидов с использованием микрожидкостных чипов)</t>
  </si>
  <si>
    <t xml:space="preserve">Разморозка одного носителя с ооцитами эмбрионами</t>
  </si>
  <si>
    <t xml:space="preserve">Непрерывное внутривенное введение лекарственных препаратов без стоимости медикаментов и расходного материала</t>
  </si>
  <si>
    <t xml:space="preserve">Перенос эмбриона в одношаговой среде цитокином и белковыми фракциями</t>
  </si>
  <si>
    <t xml:space="preserve">Культивирование эмбриона в среде с цитокиноле до 5 суток</t>
  </si>
  <si>
    <t xml:space="preserve">Оттаивание криоконсервированной спермы (биоптата)</t>
  </si>
  <si>
    <t xml:space="preserve">Обработка эякулята для использования в программах ВРТ</t>
  </si>
  <si>
    <r>
      <t xml:space="preserve">ПГТ-А Базис </t>
    </r>
    <r>
      <rPr>
        <sz val="8"/>
        <rFont val="Arial"/>
      </rPr>
      <t xml:space="preserve">(преимплантационная генетическая диагностика эмбриона)</t>
    </r>
  </si>
  <si>
    <t>ЭКО</t>
  </si>
  <si>
    <t xml:space="preserve">Всего за месяц</t>
  </si>
  <si>
    <t xml:space="preserve">2025 год</t>
  </si>
  <si>
    <t xml:space="preserve">Человек, нал/безнал</t>
  </si>
  <si>
    <t xml:space="preserve">Процедур, нал./безнал</t>
  </si>
  <si>
    <t xml:space="preserve">усл ед</t>
  </si>
  <si>
    <t xml:space="preserve">УЗИ 1</t>
  </si>
  <si>
    <t>Accuvix</t>
  </si>
  <si>
    <t>Xario</t>
  </si>
  <si>
    <t xml:space="preserve">Mindray DS-6</t>
  </si>
  <si>
    <t xml:space="preserve">Mindray DS-7</t>
  </si>
  <si>
    <t xml:space="preserve">Mindray DS-8</t>
  </si>
  <si>
    <t xml:space="preserve">Sono Scape</t>
  </si>
  <si>
    <t xml:space="preserve">Аппарат Affiniti (Filips)</t>
  </si>
  <si>
    <t xml:space="preserve">Филина 217 каб</t>
  </si>
  <si>
    <t xml:space="preserve">Pylhah 65  (РуСкан)</t>
  </si>
  <si>
    <t xml:space="preserve">Хир Центр (ОПУ)</t>
  </si>
  <si>
    <t xml:space="preserve">ЭКО </t>
  </si>
  <si>
    <t xml:space="preserve">Опер блок:</t>
  </si>
  <si>
    <t>Гинекология</t>
  </si>
  <si>
    <t>Нейрохирургия</t>
  </si>
  <si>
    <t>Травматология</t>
  </si>
  <si>
    <t>Проктология</t>
  </si>
  <si>
    <t>Урология</t>
  </si>
  <si>
    <t>Род.блок</t>
  </si>
  <si>
    <t xml:space="preserve">Платные роды:      из них</t>
  </si>
  <si>
    <t xml:space="preserve">          роды</t>
  </si>
  <si>
    <t xml:space="preserve">Калмыкова Попова Нефедова Ефремова Горбанева Хайдарова</t>
  </si>
  <si>
    <t xml:space="preserve">          кесарево</t>
  </si>
  <si>
    <t xml:space="preserve">Саяпина Балфинова Стулина</t>
  </si>
  <si>
    <t>ЭКГ</t>
  </si>
  <si>
    <t xml:space="preserve">Холтер ЭКГ</t>
  </si>
  <si>
    <t>РЭГ</t>
  </si>
  <si>
    <t xml:space="preserve">Тест нервно-мышечной передачи</t>
  </si>
  <si>
    <t xml:space="preserve">ЭНМГ одной конечности</t>
  </si>
  <si>
    <t>ЭЭГ</t>
  </si>
  <si>
    <t xml:space="preserve">Кардиотокография плода</t>
  </si>
  <si>
    <t>Спирография</t>
  </si>
  <si>
    <t xml:space="preserve">УЗДГ </t>
  </si>
  <si>
    <t xml:space="preserve">УЗДГ в/к</t>
  </si>
  <si>
    <t xml:space="preserve">УЗДГ н/к (нижн. Конечн)</t>
  </si>
  <si>
    <t xml:space="preserve">Электромиография (ЭНМГ) 4м. </t>
  </si>
  <si>
    <t>ЭХО-эг</t>
  </si>
  <si>
    <t>ССВП</t>
  </si>
  <si>
    <t xml:space="preserve">Вызванные потенциалы</t>
  </si>
  <si>
    <t>велоэогометрия</t>
  </si>
  <si>
    <t xml:space="preserve">ЭКГ с физ нагрузкой</t>
  </si>
  <si>
    <t xml:space="preserve">Для ОТЧЕТА В QwintStream</t>
  </si>
  <si>
    <t>Медикаменты</t>
  </si>
  <si>
    <t xml:space="preserve">перевязка  ИМН</t>
  </si>
  <si>
    <t xml:space="preserve">Всего </t>
  </si>
  <si>
    <t xml:space="preserve">1 квартал 2025 г</t>
  </si>
  <si>
    <t xml:space="preserve">2 квартал 2025 г</t>
  </si>
  <si>
    <t xml:space="preserve">3 квартал 2025 г</t>
  </si>
  <si>
    <t xml:space="preserve">4 квартал 2025 г</t>
  </si>
  <si>
    <t xml:space="preserve">ИТОГО 2025 ГОД</t>
  </si>
  <si>
    <t xml:space="preserve">Сумма затрат на 1 пролеченного больного</t>
  </si>
  <si>
    <t xml:space="preserve">Сумма затрат на 1 койко-день</t>
  </si>
  <si>
    <t xml:space="preserve">пролечено больных</t>
  </si>
  <si>
    <t xml:space="preserve">Койко дни</t>
  </si>
  <si>
    <t xml:space="preserve">Итого пролечено больных</t>
  </si>
  <si>
    <t xml:space="preserve">Койко дни медикаменты</t>
  </si>
  <si>
    <t xml:space="preserve">Койко дни ИМН</t>
  </si>
  <si>
    <t xml:space="preserve">Итого койко-день</t>
  </si>
  <si>
    <t xml:space="preserve">1 кв</t>
  </si>
  <si>
    <t xml:space="preserve">2 кв</t>
  </si>
  <si>
    <t xml:space="preserve">3 кв</t>
  </si>
  <si>
    <t xml:space="preserve">4 кв</t>
  </si>
  <si>
    <t xml:space="preserve">2025 г</t>
  </si>
  <si>
    <t xml:space="preserve">итого медикаменты</t>
  </si>
  <si>
    <t xml:space="preserve">итого перевязка  ИМН</t>
  </si>
  <si>
    <t xml:space="preserve">итого перевязка</t>
  </si>
  <si>
    <t xml:space="preserve">итого с перевязка</t>
  </si>
  <si>
    <t xml:space="preserve">ВСПОМОГАТЕЛЬНАЯ ТАБЛИЦА ДЛЯ РАСЧЕТА  И АНАЛИЗА   за  2025  год</t>
  </si>
  <si>
    <t>Опер.блок</t>
  </si>
  <si>
    <t xml:space="preserve">Иммун. лаб</t>
  </si>
  <si>
    <t xml:space="preserve">КДЛ+КДЛ ОПЦ+Иммун. лаб.+Экстрен</t>
  </si>
  <si>
    <t>Бак.лаб.</t>
  </si>
  <si>
    <t xml:space="preserve">Приемное отделение </t>
  </si>
  <si>
    <t xml:space="preserve">Экстрен. Неврология</t>
  </si>
  <si>
    <t xml:space="preserve">ЦПС (женск.конс)</t>
  </si>
  <si>
    <t xml:space="preserve">Акушерское ОПЦ приемник</t>
  </si>
  <si>
    <t>проверка</t>
  </si>
  <si>
    <t>терапевтические</t>
  </si>
  <si>
    <t>хирургические</t>
  </si>
  <si>
    <t xml:space="preserve">Отделение патологии новорож-денных и недоношенных детей</t>
  </si>
  <si>
    <r>
      <t xml:space="preserve">Отделение вспомогательных репродуктивных технологий</t>
    </r>
    <r>
      <rPr>
        <sz val="8"/>
        <rFont val="Times New Roman"/>
      </rPr>
      <t xml:space="preserve"> (ЭКО)</t>
    </r>
  </si>
  <si>
    <r>
      <t xml:space="preserve">ВСЕГО РАСХОДЫ</t>
    </r>
    <r>
      <rPr>
        <b/>
        <sz val="6"/>
        <rFont val="Times New Roman"/>
      </rPr>
      <t xml:space="preserve">  ПО СЧЕТУ 105.01.03(ОМС)</t>
    </r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</si>
</sst>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numFmts count="10">
    <numFmt numFmtId="164" formatCode="_-* #,##0.00_р_._-;\-* #,##0.00_р_._-;_-* &quot;-&quot;??_р_._-;_-@_-"/>
    <numFmt numFmtId="165" formatCode="_-* #,##0_р_._-;\-* #,##0_р_._-;_-* &quot;-&quot;_р_._-;_-@_-"/>
    <numFmt numFmtId="166" formatCode="_-* #,##0_р_._-;\-* #,##0_р_._-;_-* &quot;-&quot;??_р_._-;_-@_-"/>
    <numFmt numFmtId="167" formatCode="_-* #,##0.00\ _₽_-;\-* #,##0.00\ _₽_-;_-* &quot;-&quot;??\ _₽_-;_-@_-"/>
    <numFmt numFmtId="168" formatCode="#,##0.00_ ;\-#,##0.00\ "/>
    <numFmt numFmtId="169" formatCode="#,##0.0"/>
    <numFmt numFmtId="170" formatCode="0.0"/>
    <numFmt numFmtId="171" formatCode="0.0000"/>
    <numFmt numFmtId="172" formatCode="0.00000000000000000000000000000"/>
    <numFmt numFmtId="173" formatCode="0.0000000"/>
  </numFmts>
  <fonts count="117">
    <font>
      <sz val="10.000000"/>
      <color theme="1"/>
      <name val="Arial"/>
    </font>
    <font>
      <sz val="10.000000"/>
      <name val="Arial"/>
    </font>
    <font>
      <sz val="10.000000"/>
      <name val="Arial Cyr"/>
    </font>
    <font>
      <sz val="10.000000"/>
      <name val="Times New Roman"/>
    </font>
    <font>
      <sz val="10.000000"/>
      <color indexed="2"/>
      <name val="Times New Roman"/>
    </font>
    <font>
      <i/>
      <sz val="10.000000"/>
      <name val="Times New Roman"/>
    </font>
    <font>
      <b/>
      <sz val="10.000000"/>
      <name val="Times New Roman"/>
    </font>
    <font>
      <b/>
      <sz val="16.000000"/>
      <name val="Times New Roman"/>
    </font>
    <font>
      <sz val="16.000000"/>
      <name val="Times New Roman"/>
    </font>
    <font>
      <sz val="12.000000"/>
      <name val="Times New Roman"/>
    </font>
    <font>
      <sz val="8.000000"/>
      <name val="Times New Roman"/>
    </font>
    <font>
      <b/>
      <sz val="8.000000"/>
      <name val="Times New Roman"/>
    </font>
    <font>
      <b/>
      <sz val="9.000000"/>
      <name val="Times New Roman"/>
    </font>
    <font>
      <b/>
      <i/>
      <sz val="9.000000"/>
      <name val="Times New Roman"/>
    </font>
    <font>
      <i/>
      <sz val="8.000000"/>
      <name val="Times New Roman"/>
    </font>
    <font>
      <sz val="20.000000"/>
      <name val="Times New Roman"/>
    </font>
    <font>
      <sz val="8.000000"/>
      <color indexed="2"/>
      <name val="Times New Roman"/>
    </font>
    <font>
      <sz val="9.000000"/>
      <name val="Times New Roman"/>
    </font>
    <font>
      <b/>
      <i/>
      <sz val="8.000000"/>
      <name val="Times New Roman"/>
    </font>
    <font>
      <b/>
      <i/>
      <sz val="10.000000"/>
      <name val="Times New Roman"/>
    </font>
    <font>
      <b/>
      <sz val="10.000000"/>
      <color indexed="2"/>
      <name val="Times New Roman"/>
    </font>
    <font>
      <i/>
      <sz val="10.000000"/>
      <name val="Arial"/>
    </font>
    <font>
      <i/>
      <sz val="10.000000"/>
      <color indexed="22"/>
      <name val="Times New Roman"/>
    </font>
    <font>
      <b/>
      <i/>
      <sz val="10.000000"/>
      <color indexed="2"/>
      <name val="Times New Roman"/>
    </font>
    <font>
      <i/>
      <sz val="12.000000"/>
      <name val="Times New Roman"/>
    </font>
    <font>
      <i/>
      <sz val="12.000000"/>
      <color indexed="2"/>
      <name val="Times New Roman"/>
    </font>
    <font>
      <i/>
      <sz val="10.000000"/>
      <color indexed="18"/>
      <name val="Times New Roman"/>
    </font>
    <font>
      <i/>
      <sz val="10.000000"/>
      <color indexed="2"/>
      <name val="Times New Roman"/>
    </font>
    <font>
      <sz val="10.000000"/>
      <color indexed="18"/>
      <name val="Times New Roman"/>
    </font>
    <font>
      <sz val="10.000000"/>
      <color indexed="30"/>
      <name val="Times New Roman"/>
    </font>
    <font>
      <b/>
      <i/>
      <sz val="9.000000"/>
      <color indexed="2"/>
      <name val="Times New Roman"/>
    </font>
    <font>
      <i/>
      <sz val="9.000000"/>
      <name val="Arial"/>
    </font>
    <font>
      <sz val="10.000000"/>
      <color indexed="65"/>
      <name val="Times New Roman"/>
    </font>
    <font>
      <sz val="14.000000"/>
      <name val="Times New Roman"/>
    </font>
    <font>
      <b/>
      <i/>
      <sz val="10.000000"/>
      <color indexed="17"/>
      <name val="Times New Roman"/>
    </font>
    <font>
      <sz val="10.000000"/>
      <color indexed="4"/>
      <name val="Times New Roman"/>
    </font>
    <font>
      <b/>
      <sz val="12.000000"/>
      <name val="Times New Roman"/>
    </font>
    <font>
      <b/>
      <sz val="10.000000"/>
      <color indexed="20"/>
      <name val="Times New Roman"/>
    </font>
    <font>
      <i/>
      <sz val="10.000000"/>
      <color indexed="60"/>
      <name val="Times New Roman"/>
    </font>
    <font>
      <sz val="10.000000"/>
      <color indexed="56"/>
      <name val="Times New Roman"/>
    </font>
    <font>
      <sz val="9.000000"/>
      <color indexed="56"/>
      <name val="Times New Roman"/>
    </font>
    <font>
      <b/>
      <sz val="9.000000"/>
      <color indexed="2"/>
      <name val="Times New Roman"/>
    </font>
    <font>
      <b/>
      <sz val="12.000000"/>
      <color indexed="2"/>
      <name val="Times New Roman"/>
    </font>
    <font>
      <b/>
      <sz val="11.000000"/>
      <color indexed="2"/>
      <name val="Times New Roman"/>
    </font>
    <font>
      <b/>
      <sz val="8.000000"/>
      <color indexed="2"/>
      <name val="Times New Roman"/>
    </font>
    <font>
      <b/>
      <i/>
      <sz val="12.000000"/>
      <name val="Times New Roman"/>
    </font>
    <font>
      <sz val="11.000000"/>
      <name val="Times New Roman"/>
    </font>
    <font>
      <sz val="18.000000"/>
      <name val="Times New Roman"/>
    </font>
    <font>
      <sz val="14.000000"/>
      <color indexed="2"/>
      <name val="Times New Roman"/>
    </font>
    <font>
      <sz val="11.000000"/>
      <color indexed="2"/>
      <name val="Times New Roman"/>
    </font>
    <font>
      <b/>
      <sz val="18.000000"/>
      <color indexed="2"/>
      <name val="Times New Roman"/>
    </font>
    <font>
      <sz val="12.000000"/>
      <color indexed="2"/>
      <name val="Times New Roman"/>
    </font>
    <font>
      <sz val="18.000000"/>
      <color indexed="2"/>
      <name val="Times New Roman"/>
    </font>
    <font>
      <b/>
      <sz val="14.000000"/>
      <color indexed="2"/>
      <name val="Times New Roman"/>
    </font>
    <font>
      <b/>
      <sz val="10.000000"/>
      <color indexed="2"/>
      <name val="Arial"/>
    </font>
    <font>
      <b/>
      <sz val="18.000000"/>
      <color indexed="2"/>
      <name val="Arial"/>
    </font>
    <font>
      <sz val="10.000000"/>
      <color indexed="2"/>
      <name val="Arial"/>
    </font>
    <font>
      <b/>
      <sz val="14.000000"/>
      <name val="Times New Roman"/>
    </font>
    <font>
      <b/>
      <sz val="11.000000"/>
      <name val="Times New Roman"/>
    </font>
    <font>
      <b/>
      <sz val="18.000000"/>
      <name val="Times New Roman"/>
    </font>
    <font>
      <b/>
      <sz val="10.000000"/>
      <name val="Arial"/>
    </font>
    <font>
      <b/>
      <sz val="12.000000"/>
      <name val="Arial"/>
    </font>
    <font>
      <b/>
      <sz val="18.000000"/>
      <name val="Arial"/>
    </font>
    <font>
      <sz val="12.000000"/>
      <name val="Arial"/>
    </font>
    <font>
      <sz val="14.000000"/>
      <name val="Arial"/>
    </font>
    <font>
      <sz val="14.000000"/>
      <color indexed="60"/>
      <name val="Times New Roman"/>
    </font>
    <font>
      <sz val="14.000000"/>
      <color indexed="63"/>
      <name val="Times New Roman"/>
    </font>
    <font>
      <sz val="14.000000"/>
      <color indexed="2"/>
      <name val="Arial"/>
    </font>
    <font>
      <sz val="14.000000"/>
      <color indexed="30"/>
      <name val="Arial"/>
    </font>
    <font>
      <sz val="11.000000"/>
      <color indexed="30"/>
      <name val="Arial"/>
    </font>
    <font>
      <sz val="12.000000"/>
      <color indexed="2"/>
      <name val="Arial"/>
    </font>
    <font>
      <sz val="18.000000"/>
      <color indexed="2"/>
      <name val="Arial"/>
    </font>
    <font>
      <i/>
      <sz val="14.000000"/>
      <name val="Times New Roman"/>
    </font>
    <font>
      <i/>
      <sz val="11.000000"/>
      <name val="Times New Roman"/>
    </font>
    <font>
      <i/>
      <sz val="14.000000"/>
      <color indexed="2"/>
      <name val="Times New Roman"/>
    </font>
    <font>
      <sz val="11.000000"/>
      <name val="Arial"/>
    </font>
    <font>
      <sz val="14.000000"/>
      <color indexed="30"/>
      <name val="Times New Roman"/>
    </font>
    <font>
      <sz val="11.000000"/>
      <color indexed="30"/>
      <name val="Times New Roman"/>
    </font>
    <font>
      <sz val="18.000000"/>
      <name val="Arial"/>
    </font>
    <font>
      <b/>
      <sz val="22.000000"/>
      <name val="Times New Roman"/>
    </font>
    <font>
      <b/>
      <sz val="20.000000"/>
      <name val="Arial Cyr"/>
    </font>
    <font>
      <sz val="12.000000"/>
      <name val="Calibri"/>
    </font>
    <font>
      <b/>
      <sz val="20.000000"/>
      <name val="Times New Roman"/>
    </font>
    <font>
      <sz val="28.000000"/>
      <name val="Bernard MT Condensed"/>
    </font>
    <font>
      <sz val="12.000000"/>
      <color indexed="2"/>
      <name val="Calibri"/>
    </font>
    <font>
      <b/>
      <sz val="14.000000"/>
      <name val="Arial Cyr"/>
    </font>
    <font>
      <b/>
      <sz val="10.000000"/>
      <name val="Arial Cyr"/>
    </font>
    <font>
      <sz val="12.000000"/>
      <color indexed="2"/>
      <name val="Arial Cyr"/>
    </font>
    <font>
      <b/>
      <sz val="11.000000"/>
      <name val="Arial Cyr"/>
    </font>
    <font>
      <b/>
      <sz val="16.000000"/>
      <color indexed="2"/>
      <name val="Arial"/>
    </font>
    <font>
      <b/>
      <sz val="16.000000"/>
      <name val="Arial"/>
    </font>
    <font>
      <b/>
      <sz val="12.000000"/>
      <color indexed="18"/>
      <name val="Times New Roman"/>
    </font>
    <font>
      <b/>
      <sz val="12.000000"/>
      <color indexed="62"/>
      <name val="Times New Roman"/>
    </font>
    <font>
      <sz val="12.000000"/>
      <color indexed="62"/>
      <name val="Times New Roman"/>
    </font>
    <font>
      <b/>
      <sz val="12.000000"/>
      <color indexed="30"/>
      <name val="Times New Roman"/>
    </font>
    <font>
      <sz val="12.000000"/>
      <color indexed="17"/>
      <name val="Times New Roman"/>
    </font>
    <font>
      <sz val="22.000000"/>
      <name val="Times New Roman"/>
    </font>
    <font>
      <b/>
      <sz val="12.000000"/>
      <color indexed="49"/>
      <name val="Times New Roman"/>
    </font>
    <font>
      <sz val="16.000000"/>
      <name val="Arial"/>
    </font>
    <font>
      <sz val="12.000000"/>
      <color indexed="30"/>
      <name val="Times New Roman"/>
    </font>
    <font>
      <sz val="12.000000"/>
      <color indexed="20"/>
      <name val="Times New Roman"/>
    </font>
    <font>
      <sz val="7.000000"/>
      <name val="Times New Roman"/>
    </font>
    <font>
      <sz val="8.000000"/>
      <name val="Arial"/>
    </font>
    <font>
      <sz val="9.000000"/>
      <name val="Arial"/>
    </font>
    <font>
      <sz val="48.000000"/>
      <name val="Arial"/>
    </font>
    <font>
      <i/>
      <sz val="12.000000"/>
      <name val="Arial"/>
    </font>
    <font>
      <sz val="10.000000"/>
      <color indexed="60"/>
      <name val="Times New Roman"/>
    </font>
    <font>
      <b/>
      <sz val="10.000000"/>
      <color indexed="29"/>
      <name val="Times New Roman"/>
    </font>
    <font>
      <sz val="10.000000"/>
      <color indexed="53"/>
      <name val="Arial"/>
    </font>
    <font>
      <sz val="10.000000"/>
      <color indexed="63"/>
      <name val="Arial"/>
    </font>
    <font>
      <b/>
      <sz val="18.000000"/>
      <name val="Calibri"/>
    </font>
    <font>
      <b/>
      <sz val="11.000000"/>
      <name val="Calibri"/>
    </font>
    <font>
      <b/>
      <sz val="11.000000"/>
      <color indexed="2"/>
      <name val="Calibri"/>
    </font>
    <font>
      <b/>
      <sz val="8.000000"/>
      <name val="Arial"/>
    </font>
    <font>
      <b/>
      <sz val="16.000000"/>
      <color theme="1"/>
      <name val="Times New Roman"/>
    </font>
    <font>
      <b/>
      <sz val="18.000000"/>
      <color theme="1"/>
      <name val="Arial"/>
    </font>
    <font>
      <sz val="10.000000"/>
      <color theme="4" tint="0.59999389629810485"/>
      <name val="Times New Roman"/>
    </font>
  </fonts>
  <fills count="29">
    <fill>
      <patternFill patternType="none"/>
    </fill>
    <fill>
      <patternFill patternType="gray125"/>
    </fill>
    <fill>
      <patternFill patternType="solid">
        <fgColor indexed="47"/>
        <bgColor indexed="47"/>
      </patternFill>
    </fill>
    <fill>
      <patternFill patternType="solid">
        <fgColor indexed="65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31"/>
        <bgColor indexed="31"/>
      </patternFill>
    </fill>
    <fill>
      <patternFill patternType="solid">
        <fgColor indexed="5"/>
        <bgColor indexed="5"/>
      </patternFill>
    </fill>
    <fill>
      <patternFill patternType="solid">
        <fgColor indexed="22"/>
        <bgColor indexed="22"/>
      </patternFill>
    </fill>
    <fill>
      <patternFill patternType="solid">
        <fgColor indexed="43"/>
        <bgColor indexed="43"/>
      </patternFill>
    </fill>
    <fill>
      <patternFill patternType="solid">
        <fgColor indexed="51"/>
        <bgColor indexed="51"/>
      </patternFill>
    </fill>
    <fill>
      <patternFill patternType="solid">
        <fgColor indexed="55"/>
        <bgColor indexed="55"/>
      </patternFill>
    </fill>
    <fill>
      <patternFill patternType="solid">
        <fgColor indexed="3"/>
        <bgColor indexed="3"/>
      </patternFill>
    </fill>
    <fill>
      <patternFill patternType="solid">
        <fgColor indexed="44"/>
        <bgColor indexed="44"/>
      </patternFill>
    </fill>
    <fill>
      <patternFill patternType="solid">
        <fgColor indexed="46"/>
        <bgColor indexed="46"/>
      </patternFill>
    </fill>
    <fill>
      <patternFill patternType="solid">
        <fgColor indexed="49"/>
        <bgColor indexed="49"/>
      </patternFill>
    </fill>
    <fill>
      <patternFill patternType="solid">
        <fgColor indexed="20"/>
        <bgColor indexed="20"/>
      </patternFill>
    </fill>
    <fill>
      <patternFill patternType="solid">
        <fgColor indexed="40"/>
        <bgColor indexed="40"/>
      </patternFill>
    </fill>
    <fill>
      <patternFill patternType="solid">
        <fgColor theme="3" tint="0.59999389629810485"/>
        <bgColor theme="3" tint="0.59999389629810485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indexed="2"/>
        <bgColor indexed="2"/>
      </patternFill>
    </fill>
    <fill>
      <patternFill patternType="solid">
        <fgColor indexed="29"/>
        <bgColor indexed="29"/>
      </patternFill>
    </fill>
    <fill>
      <patternFill patternType="solid">
        <fgColor indexed="50"/>
        <bgColor indexed="50"/>
      </patternFill>
    </fill>
    <fill>
      <patternFill patternType="solid">
        <fgColor indexed="62"/>
        <bgColor indexed="62"/>
      </patternFill>
    </fill>
    <fill>
      <patternFill patternType="solid">
        <fgColor rgb="FFFFC000"/>
        <bgColor rgb="FFFFC000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indexed="26"/>
        <bgColor indexed="26"/>
      </patternFill>
    </fill>
    <fill>
      <patternFill patternType="solid">
        <fgColor theme="5" tint="0.59999389629810485"/>
        <bgColor theme="5" tint="0.59999389629810485"/>
      </patternFill>
    </fill>
  </fills>
  <borders count="81">
    <border>
      <left style="none"/>
      <right style="none"/>
      <top style="none"/>
      <bottom style="none"/>
      <diagonal style="none"/>
    </border>
    <border>
      <left style="thin">
        <color auto="1"/>
      </left>
      <right style="none"/>
      <top style="thin">
        <color auto="1"/>
      </top>
      <bottom style="none"/>
      <diagonal style="none"/>
    </border>
    <border>
      <left style="none"/>
      <right style="none"/>
      <top style="thin">
        <color auto="1"/>
      </top>
      <bottom style="none"/>
      <diagonal style="none"/>
    </border>
    <border>
      <left style="none"/>
      <right style="thin">
        <color auto="1"/>
      </right>
      <top style="thin">
        <color auto="1"/>
      </top>
      <bottom style="none"/>
      <diagonal style="none"/>
    </border>
    <border>
      <left style="medium">
        <color auto="1"/>
      </left>
      <right style="none"/>
      <top style="medium">
        <color auto="1"/>
      </top>
      <bottom style="none"/>
      <diagonal style="none"/>
    </border>
    <border>
      <left style="none"/>
      <right style="none"/>
      <top style="medium">
        <color auto="1"/>
      </top>
      <bottom style="none"/>
      <diagonal style="none"/>
    </border>
    <border>
      <left style="none"/>
      <right style="medium">
        <color auto="1"/>
      </right>
      <top style="medium">
        <color auto="1"/>
      </top>
      <bottom style="none"/>
      <diagonal style="none"/>
    </border>
    <border>
      <left style="thin">
        <color auto="1"/>
      </left>
      <right style="none"/>
      <top style="none"/>
      <bottom style="none"/>
      <diagonal style="none"/>
    </border>
    <border>
      <left style="none"/>
      <right style="thin">
        <color auto="1"/>
      </right>
      <top style="none"/>
      <bottom style="none"/>
      <diagonal style="none"/>
    </border>
    <border>
      <left style="medium">
        <color auto="1"/>
      </left>
      <right style="none"/>
      <top style="none"/>
      <bottom style="none"/>
      <diagonal style="none"/>
    </border>
    <border>
      <left style="none"/>
      <right style="medium">
        <color auto="1"/>
      </right>
      <top style="none"/>
      <bottom style="none"/>
      <diagonal style="none"/>
    </border>
    <border>
      <left style="medium">
        <color auto="1"/>
      </left>
      <right style="thin">
        <color auto="1"/>
      </right>
      <top style="medium">
        <color auto="1"/>
      </top>
      <bottom style="none"/>
      <diagonal style="none"/>
    </border>
    <border>
      <left style="thin">
        <color auto="1"/>
      </left>
      <right style="none"/>
      <top style="medium">
        <color auto="1"/>
      </top>
      <bottom style="thin">
        <color auto="1"/>
      </bottom>
      <diagonal style="none"/>
    </border>
    <border>
      <left style="none"/>
      <right style="none"/>
      <top style="medium">
        <color auto="1"/>
      </top>
      <bottom style="thin">
        <color auto="1"/>
      </bottom>
      <diagonal style="none"/>
    </border>
    <border>
      <left style="none"/>
      <right style="thin">
        <color auto="1"/>
      </right>
      <top style="medium">
        <color auto="1"/>
      </top>
      <bottom style="thin">
        <color auto="1"/>
      </bottom>
      <diagonal style="none"/>
    </border>
    <border>
      <left style="thin">
        <color auto="1"/>
      </left>
      <right style="thin">
        <color auto="1"/>
      </right>
      <top style="medium">
        <color auto="1"/>
      </top>
      <bottom style="none"/>
      <diagonal style="none"/>
    </border>
    <border>
      <left style="none"/>
      <right style="thin">
        <color auto="1"/>
      </right>
      <top style="medium">
        <color auto="1"/>
      </top>
      <bottom style="none"/>
      <diagonal style="none"/>
    </border>
    <border>
      <left style="thin">
        <color auto="1"/>
      </left>
      <right style="none"/>
      <top style="medium">
        <color auto="1"/>
      </top>
      <bottom style="none"/>
      <diagonal style="none"/>
    </border>
    <border>
      <left style="thin">
        <color auto="1"/>
      </left>
      <right style="thin">
        <color auto="1"/>
      </right>
      <top style="thin">
        <color auto="1"/>
      </top>
      <bottom style="none"/>
      <diagonal style="none"/>
    </border>
    <border>
      <left style="thin">
        <color auto="1"/>
      </left>
      <right style="none"/>
      <top style="thin">
        <color auto="1"/>
      </top>
      <bottom style="thin">
        <color auto="1"/>
      </bottom>
      <diagonal style="none"/>
    </border>
    <border>
      <left style="none"/>
      <right style="none"/>
      <top style="thin">
        <color auto="1"/>
      </top>
      <bottom style="thin">
        <color auto="1"/>
      </bottom>
      <diagonal style="none"/>
    </border>
    <border>
      <left style="none"/>
      <right style="thin">
        <color auto="1"/>
      </right>
      <top style="thin">
        <color auto="1"/>
      </top>
      <bottom style="thin">
        <color auto="1"/>
      </bottom>
      <diagonal style="none"/>
    </border>
    <border>
      <left style="thin">
        <color auto="1"/>
      </left>
      <right style="medium">
        <color auto="1"/>
      </right>
      <top style="thin">
        <color auto="1"/>
      </top>
      <bottom style="none"/>
      <diagonal style="none"/>
    </border>
    <border>
      <left style="medium">
        <color auto="1"/>
      </left>
      <right style="medium">
        <color auto="1"/>
      </right>
      <top style="medium">
        <color auto="1"/>
      </top>
      <bottom style="none"/>
      <diagonal style="none"/>
    </border>
    <border>
      <left style="medium">
        <color auto="1"/>
      </left>
      <right style="thin">
        <color auto="1"/>
      </right>
      <top style="none"/>
      <bottom style="none"/>
      <diagonal style="none"/>
    </border>
    <border>
      <left style="thin">
        <color auto="1"/>
      </left>
      <right style="thin">
        <color auto="1"/>
      </right>
      <top style="none"/>
      <bottom style="none"/>
      <diagonal style="none"/>
    </border>
    <border>
      <left style="thin">
        <color auto="1"/>
      </left>
      <right style="none"/>
      <top style="none"/>
      <bottom style="thin">
        <color auto="1"/>
      </bottom>
      <diagonal style="none"/>
    </border>
    <border>
      <left style="none"/>
      <right style="thin">
        <color auto="1"/>
      </right>
      <top style="none"/>
      <bottom style="thin">
        <color auto="1"/>
      </bottom>
      <diagonal style="none"/>
    </border>
    <border>
      <left style="thin">
        <color auto="1"/>
      </left>
      <right style="medium">
        <color auto="1"/>
      </right>
      <top style="none"/>
      <bottom style="none"/>
      <diagonal style="none"/>
    </border>
    <border>
      <left style="medium">
        <color auto="1"/>
      </left>
      <right style="medium">
        <color auto="1"/>
      </right>
      <top style="none"/>
      <bottom style="none"/>
      <diagonal style="none"/>
    </border>
    <border>
      <left style="none"/>
      <right style="none"/>
      <top style="none"/>
      <bottom style="thin">
        <color auto="1"/>
      </bottom>
      <diagonal style="none"/>
    </border>
    <border>
      <left style="medium">
        <color auto="1"/>
      </left>
      <right style="none"/>
      <top style="none"/>
      <bottom style="thin">
        <color auto="1"/>
      </bottom>
      <diagonal style="none"/>
    </border>
    <border>
      <left style="none"/>
      <right style="medium">
        <color auto="1"/>
      </right>
      <top style="none"/>
      <bottom style="thin">
        <color auto="1"/>
      </bottom>
      <diagonal style="none"/>
    </border>
    <border>
      <left style="medium">
        <color auto="1"/>
      </left>
      <right style="thin">
        <color auto="1"/>
      </right>
      <top style="none"/>
      <bottom style="thin">
        <color auto="1"/>
      </bottom>
      <diagonal style="none"/>
    </border>
    <border>
      <left style="thin">
        <color auto="1"/>
      </left>
      <right style="thin">
        <color auto="1"/>
      </right>
      <top style="none"/>
      <bottom style="thin">
        <color auto="1"/>
      </bottom>
      <diagonal style="none"/>
    </border>
    <border>
      <left style="thin">
        <color auto="1"/>
      </left>
      <right style="medium">
        <color auto="1"/>
      </right>
      <top style="none"/>
      <bottom style="thin">
        <color auto="1"/>
      </bottom>
      <diagonal style="none"/>
    </border>
    <border>
      <left style="medium">
        <color auto="1"/>
      </left>
      <right style="medium">
        <color auto="1"/>
      </right>
      <top style="none"/>
      <bottom style="thin">
        <color auto="1"/>
      </bottom>
      <diagonal style="none"/>
    </border>
    <border>
      <left style="medium">
        <color auto="1"/>
      </left>
      <right style="thin">
        <color auto="1"/>
      </right>
      <top style="none"/>
      <bottom style="medium">
        <color auto="1"/>
      </bottom>
      <diagonal style="none"/>
    </border>
    <border>
      <left style="thin">
        <color auto="1"/>
      </left>
      <right style="thin">
        <color auto="1"/>
      </right>
      <top style="none"/>
      <bottom style="medium">
        <color auto="1"/>
      </bottom>
      <diagonal style="none"/>
    </border>
    <border>
      <left style="none"/>
      <right style="thin">
        <color auto="1"/>
      </right>
      <top style="none"/>
      <bottom style="medium">
        <color auto="1"/>
      </bottom>
      <diagonal style="none"/>
    </border>
    <border>
      <left style="thin">
        <color auto="1"/>
      </left>
      <right style="medium">
        <color auto="1"/>
      </right>
      <top style="none"/>
      <bottom style="medium">
        <color auto="1"/>
      </bottom>
      <diagonal style="none"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 style="none"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none"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 style="none"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 style="none"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 style="none"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 style="none"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 style="none"/>
    </border>
    <border>
      <left style="medium">
        <color auto="1"/>
      </left>
      <right style="none"/>
      <top style="thin">
        <color auto="1"/>
      </top>
      <bottom style="none"/>
      <diagonal style="none"/>
    </border>
    <border>
      <left style="none"/>
      <right style="medium">
        <color auto="1"/>
      </right>
      <top style="thin">
        <color auto="1"/>
      </top>
      <bottom style="none"/>
      <diagonal style="none"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 style="none"/>
    </border>
    <border>
      <left style="thin">
        <color auto="1"/>
      </left>
      <right style="medium">
        <color auto="1"/>
      </right>
      <top style="medium">
        <color auto="1"/>
      </top>
      <bottom style="none"/>
      <diagonal style="none"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 style="none"/>
    </border>
    <border>
      <left style="medium">
        <color auto="1"/>
      </left>
      <right style="none"/>
      <top style="thin">
        <color auto="1"/>
      </top>
      <bottom style="thin">
        <color auto="1"/>
      </bottom>
      <diagonal style="none"/>
    </border>
    <border>
      <left style="none"/>
      <right style="medium">
        <color auto="1"/>
      </right>
      <top style="thin">
        <color auto="1"/>
      </top>
      <bottom style="thin">
        <color auto="1"/>
      </bottom>
      <diagonal style="none"/>
    </border>
    <border>
      <left style="medium">
        <color auto="1"/>
      </left>
      <right style="medium">
        <color auto="1"/>
      </right>
      <top style="none"/>
      <bottom style="medium">
        <color auto="1"/>
      </bottom>
      <diagonal style="none"/>
    </border>
    <border>
      <left style="medium">
        <color auto="1"/>
      </left>
      <right style="none"/>
      <top style="medium">
        <color auto="1"/>
      </top>
      <bottom style="medium">
        <color auto="1"/>
      </bottom>
      <diagonal style="none"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 style="none"/>
    </border>
    <border>
      <left style="none"/>
      <right style="medium">
        <color auto="1"/>
      </right>
      <top style="medium">
        <color auto="1"/>
      </top>
      <bottom style="medium">
        <color auto="1"/>
      </bottom>
      <diagonal style="none"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 style="none"/>
    </border>
    <border>
      <left style="thin">
        <color auto="1"/>
      </left>
      <right style="none"/>
      <top style="medium">
        <color auto="1"/>
      </top>
      <bottom style="medium">
        <color auto="1"/>
      </bottom>
      <diagonal style="none"/>
    </border>
    <border>
      <left style="none"/>
      <right style="thin">
        <color auto="1"/>
      </right>
      <top style="medium">
        <color auto="1"/>
      </top>
      <bottom style="medium">
        <color auto="1"/>
      </bottom>
      <diagonal style="none"/>
    </border>
    <border>
      <left style="medium">
        <color auto="1"/>
      </left>
      <right style="none"/>
      <top style="thin">
        <color auto="1"/>
      </top>
      <bottom style="medium">
        <color auto="1"/>
      </bottom>
      <diagonal style="none"/>
    </border>
    <border>
      <left style="none"/>
      <right style="none"/>
      <top style="thin">
        <color auto="1"/>
      </top>
      <bottom style="medium">
        <color auto="1"/>
      </bottom>
      <diagonal style="none"/>
    </border>
    <border>
      <left style="none"/>
      <right style="medium">
        <color auto="1"/>
      </right>
      <top style="thin">
        <color auto="1"/>
      </top>
      <bottom style="medium">
        <color auto="1"/>
      </bottom>
      <diagonal style="none"/>
    </border>
    <border>
      <left style="none"/>
      <right style="none"/>
      <top style="none"/>
      <bottom style="medium">
        <color auto="1"/>
      </bottom>
      <diagonal style="none"/>
    </border>
    <border>
      <left style="medium">
        <color auto="1"/>
      </left>
      <right style="none"/>
      <top style="none"/>
      <bottom style="medium">
        <color auto="1"/>
      </bottom>
      <diagonal style="none"/>
    </border>
    <border>
      <left style="thin">
        <color auto="1"/>
      </left>
      <right style="none"/>
      <top style="thin">
        <color auto="1"/>
      </top>
      <bottom style="medium">
        <color auto="1"/>
      </bottom>
      <diagonal style="none"/>
    </border>
    <border>
      <left style="none"/>
      <right style="medium">
        <color auto="1"/>
      </right>
      <top style="none"/>
      <bottom style="medium">
        <color auto="1"/>
      </bottom>
      <diagonal style="none"/>
    </border>
    <border>
      <left style="medium">
        <color auto="1"/>
      </left>
      <right style="none"/>
      <top style="medium">
        <color auto="1"/>
      </top>
      <bottom style="thin">
        <color auto="1"/>
      </bottom>
      <diagonal style="none"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 style="none"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 style="none"/>
    </border>
    <border>
      <left style="medium">
        <color auto="1"/>
      </left>
      <right style="thin">
        <color auto="1"/>
      </right>
      <top style="thin">
        <color auto="1"/>
      </top>
      <bottom style="none"/>
      <diagonal style="none"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 style="none"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 style="none"/>
    </border>
    <border>
      <left style="none"/>
      <right style="medium">
        <color auto="1"/>
      </right>
      <top style="medium">
        <color auto="1"/>
      </top>
      <bottom style="thin">
        <color auto="1"/>
      </bottom>
      <diagonal style="none"/>
    </border>
    <border>
      <left style="none"/>
      <right style="thin">
        <color auto="1"/>
      </right>
      <top style="thin">
        <color auto="1"/>
      </top>
      <bottom style="medium">
        <color auto="1"/>
      </bottom>
      <diagonal style="none"/>
    </border>
    <border>
      <left style="none"/>
      <right style="none"/>
      <top style="medium">
        <color auto="1"/>
      </top>
      <bottom style="medium">
        <color auto="1"/>
      </bottom>
      <diagonal style="none"/>
    </border>
    <border>
      <left style="thin">
        <color auto="1"/>
      </left>
      <right style="none"/>
      <top style="none"/>
      <bottom style="medium">
        <color auto="1"/>
      </bottom>
      <diagonal style="none"/>
    </border>
    <border>
      <left style="medium">
        <color auto="1"/>
      </left>
      <right style="medium">
        <color auto="1"/>
      </right>
      <top style="thin">
        <color auto="1"/>
      </top>
      <bottom style="none"/>
      <diagonal style="none"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 style="none"/>
    </border>
  </borders>
  <cellStyleXfs count="8">
    <xf fontId="0" fillId="0" borderId="0" numFmtId="0" applyNumberFormat="1" applyFont="1" applyFill="1" applyBorder="1"/>
    <xf fontId="1" fillId="0" borderId="0" numFmtId="0" applyNumberFormat="1" applyFont="1" applyFill="1" applyBorder="1"/>
    <xf fontId="2" fillId="0" borderId="0" numFmtId="0" applyNumberFormat="1" applyFont="1" applyFill="1" applyBorder="1"/>
    <xf fontId="1" fillId="0" borderId="0" numFmtId="0" applyNumberFormat="0" applyFont="0" applyFill="0" applyBorder="0" applyProtection="0">
      <alignment vertical="top"/>
    </xf>
    <xf fontId="1" fillId="0" borderId="0" numFmtId="9" applyNumberFormat="1" applyFont="0" applyFill="0" applyBorder="0" applyProtection="0"/>
    <xf fontId="1" fillId="0" borderId="0" numFmtId="164" applyNumberFormat="1" applyFont="0" applyFill="0" applyBorder="0" applyProtection="0"/>
    <xf fontId="1" fillId="0" borderId="0" numFmtId="165" applyNumberFormat="1" applyFont="0" applyFill="0" applyBorder="0" applyProtection="0"/>
    <xf fontId="1" fillId="0" borderId="0" numFmtId="164" applyNumberFormat="1" applyFont="0" applyFill="0" applyBorder="0" applyProtection="0"/>
  </cellStyleXfs>
  <cellXfs count="3273">
    <xf fontId="0" fillId="0" borderId="0" numFmtId="0" xfId="0"/>
    <xf fontId="3" fillId="0" borderId="0" numFmtId="4" xfId="2" applyNumberFormat="1" applyFont="1"/>
    <xf fontId="3" fillId="0" borderId="0" numFmtId="4" xfId="2" applyNumberFormat="1" applyFont="1" applyAlignment="1">
      <alignment vertical="center" wrapText="1"/>
    </xf>
    <xf fontId="3" fillId="2" borderId="0" numFmtId="4" xfId="2" applyNumberFormat="1" applyFont="1" applyFill="1"/>
    <xf fontId="3" fillId="3" borderId="0" numFmtId="4" xfId="2" applyNumberFormat="1" applyFont="1" applyFill="1"/>
    <xf fontId="3" fillId="0" borderId="0" numFmtId="4" xfId="2" applyNumberFormat="1" applyFont="1" applyAlignment="1">
      <alignment wrapText="1"/>
    </xf>
    <xf fontId="3" fillId="3" borderId="0" numFmtId="4" xfId="2" applyNumberFormat="1" applyFont="1" applyFill="1" applyAlignment="1">
      <alignment wrapText="1"/>
    </xf>
    <xf fontId="3" fillId="4" borderId="0" numFmtId="4" xfId="2" applyNumberFormat="1" applyFont="1" applyFill="1" applyAlignment="1">
      <alignment wrapText="1"/>
    </xf>
    <xf fontId="4" fillId="3" borderId="0" numFmtId="4" xfId="2" applyNumberFormat="1" applyFont="1" applyFill="1"/>
    <xf fontId="3" fillId="5" borderId="0" numFmtId="4" xfId="2" applyNumberFormat="1" applyFont="1" applyFill="1" applyAlignment="1">
      <alignment wrapText="1"/>
    </xf>
    <xf fontId="3" fillId="0" borderId="0" numFmtId="4" xfId="0" applyNumberFormat="1" applyFont="1" applyAlignment="1">
      <alignment wrapText="1"/>
    </xf>
    <xf fontId="3" fillId="0" borderId="0" numFmtId="4" xfId="0" applyNumberFormat="1" applyFont="1"/>
    <xf fontId="3" fillId="6" borderId="0" numFmtId="4" xfId="2" applyNumberFormat="1" applyFont="1" applyFill="1"/>
    <xf fontId="5" fillId="6" borderId="0" numFmtId="4" xfId="2" applyNumberFormat="1" applyFont="1" applyFill="1"/>
    <xf fontId="3" fillId="7" borderId="0" numFmtId="4" xfId="2" applyNumberFormat="1" applyFont="1" applyFill="1"/>
    <xf fontId="4" fillId="0" borderId="0" numFmtId="4" xfId="2" applyNumberFormat="1" applyFont="1"/>
    <xf fontId="6" fillId="0" borderId="0" numFmtId="4" xfId="2" applyNumberFormat="1" applyFont="1"/>
    <xf fontId="6" fillId="3" borderId="0" numFmtId="4" xfId="2" applyNumberFormat="1" applyFont="1" applyFill="1"/>
    <xf fontId="3" fillId="0" borderId="0" numFmtId="4" xfId="2" applyNumberFormat="1" applyFont="1" applyAlignment="1">
      <alignment horizontal="center"/>
    </xf>
    <xf fontId="3" fillId="3" borderId="0" numFmtId="4" xfId="2" applyNumberFormat="1" applyFont="1" applyFill="1" applyAlignment="1">
      <alignment horizontal="right"/>
    </xf>
    <xf fontId="3" fillId="3" borderId="0" numFmtId="4" xfId="2" applyNumberFormat="1" applyFont="1" applyFill="1" applyAlignment="1">
      <alignment horizontal="center" wrapText="1"/>
    </xf>
    <xf fontId="3" fillId="4" borderId="0" numFmtId="4" xfId="2" applyNumberFormat="1" applyFont="1" applyFill="1" applyAlignment="1">
      <alignment horizontal="center" wrapText="1"/>
    </xf>
    <xf fontId="3" fillId="0" borderId="0" numFmtId="4" xfId="2" applyNumberFormat="1" applyFont="1" applyAlignment="1">
      <alignment horizontal="center" wrapText="1"/>
    </xf>
    <xf fontId="3" fillId="3" borderId="0" numFmtId="4" xfId="2" applyNumberFormat="1" applyFont="1" applyFill="1" applyAlignment="1">
      <alignment horizontal="center"/>
    </xf>
    <xf fontId="3" fillId="5" borderId="0" numFmtId="4" xfId="2" applyNumberFormat="1" applyFont="1" applyFill="1" applyAlignment="1">
      <alignment horizontal="center" wrapText="1"/>
    </xf>
    <xf fontId="7" fillId="5" borderId="0" numFmtId="0" xfId="2" applyFont="1" applyFill="1" applyAlignment="1">
      <alignment wrapText="1"/>
    </xf>
    <xf fontId="7" fillId="5" borderId="0" numFmtId="4" xfId="2" applyNumberFormat="1" applyFont="1" applyFill="1" applyAlignment="1">
      <alignment wrapText="1"/>
    </xf>
    <xf fontId="6" fillId="5" borderId="0" numFmtId="4" xfId="2" applyNumberFormat="1" applyFont="1" applyFill="1" applyAlignment="1">
      <alignment wrapText="1"/>
    </xf>
    <xf fontId="8" fillId="0" borderId="0" numFmtId="4" xfId="2" applyNumberFormat="1" applyFont="1" applyAlignment="1">
      <alignment horizontal="center"/>
    </xf>
    <xf fontId="8" fillId="0" borderId="1" numFmtId="4" xfId="2" applyNumberFormat="1" applyFont="1" applyBorder="1" applyAlignment="1">
      <alignment horizontal="center"/>
    </xf>
    <xf fontId="8" fillId="0" borderId="2" numFmtId="4" xfId="2" applyNumberFormat="1" applyFont="1" applyBorder="1" applyAlignment="1">
      <alignment horizontal="center"/>
    </xf>
    <xf fontId="8" fillId="0" borderId="3" numFmtId="4" xfId="2" applyNumberFormat="1" applyFont="1" applyBorder="1" applyAlignment="1">
      <alignment horizontal="center"/>
    </xf>
    <xf fontId="8" fillId="0" borderId="4" numFmtId="4" xfId="2" applyNumberFormat="1" applyFont="1" applyBorder="1" applyAlignment="1">
      <alignment horizontal="center"/>
    </xf>
    <xf fontId="8" fillId="0" borderId="5" numFmtId="4" xfId="2" applyNumberFormat="1" applyFont="1" applyBorder="1" applyAlignment="1">
      <alignment horizontal="center"/>
    </xf>
    <xf fontId="8" fillId="0" borderId="6" numFmtId="4" xfId="2" applyNumberFormat="1" applyFont="1" applyBorder="1" applyAlignment="1">
      <alignment horizontal="center"/>
    </xf>
    <xf fontId="9" fillId="8" borderId="4" numFmtId="4" xfId="2" applyNumberFormat="1" applyFont="1" applyFill="1" applyBorder="1" applyAlignment="1">
      <alignment horizontal="center"/>
    </xf>
    <xf fontId="9" fillId="8" borderId="5" numFmtId="4" xfId="2" applyNumberFormat="1" applyFont="1" applyFill="1" applyBorder="1" applyAlignment="1">
      <alignment horizontal="center"/>
    </xf>
    <xf fontId="3" fillId="0" borderId="7" numFmtId="4" xfId="2" applyNumberFormat="1" applyFont="1" applyBorder="1"/>
    <xf fontId="3" fillId="0" borderId="8" numFmtId="4" xfId="2" applyNumberFormat="1" applyFont="1" applyBorder="1"/>
    <xf fontId="3" fillId="0" borderId="9" numFmtId="4" xfId="2" applyNumberFormat="1" applyFont="1" applyBorder="1"/>
    <xf fontId="3" fillId="0" borderId="10" numFmtId="4" xfId="2" applyNumberFormat="1" applyFont="1" applyBorder="1"/>
    <xf fontId="10" fillId="0" borderId="11" numFmtId="4" xfId="2" applyNumberFormat="1" applyFont="1" applyBorder="1" applyAlignment="1">
      <alignment vertical="center" wrapText="1"/>
    </xf>
    <xf fontId="10" fillId="0" borderId="5" numFmtId="4" xfId="2" applyNumberFormat="1" applyFont="1" applyBorder="1" applyAlignment="1">
      <alignment vertical="center" wrapText="1"/>
    </xf>
    <xf fontId="11" fillId="2" borderId="12" numFmtId="4" xfId="2" applyNumberFormat="1" applyFont="1" applyFill="1" applyBorder="1" applyAlignment="1">
      <alignment horizontal="left" vertical="top"/>
    </xf>
    <xf fontId="11" fillId="0" borderId="13" numFmtId="4" xfId="2" applyNumberFormat="1" applyFont="1" applyBorder="1"/>
    <xf fontId="10" fillId="3" borderId="12" numFmtId="4" xfId="2" applyNumberFormat="1" applyFont="1" applyFill="1" applyBorder="1" applyAlignment="1">
      <alignment horizontal="center"/>
    </xf>
    <xf fontId="10" fillId="0" borderId="13" numFmtId="4" xfId="2" applyNumberFormat="1" applyFont="1" applyBorder="1" applyAlignment="1">
      <alignment horizontal="center" wrapText="1"/>
    </xf>
    <xf fontId="10" fillId="3" borderId="13" numFmtId="4" xfId="2" applyNumberFormat="1" applyFont="1" applyFill="1" applyBorder="1" applyAlignment="1">
      <alignment horizontal="center"/>
    </xf>
    <xf fontId="10" fillId="0" borderId="13" numFmtId="4" xfId="2" applyNumberFormat="1" applyFont="1" applyBorder="1" applyAlignment="1">
      <alignment horizontal="center"/>
    </xf>
    <xf fontId="10" fillId="3" borderId="14" numFmtId="4" xfId="2" applyNumberFormat="1" applyFont="1" applyFill="1" applyBorder="1" applyAlignment="1">
      <alignment horizontal="center"/>
    </xf>
    <xf fontId="10" fillId="3" borderId="15" numFmtId="4" xfId="2" applyNumberFormat="1" applyFont="1" applyFill="1" applyBorder="1" applyAlignment="1">
      <alignment horizontal="center"/>
    </xf>
    <xf fontId="10" fillId="3" borderId="16" numFmtId="4" xfId="2" applyNumberFormat="1" applyFont="1" applyFill="1" applyBorder="1" applyAlignment="1">
      <alignment horizontal="center"/>
    </xf>
    <xf fontId="6" fillId="3" borderId="15" numFmtId="4" xfId="2" applyNumberFormat="1" applyFont="1" applyFill="1" applyBorder="1" applyAlignment="1">
      <alignment horizontal="center" wrapText="1"/>
    </xf>
    <xf fontId="12" fillId="9" borderId="15" numFmtId="4" xfId="2" applyNumberFormat="1" applyFont="1" applyFill="1" applyBorder="1" applyAlignment="1">
      <alignment horizontal="center" wrapText="1"/>
    </xf>
    <xf fontId="12" fillId="4" borderId="15" numFmtId="4" xfId="2" applyNumberFormat="1" applyFont="1" applyFill="1" applyBorder="1" applyAlignment="1">
      <alignment horizontal="center" vertical="center" wrapText="1"/>
    </xf>
    <xf fontId="12" fillId="0" borderId="15" numFmtId="4" xfId="2" applyNumberFormat="1" applyFont="1" applyBorder="1" applyAlignment="1">
      <alignment horizontal="centerContinuous" vertical="distributed" wrapText="1"/>
    </xf>
    <xf fontId="12" fillId="0" borderId="15" numFmtId="4" xfId="2" applyNumberFormat="1" applyFont="1" applyBorder="1" applyAlignment="1">
      <alignment horizontal="center" vertical="center" wrapText="1"/>
    </xf>
    <xf fontId="6" fillId="3" borderId="17" numFmtId="4" xfId="2" applyNumberFormat="1" applyFont="1" applyFill="1" applyBorder="1" applyAlignment="1">
      <alignment horizontal="center" vertical="center" wrapText="1"/>
    </xf>
    <xf fontId="6" fillId="3" borderId="16" numFmtId="4" xfId="2" applyNumberFormat="1" applyFont="1" applyFill="1" applyBorder="1" applyAlignment="1">
      <alignment horizontal="center" vertical="center" wrapText="1"/>
    </xf>
    <xf fontId="13" fillId="9" borderId="15" numFmtId="4" xfId="2" applyNumberFormat="1" applyFont="1" applyFill="1" applyBorder="1" applyAlignment="1">
      <alignment horizontal="center" wrapText="1"/>
    </xf>
    <xf fontId="10" fillId="3" borderId="15" numFmtId="4" xfId="2" applyNumberFormat="1" applyFont="1" applyFill="1" applyBorder="1" applyAlignment="1">
      <alignment horizontal="center" vertical="center" wrapText="1"/>
    </xf>
    <xf fontId="10" fillId="9" borderId="15" numFmtId="4" xfId="2" applyNumberFormat="1" applyFont="1" applyFill="1" applyBorder="1" applyAlignment="1">
      <alignment horizontal="center"/>
    </xf>
    <xf fontId="10" fillId="0" borderId="17" numFmtId="4" xfId="2" applyNumberFormat="1" applyFont="1" applyBorder="1" applyAlignment="1">
      <alignment horizontal="center"/>
    </xf>
    <xf fontId="3" fillId="0" borderId="18" numFmtId="4" xfId="2" applyNumberFormat="1" applyFont="1" applyBorder="1" applyAlignment="1">
      <alignment horizontal="centerContinuous" vertical="distributed"/>
    </xf>
    <xf fontId="3" fillId="0" borderId="18" numFmtId="4" xfId="2" applyNumberFormat="1" applyFont="1" applyBorder="1" applyAlignment="1">
      <alignment horizontal="center"/>
    </xf>
    <xf fontId="10" fillId="5" borderId="19" numFmtId="4" xfId="2" applyNumberFormat="1" applyFont="1" applyFill="1" applyBorder="1" applyAlignment="1">
      <alignment horizontal="center" wrapText="1"/>
    </xf>
    <xf fontId="10" fillId="5" borderId="20" numFmtId="4" xfId="2" applyNumberFormat="1" applyFont="1" applyFill="1" applyBorder="1" applyAlignment="1">
      <alignment horizontal="center" wrapText="1"/>
    </xf>
    <xf fontId="10" fillId="5" borderId="21" numFmtId="4" xfId="2" applyNumberFormat="1" applyFont="1" applyFill="1" applyBorder="1" applyAlignment="1">
      <alignment horizontal="center" wrapText="1"/>
    </xf>
    <xf fontId="3" fillId="0" borderId="18" numFmtId="4" xfId="0" applyNumberFormat="1" applyFont="1" applyBorder="1" applyAlignment="1">
      <alignment horizontal="center" vertical="center" wrapText="1"/>
    </xf>
    <xf fontId="3" fillId="0" borderId="22" numFmtId="4" xfId="0" applyNumberFormat="1" applyFont="1" applyBorder="1" applyAlignment="1">
      <alignment horizontal="center" vertical="center" wrapText="1"/>
    </xf>
    <xf fontId="3" fillId="0" borderId="23" numFmtId="4" xfId="0" applyNumberFormat="1" applyFont="1" applyBorder="1" applyAlignment="1">
      <alignment horizontal="center" wrapText="1"/>
    </xf>
    <xf fontId="3" fillId="0" borderId="23" numFmtId="4" xfId="0" applyNumberFormat="1" applyFont="1" applyBorder="1" applyAlignment="1">
      <alignment wrapText="1"/>
    </xf>
    <xf fontId="10" fillId="6" borderId="18" numFmtId="4" xfId="2" applyNumberFormat="1" applyFont="1" applyFill="1" applyBorder="1" applyAlignment="1">
      <alignment horizontal="center" wrapText="1"/>
    </xf>
    <xf fontId="14" fillId="6" borderId="18" numFmtId="4" xfId="2" applyNumberFormat="1" applyFont="1" applyFill="1" applyBorder="1" applyAlignment="1">
      <alignment horizontal="center" wrapText="1"/>
    </xf>
    <xf fontId="10" fillId="7" borderId="18" numFmtId="4" xfId="2" applyNumberFormat="1" applyFont="1" applyFill="1" applyBorder="1" applyAlignment="1">
      <alignment horizontal="center" wrapText="1"/>
    </xf>
    <xf fontId="14" fillId="7" borderId="18" numFmtId="4" xfId="2" applyNumberFormat="1" applyFont="1" applyFill="1" applyBorder="1" applyAlignment="1">
      <alignment horizontal="center" wrapText="1"/>
    </xf>
    <xf fontId="3" fillId="8" borderId="18" numFmtId="4" xfId="0" applyNumberFormat="1" applyFont="1" applyFill="1" applyBorder="1" applyAlignment="1">
      <alignment horizontal="center" vertical="center" wrapText="1"/>
    </xf>
    <xf fontId="6" fillId="3" borderId="5" numFmtId="4" xfId="2" applyNumberFormat="1" applyFont="1" applyFill="1" applyBorder="1" applyAlignment="1">
      <alignment horizontal="center" vertical="center" wrapText="1"/>
    </xf>
    <xf fontId="6" fillId="3" borderId="1" numFmtId="4" xfId="2" applyNumberFormat="1" applyFont="1" applyFill="1" applyBorder="1" applyAlignment="1">
      <alignment horizontal="center" vertical="center" wrapText="1"/>
    </xf>
    <xf fontId="6" fillId="3" borderId="2" numFmtId="4" xfId="2" applyNumberFormat="1" applyFont="1" applyFill="1" applyBorder="1" applyAlignment="1">
      <alignment horizontal="center" vertical="center" wrapText="1"/>
    </xf>
    <xf fontId="6" fillId="3" borderId="3" numFmtId="4" xfId="2" applyNumberFormat="1" applyFont="1" applyFill="1" applyBorder="1" applyAlignment="1">
      <alignment horizontal="center" vertical="center" wrapText="1"/>
    </xf>
    <xf fontId="6" fillId="3" borderId="4" numFmtId="4" xfId="2" applyNumberFormat="1" applyFont="1" applyFill="1" applyBorder="1" applyAlignment="1">
      <alignment horizontal="center" vertical="center" wrapText="1"/>
    </xf>
    <xf fontId="6" fillId="3" borderId="6" numFmtId="4" xfId="2" applyNumberFormat="1" applyFont="1" applyFill="1" applyBorder="1" applyAlignment="1">
      <alignment horizontal="center" vertical="center" wrapText="1"/>
    </xf>
    <xf fontId="0" fillId="0" borderId="24" numFmtId="4" xfId="0" applyNumberFormat="1" applyBorder="1" applyAlignment="1">
      <alignment vertical="center" wrapText="1"/>
    </xf>
    <xf fontId="0" fillId="0" borderId="0" numFmtId="4" xfId="0" applyNumberFormat="1" applyAlignment="1">
      <alignment vertical="center" wrapText="1"/>
    </xf>
    <xf fontId="10" fillId="2" borderId="7" numFmtId="4" xfId="2" applyNumberFormat="1" applyFont="1" applyFill="1" applyBorder="1"/>
    <xf fontId="10" fillId="0" borderId="7" numFmtId="4" xfId="2" applyNumberFormat="1" applyFont="1" applyBorder="1" applyAlignment="1">
      <alignment horizontal="center"/>
    </xf>
    <xf fontId="10" fillId="0" borderId="0" numFmtId="4" xfId="2" applyNumberFormat="1" applyFont="1" applyAlignment="1">
      <alignment horizontal="center"/>
    </xf>
    <xf fontId="10" fillId="9" borderId="25" numFmtId="4" xfId="2" applyNumberFormat="1" applyFont="1" applyFill="1" applyBorder="1" applyAlignment="1">
      <alignment horizontal="center"/>
    </xf>
    <xf fontId="10" fillId="0" borderId="18" numFmtId="4" xfId="2" applyNumberFormat="1" applyFont="1" applyBorder="1" applyAlignment="1">
      <alignment horizontal="center" wrapText="1"/>
    </xf>
    <xf fontId="10" fillId="9" borderId="0" numFmtId="4" xfId="2" applyNumberFormat="1" applyFont="1" applyFill="1" applyAlignment="1">
      <alignment horizontal="center"/>
    </xf>
    <xf fontId="10" fillId="0" borderId="18" numFmtId="4" xfId="2" applyNumberFormat="1" applyFont="1" applyBorder="1" applyAlignment="1">
      <alignment horizontal="center"/>
    </xf>
    <xf fontId="10" fillId="3" borderId="18" numFmtId="4" xfId="2" applyNumberFormat="1" applyFont="1" applyFill="1" applyBorder="1" applyAlignment="1">
      <alignment horizontal="center"/>
    </xf>
    <xf fontId="10" fillId="0" borderId="25" numFmtId="4" xfId="2" applyNumberFormat="1" applyFont="1" applyBorder="1" applyAlignment="1">
      <alignment horizontal="center"/>
    </xf>
    <xf fontId="10" fillId="3" borderId="25" numFmtId="4" xfId="2" applyNumberFormat="1" applyFont="1" applyFill="1" applyBorder="1" applyAlignment="1">
      <alignment horizontal="center"/>
    </xf>
    <xf fontId="10" fillId="9" borderId="3" numFmtId="4" xfId="2" applyNumberFormat="1" applyFont="1" applyFill="1" applyBorder="1" applyAlignment="1">
      <alignment horizontal="center"/>
    </xf>
    <xf fontId="10" fillId="9" borderId="18" numFmtId="4" xfId="2" applyNumberFormat="1" applyFont="1" applyFill="1" applyBorder="1" applyAlignment="1">
      <alignment horizontal="center"/>
    </xf>
    <xf fontId="10" fillId="0" borderId="0" numFmtId="4" xfId="2" applyNumberFormat="1" applyFont="1" applyAlignment="1">
      <alignment horizontal="center" wrapText="1"/>
    </xf>
    <xf fontId="10" fillId="0" borderId="25" numFmtId="4" xfId="2" applyNumberFormat="1" applyFont="1" applyBorder="1" applyAlignment="1">
      <alignment horizontal="center" wrapText="1"/>
    </xf>
    <xf fontId="10" fillId="0" borderId="3" numFmtId="4" xfId="2" applyNumberFormat="1" applyFont="1" applyBorder="1" applyAlignment="1">
      <alignment horizontal="center" wrapText="1"/>
    </xf>
    <xf fontId="10" fillId="3" borderId="8" numFmtId="4" xfId="2" applyNumberFormat="1" applyFont="1" applyFill="1" applyBorder="1" applyAlignment="1">
      <alignment horizontal="center"/>
    </xf>
    <xf fontId="6" fillId="3" borderId="25" numFmtId="4" xfId="2" applyNumberFormat="1" applyFont="1" applyFill="1" applyBorder="1" applyAlignment="1">
      <alignment horizontal="center" wrapText="1"/>
    </xf>
    <xf fontId="6" fillId="8" borderId="25" numFmtId="4" xfId="2" applyNumberFormat="1" applyFont="1" applyFill="1" applyBorder="1" applyAlignment="1">
      <alignment horizontal="center" wrapText="1"/>
    </xf>
    <xf fontId="12" fillId="9" borderId="25" numFmtId="4" xfId="2" applyNumberFormat="1" applyFont="1" applyFill="1" applyBorder="1" applyAlignment="1">
      <alignment horizontal="center" wrapText="1"/>
    </xf>
    <xf fontId="12" fillId="4" borderId="25" numFmtId="4" xfId="2" applyNumberFormat="1" applyFont="1" applyFill="1" applyBorder="1" applyAlignment="1">
      <alignment horizontal="center" vertical="center" wrapText="1"/>
    </xf>
    <xf fontId="12" fillId="0" borderId="25" numFmtId="4" xfId="2" applyNumberFormat="1" applyFont="1" applyBorder="1" applyAlignment="1">
      <alignment horizontal="centerContinuous" vertical="distributed" wrapText="1"/>
    </xf>
    <xf fontId="12" fillId="0" borderId="25" numFmtId="4" xfId="2" applyNumberFormat="1" applyFont="1" applyBorder="1" applyAlignment="1">
      <alignment horizontal="center" vertical="center" wrapText="1"/>
    </xf>
    <xf fontId="6" fillId="3" borderId="26" numFmtId="4" xfId="2" applyNumberFormat="1" applyFont="1" applyFill="1" applyBorder="1" applyAlignment="1">
      <alignment horizontal="center" vertical="center" wrapText="1"/>
    </xf>
    <xf fontId="6" fillId="3" borderId="27" numFmtId="4" xfId="2" applyNumberFormat="1" applyFont="1" applyFill="1" applyBorder="1" applyAlignment="1">
      <alignment horizontal="center" vertical="center" wrapText="1"/>
    </xf>
    <xf fontId="13" fillId="9" borderId="25" numFmtId="4" xfId="2" applyNumberFormat="1" applyFont="1" applyFill="1" applyBorder="1" applyAlignment="1">
      <alignment horizontal="center" wrapText="1"/>
    </xf>
    <xf fontId="10" fillId="3" borderId="25" numFmtId="4" xfId="2" applyNumberFormat="1" applyFont="1" applyFill="1" applyBorder="1" applyAlignment="1">
      <alignment horizontal="center" vertical="center" wrapText="1"/>
    </xf>
    <xf fontId="3" fillId="0" borderId="25" numFmtId="4" xfId="2" applyNumberFormat="1" applyFont="1" applyBorder="1" applyAlignment="1">
      <alignment horizontal="centerContinuous" vertical="distributed"/>
    </xf>
    <xf fontId="3" fillId="0" borderId="25" numFmtId="4" xfId="2" applyNumberFormat="1" applyFont="1" applyBorder="1" applyAlignment="1">
      <alignment horizontal="center"/>
    </xf>
    <xf fontId="10" fillId="5" borderId="8" numFmtId="4" xfId="2" applyNumberFormat="1" applyFont="1" applyFill="1" applyBorder="1" applyAlignment="1">
      <alignment horizontal="center" wrapText="1"/>
    </xf>
    <xf fontId="10" fillId="5" borderId="25" numFmtId="4" xfId="2" applyNumberFormat="1" applyFont="1" applyFill="1" applyBorder="1" applyAlignment="1">
      <alignment horizontal="center" wrapText="1"/>
    </xf>
    <xf fontId="10" fillId="5" borderId="7" numFmtId="4" xfId="2" applyNumberFormat="1" applyFont="1" applyFill="1" applyBorder="1" applyAlignment="1">
      <alignment horizontal="center" wrapText="1"/>
    </xf>
    <xf fontId="10" fillId="5" borderId="18" numFmtId="4" xfId="2" applyNumberFormat="1" applyFont="1" applyFill="1" applyBorder="1" applyAlignment="1">
      <alignment horizontal="center" wrapText="1"/>
    </xf>
    <xf fontId="10" fillId="5" borderId="3" numFmtId="4" xfId="2" applyNumberFormat="1" applyFont="1" applyFill="1" applyBorder="1" applyAlignment="1">
      <alignment horizontal="center" wrapText="1"/>
    </xf>
    <xf fontId="10" fillId="5" borderId="0" numFmtId="4" xfId="2" applyNumberFormat="1" applyFont="1" applyFill="1" applyAlignment="1">
      <alignment horizontal="center" wrapText="1"/>
    </xf>
    <xf fontId="3" fillId="0" borderId="25" numFmtId="4" xfId="0" applyNumberFormat="1" applyFont="1" applyBorder="1" applyAlignment="1">
      <alignment horizontal="center" vertical="center" wrapText="1"/>
    </xf>
    <xf fontId="3" fillId="0" borderId="28" numFmtId="4" xfId="0" applyNumberFormat="1" applyFont="1" applyBorder="1" applyAlignment="1">
      <alignment horizontal="center" vertical="center" wrapText="1"/>
    </xf>
    <xf fontId="3" fillId="0" borderId="29" numFmtId="4" xfId="0" applyNumberFormat="1" applyFont="1" applyBorder="1" applyAlignment="1">
      <alignment horizontal="center" wrapText="1"/>
    </xf>
    <xf fontId="3" fillId="0" borderId="29" numFmtId="4" xfId="0" applyNumberFormat="1" applyFont="1" applyBorder="1" applyAlignment="1">
      <alignment wrapText="1"/>
    </xf>
    <xf fontId="10" fillId="6" borderId="25" numFmtId="4" xfId="2" applyNumberFormat="1" applyFont="1" applyFill="1" applyBorder="1" applyAlignment="1">
      <alignment horizontal="center" wrapText="1"/>
    </xf>
    <xf fontId="14" fillId="6" borderId="25" numFmtId="4" xfId="2" applyNumberFormat="1" applyFont="1" applyFill="1" applyBorder="1" applyAlignment="1">
      <alignment horizontal="center" wrapText="1"/>
    </xf>
    <xf fontId="10" fillId="7" borderId="25" numFmtId="4" xfId="2" applyNumberFormat="1" applyFont="1" applyFill="1" applyBorder="1" applyAlignment="1">
      <alignment horizontal="center" wrapText="1"/>
    </xf>
    <xf fontId="14" fillId="7" borderId="25" numFmtId="4" xfId="2" applyNumberFormat="1" applyFont="1" applyFill="1" applyBorder="1" applyAlignment="1">
      <alignment horizontal="center" wrapText="1"/>
    </xf>
    <xf fontId="3" fillId="8" borderId="25" numFmtId="4" xfId="0" applyNumberFormat="1" applyFont="1" applyFill="1" applyBorder="1" applyAlignment="1">
      <alignment horizontal="center" vertical="center" wrapText="1"/>
    </xf>
    <xf fontId="15" fillId="8" borderId="0" numFmtId="4" xfId="2" applyNumberFormat="1" applyFont="1" applyFill="1" applyAlignment="1">
      <alignment horizontal="center"/>
    </xf>
    <xf fontId="15" fillId="8" borderId="8" numFmtId="4" xfId="2" applyNumberFormat="1" applyFont="1" applyFill="1" applyBorder="1" applyAlignment="1">
      <alignment horizontal="center"/>
    </xf>
    <xf fontId="6" fillId="3" borderId="30" numFmtId="4" xfId="2" applyNumberFormat="1" applyFont="1" applyFill="1" applyBorder="1" applyAlignment="1">
      <alignment horizontal="center" vertical="center" wrapText="1"/>
    </xf>
    <xf fontId="6" fillId="3" borderId="31" numFmtId="4" xfId="2" applyNumberFormat="1" applyFont="1" applyFill="1" applyBorder="1" applyAlignment="1">
      <alignment horizontal="center" vertical="center" wrapText="1"/>
    </xf>
    <xf fontId="6" fillId="3" borderId="32" numFmtId="4" xfId="2" applyNumberFormat="1" applyFont="1" applyFill="1" applyBorder="1" applyAlignment="1">
      <alignment horizontal="center" vertical="center" wrapText="1"/>
    </xf>
    <xf fontId="0" fillId="0" borderId="8" numFmtId="4" xfId="0" applyNumberFormat="1" applyBorder="1" applyAlignment="1">
      <alignment vertical="center" wrapText="1"/>
    </xf>
    <xf fontId="11" fillId="2" borderId="25" numFmtId="4" xfId="2" applyNumberFormat="1" applyFont="1" applyFill="1" applyBorder="1" applyAlignment="1">
      <alignment horizontal="center"/>
    </xf>
    <xf fontId="10" fillId="0" borderId="26" numFmtId="4" xfId="2" applyNumberFormat="1" applyFont="1" applyBorder="1" applyAlignment="1">
      <alignment horizontal="center"/>
    </xf>
    <xf fontId="10" fillId="0" borderId="27" numFmtId="4" xfId="2" applyNumberFormat="1" applyFont="1" applyBorder="1" applyAlignment="1">
      <alignment horizontal="center"/>
    </xf>
    <xf fontId="10" fillId="9" borderId="8" numFmtId="4" xfId="2" applyNumberFormat="1" applyFont="1" applyFill="1" applyBorder="1" applyAlignment="1">
      <alignment horizontal="center"/>
    </xf>
    <xf fontId="3" fillId="0" borderId="8" numFmtId="4" xfId="2" applyNumberFormat="1" applyFont="1" applyBorder="1" applyAlignment="1">
      <alignment horizontal="center" wrapText="1"/>
    </xf>
    <xf fontId="10" fillId="3" borderId="25" numFmtId="4" xfId="2" applyNumberFormat="1" applyFont="1" applyFill="1" applyBorder="1" applyAlignment="1">
      <alignment horizontal="center" wrapText="1"/>
    </xf>
    <xf fontId="16" fillId="10" borderId="8" numFmtId="4" xfId="2" applyNumberFormat="1" applyFont="1" applyFill="1" applyBorder="1" applyAlignment="1">
      <alignment horizontal="center"/>
    </xf>
    <xf fontId="6" fillId="3" borderId="25" numFmtId="4" xfId="2" applyNumberFormat="1" applyFont="1" applyFill="1" applyBorder="1" applyAlignment="1">
      <alignment horizontal="center" vertical="center" wrapText="1"/>
    </xf>
    <xf fontId="6" fillId="8" borderId="25" numFmtId="4" xfId="2" applyNumberFormat="1" applyFont="1" applyFill="1" applyBorder="1" applyAlignment="1">
      <alignment horizontal="center" vertical="center" wrapText="1"/>
    </xf>
    <xf fontId="17" fillId="3" borderId="18" numFmtId="4" xfId="2" applyNumberFormat="1" applyFont="1" applyFill="1" applyBorder="1" applyAlignment="1">
      <alignment horizontal="center" vertical="center" wrapText="1"/>
    </xf>
    <xf fontId="10" fillId="3" borderId="18" numFmtId="4" xfId="2" applyNumberFormat="1" applyFont="1" applyFill="1" applyBorder="1" applyAlignment="1">
      <alignment horizontal="center" vertical="center" wrapText="1"/>
    </xf>
    <xf fontId="10" fillId="9" borderId="25" numFmtId="4" xfId="2" applyNumberFormat="1" applyFont="1" applyFill="1" applyBorder="1" applyAlignment="1">
      <alignment horizontal="center" vertical="center" wrapText="1"/>
    </xf>
    <xf fontId="10" fillId="0" borderId="7" numFmtId="4" xfId="2" applyNumberFormat="1" applyFont="1" applyBorder="1" applyAlignment="1">
      <alignment horizontal="center" wrapText="1"/>
    </xf>
    <xf fontId="3" fillId="0" borderId="25" numFmtId="4" xfId="2" applyNumberFormat="1" applyFont="1" applyBorder="1" applyAlignment="1">
      <alignment horizontal="center" vertical="distributed"/>
    </xf>
    <xf fontId="3" fillId="5" borderId="25" numFmtId="4" xfId="2" applyNumberFormat="1" applyFont="1" applyFill="1" applyBorder="1" applyAlignment="1">
      <alignment horizontal="center" wrapText="1"/>
    </xf>
    <xf fontId="6" fillId="0" borderId="29" numFmtId="4" xfId="0" applyNumberFormat="1" applyFont="1" applyBorder="1" applyAlignment="1">
      <alignment horizontal="center" wrapText="1"/>
    </xf>
    <xf fontId="17" fillId="3" borderId="8" numFmtId="4" xfId="2" applyNumberFormat="1" applyFont="1" applyFill="1" applyBorder="1" applyAlignment="1">
      <alignment horizontal="center" wrapText="1"/>
    </xf>
    <xf fontId="17" fillId="3" borderId="25" numFmtId="4" xfId="2" applyNumberFormat="1" applyFont="1" applyFill="1" applyBorder="1" applyAlignment="1">
      <alignment horizontal="center" wrapText="1"/>
    </xf>
    <xf fontId="17" fillId="3" borderId="7" numFmtId="4" xfId="2" applyNumberFormat="1" applyFont="1" applyFill="1" applyBorder="1" applyAlignment="1">
      <alignment horizontal="center" wrapText="1"/>
    </xf>
    <xf fontId="17" fillId="3" borderId="24" numFmtId="4" xfId="2" applyNumberFormat="1" applyFont="1" applyFill="1" applyBorder="1" applyAlignment="1">
      <alignment horizontal="center" wrapText="1"/>
    </xf>
    <xf fontId="17" fillId="3" borderId="28" numFmtId="4" xfId="2" applyNumberFormat="1" applyFont="1" applyFill="1" applyBorder="1" applyAlignment="1">
      <alignment horizontal="center" wrapText="1"/>
    </xf>
    <xf fontId="0" fillId="0" borderId="33" numFmtId="4" xfId="0" applyNumberFormat="1" applyBorder="1" applyAlignment="1">
      <alignment vertical="center" wrapText="1"/>
    </xf>
    <xf fontId="0" fillId="0" borderId="27" numFmtId="4" xfId="0" applyNumberFormat="1" applyBorder="1" applyAlignment="1">
      <alignment vertical="center" wrapText="1"/>
    </xf>
    <xf fontId="10" fillId="2" borderId="34" numFmtId="4" xfId="2" applyNumberFormat="1" applyFont="1" applyFill="1" applyBorder="1"/>
    <xf fontId="10" fillId="0" borderId="34" numFmtId="4" xfId="2" applyNumberFormat="1" applyFont="1" applyBorder="1" applyAlignment="1">
      <alignment horizontal="center" vertical="center"/>
    </xf>
    <xf fontId="10" fillId="0" borderId="30" numFmtId="4" xfId="2" applyNumberFormat="1" applyFont="1" applyBorder="1" applyAlignment="1">
      <alignment horizontal="center" vertical="center"/>
    </xf>
    <xf fontId="11" fillId="9" borderId="34" numFmtId="4" xfId="2" applyNumberFormat="1" applyFont="1" applyFill="1" applyBorder="1" applyAlignment="1">
      <alignment horizontal="center" vertical="center"/>
    </xf>
    <xf fontId="10" fillId="0" borderId="34" numFmtId="4" xfId="2" applyNumberFormat="1" applyFont="1" applyBorder="1" applyAlignment="1">
      <alignment horizontal="center" vertical="center" wrapText="1"/>
    </xf>
    <xf fontId="10" fillId="9" borderId="27" numFmtId="4" xfId="2" applyNumberFormat="1" applyFont="1" applyFill="1" applyBorder="1" applyAlignment="1">
      <alignment horizontal="center" vertical="center"/>
    </xf>
    <xf fontId="10" fillId="0" borderId="27" numFmtId="4" xfId="2" applyNumberFormat="1" applyFont="1" applyBorder="1" applyAlignment="1">
      <alignment horizontal="center" vertical="center" wrapText="1"/>
    </xf>
    <xf fontId="11" fillId="9" borderId="30" numFmtId="4" xfId="2" applyNumberFormat="1" applyFont="1" applyFill="1" applyBorder="1" applyAlignment="1">
      <alignment horizontal="center" vertical="center"/>
    </xf>
    <xf fontId="10" fillId="3" borderId="34" numFmtId="4" xfId="2" applyNumberFormat="1" applyFont="1" applyFill="1" applyBorder="1" applyAlignment="1">
      <alignment horizontal="center" vertical="center"/>
    </xf>
    <xf fontId="11" fillId="9" borderId="27" numFmtId="4" xfId="2" applyNumberFormat="1" applyFont="1" applyFill="1" applyBorder="1" applyAlignment="1">
      <alignment horizontal="center" vertical="center"/>
    </xf>
    <xf fontId="10" fillId="0" borderId="30" numFmtId="4" xfId="2" applyNumberFormat="1" applyFont="1" applyBorder="1" applyAlignment="1">
      <alignment horizontal="center" vertical="center" wrapText="1"/>
    </xf>
    <xf fontId="11" fillId="9" borderId="30" numFmtId="4" xfId="2" applyNumberFormat="1" applyFont="1" applyFill="1" applyBorder="1" applyAlignment="1">
      <alignment horizontal="center"/>
    </xf>
    <xf fontId="11" fillId="3" borderId="34" numFmtId="4" xfId="2" applyNumberFormat="1" applyFont="1" applyFill="1" applyBorder="1" applyAlignment="1">
      <alignment horizontal="center"/>
    </xf>
    <xf fontId="16" fillId="10" borderId="27" numFmtId="4" xfId="2" applyNumberFormat="1" applyFont="1" applyFill="1" applyBorder="1" applyAlignment="1">
      <alignment horizontal="center"/>
    </xf>
    <xf fontId="6" fillId="3" borderId="34" numFmtId="4" xfId="2" applyNumberFormat="1" applyFont="1" applyFill="1" applyBorder="1" applyAlignment="1">
      <alignment horizontal="center" vertical="top" wrapText="1"/>
    </xf>
    <xf fontId="6" fillId="8" borderId="34" numFmtId="4" xfId="2" applyNumberFormat="1" applyFont="1" applyFill="1" applyBorder="1" applyAlignment="1">
      <alignment horizontal="center" vertical="top" wrapText="1"/>
    </xf>
    <xf fontId="6" fillId="9" borderId="34" numFmtId="4" xfId="2" applyNumberFormat="1" applyFont="1" applyFill="1" applyBorder="1" applyAlignment="1">
      <alignment horizontal="center" vertical="center" wrapText="1"/>
    </xf>
    <xf fontId="12" fillId="4" borderId="34" numFmtId="4" xfId="2" applyNumberFormat="1" applyFont="1" applyFill="1" applyBorder="1" applyAlignment="1">
      <alignment horizontal="center" vertical="center" wrapText="1"/>
    </xf>
    <xf fontId="12" fillId="0" borderId="34" numFmtId="4" xfId="2" applyNumberFormat="1" applyFont="1" applyBorder="1" applyAlignment="1">
      <alignment horizontal="centerContinuous" vertical="distributed" wrapText="1"/>
    </xf>
    <xf fontId="12" fillId="0" borderId="34" numFmtId="4" xfId="2" applyNumberFormat="1" applyFont="1" applyBorder="1" applyAlignment="1">
      <alignment horizontal="center" vertical="center" wrapText="1"/>
    </xf>
    <xf fontId="17" fillId="3" borderId="34" numFmtId="4" xfId="2" applyNumberFormat="1" applyFont="1" applyFill="1" applyBorder="1" applyAlignment="1">
      <alignment horizontal="center" vertical="center" wrapText="1"/>
    </xf>
    <xf fontId="10" fillId="3" borderId="34" numFmtId="4" xfId="2" applyNumberFormat="1" applyFont="1" applyFill="1" applyBorder="1" applyAlignment="1">
      <alignment horizontal="center" vertical="top"/>
    </xf>
    <xf fontId="10" fillId="3" borderId="34" numFmtId="4" xfId="2" applyNumberFormat="1" applyFont="1" applyFill="1" applyBorder="1" applyAlignment="1">
      <alignment horizontal="center" vertical="center" wrapText="1"/>
    </xf>
    <xf fontId="12" fillId="3" borderId="34" numFmtId="4" xfId="2" applyNumberFormat="1" applyFont="1" applyFill="1" applyBorder="1" applyAlignment="1">
      <alignment horizontal="center" vertical="top" wrapText="1"/>
    </xf>
    <xf fontId="18" fillId="9" borderId="34" numFmtId="4" xfId="2" applyNumberFormat="1" applyFont="1" applyFill="1" applyBorder="1" applyAlignment="1">
      <alignment horizontal="center" vertical="center" wrapText="1"/>
    </xf>
    <xf fontId="10" fillId="9" borderId="34" numFmtId="4" xfId="2" applyNumberFormat="1" applyFont="1" applyFill="1" applyBorder="1" applyAlignment="1">
      <alignment horizontal="center" vertical="center" wrapText="1"/>
    </xf>
    <xf fontId="10" fillId="0" borderId="26" numFmtId="4" xfId="2" applyNumberFormat="1" applyFont="1" applyBorder="1" applyAlignment="1">
      <alignment horizontal="center" vertical="top" wrapText="1"/>
    </xf>
    <xf fontId="3" fillId="0" borderId="34" numFmtId="4" xfId="2" applyNumberFormat="1" applyFont="1" applyBorder="1" applyAlignment="1">
      <alignment horizontal="centerContinuous" vertical="distributed"/>
    </xf>
    <xf fontId="3" fillId="0" borderId="34" numFmtId="4" xfId="2" applyNumberFormat="1" applyFont="1" applyBorder="1" applyAlignment="1">
      <alignment horizontal="center"/>
    </xf>
    <xf fontId="10" fillId="5" borderId="27" numFmtId="4" xfId="2" applyNumberFormat="1" applyFont="1" applyFill="1" applyBorder="1" applyAlignment="1">
      <alignment horizontal="center" wrapText="1"/>
    </xf>
    <xf fontId="10" fillId="5" borderId="34" numFmtId="4" xfId="2" applyNumberFormat="1" applyFont="1" applyFill="1" applyBorder="1" applyAlignment="1">
      <alignment horizontal="center" wrapText="1"/>
    </xf>
    <xf fontId="10" fillId="5" borderId="26" numFmtId="4" xfId="2" applyNumberFormat="1" applyFont="1" applyFill="1" applyBorder="1" applyAlignment="1">
      <alignment horizontal="center" wrapText="1"/>
    </xf>
    <xf fontId="11" fillId="5" borderId="34" numFmtId="4" xfId="2" applyNumberFormat="1" applyFont="1" applyFill="1" applyBorder="1" applyAlignment="1">
      <alignment horizontal="center" wrapText="1"/>
    </xf>
    <xf fontId="10" fillId="5" borderId="30" numFmtId="4" xfId="2" applyNumberFormat="1" applyFont="1" applyFill="1" applyBorder="1" applyAlignment="1">
      <alignment horizontal="center" wrapText="1"/>
    </xf>
    <xf fontId="3" fillId="0" borderId="34" numFmtId="4" xfId="0" applyNumberFormat="1" applyFont="1" applyBorder="1" applyAlignment="1">
      <alignment horizontal="center" vertical="center" wrapText="1"/>
    </xf>
    <xf fontId="3" fillId="0" borderId="35" numFmtId="4" xfId="0" applyNumberFormat="1" applyFont="1" applyBorder="1" applyAlignment="1">
      <alignment horizontal="center" vertical="center" wrapText="1"/>
    </xf>
    <xf fontId="6" fillId="0" borderId="36" numFmtId="4" xfId="0" applyNumberFormat="1" applyFont="1" applyBorder="1" applyAlignment="1">
      <alignment horizontal="center" vertical="center" wrapText="1"/>
    </xf>
    <xf fontId="3" fillId="6" borderId="34" numFmtId="4" xfId="2" applyNumberFormat="1" applyFont="1" applyFill="1" applyBorder="1" applyAlignment="1">
      <alignment horizontal="center" wrapText="1"/>
    </xf>
    <xf fontId="5" fillId="6" borderId="34" numFmtId="4" xfId="2" applyNumberFormat="1" applyFont="1" applyFill="1" applyBorder="1" applyAlignment="1">
      <alignment horizontal="center" wrapText="1"/>
    </xf>
    <xf fontId="3" fillId="7" borderId="34" numFmtId="4" xfId="2" applyNumberFormat="1" applyFont="1" applyFill="1" applyBorder="1" applyAlignment="1">
      <alignment horizontal="center" wrapText="1"/>
    </xf>
    <xf fontId="5" fillId="7" borderId="34" numFmtId="4" xfId="2" applyNumberFormat="1" applyFont="1" applyFill="1" applyBorder="1" applyAlignment="1">
      <alignment horizontal="center" wrapText="1"/>
    </xf>
    <xf fontId="3" fillId="3" borderId="27" numFmtId="4" xfId="2" applyNumberFormat="1" applyFont="1" applyFill="1" applyBorder="1" applyAlignment="1">
      <alignment horizontal="center" vertical="center" wrapText="1"/>
    </xf>
    <xf fontId="3" fillId="3" borderId="34" numFmtId="4" xfId="2" applyNumberFormat="1" applyFont="1" applyFill="1" applyBorder="1" applyAlignment="1">
      <alignment horizontal="center" vertical="center" wrapText="1"/>
    </xf>
    <xf fontId="3" fillId="3" borderId="26" numFmtId="4" xfId="2" applyNumberFormat="1" applyFont="1" applyFill="1" applyBorder="1" applyAlignment="1">
      <alignment horizontal="center" vertical="center" wrapText="1"/>
    </xf>
    <xf fontId="3" fillId="3" borderId="37" numFmtId="4" xfId="2" applyNumberFormat="1" applyFont="1" applyFill="1" applyBorder="1" applyAlignment="1">
      <alignment horizontal="center" vertical="center" wrapText="1"/>
    </xf>
    <xf fontId="3" fillId="3" borderId="38" numFmtId="4" xfId="2" applyNumberFormat="1" applyFont="1" applyFill="1" applyBorder="1" applyAlignment="1">
      <alignment horizontal="center" vertical="center" wrapText="1"/>
    </xf>
    <xf fontId="3" fillId="3" borderId="39" numFmtId="4" xfId="2" applyNumberFormat="1" applyFont="1" applyFill="1" applyBorder="1" applyAlignment="1">
      <alignment horizontal="center" vertical="center" wrapText="1"/>
    </xf>
    <xf fontId="3" fillId="3" borderId="40" numFmtId="4" xfId="2" applyNumberFormat="1" applyFont="1" applyFill="1" applyBorder="1" applyAlignment="1">
      <alignment horizontal="center" vertical="center" wrapText="1"/>
    </xf>
    <xf fontId="10" fillId="0" borderId="0" numFmtId="4" xfId="2" applyNumberFormat="1" applyFont="1" applyAlignment="1">
      <alignment horizontal="center" vertical="center"/>
    </xf>
    <xf fontId="10" fillId="0" borderId="41" numFmtId="4" xfId="2" applyNumberFormat="1" applyFont="1" applyBorder="1" applyAlignment="1">
      <alignment horizontal="center" vertical="center" wrapText="1"/>
    </xf>
    <xf fontId="10" fillId="0" borderId="21" numFmtId="4" xfId="2" applyNumberFormat="1" applyFont="1" applyBorder="1" applyAlignment="1">
      <alignment horizontal="center" vertical="center" wrapText="1"/>
    </xf>
    <xf fontId="10" fillId="2" borderId="42" numFmtId="4" xfId="2" applyNumberFormat="1" applyFont="1" applyFill="1" applyBorder="1" applyAlignment="1">
      <alignment horizontal="center" vertical="center"/>
    </xf>
    <xf fontId="10" fillId="0" borderId="20" numFmtId="4" xfId="2" applyNumberFormat="1" applyFont="1" applyBorder="1" applyAlignment="1">
      <alignment horizontal="center" vertical="center"/>
    </xf>
    <xf fontId="10" fillId="0" borderId="42" numFmtId="4" xfId="2" applyNumberFormat="1" applyFont="1" applyBorder="1" applyAlignment="1">
      <alignment horizontal="center" vertical="center"/>
    </xf>
    <xf fontId="10" fillId="9" borderId="42" numFmtId="4" xfId="2" applyNumberFormat="1" applyFont="1" applyFill="1" applyBorder="1" applyAlignment="1">
      <alignment horizontal="center" vertical="center"/>
    </xf>
    <xf fontId="10" fillId="0" borderId="42" numFmtId="4" xfId="2" applyNumberFormat="1" applyFont="1" applyBorder="1" applyAlignment="1">
      <alignment horizontal="center" vertical="center" wrapText="1"/>
    </xf>
    <xf fontId="10" fillId="9" borderId="21" numFmtId="4" xfId="2" applyNumberFormat="1" applyFont="1" applyFill="1" applyBorder="1" applyAlignment="1">
      <alignment horizontal="center" vertical="center"/>
    </xf>
    <xf fontId="10" fillId="9" borderId="20" numFmtId="4" xfId="2" applyNumberFormat="1" applyFont="1" applyFill="1" applyBorder="1" applyAlignment="1">
      <alignment horizontal="center" vertical="center"/>
    </xf>
    <xf fontId="10" fillId="3" borderId="42" numFmtId="4" xfId="2" applyNumberFormat="1" applyFont="1" applyFill="1" applyBorder="1" applyAlignment="1">
      <alignment horizontal="center" vertical="center"/>
    </xf>
    <xf fontId="10" fillId="0" borderId="20" numFmtId="4" xfId="2" applyNumberFormat="1" applyFont="1" applyBorder="1" applyAlignment="1">
      <alignment horizontal="center" vertical="center" wrapText="1"/>
    </xf>
    <xf fontId="3" fillId="9" borderId="42" numFmtId="4" xfId="2" applyNumberFormat="1" applyFont="1" applyFill="1" applyBorder="1" applyAlignment="1">
      <alignment horizontal="right"/>
    </xf>
    <xf fontId="10" fillId="3" borderId="21" numFmtId="4" xfId="2" applyNumberFormat="1" applyFont="1" applyFill="1" applyBorder="1" applyAlignment="1">
      <alignment horizontal="center" vertical="center"/>
    </xf>
    <xf fontId="10" fillId="3" borderId="42" numFmtId="4" xfId="2" applyNumberFormat="1" applyFont="1" applyFill="1" applyBorder="1" applyAlignment="1">
      <alignment horizontal="center" vertical="center" wrapText="1"/>
    </xf>
    <xf fontId="10" fillId="9" borderId="42" numFmtId="4" xfId="2" applyNumberFormat="1" applyFont="1" applyFill="1" applyBorder="1" applyAlignment="1">
      <alignment horizontal="center" vertical="center" wrapText="1"/>
    </xf>
    <xf fontId="10" fillId="4" borderId="42" numFmtId="4" xfId="2" applyNumberFormat="1" applyFont="1" applyFill="1" applyBorder="1" applyAlignment="1">
      <alignment horizontal="center" vertical="center" wrapText="1"/>
    </xf>
    <xf fontId="10" fillId="3" borderId="21" numFmtId="4" xfId="2" applyNumberFormat="1" applyFont="1" applyFill="1" applyBorder="1" applyAlignment="1">
      <alignment horizontal="center" vertical="center" wrapText="1"/>
    </xf>
    <xf fontId="10" fillId="0" borderId="19" numFmtId="4" xfId="2" applyNumberFormat="1" applyFont="1" applyBorder="1" applyAlignment="1">
      <alignment horizontal="center" vertical="center" wrapText="1"/>
    </xf>
    <xf fontId="9" fillId="5" borderId="42" numFmtId="0" xfId="2" applyFont="1" applyFill="1" applyBorder="1" applyAlignment="1">
      <alignment horizontal="center" wrapText="1"/>
    </xf>
    <xf fontId="9" fillId="5" borderId="19" numFmtId="0" xfId="2" applyFont="1" applyFill="1" applyBorder="1" applyAlignment="1">
      <alignment horizontal="center" wrapText="1"/>
    </xf>
    <xf fontId="9" fillId="5" borderId="18" numFmtId="0" xfId="2" applyFont="1" applyFill="1" applyBorder="1" applyAlignment="1">
      <alignment horizontal="center" wrapText="1"/>
    </xf>
    <xf fontId="9" fillId="5" borderId="21" numFmtId="0" xfId="2" applyFont="1" applyFill="1" applyBorder="1" applyAlignment="1">
      <alignment horizontal="center" wrapText="1"/>
    </xf>
    <xf fontId="3" fillId="0" borderId="42" numFmtId="4" xfId="0" applyNumberFormat="1" applyFont="1" applyBorder="1" applyAlignment="1">
      <alignment wrapText="1"/>
    </xf>
    <xf fontId="4" fillId="0" borderId="19" numFmtId="4" xfId="0" applyNumberFormat="1" applyFont="1" applyBorder="1" applyAlignment="1">
      <alignment wrapText="1"/>
    </xf>
    <xf fontId="6" fillId="0" borderId="43" numFmtId="4" xfId="0" applyNumberFormat="1" applyFont="1" applyBorder="1" applyAlignment="1">
      <alignment wrapText="1"/>
    </xf>
    <xf fontId="3" fillId="0" borderId="43" numFmtId="4" xfId="0" applyNumberFormat="1" applyFont="1" applyBorder="1" applyAlignment="1">
      <alignment wrapText="1"/>
    </xf>
    <xf fontId="10" fillId="6" borderId="42" numFmtId="4" xfId="2" applyNumberFormat="1" applyFont="1" applyFill="1" applyBorder="1" applyAlignment="1">
      <alignment horizontal="center" vertical="center" wrapText="1"/>
    </xf>
    <xf fontId="14" fillId="6" borderId="42" numFmtId="4" xfId="2" applyNumberFormat="1" applyFont="1" applyFill="1" applyBorder="1" applyAlignment="1">
      <alignment horizontal="center" vertical="center" wrapText="1"/>
    </xf>
    <xf fontId="10" fillId="7" borderId="42" numFmtId="4" xfId="2" applyNumberFormat="1" applyFont="1" applyFill="1" applyBorder="1" applyAlignment="1">
      <alignment horizontal="center" vertical="center" wrapText="1"/>
    </xf>
    <xf fontId="10" fillId="0" borderId="19" numFmtId="4" xfId="2" applyNumberFormat="1" applyFont="1" applyBorder="1" applyAlignment="1">
      <alignment horizontal="center" vertical="center"/>
    </xf>
    <xf fontId="10" fillId="0" borderId="44" numFmtId="4" xfId="2" applyNumberFormat="1" applyFont="1" applyBorder="1" applyAlignment="1">
      <alignment horizontal="center" vertical="center"/>
    </xf>
    <xf fontId="10" fillId="0" borderId="21" numFmtId="4" xfId="2" applyNumberFormat="1" applyFont="1" applyBorder="1" applyAlignment="1">
      <alignment horizontal="center" vertical="center"/>
    </xf>
    <xf fontId="10" fillId="0" borderId="45" numFmtId="4" xfId="2" applyNumberFormat="1" applyFont="1" applyBorder="1" applyAlignment="1">
      <alignment horizontal="center" vertical="center"/>
    </xf>
    <xf fontId="10" fillId="0" borderId="46" numFmtId="4" xfId="2" applyNumberFormat="1" applyFont="1" applyBorder="1" applyAlignment="1">
      <alignment horizontal="center" vertical="center"/>
    </xf>
    <xf fontId="10" fillId="0" borderId="21" numFmtId="3" xfId="2" applyNumberFormat="1" applyFont="1" applyBorder="1" applyAlignment="1">
      <alignment horizontal="center" vertical="center"/>
    </xf>
    <xf fontId="10" fillId="0" borderId="7" numFmtId="4" xfId="2" applyNumberFormat="1" applyFont="1" applyBorder="1" applyAlignment="1">
      <alignment horizontal="center" vertical="center"/>
    </xf>
    <xf fontId="10" fillId="0" borderId="8" numFmtId="4" xfId="2" applyNumberFormat="1" applyFont="1" applyBorder="1" applyAlignment="1">
      <alignment horizontal="center" vertical="center"/>
    </xf>
    <xf fontId="10" fillId="0" borderId="0" numFmtId="3" xfId="2" applyNumberFormat="1" applyFont="1" applyAlignment="1">
      <alignment horizontal="center" vertical="center"/>
    </xf>
    <xf fontId="10" fillId="0" borderId="7" numFmtId="3" xfId="2" applyNumberFormat="1" applyFont="1" applyBorder="1" applyAlignment="1">
      <alignment horizontal="center" vertical="center"/>
    </xf>
    <xf fontId="10" fillId="0" borderId="9" numFmtId="4" xfId="2" applyNumberFormat="1" applyFont="1" applyBorder="1" applyAlignment="1">
      <alignment horizontal="center" vertical="center"/>
    </xf>
    <xf fontId="10" fillId="0" borderId="10" numFmtId="4" xfId="2" applyNumberFormat="1" applyFont="1" applyBorder="1" applyAlignment="1">
      <alignment horizontal="center" vertical="center"/>
    </xf>
    <xf fontId="6" fillId="0" borderId="42" numFmtId="4" xfId="2" applyNumberFormat="1" applyFont="1" applyBorder="1" applyAlignment="1">
      <alignment vertical="center" wrapText="1"/>
    </xf>
    <xf fontId="6" fillId="2" borderId="42" numFmtId="4" xfId="2" applyNumberFormat="1" applyFont="1" applyFill="1" applyBorder="1" applyAlignment="1">
      <alignment horizontal="right"/>
    </xf>
    <xf fontId="6" fillId="0" borderId="42" numFmtId="4" xfId="2" applyNumberFormat="1" applyFont="1" applyBorder="1" applyAlignment="1">
      <alignment horizontal="right"/>
    </xf>
    <xf fontId="6" fillId="9" borderId="42" numFmtId="4" xfId="2" applyNumberFormat="1" applyFont="1" applyFill="1" applyBorder="1" applyAlignment="1">
      <alignment horizontal="center"/>
    </xf>
    <xf fontId="6" fillId="0" borderId="42" numFmtId="4" xfId="2" applyNumberFormat="1" applyFont="1" applyBorder="1" applyAlignment="1">
      <alignment horizontal="center" wrapText="1"/>
    </xf>
    <xf fontId="6" fillId="0" borderId="42" numFmtId="4" xfId="2" applyNumberFormat="1" applyFont="1" applyBorder="1" applyAlignment="1">
      <alignment horizontal="center"/>
    </xf>
    <xf fontId="6" fillId="3" borderId="42" numFmtId="4" xfId="2" applyNumberFormat="1" applyFont="1" applyFill="1" applyBorder="1" applyAlignment="1">
      <alignment horizontal="center"/>
    </xf>
    <xf fontId="6" fillId="3" borderId="42" numFmtId="4" xfId="2" applyNumberFormat="1" applyFont="1" applyFill="1" applyBorder="1" applyAlignment="1">
      <alignment horizontal="center" wrapText="1"/>
    </xf>
    <xf fontId="6" fillId="9" borderId="42" numFmtId="4" xfId="2" applyNumberFormat="1" applyFont="1" applyFill="1" applyBorder="1" applyAlignment="1">
      <alignment horizontal="center" wrapText="1"/>
    </xf>
    <xf fontId="6" fillId="4" borderId="42" numFmtId="4" xfId="2" applyNumberFormat="1" applyFont="1" applyFill="1" applyBorder="1" applyAlignment="1">
      <alignment horizontal="center" wrapText="1"/>
    </xf>
    <xf fontId="3" fillId="3" borderId="42" numFmtId="4" xfId="2" applyNumberFormat="1" applyFont="1" applyFill="1" applyBorder="1" applyAlignment="1">
      <alignment horizontal="center"/>
    </xf>
    <xf fontId="3" fillId="9" borderId="42" numFmtId="4" xfId="2" applyNumberFormat="1" applyFont="1" applyFill="1" applyBorder="1"/>
    <xf fontId="3" fillId="3" borderId="42" numFmtId="4" xfId="2" applyNumberFormat="1" applyFont="1" applyFill="1" applyBorder="1"/>
    <xf fontId="3" fillId="0" borderId="42" numFmtId="4" xfId="2" applyNumberFormat="1" applyFont="1" applyBorder="1" applyAlignment="1">
      <alignment horizontal="center"/>
    </xf>
    <xf fontId="3" fillId="0" borderId="25" numFmtId="4" xfId="2" applyNumberFormat="1" applyFont="1" applyBorder="1"/>
    <xf fontId="6" fillId="5" borderId="8" numFmtId="4" xfId="2" applyNumberFormat="1" applyFont="1" applyFill="1" applyBorder="1" applyAlignment="1">
      <alignment horizontal="center" wrapText="1"/>
    </xf>
    <xf fontId="6" fillId="5" borderId="0" numFmtId="4" xfId="2" applyNumberFormat="1" applyFont="1" applyFill="1" applyAlignment="1">
      <alignment horizontal="center" wrapText="1"/>
    </xf>
    <xf fontId="6" fillId="5" borderId="25" numFmtId="4" xfId="2" applyNumberFormat="1" applyFont="1" applyFill="1" applyBorder="1" applyAlignment="1">
      <alignment horizontal="center" wrapText="1"/>
    </xf>
    <xf fontId="6" fillId="5" borderId="7" numFmtId="4" xfId="2" applyNumberFormat="1" applyFont="1" applyFill="1" applyBorder="1" applyAlignment="1">
      <alignment horizontal="center" wrapText="1"/>
    </xf>
    <xf fontId="3" fillId="5" borderId="7" numFmtId="4" xfId="2" applyNumberFormat="1" applyFont="1" applyFill="1" applyBorder="1" applyAlignment="1">
      <alignment horizontal="right" wrapText="1"/>
    </xf>
    <xf fontId="3" fillId="0" borderId="19" numFmtId="4" xfId="0" applyNumberFormat="1" applyFont="1" applyBorder="1" applyAlignment="1">
      <alignment wrapText="1"/>
    </xf>
    <xf fontId="6" fillId="0" borderId="29" numFmtId="166" xfId="5" applyNumberFormat="1" applyFont="1" applyBorder="1" applyAlignment="1">
      <alignment wrapText="1"/>
    </xf>
    <xf fontId="6" fillId="6" borderId="25" numFmtId="4" xfId="2" applyNumberFormat="1" applyFont="1" applyFill="1" applyBorder="1" applyAlignment="1">
      <alignment horizontal="center"/>
    </xf>
    <xf fontId="19" fillId="6" borderId="25" numFmtId="4" xfId="2" applyNumberFormat="1" applyFont="1" applyFill="1" applyBorder="1" applyAlignment="1">
      <alignment horizontal="center"/>
    </xf>
    <xf fontId="6" fillId="7" borderId="25" numFmtId="4" xfId="2" applyNumberFormat="1" applyFont="1" applyFill="1" applyBorder="1" applyAlignment="1">
      <alignment horizontal="center"/>
    </xf>
    <xf fontId="3" fillId="0" borderId="42" numFmtId="4" xfId="2" applyNumberFormat="1" applyFont="1" applyBorder="1"/>
    <xf fontId="3" fillId="0" borderId="42" numFmtId="3" xfId="2" applyNumberFormat="1" applyFont="1" applyBorder="1"/>
    <xf fontId="3" fillId="0" borderId="19" numFmtId="4" xfId="2" applyNumberFormat="1" applyFont="1" applyBorder="1"/>
    <xf fontId="3" fillId="0" borderId="43" numFmtId="4" xfId="2" applyNumberFormat="1" applyFont="1" applyBorder="1"/>
    <xf fontId="3" fillId="0" borderId="21" numFmtId="4" xfId="2" applyNumberFormat="1" applyFont="1" applyBorder="1"/>
    <xf fontId="3" fillId="0" borderId="41" numFmtId="4" xfId="2" applyNumberFormat="1" applyFont="1" applyBorder="1"/>
    <xf fontId="3" fillId="0" borderId="47" numFmtId="4" xfId="2" applyNumberFormat="1" applyFont="1" applyBorder="1"/>
    <xf fontId="3" fillId="0" borderId="21" numFmtId="3" xfId="2" applyNumberFormat="1" applyFont="1" applyBorder="1" applyAlignment="1">
      <alignment horizontal="center" vertical="center"/>
    </xf>
    <xf fontId="3" fillId="0" borderId="0" numFmtId="3" xfId="2" applyNumberFormat="1" applyFont="1"/>
    <xf fontId="3" fillId="0" borderId="0" numFmtId="3" xfId="2" applyNumberFormat="1" applyFont="1" applyAlignment="1">
      <alignment horizontal="center" vertical="center"/>
    </xf>
    <xf fontId="3" fillId="0" borderId="7" numFmtId="3" xfId="2" applyNumberFormat="1" applyFont="1" applyBorder="1" applyAlignment="1">
      <alignment horizontal="center" vertical="center"/>
    </xf>
    <xf fontId="3" fillId="0" borderId="18" numFmtId="4" xfId="2" applyNumberFormat="1" applyFont="1" applyBorder="1" applyAlignment="1">
      <alignment vertical="center" wrapText="1"/>
    </xf>
    <xf fontId="3" fillId="2" borderId="42" numFmtId="4" xfId="2" applyNumberFormat="1" applyFont="1" applyFill="1" applyBorder="1" applyAlignment="1">
      <alignment horizontal="right"/>
    </xf>
    <xf fontId="3" fillId="0" borderId="42" numFmtId="4" xfId="2" applyNumberFormat="1" applyFont="1" applyBorder="1" applyAlignment="1">
      <alignment horizontal="right"/>
    </xf>
    <xf fontId="3" fillId="0" borderId="42" numFmtId="4" xfId="2" applyNumberFormat="1" applyFont="1" applyBorder="1" applyAlignment="1">
      <alignment horizontal="right" wrapText="1"/>
    </xf>
    <xf fontId="3" fillId="3" borderId="42" numFmtId="4" xfId="2" applyNumberFormat="1" applyFont="1" applyFill="1" applyBorder="1" applyAlignment="1">
      <alignment horizontal="right"/>
    </xf>
    <xf fontId="3" fillId="3" borderId="42" numFmtId="4" xfId="2" applyNumberFormat="1" applyFont="1" applyFill="1" applyBorder="1" applyAlignment="1">
      <alignment horizontal="right" wrapText="1"/>
    </xf>
    <xf fontId="3" fillId="9" borderId="42" numFmtId="3" xfId="2" applyNumberFormat="1" applyFont="1" applyFill="1" applyBorder="1" applyAlignment="1">
      <alignment horizontal="center" vertical="center" wrapText="1"/>
    </xf>
    <xf fontId="3" fillId="4" borderId="42" numFmtId="4" xfId="2" applyNumberFormat="1" applyFont="1" applyFill="1" applyBorder="1" applyAlignment="1">
      <alignment horizontal="right" wrapText="1"/>
    </xf>
    <xf fontId="3" fillId="3" borderId="42" numFmtId="1" xfId="2" applyNumberFormat="1" applyFont="1" applyFill="1" applyBorder="1" applyAlignment="1">
      <alignment horizontal="center" vertical="center"/>
    </xf>
    <xf fontId="3" fillId="3" borderId="42" numFmtId="3" xfId="2" applyNumberFormat="1" applyFont="1" applyFill="1" applyBorder="1" applyAlignment="1">
      <alignment horizontal="center" vertical="center"/>
    </xf>
    <xf fontId="3" fillId="9" borderId="42" numFmtId="4" xfId="0" applyNumberFormat="1" applyFont="1" applyFill="1" applyBorder="1"/>
    <xf fontId="3" fillId="11" borderId="8" numFmtId="4" xfId="2" applyNumberFormat="1" applyFont="1" applyFill="1" applyBorder="1" applyAlignment="1">
      <alignment horizontal="right" wrapText="1"/>
    </xf>
    <xf fontId="3" fillId="11" borderId="0" numFmtId="4" xfId="2" applyNumberFormat="1" applyFont="1" applyFill="1" applyAlignment="1">
      <alignment horizontal="right" wrapText="1"/>
    </xf>
    <xf fontId="3" fillId="11" borderId="25" numFmtId="4" xfId="2" applyNumberFormat="1" applyFont="1" applyFill="1" applyBorder="1" applyAlignment="1">
      <alignment horizontal="right" wrapText="1"/>
    </xf>
    <xf fontId="3" fillId="11" borderId="7" numFmtId="4" xfId="2" applyNumberFormat="1" applyFont="1" applyFill="1" applyBorder="1" applyAlignment="1">
      <alignment horizontal="right" wrapText="1"/>
    </xf>
    <xf fontId="3" fillId="5" borderId="25" numFmtId="4" xfId="2" applyNumberFormat="1" applyFont="1" applyFill="1" applyBorder="1" applyAlignment="1">
      <alignment horizontal="right" wrapText="1"/>
    </xf>
    <xf fontId="3" fillId="5" borderId="0" numFmtId="4" xfId="2" applyNumberFormat="1" applyFont="1" applyFill="1" applyAlignment="1">
      <alignment horizontal="right" wrapText="1"/>
    </xf>
    <xf fontId="3" fillId="9" borderId="42" numFmtId="166" xfId="2" applyNumberFormat="1" applyFont="1" applyFill="1" applyBorder="1" applyAlignment="1">
      <alignment horizontal="right" wrapText="1"/>
    </xf>
    <xf fontId="4" fillId="3" borderId="19" numFmtId="166" xfId="5" applyNumberFormat="1" applyFont="1" applyFill="1" applyBorder="1" applyAlignment="1">
      <alignment horizontal="right" wrapText="1"/>
    </xf>
    <xf fontId="20" fillId="0" borderId="29" numFmtId="166" xfId="5" applyNumberFormat="1" applyFont="1" applyBorder="1" applyAlignment="1">
      <alignment wrapText="1"/>
    </xf>
    <xf fontId="4" fillId="0" borderId="29" numFmtId="167" xfId="0" applyNumberFormat="1" applyFont="1" applyBorder="1" applyAlignment="1">
      <alignment wrapText="1"/>
    </xf>
    <xf fontId="3" fillId="6" borderId="25" numFmtId="4" xfId="2" applyNumberFormat="1" applyFont="1" applyFill="1" applyBorder="1" applyAlignment="1">
      <alignment horizontal="right"/>
    </xf>
    <xf fontId="5" fillId="6" borderId="25" numFmtId="4" xfId="2" applyNumberFormat="1" applyFont="1" applyFill="1" applyBorder="1" applyAlignment="1">
      <alignment horizontal="right"/>
    </xf>
    <xf fontId="3" fillId="7" borderId="25" numFmtId="4" xfId="2" applyNumberFormat="1" applyFont="1" applyFill="1" applyBorder="1" applyAlignment="1">
      <alignment horizontal="right"/>
    </xf>
    <xf fontId="3" fillId="0" borderId="19" numFmtId="3" xfId="2" applyNumberFormat="1" applyFont="1" applyBorder="1"/>
    <xf fontId="3" fillId="0" borderId="43" numFmtId="166" xfId="5" applyNumberFormat="1" applyFont="1" applyBorder="1" applyAlignment="1">
      <alignment horizontal="center" vertical="center"/>
    </xf>
    <xf fontId="3" fillId="0" borderId="41" numFmtId="166" xfId="5" applyNumberFormat="1" applyFont="1" applyBorder="1" applyAlignment="1">
      <alignment horizontal="center" vertical="center"/>
    </xf>
    <xf fontId="3" fillId="0" borderId="47" numFmtId="166" xfId="5" applyNumberFormat="1" applyFont="1" applyBorder="1" applyAlignment="1">
      <alignment horizontal="center" vertical="center"/>
    </xf>
    <xf fontId="3" fillId="0" borderId="42" numFmtId="3" xfId="2" applyNumberFormat="1" applyFont="1" applyBorder="1" applyAlignment="1">
      <alignment horizontal="center"/>
    </xf>
    <xf fontId="3" fillId="0" borderId="19" numFmtId="3" xfId="2" applyNumberFormat="1" applyFont="1" applyBorder="1" applyAlignment="1">
      <alignment horizontal="center"/>
    </xf>
    <xf fontId="3" fillId="0" borderId="41" numFmtId="3" xfId="5" applyNumberFormat="1" applyFont="1" applyBorder="1" applyAlignment="1">
      <alignment horizontal="center" vertical="center"/>
    </xf>
    <xf fontId="3" fillId="0" borderId="47" numFmtId="166" xfId="5" applyNumberFormat="1" applyFont="1" applyBorder="1" applyAlignment="1">
      <alignment vertical="center"/>
    </xf>
    <xf fontId="3" fillId="0" borderId="1" numFmtId="3" xfId="2" applyNumberFormat="1" applyFont="1" applyBorder="1"/>
    <xf fontId="3" fillId="0" borderId="2" numFmtId="3" xfId="2" applyNumberFormat="1" applyFont="1" applyBorder="1"/>
    <xf fontId="3" fillId="0" borderId="2" numFmtId="4" xfId="2" applyNumberFormat="1" applyFont="1" applyBorder="1"/>
    <xf fontId="3" fillId="0" borderId="1" numFmtId="4" xfId="2" applyNumberFormat="1" applyFont="1" applyBorder="1"/>
    <xf fontId="3" fillId="0" borderId="3" numFmtId="4" xfId="2" applyNumberFormat="1" applyFont="1" applyBorder="1"/>
    <xf fontId="3" fillId="0" borderId="1" numFmtId="3" xfId="2" applyNumberFormat="1" applyFont="1" applyBorder="1" applyAlignment="1">
      <alignment horizontal="center"/>
    </xf>
    <xf fontId="3" fillId="0" borderId="2" numFmtId="3" xfId="2" applyNumberFormat="1" applyFont="1" applyBorder="1" applyAlignment="1">
      <alignment horizontal="center"/>
    </xf>
    <xf fontId="3" fillId="0" borderId="2" numFmtId="3" xfId="2" applyNumberFormat="1" applyFont="1" applyBorder="1" applyAlignment="1">
      <alignment horizontal="center" vertical="center"/>
    </xf>
    <xf fontId="3" fillId="0" borderId="1" numFmtId="3" xfId="2" applyNumberFormat="1" applyFont="1" applyBorder="1" applyAlignment="1">
      <alignment horizontal="center" vertical="center"/>
    </xf>
    <xf fontId="3" fillId="0" borderId="2" numFmtId="4" xfId="2" applyNumberFormat="1" applyFont="1" applyBorder="1" applyAlignment="1">
      <alignment horizontal="center" vertical="center"/>
    </xf>
    <xf fontId="3" fillId="0" borderId="3" numFmtId="4" xfId="2" applyNumberFormat="1" applyFont="1" applyBorder="1" applyAlignment="1">
      <alignment horizontal="center" vertical="center"/>
    </xf>
    <xf fontId="3" fillId="0" borderId="3" numFmtId="3" xfId="2" applyNumberFormat="1" applyFont="1" applyBorder="1" applyAlignment="1">
      <alignment horizontal="center" vertical="center"/>
    </xf>
    <xf fontId="3" fillId="0" borderId="48" numFmtId="3" xfId="2" applyNumberFormat="1" applyFont="1" applyBorder="1"/>
    <xf fontId="3" fillId="0" borderId="49" numFmtId="4" xfId="2" applyNumberFormat="1" applyFont="1" applyBorder="1"/>
    <xf fontId="3" fillId="0" borderId="34" numFmtId="4" xfId="0" applyNumberFormat="1" applyFont="1" applyBorder="1" applyAlignment="1">
      <alignment vertical="center" wrapText="1"/>
    </xf>
    <xf fontId="3" fillId="2" borderId="42" numFmtId="4" xfId="2" applyNumberFormat="1" applyFont="1" applyFill="1" applyBorder="1"/>
    <xf fontId="13" fillId="0" borderId="42" numFmtId="4" xfId="2" applyNumberFormat="1" applyFont="1" applyBorder="1" applyAlignment="1">
      <alignment horizontal="right"/>
    </xf>
    <xf fontId="13" fillId="0" borderId="42" numFmtId="4" xfId="2" applyNumberFormat="1" applyFont="1" applyBorder="1" applyAlignment="1">
      <alignment horizontal="right" wrapText="1"/>
    </xf>
    <xf fontId="13" fillId="3" borderId="42" numFmtId="4" xfId="2" applyNumberFormat="1" applyFont="1" applyFill="1" applyBorder="1" applyAlignment="1">
      <alignment horizontal="right"/>
    </xf>
    <xf fontId="3" fillId="0" borderId="42" numFmtId="4" xfId="2" applyNumberFormat="1" applyFont="1" applyBorder="1" applyAlignment="1">
      <alignment wrapText="1"/>
    </xf>
    <xf fontId="18" fillId="0" borderId="42" numFmtId="4" xfId="2" applyNumberFormat="1" applyFont="1" applyBorder="1" applyAlignment="1">
      <alignment horizontal="right" wrapText="1"/>
    </xf>
    <xf fontId="13" fillId="3" borderId="42" numFmtId="4" xfId="2" applyNumberFormat="1" applyFont="1" applyFill="1" applyBorder="1" applyAlignment="1">
      <alignment horizontal="right" wrapText="1"/>
    </xf>
    <xf fontId="3" fillId="9" borderId="42" numFmtId="3" xfId="0" applyNumberFormat="1" applyFont="1" applyFill="1" applyBorder="1" applyAlignment="1">
      <alignment horizontal="center" vertical="center" wrapText="1"/>
    </xf>
    <xf fontId="4" fillId="0" borderId="29" numFmtId="4" xfId="0" applyNumberFormat="1" applyFont="1" applyBorder="1" applyAlignment="1">
      <alignment wrapText="1"/>
    </xf>
    <xf fontId="3" fillId="6" borderId="25" numFmtId="4" xfId="2" applyNumberFormat="1" applyFont="1" applyFill="1" applyBorder="1"/>
    <xf fontId="5" fillId="6" borderId="25" numFmtId="4" xfId="2" applyNumberFormat="1" applyFont="1" applyFill="1" applyBorder="1"/>
    <xf fontId="3" fillId="7" borderId="25" numFmtId="4" xfId="2" applyNumberFormat="1" applyFont="1" applyFill="1" applyBorder="1"/>
    <xf fontId="3" fillId="0" borderId="26" numFmtId="3" xfId="2" applyNumberFormat="1" applyFont="1" applyBorder="1"/>
    <xf fontId="3" fillId="0" borderId="30" numFmtId="3" xfId="2" applyNumberFormat="1" applyFont="1" applyBorder="1"/>
    <xf fontId="3" fillId="0" borderId="30" numFmtId="4" xfId="2" applyNumberFormat="1" applyFont="1" applyBorder="1"/>
    <xf fontId="3" fillId="0" borderId="26" numFmtId="4" xfId="2" applyNumberFormat="1" applyFont="1" applyBorder="1"/>
    <xf fontId="4" fillId="0" borderId="30" numFmtId="4" xfId="2" applyNumberFormat="1" applyFont="1" applyBorder="1"/>
    <xf fontId="3" fillId="0" borderId="27" numFmtId="4" xfId="2" applyNumberFormat="1" applyFont="1" applyBorder="1"/>
    <xf fontId="3" fillId="0" borderId="26" numFmtId="3" xfId="2" applyNumberFormat="1" applyFont="1" applyBorder="1" applyAlignment="1">
      <alignment horizontal="center"/>
    </xf>
    <xf fontId="3" fillId="0" borderId="30" numFmtId="3" xfId="2" applyNumberFormat="1" applyFont="1" applyBorder="1" applyAlignment="1">
      <alignment horizontal="center"/>
    </xf>
    <xf fontId="3" fillId="0" borderId="30" numFmtId="3" xfId="2" applyNumberFormat="1" applyFont="1" applyBorder="1" applyAlignment="1">
      <alignment horizontal="center" vertical="center"/>
    </xf>
    <xf fontId="3" fillId="0" borderId="26" numFmtId="3" xfId="2" applyNumberFormat="1" applyFont="1" applyBorder="1" applyAlignment="1">
      <alignment horizontal="center" vertical="center"/>
    </xf>
    <xf fontId="4" fillId="0" borderId="30" numFmtId="3" xfId="2" applyNumberFormat="1" applyFont="1" applyBorder="1" applyAlignment="1">
      <alignment horizontal="center" vertical="center"/>
    </xf>
    <xf fontId="4" fillId="0" borderId="26" numFmtId="3" xfId="2" applyNumberFormat="1" applyFont="1" applyBorder="1" applyAlignment="1">
      <alignment horizontal="center" vertical="center"/>
    </xf>
    <xf fontId="3" fillId="0" borderId="31" numFmtId="4" xfId="2" applyNumberFormat="1" applyFont="1" applyBorder="1"/>
    <xf fontId="3" fillId="0" borderId="32" numFmtId="4" xfId="2" applyNumberFormat="1" applyFont="1" applyBorder="1"/>
    <xf fontId="3" fillId="0" borderId="7" numFmtId="3" xfId="2" applyNumberFormat="1" applyFont="1" applyBorder="1" applyAlignment="1">
      <alignment horizontal="center"/>
    </xf>
    <xf fontId="3" fillId="0" borderId="0" numFmtId="3" xfId="2" applyNumberFormat="1" applyFont="1" applyAlignment="1">
      <alignment horizontal="center"/>
    </xf>
    <xf fontId="3" fillId="0" borderId="0" numFmtId="4" xfId="2" applyNumberFormat="1" applyFont="1" applyAlignment="1">
      <alignment horizontal="center" vertical="center"/>
    </xf>
    <xf fontId="3" fillId="0" borderId="8" numFmtId="4" xfId="2" applyNumberFormat="1" applyFont="1" applyBorder="1" applyAlignment="1">
      <alignment horizontal="center" vertical="center"/>
    </xf>
    <xf fontId="13" fillId="6" borderId="25" numFmtId="4" xfId="2" applyNumberFormat="1" applyFont="1" applyFill="1" applyBorder="1" applyAlignment="1">
      <alignment horizontal="right"/>
    </xf>
    <xf fontId="13" fillId="7" borderId="25" numFmtId="4" xfId="2" applyNumberFormat="1" applyFont="1" applyFill="1" applyBorder="1" applyAlignment="1">
      <alignment horizontal="right"/>
    </xf>
    <xf fontId="4" fillId="0" borderId="0" numFmtId="3" xfId="2" applyNumberFormat="1" applyFont="1" applyAlignment="1">
      <alignment horizontal="center" vertical="center"/>
    </xf>
    <xf fontId="4" fillId="0" borderId="7" numFmtId="3" xfId="2" applyNumberFormat="1" applyFont="1" applyBorder="1" applyAlignment="1">
      <alignment horizontal="center" vertical="center"/>
    </xf>
    <xf fontId="5" fillId="9" borderId="42" numFmtId="4" xfId="2" applyNumberFormat="1" applyFont="1" applyFill="1" applyBorder="1" applyAlignment="1">
      <alignment horizontal="right"/>
    </xf>
    <xf fontId="5" fillId="0" borderId="42" numFmtId="4" xfId="2" applyNumberFormat="1" applyFont="1" applyBorder="1" applyAlignment="1">
      <alignment horizontal="right"/>
    </xf>
    <xf fontId="13" fillId="2" borderId="42" numFmtId="4" xfId="2" applyNumberFormat="1" applyFont="1" applyFill="1" applyBorder="1" applyAlignment="1">
      <alignment horizontal="right"/>
    </xf>
    <xf fontId="13" fillId="9" borderId="42" numFmtId="4" xfId="2" applyNumberFormat="1" applyFont="1" applyFill="1" applyBorder="1" applyAlignment="1">
      <alignment horizontal="right"/>
    </xf>
    <xf fontId="19" fillId="2" borderId="42" numFmtId="4" xfId="2" applyNumberFormat="1" applyFont="1" applyFill="1" applyBorder="1" applyAlignment="1">
      <alignment horizontal="right"/>
    </xf>
    <xf fontId="5" fillId="3" borderId="42" numFmtId="4" xfId="2" applyNumberFormat="1" applyFont="1" applyFill="1" applyBorder="1" applyAlignment="1">
      <alignment horizontal="right"/>
    </xf>
    <xf fontId="3" fillId="5" borderId="8" numFmtId="4" xfId="2" applyNumberFormat="1" applyFont="1" applyFill="1" applyBorder="1" applyAlignment="1">
      <alignment horizontal="right" wrapText="1"/>
    </xf>
    <xf fontId="3" fillId="5" borderId="25" numFmtId="4" xfId="2" applyNumberFormat="1" applyFont="1" applyFill="1" applyBorder="1" applyAlignment="1">
      <alignment wrapText="1"/>
    </xf>
    <xf fontId="3" fillId="11" borderId="25" numFmtId="4" xfId="0" applyNumberFormat="1" applyFont="1" applyFill="1" applyBorder="1" applyAlignment="1">
      <alignment wrapText="1"/>
    </xf>
    <xf fontId="3" fillId="11" borderId="0" numFmtId="4" xfId="0" applyNumberFormat="1" applyFont="1" applyFill="1" applyAlignment="1">
      <alignment wrapText="1"/>
    </xf>
    <xf fontId="4" fillId="0" borderId="1" numFmtId="3" xfId="2" applyNumberFormat="1" applyFont="1" applyBorder="1" applyAlignment="1">
      <alignment horizontal="center" vertical="center"/>
    </xf>
    <xf fontId="3" fillId="0" borderId="25" numFmtId="4" xfId="0" applyNumberFormat="1" applyFont="1" applyBorder="1" applyAlignment="1">
      <alignment vertical="center" wrapText="1"/>
    </xf>
    <xf fontId="3" fillId="2" borderId="18" numFmtId="4" xfId="2" applyNumberFormat="1" applyFont="1" applyFill="1" applyBorder="1" applyAlignment="1">
      <alignment horizontal="right"/>
    </xf>
    <xf fontId="13" fillId="0" borderId="18" numFmtId="4" xfId="2" applyNumberFormat="1" applyFont="1" applyBorder="1" applyAlignment="1">
      <alignment horizontal="right"/>
    </xf>
    <xf fontId="3" fillId="9" borderId="18" numFmtId="4" xfId="2" applyNumberFormat="1" applyFont="1" applyFill="1" applyBorder="1" applyAlignment="1">
      <alignment horizontal="right"/>
    </xf>
    <xf fontId="13" fillId="0" borderId="18" numFmtId="4" xfId="2" applyNumberFormat="1" applyFont="1" applyBorder="1" applyAlignment="1">
      <alignment horizontal="right" wrapText="1"/>
    </xf>
    <xf fontId="13" fillId="9" borderId="18" numFmtId="4" xfId="2" applyNumberFormat="1" applyFont="1" applyFill="1" applyBorder="1" applyAlignment="1">
      <alignment horizontal="right"/>
    </xf>
    <xf fontId="3" fillId="9" borderId="18" numFmtId="4" xfId="2" applyNumberFormat="1" applyFont="1" applyFill="1" applyBorder="1"/>
    <xf fontId="13" fillId="3" borderId="18" numFmtId="4" xfId="2" applyNumberFormat="1" applyFont="1" applyFill="1" applyBorder="1" applyAlignment="1">
      <alignment horizontal="right"/>
    </xf>
    <xf fontId="3" fillId="0" borderId="18" numFmtId="4" xfId="2" applyNumberFormat="1" applyFont="1" applyBorder="1" applyAlignment="1">
      <alignment horizontal="right"/>
    </xf>
    <xf fontId="3" fillId="3" borderId="18" numFmtId="4" xfId="2" applyNumberFormat="1" applyFont="1" applyFill="1" applyBorder="1" applyAlignment="1">
      <alignment horizontal="right"/>
    </xf>
    <xf fontId="3" fillId="0" borderId="18" numFmtId="4" xfId="2" applyNumberFormat="1" applyFont="1" applyBorder="1" applyAlignment="1">
      <alignment wrapText="1"/>
    </xf>
    <xf fontId="18" fillId="0" borderId="18" numFmtId="4" xfId="2" applyNumberFormat="1" applyFont="1" applyBorder="1" applyAlignment="1">
      <alignment horizontal="right" wrapText="1"/>
    </xf>
    <xf fontId="13" fillId="3" borderId="18" numFmtId="4" xfId="2" applyNumberFormat="1" applyFont="1" applyFill="1" applyBorder="1" applyAlignment="1">
      <alignment horizontal="right" wrapText="1"/>
    </xf>
    <xf fontId="3" fillId="9" borderId="18" numFmtId="3" xfId="2" applyNumberFormat="1" applyFont="1" applyFill="1" applyBorder="1" applyAlignment="1">
      <alignment horizontal="center" vertical="center" wrapText="1"/>
    </xf>
    <xf fontId="3" fillId="4" borderId="18" numFmtId="4" xfId="2" applyNumberFormat="1" applyFont="1" applyFill="1" applyBorder="1" applyAlignment="1">
      <alignment horizontal="right" wrapText="1"/>
    </xf>
    <xf fontId="3" fillId="0" borderId="18" numFmtId="4" xfId="2" applyNumberFormat="1" applyFont="1" applyBorder="1" applyAlignment="1">
      <alignment horizontal="right" wrapText="1"/>
    </xf>
    <xf fontId="3" fillId="3" borderId="18" numFmtId="1" xfId="2" applyNumberFormat="1" applyFont="1" applyFill="1" applyBorder="1" applyAlignment="1">
      <alignment horizontal="center" vertical="center"/>
    </xf>
    <xf fontId="3" fillId="3" borderId="18" numFmtId="4" xfId="2" applyNumberFormat="1" applyFont="1" applyFill="1" applyBorder="1"/>
    <xf fontId="3" fillId="3" borderId="18" numFmtId="3" xfId="2" applyNumberFormat="1" applyFont="1" applyFill="1" applyBorder="1" applyAlignment="1">
      <alignment horizontal="center" vertical="center"/>
    </xf>
    <xf fontId="3" fillId="0" borderId="11" numFmtId="4" xfId="2" applyNumberFormat="1" applyFont="1" applyBorder="1" applyAlignment="1">
      <alignment vertical="center" wrapText="1"/>
    </xf>
    <xf fontId="21" fillId="0" borderId="50" numFmtId="4" xfId="2" applyNumberFormat="1" applyFont="1" applyBorder="1" applyAlignment="1">
      <alignment vertical="center" wrapText="1"/>
    </xf>
    <xf fontId="3" fillId="2" borderId="50" numFmtId="4" xfId="2" applyNumberFormat="1" applyFont="1" applyFill="1" applyBorder="1" applyAlignment="1">
      <alignment horizontal="right"/>
    </xf>
    <xf fontId="3" fillId="0" borderId="50" numFmtId="4" xfId="2" applyNumberFormat="1" applyFont="1" applyBorder="1" applyAlignment="1">
      <alignment horizontal="right"/>
    </xf>
    <xf fontId="3" fillId="9" borderId="50" numFmtId="4" xfId="2" applyNumberFormat="1" applyFont="1" applyFill="1" applyBorder="1" applyAlignment="1">
      <alignment horizontal="right"/>
    </xf>
    <xf fontId="3" fillId="0" borderId="50" numFmtId="4" xfId="2" applyNumberFormat="1" applyFont="1" applyBorder="1" applyAlignment="1">
      <alignment horizontal="right" wrapText="1"/>
    </xf>
    <xf fontId="3" fillId="9" borderId="50" numFmtId="4" xfId="2" applyNumberFormat="1" applyFont="1" applyFill="1" applyBorder="1"/>
    <xf fontId="3" fillId="3" borderId="50" numFmtId="4" xfId="2" applyNumberFormat="1" applyFont="1" applyFill="1" applyBorder="1" applyAlignment="1">
      <alignment horizontal="right"/>
    </xf>
    <xf fontId="3" fillId="0" borderId="50" numFmtId="4" xfId="2" applyNumberFormat="1" applyFont="1" applyBorder="1" applyAlignment="1">
      <alignment wrapText="1"/>
    </xf>
    <xf fontId="3" fillId="3" borderId="50" numFmtId="4" xfId="2" applyNumberFormat="1" applyFont="1" applyFill="1" applyBorder="1" applyAlignment="1">
      <alignment horizontal="right" wrapText="1"/>
    </xf>
    <xf fontId="3" fillId="3" borderId="34" numFmtId="4" xfId="2" applyNumberFormat="1" applyFont="1" applyFill="1" applyBorder="1" applyAlignment="1">
      <alignment horizontal="right" wrapText="1"/>
    </xf>
    <xf fontId="3" fillId="9" borderId="50" numFmtId="3" xfId="2" applyNumberFormat="1" applyFont="1" applyFill="1" applyBorder="1" applyAlignment="1">
      <alignment horizontal="center" vertical="center" wrapText="1"/>
    </xf>
    <xf fontId="3" fillId="4" borderId="50" numFmtId="4" xfId="2" applyNumberFormat="1" applyFont="1" applyFill="1" applyBorder="1" applyAlignment="1">
      <alignment horizontal="right" wrapText="1"/>
    </xf>
    <xf fontId="3" fillId="3" borderId="50" numFmtId="1" xfId="2" applyNumberFormat="1" applyFont="1" applyFill="1" applyBorder="1" applyAlignment="1">
      <alignment horizontal="center" vertical="center"/>
    </xf>
    <xf fontId="3" fillId="3" borderId="50" numFmtId="3" xfId="2" applyNumberFormat="1" applyFont="1" applyFill="1" applyBorder="1" applyAlignment="1">
      <alignment horizontal="center" vertical="center"/>
    </xf>
    <xf fontId="3" fillId="0" borderId="50" numFmtId="4" xfId="0" applyNumberFormat="1" applyFont="1" applyBorder="1"/>
    <xf fontId="3" fillId="0" borderId="15" numFmtId="4" xfId="2" applyNumberFormat="1" applyFont="1" applyBorder="1" applyAlignment="1">
      <alignment horizontal="right" vertical="center"/>
    </xf>
    <xf fontId="3" fillId="0" borderId="51" numFmtId="4" xfId="2" applyNumberFormat="1" applyFont="1" applyBorder="1" applyAlignment="1">
      <alignment horizontal="right" vertical="center"/>
    </xf>
    <xf fontId="3" fillId="11" borderId="8" numFmtId="4" xfId="0" applyNumberFormat="1" applyFont="1" applyFill="1" applyBorder="1" applyAlignment="1">
      <alignment wrapText="1"/>
    </xf>
    <xf fontId="20" fillId="0" borderId="0" numFmtId="166" xfId="5" applyNumberFormat="1" applyFont="1" applyAlignment="1">
      <alignment wrapText="1"/>
    </xf>
    <xf fontId="21" fillId="0" borderId="42" numFmtId="4" xfId="2" applyNumberFormat="1" applyFont="1" applyBorder="1" applyAlignment="1">
      <alignment vertical="center" wrapText="1"/>
    </xf>
    <xf fontId="0" fillId="0" borderId="37" numFmtId="4" xfId="0" applyNumberFormat="1" applyBorder="1" applyAlignment="1">
      <alignment vertical="center" wrapText="1"/>
    </xf>
    <xf fontId="21" fillId="0" borderId="38" numFmtId="4" xfId="0" applyNumberFormat="1" applyFont="1" applyBorder="1" applyAlignment="1">
      <alignment vertical="center" wrapText="1"/>
    </xf>
    <xf fontId="3" fillId="2" borderId="52" numFmtId="4" xfId="2" applyNumberFormat="1" applyFont="1" applyFill="1" applyBorder="1" applyAlignment="1">
      <alignment horizontal="right"/>
    </xf>
    <xf fontId="13" fillId="0" borderId="52" numFmtId="4" xfId="2" applyNumberFormat="1" applyFont="1" applyBorder="1" applyAlignment="1">
      <alignment horizontal="right"/>
    </xf>
    <xf fontId="3" fillId="9" borderId="52" numFmtId="4" xfId="2" applyNumberFormat="1" applyFont="1" applyFill="1" applyBorder="1"/>
    <xf fontId="3" fillId="0" borderId="52" numFmtId="4" xfId="2" applyNumberFormat="1" applyFont="1" applyBorder="1" applyAlignment="1">
      <alignment wrapText="1"/>
    </xf>
    <xf fontId="13" fillId="0" borderId="52" numFmtId="4" xfId="2" applyNumberFormat="1" applyFont="1" applyBorder="1" applyAlignment="1">
      <alignment horizontal="right" wrapText="1"/>
    </xf>
    <xf fontId="13" fillId="3" borderId="52" numFmtId="4" xfId="2" applyNumberFormat="1" applyFont="1" applyFill="1" applyBorder="1" applyAlignment="1">
      <alignment horizontal="right"/>
    </xf>
    <xf fontId="3" fillId="0" borderId="52" numFmtId="4" xfId="2" applyNumberFormat="1" applyFont="1" applyBorder="1"/>
    <xf fontId="3" fillId="9" borderId="52" numFmtId="4" xfId="2" applyNumberFormat="1" applyFont="1" applyFill="1" applyBorder="1" applyAlignment="1">
      <alignment horizontal="right"/>
    </xf>
    <xf fontId="18" fillId="0" borderId="52" numFmtId="4" xfId="2" applyNumberFormat="1" applyFont="1" applyBorder="1" applyAlignment="1">
      <alignment horizontal="right" wrapText="1"/>
    </xf>
    <xf fontId="3" fillId="3" borderId="52" numFmtId="4" xfId="2" applyNumberFormat="1" applyFont="1" applyFill="1" applyBorder="1" applyAlignment="1">
      <alignment horizontal="right"/>
    </xf>
    <xf fontId="13" fillId="3" borderId="52" numFmtId="4" xfId="2" applyNumberFormat="1" applyFont="1" applyFill="1" applyBorder="1" applyAlignment="1">
      <alignment horizontal="right" wrapText="1"/>
    </xf>
    <xf fontId="3" fillId="9" borderId="52" numFmtId="3" xfId="2" applyNumberFormat="1" applyFont="1" applyFill="1" applyBorder="1" applyAlignment="1">
      <alignment horizontal="center" vertical="center" wrapText="1"/>
    </xf>
    <xf fontId="3" fillId="4" borderId="52" numFmtId="4" xfId="2" applyNumberFormat="1" applyFont="1" applyFill="1" applyBorder="1" applyAlignment="1">
      <alignment horizontal="right" wrapText="1"/>
    </xf>
    <xf fontId="3" fillId="0" borderId="52" numFmtId="4" xfId="2" applyNumberFormat="1" applyFont="1" applyBorder="1" applyAlignment="1">
      <alignment horizontal="right" wrapText="1"/>
    </xf>
    <xf fontId="3" fillId="3" borderId="52" numFmtId="1" xfId="2" applyNumberFormat="1" applyFont="1" applyFill="1" applyBorder="1" applyAlignment="1">
      <alignment horizontal="center" vertical="center"/>
    </xf>
    <xf fontId="3" fillId="3" borderId="52" numFmtId="3" xfId="2" applyNumberFormat="1" applyFont="1" applyFill="1" applyBorder="1" applyAlignment="1">
      <alignment horizontal="center" vertical="center"/>
    </xf>
    <xf fontId="3" fillId="0" borderId="52" numFmtId="4" xfId="2" applyNumberFormat="1" applyFont="1" applyBorder="1" applyAlignment="1">
      <alignment horizontal="right"/>
    </xf>
    <xf fontId="3" fillId="0" borderId="52" numFmtId="4" xfId="0" applyNumberFormat="1" applyFont="1" applyBorder="1"/>
    <xf fontId="3" fillId="0" borderId="38" numFmtId="4" xfId="2" applyNumberFormat="1" applyFont="1" applyBorder="1" applyAlignment="1">
      <alignment horizontal="right" vertical="center"/>
    </xf>
    <xf fontId="3" fillId="0" borderId="40" numFmtId="4" xfId="2" applyNumberFormat="1" applyFont="1" applyBorder="1" applyAlignment="1">
      <alignment horizontal="right" vertical="center"/>
    </xf>
    <xf fontId="0" fillId="0" borderId="34" numFmtId="4" xfId="0" applyNumberFormat="1" applyBorder="1" applyAlignment="1">
      <alignment vertical="center" wrapText="1"/>
    </xf>
    <xf fontId="21" fillId="0" borderId="34" numFmtId="4" xfId="0" applyNumberFormat="1" applyFont="1" applyBorder="1" applyAlignment="1">
      <alignment vertical="center" wrapText="1"/>
    </xf>
    <xf fontId="3" fillId="0" borderId="20" numFmtId="3" xfId="2" applyNumberFormat="1" applyFont="1" applyBorder="1"/>
    <xf fontId="3" fillId="0" borderId="20" numFmtId="4" xfId="2" applyNumberFormat="1" applyFont="1" applyBorder="1"/>
    <xf fontId="3" fillId="0" borderId="20" numFmtId="3" xfId="2" applyNumberFormat="1" applyFont="1" applyBorder="1" applyAlignment="1">
      <alignment horizontal="center"/>
    </xf>
    <xf fontId="3" fillId="0" borderId="20" numFmtId="3" xfId="2" applyNumberFormat="1" applyFont="1" applyBorder="1" applyAlignment="1">
      <alignment horizontal="center" vertical="center"/>
    </xf>
    <xf fontId="3" fillId="0" borderId="19" numFmtId="3" xfId="2" applyNumberFormat="1" applyFont="1" applyBorder="1" applyAlignment="1">
      <alignment horizontal="center" vertical="center"/>
    </xf>
    <xf fontId="4" fillId="0" borderId="19" numFmtId="3" xfId="2" applyNumberFormat="1" applyFont="1" applyBorder="1" applyAlignment="1">
      <alignment horizontal="center" vertical="center"/>
    </xf>
    <xf fontId="3" fillId="0" borderId="53" numFmtId="3" xfId="2" applyNumberFormat="1" applyFont="1" applyBorder="1"/>
    <xf fontId="3" fillId="0" borderId="54" numFmtId="4" xfId="2" applyNumberFormat="1" applyFont="1" applyBorder="1"/>
    <xf fontId="3" fillId="0" borderId="25" numFmtId="4" xfId="2" applyNumberFormat="1" applyFont="1" applyBorder="1" applyAlignment="1">
      <alignment vertical="center" wrapText="1"/>
    </xf>
    <xf fontId="3" fillId="2" borderId="34" numFmtId="4" xfId="2" applyNumberFormat="1" applyFont="1" applyFill="1" applyBorder="1" applyAlignment="1">
      <alignment horizontal="right"/>
    </xf>
    <xf fontId="3" fillId="0" borderId="34" numFmtId="4" xfId="2" applyNumberFormat="1" applyFont="1" applyBorder="1" applyAlignment="1">
      <alignment horizontal="right"/>
    </xf>
    <xf fontId="3" fillId="9" borderId="34" numFmtId="4" xfId="2" applyNumberFormat="1" applyFont="1" applyFill="1" applyBorder="1" applyAlignment="1">
      <alignment horizontal="right"/>
    </xf>
    <xf fontId="3" fillId="0" borderId="34" numFmtId="4" xfId="2" applyNumberFormat="1" applyFont="1" applyBorder="1" applyAlignment="1">
      <alignment horizontal="right" wrapText="1"/>
    </xf>
    <xf fontId="3" fillId="9" borderId="34" numFmtId="4" xfId="2" applyNumberFormat="1" applyFont="1" applyFill="1" applyBorder="1"/>
    <xf fontId="3" fillId="3" borderId="34" numFmtId="4" xfId="2" applyNumberFormat="1" applyFont="1" applyFill="1" applyBorder="1" applyAlignment="1">
      <alignment horizontal="right"/>
    </xf>
    <xf fontId="3" fillId="9" borderId="34" numFmtId="3" xfId="2" applyNumberFormat="1" applyFont="1" applyFill="1" applyBorder="1" applyAlignment="1">
      <alignment horizontal="center" vertical="center" wrapText="1"/>
    </xf>
    <xf fontId="3" fillId="4" borderId="34" numFmtId="4" xfId="2" applyNumberFormat="1" applyFont="1" applyFill="1" applyBorder="1" applyAlignment="1">
      <alignment horizontal="right" wrapText="1"/>
    </xf>
    <xf fontId="3" fillId="3" borderId="34" numFmtId="1" xfId="2" applyNumberFormat="1" applyFont="1" applyFill="1" applyBorder="1" applyAlignment="1">
      <alignment horizontal="center" vertical="center"/>
    </xf>
    <xf fontId="3" fillId="3" borderId="34" numFmtId="3" xfId="2" applyNumberFormat="1" applyFont="1" applyFill="1" applyBorder="1" applyAlignment="1">
      <alignment horizontal="center" vertical="center"/>
    </xf>
    <xf fontId="3" fillId="9" borderId="34" numFmtId="4" xfId="0" applyNumberFormat="1" applyFont="1" applyFill="1" applyBorder="1"/>
    <xf fontId="6" fillId="0" borderId="42" numFmtId="4" xfId="2" applyNumberFormat="1" applyFont="1" applyBorder="1"/>
    <xf fontId="6" fillId="9" borderId="21" numFmtId="4" xfId="2" applyNumberFormat="1" applyFont="1" applyFill="1" applyBorder="1" applyAlignment="1">
      <alignment horizontal="right" wrapText="1"/>
    </xf>
    <xf fontId="20" fillId="12" borderId="19" numFmtId="166" xfId="5" applyNumberFormat="1" applyFont="1" applyFill="1" applyBorder="1" applyAlignment="1">
      <alignment wrapText="1"/>
    </xf>
    <xf fontId="3" fillId="13" borderId="42" numFmtId="4" xfId="2" applyNumberFormat="1" applyFont="1" applyFill="1" applyBorder="1"/>
    <xf fontId="3" fillId="13" borderId="21" numFmtId="3" xfId="2" applyNumberFormat="1" applyFont="1" applyFill="1" applyBorder="1" applyAlignment="1">
      <alignment horizontal="center" vertical="center"/>
    </xf>
    <xf fontId="3" fillId="13" borderId="43" numFmtId="166" xfId="5" applyNumberFormat="1" applyFont="1" applyFill="1" applyBorder="1"/>
    <xf fontId="3" fillId="13" borderId="43" numFmtId="3" xfId="5" applyNumberFormat="1" applyFont="1" applyFill="1" applyBorder="1"/>
    <xf fontId="3" fillId="9" borderId="42" numFmtId="0" xfId="2" applyFont="1" applyFill="1" applyBorder="1" applyAlignment="1">
      <alignment horizontal="right" wrapText="1"/>
    </xf>
    <xf fontId="3" fillId="0" borderId="43" numFmtId="166" xfId="5" applyNumberFormat="1" applyFont="1" applyBorder="1"/>
    <xf fontId="4" fillId="0" borderId="19" numFmtId="166" xfId="5" applyNumberFormat="1" applyFont="1" applyBorder="1" applyAlignment="1">
      <alignment wrapText="1"/>
    </xf>
    <xf fontId="4" fillId="2" borderId="42" numFmtId="4" xfId="2" applyNumberFormat="1" applyFont="1" applyFill="1" applyBorder="1" applyAlignment="1">
      <alignment horizontal="right"/>
    </xf>
    <xf fontId="3" fillId="0" borderId="7" numFmtId="3" xfId="2" applyNumberFormat="1" applyFont="1" applyBorder="1"/>
    <xf fontId="3" fillId="0" borderId="18" numFmtId="4" xfId="2" applyNumberFormat="1" applyFont="1" applyBorder="1" applyAlignment="1">
      <alignment horizontal="left" vertical="center" wrapText="1"/>
    </xf>
    <xf fontId="3" fillId="0" borderId="42" numFmtId="3" xfId="2" applyNumberFormat="1" applyFont="1" applyBorder="1" applyAlignment="1">
      <alignment horizontal="center" vertical="center" wrapText="1"/>
    </xf>
    <xf fontId="3" fillId="0" borderId="42" numFmtId="1" xfId="2" applyNumberFormat="1" applyFont="1" applyBorder="1" applyAlignment="1">
      <alignment horizontal="center" vertical="center"/>
    </xf>
    <xf fontId="3" fillId="0" borderId="42" numFmtId="3" xfId="2" applyNumberFormat="1" applyFont="1" applyBorder="1" applyAlignment="1">
      <alignment horizontal="center" vertical="center"/>
    </xf>
    <xf fontId="3" fillId="0" borderId="42" numFmtId="4" xfId="0" applyNumberFormat="1" applyFont="1" applyBorder="1"/>
    <xf fontId="4" fillId="0" borderId="19" numFmtId="166" xfId="5" applyNumberFormat="1" applyFont="1" applyBorder="1" applyAlignment="1">
      <alignment horizontal="right" wrapText="1"/>
    </xf>
    <xf fontId="3" fillId="0" borderId="25" numFmtId="4" xfId="2" applyNumberFormat="1" applyFont="1" applyBorder="1" applyAlignment="1">
      <alignment horizontal="right"/>
    </xf>
    <xf fontId="5" fillId="0" borderId="25" numFmtId="4" xfId="2" applyNumberFormat="1" applyFont="1" applyBorder="1" applyAlignment="1">
      <alignment horizontal="right"/>
    </xf>
    <xf fontId="3" fillId="0" borderId="34" numFmtId="4" xfId="2" applyNumberFormat="1" applyFont="1" applyBorder="1" applyAlignment="1">
      <alignment horizontal="left" vertical="center" wrapText="1"/>
    </xf>
    <xf fontId="12" fillId="0" borderId="42" numFmtId="4" xfId="2" applyNumberFormat="1" applyFont="1" applyBorder="1"/>
    <xf fontId="18" fillId="0" borderId="42" numFmtId="4" xfId="2" applyNumberFormat="1" applyFont="1" applyBorder="1" applyAlignment="1">
      <alignment horizontal="right"/>
    </xf>
    <xf fontId="3" fillId="0" borderId="18" numFmtId="4" xfId="0" applyNumberFormat="1" applyFont="1" applyBorder="1" applyAlignment="1">
      <alignment vertical="center" wrapText="1"/>
    </xf>
    <xf fontId="6" fillId="6" borderId="18" numFmtId="4" xfId="2" applyNumberFormat="1" applyFont="1" applyFill="1" applyBorder="1" applyAlignment="1">
      <alignment horizontal="right" vertical="center" wrapText="1"/>
    </xf>
    <xf fontId="6" fillId="6" borderId="42" numFmtId="4" xfId="2" applyNumberFormat="1" applyFont="1" applyFill="1" applyBorder="1" applyAlignment="1">
      <alignment horizontal="right"/>
    </xf>
    <xf fontId="6" fillId="6" borderId="42" numFmtId="4" xfId="2" applyNumberFormat="1" applyFont="1" applyFill="1" applyBorder="1" applyAlignment="1">
      <alignment horizontal="right" wrapText="1"/>
    </xf>
    <xf fontId="3" fillId="6" borderId="42" numFmtId="4" xfId="2" applyNumberFormat="1" applyFont="1" applyFill="1" applyBorder="1"/>
    <xf fontId="3" fillId="6" borderId="42" numFmtId="4" xfId="2" applyNumberFormat="1" applyFont="1" applyFill="1" applyBorder="1" applyAlignment="1">
      <alignment horizontal="right"/>
    </xf>
    <xf fontId="6" fillId="6" borderId="42" numFmtId="3" xfId="2" applyNumberFormat="1" applyFont="1" applyFill="1" applyBorder="1" applyAlignment="1">
      <alignment horizontal="center" vertical="center"/>
    </xf>
    <xf fontId="6" fillId="6" borderId="42" numFmtId="164" xfId="5" applyNumberFormat="1" applyFont="1" applyFill="1" applyBorder="1" applyAlignment="1">
      <alignment horizontal="right"/>
    </xf>
    <xf fontId="6" fillId="6" borderId="42" numFmtId="166" xfId="5" applyNumberFormat="1" applyFont="1" applyFill="1" applyBorder="1" applyAlignment="1">
      <alignment horizontal="center" vertical="center"/>
    </xf>
    <xf fontId="3" fillId="6" borderId="0" numFmtId="3" xfId="2" applyNumberFormat="1" applyFont="1" applyFill="1"/>
    <xf fontId="3" fillId="6" borderId="7" numFmtId="4" xfId="2" applyNumberFormat="1" applyFont="1" applyFill="1" applyBorder="1"/>
    <xf fontId="3" fillId="6" borderId="8" numFmtId="4" xfId="2" applyNumberFormat="1" applyFont="1" applyFill="1" applyBorder="1"/>
    <xf fontId="6" fillId="6" borderId="1" numFmtId="3" xfId="2" applyNumberFormat="1" applyFont="1" applyFill="1" applyBorder="1" applyAlignment="1">
      <alignment horizontal="center"/>
    </xf>
    <xf fontId="6" fillId="6" borderId="2" numFmtId="3" xfId="2" applyNumberFormat="1" applyFont="1" applyFill="1" applyBorder="1" applyAlignment="1">
      <alignment horizontal="center"/>
    </xf>
    <xf fontId="6" fillId="6" borderId="2" numFmtId="4" xfId="2" applyNumberFormat="1" applyFont="1" applyFill="1" applyBorder="1" applyAlignment="1">
      <alignment horizontal="center"/>
    </xf>
    <xf fontId="6" fillId="6" borderId="3" numFmtId="4" xfId="2" applyNumberFormat="1" applyFont="1" applyFill="1" applyBorder="1" applyAlignment="1">
      <alignment horizontal="center"/>
    </xf>
    <xf fontId="6" fillId="6" borderId="7" numFmtId="3" xfId="2" applyNumberFormat="1" applyFont="1" applyFill="1" applyBorder="1" applyAlignment="1">
      <alignment horizontal="center"/>
    </xf>
    <xf fontId="6" fillId="6" borderId="0" numFmtId="3" xfId="2" applyNumberFormat="1" applyFont="1" applyFill="1" applyAlignment="1">
      <alignment horizontal="center"/>
    </xf>
    <xf fontId="6" fillId="6" borderId="0" numFmtId="4" xfId="2" applyNumberFormat="1" applyFont="1" applyFill="1" applyAlignment="1">
      <alignment horizontal="center"/>
    </xf>
    <xf fontId="6" fillId="6" borderId="8" numFmtId="4" xfId="2" applyNumberFormat="1" applyFont="1" applyFill="1" applyBorder="1" applyAlignment="1">
      <alignment horizontal="center"/>
    </xf>
    <xf fontId="0" fillId="6" borderId="34" numFmtId="4" xfId="0" applyNumberFormat="1" applyFill="1" applyBorder="1" applyAlignment="1">
      <alignment vertical="center" wrapText="1"/>
    </xf>
    <xf fontId="13" fillId="6" borderId="42" numFmtId="4" xfId="2" applyNumberFormat="1" applyFont="1" applyFill="1" applyBorder="1" applyAlignment="1">
      <alignment horizontal="right"/>
    </xf>
    <xf fontId="13" fillId="6" borderId="42" numFmtId="4" xfId="2" applyNumberFormat="1" applyFont="1" applyFill="1" applyBorder="1" applyAlignment="1">
      <alignment horizontal="right" wrapText="1"/>
    </xf>
    <xf fontId="18" fillId="7" borderId="42" numFmtId="4" xfId="2" applyNumberFormat="1" applyFont="1" applyFill="1" applyBorder="1" applyAlignment="1">
      <alignment horizontal="right" wrapText="1"/>
    </xf>
    <xf fontId="3" fillId="6" borderId="42" numFmtId="3" xfId="2" applyNumberFormat="1" applyFont="1" applyFill="1" applyBorder="1" applyAlignment="1">
      <alignment horizontal="center" vertical="center" wrapText="1"/>
    </xf>
    <xf fontId="3" fillId="6" borderId="42" numFmtId="4" xfId="2" applyNumberFormat="1" applyFont="1" applyFill="1" applyBorder="1" applyAlignment="1">
      <alignment horizontal="right" wrapText="1"/>
    </xf>
    <xf fontId="3" fillId="6" borderId="42" numFmtId="1" xfId="2" applyNumberFormat="1" applyFont="1" applyFill="1" applyBorder="1" applyAlignment="1">
      <alignment horizontal="center" vertical="center"/>
    </xf>
    <xf fontId="3" fillId="6" borderId="42" numFmtId="3" xfId="2" applyNumberFormat="1" applyFont="1" applyFill="1" applyBorder="1" applyAlignment="1">
      <alignment horizontal="center" vertical="center"/>
    </xf>
    <xf fontId="5" fillId="6" borderId="42" numFmtId="4" xfId="2" applyNumberFormat="1" applyFont="1" applyFill="1" applyBorder="1" applyAlignment="1">
      <alignment horizontal="right"/>
    </xf>
    <xf fontId="4" fillId="6" borderId="0" numFmtId="4" xfId="2" applyNumberFormat="1" applyFont="1" applyFill="1"/>
    <xf fontId="3" fillId="6" borderId="26" numFmtId="3" xfId="2" applyNumberFormat="1" applyFont="1" applyFill="1" applyBorder="1" applyAlignment="1">
      <alignment horizontal="center"/>
    </xf>
    <xf fontId="3" fillId="6" borderId="30" numFmtId="3" xfId="2" applyNumberFormat="1" applyFont="1" applyFill="1" applyBorder="1" applyAlignment="1">
      <alignment horizontal="center"/>
    </xf>
    <xf fontId="3" fillId="6" borderId="30" numFmtId="4" xfId="2" applyNumberFormat="1" applyFont="1" applyFill="1" applyBorder="1"/>
    <xf fontId="3" fillId="6" borderId="30" numFmtId="3" xfId="2" applyNumberFormat="1" applyFont="1" applyFill="1" applyBorder="1" applyAlignment="1">
      <alignment horizontal="center" vertical="center"/>
    </xf>
    <xf fontId="3" fillId="6" borderId="27" numFmtId="4" xfId="2" applyNumberFormat="1" applyFont="1" applyFill="1" applyBorder="1"/>
    <xf fontId="3" fillId="6" borderId="0" numFmtId="3" xfId="2" applyNumberFormat="1" applyFont="1" applyFill="1" applyAlignment="1">
      <alignment horizontal="center" vertical="center"/>
    </xf>
    <xf fontId="3" fillId="6" borderId="7" numFmtId="3" xfId="2" applyNumberFormat="1" applyFont="1" applyFill="1" applyBorder="1" applyAlignment="1">
      <alignment horizontal="center" vertical="center"/>
    </xf>
    <xf fontId="3" fillId="6" borderId="9" numFmtId="3" xfId="2" applyNumberFormat="1" applyFont="1" applyFill="1" applyBorder="1"/>
    <xf fontId="3" fillId="6" borderId="10" numFmtId="4" xfId="2" applyNumberFormat="1" applyFont="1" applyFill="1" applyBorder="1"/>
    <xf fontId="3" fillId="9" borderId="0" numFmtId="4" xfId="2" applyNumberFormat="1" applyFont="1" applyFill="1"/>
    <xf fontId="4" fillId="3" borderId="42" numFmtId="1" xfId="2" applyNumberFormat="1" applyFont="1" applyFill="1" applyBorder="1" applyAlignment="1">
      <alignment horizontal="center" vertical="center"/>
    </xf>
    <xf fontId="4" fillId="3" borderId="42" numFmtId="4" xfId="2" applyNumberFormat="1" applyFont="1" applyFill="1" applyBorder="1" applyAlignment="1">
      <alignment horizontal="right"/>
    </xf>
    <xf fontId="20" fillId="12" borderId="29" numFmtId="4" xfId="0" applyNumberFormat="1" applyFont="1" applyFill="1" applyBorder="1" applyAlignment="1">
      <alignment wrapText="1"/>
    </xf>
    <xf fontId="6" fillId="9" borderId="21" numFmtId="4" xfId="2" applyNumberFormat="1" applyFont="1" applyFill="1" applyBorder="1" applyAlignment="1">
      <alignment horizontal="right"/>
    </xf>
    <xf fontId="19" fillId="9" borderId="21" numFmtId="4" xfId="2" applyNumberFormat="1" applyFont="1" applyFill="1" applyBorder="1" applyAlignment="1">
      <alignment horizontal="right"/>
    </xf>
    <xf fontId="4" fillId="0" borderId="2" numFmtId="4" xfId="2" applyNumberFormat="1" applyFont="1" applyBorder="1"/>
    <xf fontId="3" fillId="0" borderId="48" numFmtId="4" xfId="2" applyNumberFormat="1" applyFont="1" applyBorder="1"/>
    <xf fontId="18" fillId="9" borderId="42" numFmtId="4" xfId="2" applyNumberFormat="1" applyFont="1" applyFill="1" applyBorder="1" applyAlignment="1">
      <alignment horizontal="right"/>
    </xf>
    <xf fontId="4" fillId="3" borderId="42" numFmtId="4" xfId="2" applyNumberFormat="1" applyFont="1" applyFill="1" applyBorder="1"/>
    <xf fontId="4" fillId="3" borderId="42" numFmtId="3" xfId="2" applyNumberFormat="1" applyFont="1" applyFill="1" applyBorder="1" applyAlignment="1">
      <alignment horizontal="center" vertical="center"/>
    </xf>
    <xf fontId="3" fillId="0" borderId="25" numFmtId="4" xfId="2" applyNumberFormat="1" applyFont="1" applyBorder="1" applyAlignment="1">
      <alignment vertical="center"/>
    </xf>
    <xf fontId="4" fillId="3" borderId="20" numFmtId="166" xfId="5" applyNumberFormat="1" applyFont="1" applyFill="1" applyBorder="1" applyAlignment="1">
      <alignment horizontal="right" wrapText="1"/>
    </xf>
    <xf fontId="3" fillId="0" borderId="31" numFmtId="3" xfId="2" applyNumberFormat="1" applyFont="1" applyBorder="1"/>
    <xf fontId="3" fillId="0" borderId="9" numFmtId="3" xfId="2" applyNumberFormat="1" applyFont="1" applyBorder="1"/>
    <xf fontId="18" fillId="2" borderId="42" numFmtId="4" xfId="2" applyNumberFormat="1" applyFont="1" applyFill="1" applyBorder="1" applyAlignment="1">
      <alignment horizontal="right"/>
    </xf>
    <xf fontId="18" fillId="3" borderId="42" numFmtId="4" xfId="2" applyNumberFormat="1" applyFont="1" applyFill="1" applyBorder="1" applyAlignment="1">
      <alignment horizontal="right"/>
    </xf>
    <xf fontId="4" fillId="3" borderId="0" numFmtId="166" xfId="5" applyNumberFormat="1" applyFont="1" applyFill="1" applyAlignment="1">
      <alignment horizontal="right" wrapText="1"/>
    </xf>
    <xf fontId="6" fillId="9" borderId="20" numFmtId="4" xfId="2" applyNumberFormat="1" applyFont="1" applyFill="1" applyBorder="1" applyAlignment="1">
      <alignment horizontal="right" wrapText="1"/>
    </xf>
    <xf fontId="6" fillId="12" borderId="42" numFmtId="4" xfId="2" applyNumberFormat="1" applyFont="1" applyFill="1" applyBorder="1" applyAlignment="1">
      <alignment horizontal="right" wrapText="1"/>
    </xf>
    <xf fontId="6" fillId="12" borderId="42" numFmtId="0" xfId="2" applyFont="1" applyFill="1" applyBorder="1" applyAlignment="1">
      <alignment horizontal="right" wrapText="1"/>
    </xf>
    <xf fontId="20" fillId="12" borderId="30" numFmtId="166" xfId="5" applyNumberFormat="1" applyFont="1" applyFill="1" applyBorder="1" applyAlignment="1">
      <alignment wrapText="1"/>
    </xf>
    <xf fontId="20" fillId="12" borderId="29" numFmtId="166" xfId="5" applyNumberFormat="1" applyFont="1" applyFill="1" applyBorder="1" applyAlignment="1">
      <alignment wrapText="1"/>
    </xf>
    <xf fontId="19" fillId="0" borderId="0" numFmtId="4" xfId="2" applyNumberFormat="1" applyFont="1"/>
    <xf fontId="4" fillId="0" borderId="42" numFmtId="166" xfId="5" applyNumberFormat="1" applyFont="1" applyBorder="1" applyAlignment="1">
      <alignment wrapText="1"/>
    </xf>
    <xf fontId="20" fillId="0" borderId="10" numFmtId="166" xfId="5" applyNumberFormat="1" applyFont="1" applyBorder="1" applyAlignment="1">
      <alignment wrapText="1"/>
    </xf>
    <xf fontId="19" fillId="0" borderId="19" numFmtId="3" xfId="2" applyNumberFormat="1" applyFont="1" applyBorder="1"/>
    <xf fontId="19" fillId="0" borderId="42" numFmtId="3" xfId="2" applyNumberFormat="1" applyFont="1" applyBorder="1" applyAlignment="1">
      <alignment horizontal="center"/>
    </xf>
    <xf fontId="19" fillId="0" borderId="19" numFmtId="3" xfId="2" applyNumberFormat="1" applyFont="1" applyBorder="1" applyAlignment="1">
      <alignment horizontal="center"/>
    </xf>
    <xf fontId="19" fillId="0" borderId="42" numFmtId="3" xfId="2" applyNumberFormat="1" applyFont="1" applyBorder="1"/>
    <xf fontId="4" fillId="0" borderId="2" numFmtId="3" xfId="2" applyNumberFormat="1" applyFont="1" applyBorder="1" applyAlignment="1">
      <alignment horizontal="center" vertical="center"/>
    </xf>
    <xf fontId="3" fillId="0" borderId="42" numFmtId="4" xfId="2" applyNumberFormat="1" applyFont="1" applyBorder="1" applyAlignment="1">
      <alignment vertical="center" wrapText="1"/>
    </xf>
    <xf fontId="19" fillId="5" borderId="8" numFmtId="4" xfId="2" applyNumberFormat="1" applyFont="1" applyFill="1" applyBorder="1" applyAlignment="1">
      <alignment horizontal="right" wrapText="1"/>
    </xf>
    <xf fontId="19" fillId="5" borderId="0" numFmtId="4" xfId="2" applyNumberFormat="1" applyFont="1" applyFill="1" applyAlignment="1">
      <alignment horizontal="right" wrapText="1"/>
    </xf>
    <xf fontId="19" fillId="5" borderId="25" numFmtId="4" xfId="2" applyNumberFormat="1" applyFont="1" applyFill="1" applyBorder="1" applyAlignment="1">
      <alignment horizontal="right" wrapText="1"/>
    </xf>
    <xf fontId="13" fillId="5" borderId="0" numFmtId="4" xfId="2" applyNumberFormat="1" applyFont="1" applyFill="1" applyAlignment="1">
      <alignment horizontal="right" wrapText="1"/>
    </xf>
    <xf fontId="13" fillId="5" borderId="7" numFmtId="4" xfId="2" applyNumberFormat="1" applyFont="1" applyFill="1" applyBorder="1" applyAlignment="1">
      <alignment horizontal="right" wrapText="1"/>
    </xf>
    <xf fontId="13" fillId="5" borderId="25" numFmtId="4" xfId="2" applyNumberFormat="1" applyFont="1" applyFill="1" applyBorder="1" applyAlignment="1">
      <alignment horizontal="right" wrapText="1"/>
    </xf>
    <xf fontId="19" fillId="5" borderId="7" numFmtId="4" xfId="2" applyNumberFormat="1" applyFont="1" applyFill="1" applyBorder="1" applyAlignment="1">
      <alignment horizontal="right" wrapText="1"/>
    </xf>
    <xf fontId="19" fillId="5" borderId="27" numFmtId="4" xfId="2" applyNumberFormat="1" applyFont="1" applyFill="1" applyBorder="1" applyAlignment="1">
      <alignment horizontal="right" wrapText="1"/>
    </xf>
    <xf fontId="19" fillId="5" borderId="34" numFmtId="4" xfId="2" applyNumberFormat="1" applyFont="1" applyFill="1" applyBorder="1" applyAlignment="1">
      <alignment horizontal="right" wrapText="1"/>
    </xf>
    <xf fontId="13" fillId="5" borderId="26" numFmtId="4" xfId="2" applyNumberFormat="1" applyFont="1" applyFill="1" applyBorder="1" applyAlignment="1">
      <alignment horizontal="right" wrapText="1"/>
    </xf>
    <xf fontId="13" fillId="5" borderId="34" numFmtId="4" xfId="2" applyNumberFormat="1" applyFont="1" applyFill="1" applyBorder="1" applyAlignment="1">
      <alignment horizontal="right" wrapText="1"/>
    </xf>
    <xf fontId="19" fillId="5" borderId="26" numFmtId="4" xfId="2" applyNumberFormat="1" applyFont="1" applyFill="1" applyBorder="1" applyAlignment="1">
      <alignment horizontal="right" wrapText="1"/>
    </xf>
    <xf fontId="13" fillId="0" borderId="25" numFmtId="4" xfId="2" applyNumberFormat="1" applyFont="1" applyBorder="1" applyAlignment="1">
      <alignment horizontal="right"/>
    </xf>
    <xf fontId="3" fillId="13" borderId="41" numFmtId="3" xfId="5" applyNumberFormat="1" applyFont="1" applyFill="1" applyBorder="1" applyAlignment="1">
      <alignment horizontal="center" vertical="center"/>
    </xf>
    <xf fontId="6" fillId="9" borderId="3" numFmtId="4" xfId="2" applyNumberFormat="1" applyFont="1" applyFill="1" applyBorder="1" applyAlignment="1">
      <alignment horizontal="right" wrapText="1"/>
    </xf>
    <xf fontId="6" fillId="9" borderId="2" numFmtId="4" xfId="2" applyNumberFormat="1" applyFont="1" applyFill="1" applyBorder="1" applyAlignment="1">
      <alignment horizontal="right" wrapText="1"/>
    </xf>
    <xf fontId="6" fillId="9" borderId="42" numFmtId="166" xfId="5" applyNumberFormat="1" applyFont="1" applyFill="1" applyBorder="1" applyAlignment="1">
      <alignment horizontal="right" wrapText="1"/>
    </xf>
    <xf fontId="20" fillId="9" borderId="42" numFmtId="166" xfId="5" applyNumberFormat="1" applyFont="1" applyFill="1" applyBorder="1" applyAlignment="1">
      <alignment horizontal="right" wrapText="1"/>
    </xf>
    <xf fontId="20" fillId="9" borderId="21" numFmtId="166" xfId="5" applyNumberFormat="1" applyFont="1" applyFill="1" applyBorder="1" applyAlignment="1">
      <alignment horizontal="right" wrapText="1"/>
    </xf>
    <xf fontId="3" fillId="13" borderId="42" numFmtId="3" xfId="2" applyNumberFormat="1" applyFont="1" applyFill="1" applyBorder="1"/>
    <xf fontId="3" fillId="13" borderId="43" numFmtId="166" xfId="5" applyNumberFormat="1" applyFont="1" applyFill="1" applyBorder="1" applyAlignment="1">
      <alignment horizontal="center" vertical="center"/>
    </xf>
    <xf fontId="3" fillId="13" borderId="41" numFmtId="166" xfId="5" applyNumberFormat="1" applyFont="1" applyFill="1" applyBorder="1" applyAlignment="1">
      <alignment horizontal="center" vertical="center"/>
    </xf>
    <xf fontId="3" fillId="13" borderId="47" numFmtId="166" xfId="5" applyNumberFormat="1" applyFont="1" applyFill="1" applyBorder="1" applyAlignment="1">
      <alignment horizontal="center" vertical="center"/>
    </xf>
    <xf fontId="3" fillId="13" borderId="42" numFmtId="3" xfId="2" applyNumberFormat="1" applyFont="1" applyFill="1" applyBorder="1" applyAlignment="1">
      <alignment horizontal="center"/>
    </xf>
    <xf fontId="3" fillId="13" borderId="47" numFmtId="166" xfId="5" applyNumberFormat="1" applyFont="1" applyFill="1" applyBorder="1" applyAlignment="1">
      <alignment vertical="center"/>
    </xf>
    <xf fontId="6" fillId="5" borderId="18" numFmtId="4" xfId="2" applyNumberFormat="1" applyFont="1" applyFill="1" applyBorder="1" applyAlignment="1">
      <alignment horizontal="center" wrapText="1"/>
    </xf>
    <xf fontId="13" fillId="5" borderId="18" numFmtId="4" xfId="2" applyNumberFormat="1" applyFont="1" applyFill="1" applyBorder="1" applyAlignment="1">
      <alignment horizontal="right" wrapText="1"/>
    </xf>
    <xf fontId="13" fillId="5" borderId="1" numFmtId="4" xfId="2" applyNumberFormat="1" applyFont="1" applyFill="1" applyBorder="1" applyAlignment="1">
      <alignment horizontal="right" wrapText="1"/>
    </xf>
    <xf fontId="13" fillId="5" borderId="2" numFmtId="4" xfId="2" applyNumberFormat="1" applyFont="1" applyFill="1" applyBorder="1" applyAlignment="1">
      <alignment horizontal="right" wrapText="1"/>
    </xf>
    <xf fontId="19" fillId="9" borderId="42" numFmtId="0" xfId="2" applyFont="1" applyFill="1" applyBorder="1" applyAlignment="1">
      <alignment horizontal="right" wrapText="1"/>
    </xf>
    <xf fontId="6" fillId="9" borderId="42" numFmtId="0" xfId="2" applyFont="1" applyFill="1" applyBorder="1" applyAlignment="1">
      <alignment horizontal="center" wrapText="1"/>
    </xf>
    <xf fontId="3" fillId="4" borderId="42" numFmtId="4" xfId="2" applyNumberFormat="1" applyFont="1" applyFill="1" applyBorder="1"/>
    <xf fontId="3" fillId="4" borderId="42" numFmtId="3" xfId="2" applyNumberFormat="1" applyFont="1" applyFill="1" applyBorder="1" applyAlignment="1">
      <alignment horizontal="center" vertical="center"/>
    </xf>
    <xf fontId="5" fillId="2" borderId="42" numFmtId="4" xfId="2" applyNumberFormat="1" applyFont="1" applyFill="1" applyBorder="1" applyAlignment="1">
      <alignment horizontal="right"/>
    </xf>
    <xf fontId="4" fillId="3" borderId="42" numFmtId="166" xfId="5" applyNumberFormat="1" applyFont="1" applyFill="1" applyBorder="1" applyAlignment="1">
      <alignment wrapText="1"/>
    </xf>
    <xf fontId="22" fillId="9" borderId="42" numFmtId="4" xfId="2" applyNumberFormat="1" applyFont="1" applyFill="1" applyBorder="1" applyAlignment="1">
      <alignment horizontal="right"/>
    </xf>
    <xf fontId="6" fillId="9" borderId="42" numFmtId="0" xfId="2" applyFont="1" applyFill="1" applyBorder="1" applyAlignment="1">
      <alignment horizontal="right" wrapText="1"/>
    </xf>
    <xf fontId="4" fillId="9" borderId="42" numFmtId="166" xfId="5" applyNumberFormat="1" applyFont="1" applyFill="1" applyBorder="1" applyAlignment="1">
      <alignment wrapText="1"/>
    </xf>
    <xf fontId="20" fillId="6" borderId="42" numFmtId="4" xfId="2" applyNumberFormat="1" applyFont="1" applyFill="1" applyBorder="1" applyAlignment="1">
      <alignment horizontal="right"/>
    </xf>
    <xf fontId="6" fillId="6" borderId="42" numFmtId="3" xfId="2" applyNumberFormat="1" applyFont="1" applyFill="1" applyBorder="1" applyAlignment="1">
      <alignment horizontal="center" vertical="center" wrapText="1"/>
    </xf>
    <xf fontId="3" fillId="6" borderId="1" numFmtId="3" xfId="2" applyNumberFormat="1" applyFont="1" applyFill="1" applyBorder="1"/>
    <xf fontId="3" fillId="6" borderId="2" numFmtId="3" xfId="2" applyNumberFormat="1" applyFont="1" applyFill="1" applyBorder="1"/>
    <xf fontId="3" fillId="6" borderId="2" numFmtId="4" xfId="2" applyNumberFormat="1" applyFont="1" applyFill="1" applyBorder="1"/>
    <xf fontId="3" fillId="6" borderId="1" numFmtId="4" xfId="2" applyNumberFormat="1" applyFont="1" applyFill="1" applyBorder="1"/>
    <xf fontId="3" fillId="6" borderId="3" numFmtId="4" xfId="2" applyNumberFormat="1" applyFont="1" applyFill="1" applyBorder="1"/>
    <xf fontId="0" fillId="6" borderId="34" numFmtId="4" xfId="0" applyNumberFormat="1" applyFill="1" applyBorder="1" applyAlignment="1">
      <alignment horizontal="right" vertical="center" wrapText="1"/>
    </xf>
    <xf fontId="19" fillId="6" borderId="42" numFmtId="4" xfId="2" applyNumberFormat="1" applyFont="1" applyFill="1" applyBorder="1" applyAlignment="1">
      <alignment horizontal="right"/>
    </xf>
    <xf fontId="19" fillId="6" borderId="42" numFmtId="4" xfId="2" applyNumberFormat="1" applyFont="1" applyFill="1" applyBorder="1" applyAlignment="1">
      <alignment horizontal="right" wrapText="1"/>
    </xf>
    <xf fontId="19" fillId="6" borderId="42" numFmtId="4" xfId="2" applyNumberFormat="1" applyFont="1" applyFill="1" applyBorder="1"/>
    <xf fontId="23" fillId="6" borderId="42" numFmtId="4" xfId="2" applyNumberFormat="1" applyFont="1" applyFill="1" applyBorder="1" applyAlignment="1">
      <alignment horizontal="right"/>
    </xf>
    <xf fontId="19" fillId="6" borderId="42" numFmtId="3" xfId="2" applyNumberFormat="1" applyFont="1" applyFill="1" applyBorder="1" applyAlignment="1">
      <alignment horizontal="center" vertical="center" wrapText="1"/>
    </xf>
    <xf fontId="19" fillId="6" borderId="42" numFmtId="1" xfId="2" applyNumberFormat="1" applyFont="1" applyFill="1" applyBorder="1" applyAlignment="1">
      <alignment horizontal="center" vertical="center"/>
    </xf>
    <xf fontId="19" fillId="6" borderId="42" numFmtId="3" xfId="2" applyNumberFormat="1" applyFont="1" applyFill="1" applyBorder="1" applyAlignment="1">
      <alignment horizontal="center" vertical="center"/>
    </xf>
    <xf fontId="3" fillId="6" borderId="26" numFmtId="3" xfId="2" applyNumberFormat="1" applyFont="1" applyFill="1" applyBorder="1"/>
    <xf fontId="3" fillId="6" borderId="30" numFmtId="3" xfId="2" applyNumberFormat="1" applyFont="1" applyFill="1" applyBorder="1"/>
    <xf fontId="3" fillId="6" borderId="26" numFmtId="4" xfId="2" applyNumberFormat="1" applyFont="1" applyFill="1" applyBorder="1"/>
    <xf fontId="4" fillId="6" borderId="30" numFmtId="4" xfId="2" applyNumberFormat="1" applyFont="1" applyFill="1" applyBorder="1"/>
    <xf fontId="3" fillId="6" borderId="26" numFmtId="3" xfId="2" applyNumberFormat="1" applyFont="1" applyFill="1" applyBorder="1" applyAlignment="1">
      <alignment horizontal="center" vertical="center"/>
    </xf>
    <xf fontId="3" fillId="6" borderId="31" numFmtId="3" xfId="2" applyNumberFormat="1" applyFont="1" applyFill="1" applyBorder="1"/>
    <xf fontId="3" fillId="6" borderId="32" numFmtId="4" xfId="2" applyNumberFormat="1" applyFont="1" applyFill="1" applyBorder="1"/>
    <xf fontId="4" fillId="9" borderId="42" numFmtId="4" xfId="2" applyNumberFormat="1" applyFont="1" applyFill="1" applyBorder="1" applyAlignment="1">
      <alignment horizontal="right"/>
    </xf>
    <xf fontId="3" fillId="5" borderId="7" numFmtId="4" xfId="2" applyNumberFormat="1" applyFont="1" applyFill="1" applyBorder="1" applyAlignment="1">
      <alignment wrapText="1"/>
    </xf>
    <xf fontId="19" fillId="9" borderId="0" numFmtId="4" xfId="2" applyNumberFormat="1" applyFont="1" applyFill="1"/>
    <xf fontId="23" fillId="9" borderId="29" numFmtId="4" xfId="0" applyNumberFormat="1" applyFont="1" applyFill="1" applyBorder="1" applyAlignment="1">
      <alignment wrapText="1"/>
    </xf>
    <xf fontId="19" fillId="0" borderId="0" numFmtId="4" xfId="0" applyNumberFormat="1" applyFont="1"/>
    <xf fontId="19" fillId="9" borderId="8" numFmtId="4" xfId="2" applyNumberFormat="1" applyFont="1" applyFill="1" applyBorder="1" applyAlignment="1">
      <alignment horizontal="right"/>
    </xf>
    <xf fontId="19" fillId="0" borderId="2" numFmtId="4" xfId="2" applyNumberFormat="1" applyFont="1" applyBorder="1"/>
    <xf fontId="19" fillId="0" borderId="3" numFmtId="4" xfId="2" applyNumberFormat="1" applyFont="1" applyBorder="1"/>
    <xf fontId="19" fillId="0" borderId="2" numFmtId="3" xfId="2" applyNumberFormat="1" applyFont="1" applyBorder="1" applyAlignment="1">
      <alignment horizontal="center"/>
    </xf>
    <xf fontId="19" fillId="0" borderId="3" numFmtId="4" xfId="2" applyNumberFormat="1" applyFont="1" applyBorder="1" applyAlignment="1">
      <alignment horizontal="center"/>
    </xf>
    <xf fontId="3" fillId="0" borderId="2" numFmtId="4" xfId="2" applyNumberFormat="1" applyFont="1" applyBorder="1" applyAlignment="1">
      <alignment horizontal="center"/>
    </xf>
    <xf fontId="19" fillId="0" borderId="2" numFmtId="3" xfId="2" applyNumberFormat="1" applyFont="1" applyBorder="1" applyAlignment="1">
      <alignment horizontal="center" vertical="center"/>
    </xf>
    <xf fontId="5" fillId="0" borderId="42" numFmtId="4" xfId="2" applyNumberFormat="1" applyFont="1" applyBorder="1" applyAlignment="1">
      <alignment horizontal="right" wrapText="1"/>
    </xf>
    <xf fontId="19" fillId="9" borderId="42" numFmtId="4" xfId="2" applyNumberFormat="1" applyFont="1" applyFill="1" applyBorder="1" applyAlignment="1">
      <alignment horizontal="right"/>
    </xf>
    <xf fontId="19" fillId="0" borderId="42" numFmtId="4" xfId="2" applyNumberFormat="1" applyFont="1" applyBorder="1" applyAlignment="1">
      <alignment horizontal="right"/>
    </xf>
    <xf fontId="3" fillId="11" borderId="0" numFmtId="4" xfId="2" applyNumberFormat="1" applyFont="1" applyFill="1" applyAlignment="1">
      <alignment wrapText="1"/>
    </xf>
    <xf fontId="3" fillId="11" borderId="25" numFmtId="4" xfId="2" applyNumberFormat="1" applyFont="1" applyFill="1" applyBorder="1" applyAlignment="1">
      <alignment wrapText="1"/>
    </xf>
    <xf fontId="3" fillId="11" borderId="7" numFmtId="4" xfId="2" applyNumberFormat="1" applyFont="1" applyFill="1" applyBorder="1" applyAlignment="1">
      <alignment wrapText="1"/>
    </xf>
    <xf fontId="4" fillId="0" borderId="42" numFmtId="166" xfId="5" applyNumberFormat="1" applyFont="1" applyBorder="1"/>
    <xf fontId="3" fillId="5" borderId="34" numFmtId="4" xfId="2" applyNumberFormat="1" applyFont="1" applyFill="1" applyBorder="1" applyAlignment="1">
      <alignment wrapText="1"/>
    </xf>
    <xf fontId="3" fillId="3" borderId="34" numFmtId="4" xfId="2" applyNumberFormat="1" applyFont="1" applyFill="1" applyBorder="1" applyAlignment="1">
      <alignment wrapText="1"/>
    </xf>
    <xf fontId="3" fillId="5" borderId="26" numFmtId="4" xfId="2" applyNumberFormat="1" applyFont="1" applyFill="1" applyBorder="1" applyAlignment="1">
      <alignment wrapText="1"/>
    </xf>
    <xf fontId="3" fillId="5" borderId="30" numFmtId="4" xfId="2" applyNumberFormat="1" applyFont="1" applyFill="1" applyBorder="1" applyAlignment="1">
      <alignment wrapText="1"/>
    </xf>
    <xf fontId="3" fillId="3" borderId="7" numFmtId="4" xfId="2" applyNumberFormat="1" applyFont="1" applyFill="1" applyBorder="1" applyAlignment="1">
      <alignment wrapText="1"/>
    </xf>
    <xf fontId="3" fillId="9" borderId="18" numFmtId="0" xfId="2" applyFont="1" applyFill="1" applyBorder="1" applyAlignment="1">
      <alignment wrapText="1"/>
    </xf>
    <xf fontId="3" fillId="0" borderId="34" numFmtId="4" xfId="0" applyNumberFormat="1" applyFont="1" applyBorder="1" applyAlignment="1">
      <alignment horizontal="left" vertical="top" wrapText="1"/>
    </xf>
    <xf fontId="19" fillId="0" borderId="42" numFmtId="4" xfId="2" applyNumberFormat="1" applyFont="1" applyBorder="1" applyAlignment="1">
      <alignment horizontal="right" wrapText="1"/>
    </xf>
    <xf fontId="19" fillId="3" borderId="42" numFmtId="4" xfId="2" applyNumberFormat="1" applyFont="1" applyFill="1" applyBorder="1" applyAlignment="1">
      <alignment horizontal="right"/>
    </xf>
    <xf fontId="6" fillId="9" borderId="42" numFmtId="4" xfId="2" applyNumberFormat="1" applyFont="1" applyFill="1" applyBorder="1" applyAlignment="1">
      <alignment horizontal="right"/>
    </xf>
    <xf fontId="6" fillId="9" borderId="27" numFmtId="4" xfId="2" applyNumberFormat="1" applyFont="1" applyFill="1" applyBorder="1" applyAlignment="1">
      <alignment horizontal="right" wrapText="1"/>
    </xf>
    <xf fontId="6" fillId="9" borderId="30" numFmtId="4" xfId="2" applyNumberFormat="1" applyFont="1" applyFill="1" applyBorder="1" applyAlignment="1">
      <alignment horizontal="right" wrapText="1"/>
    </xf>
    <xf fontId="6" fillId="9" borderId="42" numFmtId="4" xfId="2" applyNumberFormat="1" applyFont="1" applyFill="1" applyBorder="1" applyAlignment="1">
      <alignment horizontal="right" wrapText="1"/>
    </xf>
    <xf fontId="5" fillId="7" borderId="25" numFmtId="4" xfId="2" applyNumberFormat="1" applyFont="1" applyFill="1" applyBorder="1" applyAlignment="1">
      <alignment horizontal="right"/>
    </xf>
    <xf fontId="3" fillId="0" borderId="18" numFmtId="4" xfId="2" applyNumberFormat="1" applyFont="1" applyBorder="1"/>
    <xf fontId="13" fillId="5" borderId="8" numFmtId="4" xfId="2" applyNumberFormat="1" applyFont="1" applyFill="1" applyBorder="1" applyAlignment="1">
      <alignment horizontal="right" wrapText="1"/>
    </xf>
    <xf fontId="4" fillId="0" borderId="0" numFmtId="166" xfId="5" applyNumberFormat="1" applyFont="1" applyAlignment="1">
      <alignment wrapText="1"/>
    </xf>
    <xf fontId="4" fillId="0" borderId="29" numFmtId="166" xfId="5" applyNumberFormat="1" applyFont="1" applyBorder="1" applyAlignment="1">
      <alignment wrapText="1"/>
    </xf>
    <xf fontId="6" fillId="5" borderId="25" numFmtId="4" xfId="2" applyNumberFormat="1" applyFont="1" applyFill="1" applyBorder="1" applyAlignment="1">
      <alignment horizontal="right" wrapText="1"/>
    </xf>
    <xf fontId="6" fillId="5" borderId="7" numFmtId="4" xfId="2" applyNumberFormat="1" applyFont="1" applyFill="1" applyBorder="1" applyAlignment="1">
      <alignment horizontal="right" wrapText="1"/>
    </xf>
    <xf fontId="6" fillId="5" borderId="8" numFmtId="4" xfId="2" applyNumberFormat="1" applyFont="1" applyFill="1" applyBorder="1" applyAlignment="1">
      <alignment horizontal="right" wrapText="1"/>
    </xf>
    <xf fontId="19" fillId="6" borderId="25" numFmtId="4" xfId="2" applyNumberFormat="1" applyFont="1" applyFill="1" applyBorder="1" applyAlignment="1">
      <alignment horizontal="right"/>
    </xf>
    <xf fontId="19" fillId="7" borderId="25" numFmtId="4" xfId="2" applyNumberFormat="1" applyFont="1" applyFill="1" applyBorder="1" applyAlignment="1">
      <alignment horizontal="right"/>
    </xf>
    <xf fontId="6" fillId="0" borderId="25" numFmtId="4" xfId="2" applyNumberFormat="1" applyFont="1" applyBorder="1"/>
    <xf fontId="17" fillId="5" borderId="25" numFmtId="4" xfId="2" applyNumberFormat="1" applyFont="1" applyFill="1" applyBorder="1" applyAlignment="1">
      <alignment horizontal="right" wrapText="1"/>
    </xf>
    <xf fontId="13" fillId="11" borderId="7" numFmtId="4" xfId="2" applyNumberFormat="1" applyFont="1" applyFill="1" applyBorder="1" applyAlignment="1">
      <alignment horizontal="right" wrapText="1"/>
    </xf>
    <xf fontId="4" fillId="0" borderId="0" numFmtId="4" xfId="0" applyNumberFormat="1" applyFont="1" applyAlignment="1">
      <alignment wrapText="1"/>
    </xf>
    <xf fontId="6" fillId="6" borderId="42" numFmtId="1" xfId="2" applyNumberFormat="1" applyFont="1" applyFill="1" applyBorder="1" applyAlignment="1">
      <alignment horizontal="center" vertical="center"/>
    </xf>
    <xf fontId="6" fillId="6" borderId="42" numFmtId="4" xfId="2" applyNumberFormat="1" applyFont="1" applyFill="1" applyBorder="1"/>
    <xf fontId="6" fillId="0" borderId="8" numFmtId="4" xfId="2" applyNumberFormat="1" applyFont="1" applyBorder="1" applyAlignment="1">
      <alignment horizontal="center" wrapText="1"/>
    </xf>
    <xf fontId="6" fillId="0" borderId="0" numFmtId="4" xfId="2" applyNumberFormat="1" applyFont="1" applyAlignment="1">
      <alignment horizontal="center" wrapText="1"/>
    </xf>
    <xf fontId="6" fillId="0" borderId="25" numFmtId="4" xfId="2" applyNumberFormat="1" applyFont="1" applyBorder="1" applyAlignment="1">
      <alignment horizontal="right" wrapText="1"/>
    </xf>
    <xf fontId="6" fillId="0" borderId="7" numFmtId="4" xfId="2" applyNumberFormat="1" applyFont="1" applyBorder="1" applyAlignment="1">
      <alignment horizontal="right" wrapText="1"/>
    </xf>
    <xf fontId="6" fillId="0" borderId="8" numFmtId="4" xfId="2" applyNumberFormat="1" applyFont="1" applyBorder="1" applyAlignment="1">
      <alignment horizontal="right" wrapText="1"/>
    </xf>
    <xf fontId="6" fillId="0" borderId="25" numFmtId="4" xfId="2" applyNumberFormat="1" applyFont="1" applyBorder="1" applyAlignment="1">
      <alignment horizontal="center" wrapText="1"/>
    </xf>
    <xf fontId="3" fillId="0" borderId="25" numFmtId="4" xfId="2" applyNumberFormat="1" applyFont="1" applyBorder="1" applyAlignment="1">
      <alignment wrapText="1"/>
    </xf>
    <xf fontId="6" fillId="3" borderId="8" numFmtId="4" xfId="2" applyNumberFormat="1" applyFont="1" applyFill="1" applyBorder="1" applyAlignment="1">
      <alignment horizontal="center" wrapText="1"/>
    </xf>
    <xf fontId="6" fillId="3" borderId="0" numFmtId="4" xfId="2" applyNumberFormat="1" applyFont="1" applyFill="1" applyAlignment="1">
      <alignment horizontal="center" wrapText="1"/>
    </xf>
    <xf fontId="6" fillId="3" borderId="25" numFmtId="4" xfId="2" applyNumberFormat="1" applyFont="1" applyFill="1" applyBorder="1" applyAlignment="1">
      <alignment horizontal="right" wrapText="1"/>
    </xf>
    <xf fontId="6" fillId="3" borderId="7" numFmtId="4" xfId="2" applyNumberFormat="1" applyFont="1" applyFill="1" applyBorder="1" applyAlignment="1">
      <alignment horizontal="right" wrapText="1"/>
    </xf>
    <xf fontId="6" fillId="3" borderId="8" numFmtId="4" xfId="2" applyNumberFormat="1" applyFont="1" applyFill="1" applyBorder="1" applyAlignment="1">
      <alignment horizontal="right" wrapText="1"/>
    </xf>
    <xf fontId="4" fillId="4" borderId="29" numFmtId="166" xfId="5" applyNumberFormat="1" applyFont="1" applyFill="1" applyBorder="1" applyAlignment="1">
      <alignment wrapText="1"/>
    </xf>
    <xf fontId="3" fillId="6" borderId="7" numFmtId="3" xfId="2" applyNumberFormat="1" applyFont="1" applyFill="1" applyBorder="1" applyAlignment="1">
      <alignment horizontal="center"/>
    </xf>
    <xf fontId="3" fillId="6" borderId="0" numFmtId="3" xfId="2" applyNumberFormat="1" applyFont="1" applyFill="1" applyAlignment="1">
      <alignment horizontal="center"/>
    </xf>
    <xf fontId="3" fillId="14" borderId="42" numFmtId="4" xfId="2" applyNumberFormat="1" applyFont="1" applyFill="1" applyBorder="1"/>
    <xf fontId="3" fillId="14" borderId="42" numFmtId="3" xfId="2" applyNumberFormat="1" applyFont="1" applyFill="1" applyBorder="1" applyAlignment="1">
      <alignment horizontal="center" vertical="center"/>
    </xf>
    <xf fontId="3" fillId="14" borderId="42" numFmtId="4" xfId="2" applyNumberFormat="1" applyFont="1" applyFill="1" applyBorder="1" applyAlignment="1">
      <alignment vertical="center"/>
    </xf>
    <xf fontId="13" fillId="3" borderId="25" numFmtId="4" xfId="2" applyNumberFormat="1" applyFont="1" applyFill="1" applyBorder="1" applyAlignment="1">
      <alignment horizontal="right" wrapText="1"/>
    </xf>
    <xf fontId="13" fillId="3" borderId="7" numFmtId="4" xfId="2" applyNumberFormat="1" applyFont="1" applyFill="1" applyBorder="1" applyAlignment="1">
      <alignment horizontal="right" wrapText="1"/>
    </xf>
    <xf fontId="13" fillId="3" borderId="8" numFmtId="4" xfId="2" applyNumberFormat="1" applyFont="1" applyFill="1" applyBorder="1" applyAlignment="1">
      <alignment horizontal="right" wrapText="1"/>
    </xf>
    <xf fontId="3" fillId="0" borderId="55" numFmtId="166" xfId="5" applyNumberFormat="1" applyFont="1" applyBorder="1" applyAlignment="1">
      <alignment wrapText="1"/>
    </xf>
    <xf fontId="3" fillId="9" borderId="29" numFmtId="4" xfId="0" applyNumberFormat="1" applyFont="1" applyFill="1" applyBorder="1" applyAlignment="1">
      <alignment wrapText="1"/>
    </xf>
    <xf fontId="3" fillId="9" borderId="0" numFmtId="4" xfId="0" applyNumberFormat="1" applyFont="1" applyFill="1"/>
    <xf fontId="3" fillId="14" borderId="19" numFmtId="3" xfId="2" applyNumberFormat="1" applyFont="1" applyFill="1" applyBorder="1"/>
    <xf fontId="3" fillId="14" borderId="20" numFmtId="3" xfId="2" applyNumberFormat="1" applyFont="1" applyFill="1" applyBorder="1"/>
    <xf fontId="3" fillId="14" borderId="20" numFmtId="4" xfId="2" applyNumberFormat="1" applyFont="1" applyFill="1" applyBorder="1"/>
    <xf fontId="3" fillId="14" borderId="19" numFmtId="4" xfId="2" applyNumberFormat="1" applyFont="1" applyFill="1" applyBorder="1"/>
    <xf fontId="3" fillId="14" borderId="21" numFmtId="4" xfId="2" applyNumberFormat="1" applyFont="1" applyFill="1" applyBorder="1"/>
    <xf fontId="3" fillId="14" borderId="1" numFmtId="3" xfId="2" applyNumberFormat="1" applyFont="1" applyFill="1" applyBorder="1" applyAlignment="1">
      <alignment horizontal="center"/>
    </xf>
    <xf fontId="3" fillId="14" borderId="2" numFmtId="3" xfId="2" applyNumberFormat="1" applyFont="1" applyFill="1" applyBorder="1" applyAlignment="1">
      <alignment horizontal="center"/>
    </xf>
    <xf fontId="3" fillId="14" borderId="2" numFmtId="4" xfId="2" applyNumberFormat="1" applyFont="1" applyFill="1" applyBorder="1" applyAlignment="1">
      <alignment horizontal="center"/>
    </xf>
    <xf fontId="3" fillId="14" borderId="20" numFmtId="3" xfId="2" applyNumberFormat="1" applyFont="1" applyFill="1" applyBorder="1" applyAlignment="1">
      <alignment horizontal="center"/>
    </xf>
    <xf fontId="3" fillId="14" borderId="21" numFmtId="4" xfId="2" applyNumberFormat="1" applyFont="1" applyFill="1" applyBorder="1" applyAlignment="1">
      <alignment horizontal="center"/>
    </xf>
    <xf fontId="3" fillId="14" borderId="19" numFmtId="3" xfId="2" applyNumberFormat="1" applyFont="1" applyFill="1" applyBorder="1" applyAlignment="1">
      <alignment horizontal="center"/>
    </xf>
    <xf fontId="3" fillId="14" borderId="20" numFmtId="4" xfId="2" applyNumberFormat="1" applyFont="1" applyFill="1" applyBorder="1" applyAlignment="1">
      <alignment horizontal="center"/>
    </xf>
    <xf fontId="3" fillId="0" borderId="29" numFmtId="166" xfId="5" applyNumberFormat="1" applyFont="1" applyBorder="1" applyAlignment="1">
      <alignment wrapText="1"/>
    </xf>
    <xf fontId="6" fillId="9" borderId="3" numFmtId="4" xfId="2" applyNumberFormat="1" applyFont="1" applyFill="1" applyBorder="1" applyAlignment="1">
      <alignment horizontal="right"/>
    </xf>
    <xf fontId="19" fillId="9" borderId="3" numFmtId="4" xfId="2" applyNumberFormat="1" applyFont="1" applyFill="1" applyBorder="1" applyAlignment="1">
      <alignment horizontal="right"/>
    </xf>
    <xf fontId="3" fillId="4" borderId="56" numFmtId="3" xfId="2" applyNumberFormat="1" applyFont="1" applyFill="1" applyBorder="1" applyAlignment="1">
      <alignment horizontal="center"/>
    </xf>
    <xf fontId="3" fillId="4" borderId="57" numFmtId="3" xfId="2" applyNumberFormat="1" applyFont="1" applyFill="1" applyBorder="1" applyAlignment="1">
      <alignment horizontal="center"/>
    </xf>
    <xf fontId="3" fillId="4" borderId="58" numFmtId="4" xfId="2" applyNumberFormat="1" applyFont="1" applyFill="1" applyBorder="1"/>
    <xf fontId="20" fillId="9" borderId="42" numFmtId="4" xfId="2" applyNumberFormat="1" applyFont="1" applyFill="1" applyBorder="1" applyAlignment="1">
      <alignment horizontal="center"/>
    </xf>
    <xf fontId="24" fillId="0" borderId="42" numFmtId="4" xfId="2" applyNumberFormat="1" applyFont="1" applyBorder="1" applyAlignment="1">
      <alignment horizontal="right" wrapText="1"/>
    </xf>
    <xf fontId="24" fillId="0" borderId="42" numFmtId="3" xfId="2" applyNumberFormat="1" applyFont="1" applyBorder="1" applyAlignment="1">
      <alignment horizontal="center" vertical="center" wrapText="1"/>
    </xf>
    <xf fontId="25" fillId="0" borderId="42" numFmtId="3" xfId="2" applyNumberFormat="1" applyFont="1" applyBorder="1" applyAlignment="1">
      <alignment horizontal="right" wrapText="1"/>
    </xf>
    <xf fontId="25" fillId="0" borderId="42" numFmtId="4" xfId="2" applyNumberFormat="1" applyFont="1" applyBorder="1" applyAlignment="1">
      <alignment horizontal="right" wrapText="1"/>
    </xf>
    <xf fontId="25" fillId="3" borderId="42" numFmtId="4" xfId="2" applyNumberFormat="1" applyFont="1" applyFill="1" applyBorder="1"/>
    <xf fontId="3" fillId="9" borderId="42" numFmtId="4" xfId="2" applyNumberFormat="1" applyFont="1" applyFill="1" applyBorder="1" applyAlignment="1">
      <alignment horizontal="center"/>
    </xf>
    <xf fontId="6" fillId="0" borderId="18" numFmtId="4" xfId="2" applyNumberFormat="1" applyFont="1" applyBorder="1" applyAlignment="1">
      <alignment horizontal="center"/>
    </xf>
    <xf fontId="6" fillId="9" borderId="59" numFmtId="4" xfId="2" applyNumberFormat="1" applyFont="1" applyFill="1" applyBorder="1" applyAlignment="1">
      <alignment horizontal="right" wrapText="1"/>
    </xf>
    <xf fontId="6" fillId="9" borderId="60" numFmtId="4" xfId="2" applyNumberFormat="1" applyFont="1" applyFill="1" applyBorder="1" applyAlignment="1">
      <alignment horizontal="right" wrapText="1"/>
    </xf>
    <xf fontId="6" fillId="9" borderId="61" numFmtId="4" xfId="2" applyNumberFormat="1" applyFont="1" applyFill="1" applyBorder="1" applyAlignment="1">
      <alignment horizontal="right" wrapText="1"/>
    </xf>
    <xf fontId="6" fillId="6" borderId="18" numFmtId="4" xfId="2" applyNumberFormat="1" applyFont="1" applyFill="1" applyBorder="1" applyAlignment="1">
      <alignment horizontal="center"/>
    </xf>
    <xf fontId="19" fillId="6" borderId="18" numFmtId="4" xfId="2" applyNumberFormat="1" applyFont="1" applyFill="1" applyBorder="1" applyAlignment="1">
      <alignment horizontal="center"/>
    </xf>
    <xf fontId="6" fillId="7" borderId="18" numFmtId="4" xfId="2" applyNumberFormat="1" applyFont="1" applyFill="1" applyBorder="1" applyAlignment="1">
      <alignment horizontal="center"/>
    </xf>
    <xf fontId="3" fillId="6" borderId="42" numFmtId="4" xfId="2" applyNumberFormat="1" applyFont="1" applyFill="1" applyBorder="1" applyAlignment="1">
      <alignment vertical="center" wrapText="1"/>
    </xf>
    <xf fontId="5" fillId="6" borderId="42" numFmtId="4" xfId="2" applyNumberFormat="1" applyFont="1" applyFill="1" applyBorder="1" applyAlignment="1">
      <alignment horizontal="right" wrapText="1"/>
    </xf>
    <xf fontId="5" fillId="6" borderId="42" numFmtId="4" xfId="2" applyNumberFormat="1" applyFont="1" applyFill="1" applyBorder="1"/>
    <xf fontId="26" fillId="6" borderId="42" numFmtId="4" xfId="2" applyNumberFormat="1" applyFont="1" applyFill="1" applyBorder="1" applyAlignment="1">
      <alignment horizontal="right"/>
    </xf>
    <xf fontId="27" fillId="6" borderId="42" numFmtId="4" xfId="2" applyNumberFormat="1" applyFont="1" applyFill="1" applyBorder="1" applyAlignment="1">
      <alignment horizontal="right"/>
    </xf>
    <xf fontId="5" fillId="6" borderId="42" numFmtId="3" xfId="2" applyNumberFormat="1" applyFont="1" applyFill="1" applyBorder="1" applyAlignment="1">
      <alignment horizontal="center" vertical="center" wrapText="1"/>
    </xf>
    <xf fontId="3" fillId="6" borderId="42" numFmtId="3" xfId="2" applyNumberFormat="1" applyFont="1" applyFill="1" applyBorder="1" applyAlignment="1">
      <alignment horizontal="center"/>
    </xf>
    <xf fontId="4" fillId="6" borderId="42" numFmtId="4" xfId="2" applyNumberFormat="1" applyFont="1" applyFill="1" applyBorder="1" applyAlignment="1">
      <alignment horizontal="right"/>
    </xf>
    <xf fontId="3" fillId="6" borderId="42" numFmtId="4" xfId="0" applyNumberFormat="1" applyFont="1" applyFill="1" applyBorder="1"/>
    <xf fontId="3" fillId="6" borderId="34" numFmtId="4" xfId="2" applyNumberFormat="1" applyFont="1" applyFill="1" applyBorder="1"/>
    <xf fontId="3" fillId="6" borderId="21" numFmtId="4" xfId="2" applyNumberFormat="1" applyFont="1" applyFill="1" applyBorder="1" applyAlignment="1">
      <alignment wrapText="1"/>
    </xf>
    <xf fontId="3" fillId="6" borderId="42" numFmtId="4" xfId="2" applyNumberFormat="1" applyFont="1" applyFill="1" applyBorder="1" applyAlignment="1">
      <alignment wrapText="1"/>
    </xf>
    <xf fontId="3" fillId="6" borderId="19" numFmtId="4" xfId="2" applyNumberFormat="1" applyFont="1" applyFill="1" applyBorder="1" applyAlignment="1">
      <alignment wrapText="1"/>
    </xf>
    <xf fontId="3" fillId="5" borderId="42" numFmtId="4" xfId="2" applyNumberFormat="1" applyFont="1" applyFill="1" applyBorder="1" applyAlignment="1">
      <alignment wrapText="1"/>
    </xf>
    <xf fontId="3" fillId="6" borderId="0" numFmtId="4" xfId="0" applyNumberFormat="1" applyFont="1" applyFill="1" applyAlignment="1">
      <alignment wrapText="1"/>
    </xf>
    <xf fontId="3" fillId="6" borderId="0" numFmtId="166" xfId="5" applyNumberFormat="1" applyFont="1" applyFill="1" applyAlignment="1">
      <alignment wrapText="1"/>
    </xf>
    <xf fontId="3" fillId="6" borderId="29" numFmtId="4" xfId="0" applyNumberFormat="1" applyFont="1" applyFill="1" applyBorder="1" applyAlignment="1">
      <alignment wrapText="1"/>
    </xf>
    <xf fontId="3" fillId="6" borderId="0" numFmtId="4" xfId="0" applyNumberFormat="1" applyFont="1" applyFill="1"/>
    <xf fontId="3" fillId="6" borderId="19" numFmtId="3" xfId="2" applyNumberFormat="1" applyFont="1" applyFill="1" applyBorder="1" applyAlignment="1">
      <alignment horizontal="center"/>
    </xf>
    <xf fontId="3" fillId="6" borderId="20" numFmtId="3" xfId="2" applyNumberFormat="1" applyFont="1" applyFill="1" applyBorder="1" applyAlignment="1">
      <alignment horizontal="center"/>
    </xf>
    <xf fontId="3" fillId="6" borderId="20" numFmtId="4" xfId="2" applyNumberFormat="1" applyFont="1" applyFill="1" applyBorder="1"/>
    <xf fontId="3" fillId="6" borderId="20" numFmtId="3" xfId="2" applyNumberFormat="1" applyFont="1" applyFill="1" applyBorder="1" applyAlignment="1">
      <alignment horizontal="center" vertical="center"/>
    </xf>
    <xf fontId="3" fillId="6" borderId="21" numFmtId="4" xfId="2" applyNumberFormat="1" applyFont="1" applyFill="1" applyBorder="1"/>
    <xf fontId="28" fillId="3" borderId="42" numFmtId="4" xfId="2" applyNumberFormat="1" applyFont="1" applyFill="1" applyBorder="1" applyAlignment="1">
      <alignment horizontal="right"/>
    </xf>
    <xf fontId="3" fillId="0" borderId="42" numFmtId="1" xfId="2" applyNumberFormat="1" applyFont="1" applyBorder="1" applyAlignment="1">
      <alignment horizontal="right"/>
    </xf>
    <xf fontId="19" fillId="6" borderId="42" numFmtId="4" xfId="0" applyNumberFormat="1" applyFont="1" applyFill="1" applyBorder="1"/>
    <xf fontId="29" fillId="3" borderId="42" numFmtId="4" xfId="2" applyNumberFormat="1" applyFont="1" applyFill="1" applyBorder="1" applyAlignment="1">
      <alignment horizontal="right"/>
    </xf>
    <xf fontId="29" fillId="9" borderId="42" numFmtId="4" xfId="2" applyNumberFormat="1" applyFont="1" applyFill="1" applyBorder="1" applyAlignment="1">
      <alignment horizontal="right"/>
    </xf>
    <xf fontId="29" fillId="0" borderId="42" numFmtId="4" xfId="2" applyNumberFormat="1" applyFont="1" applyBorder="1" applyAlignment="1">
      <alignment horizontal="right"/>
    </xf>
    <xf fontId="3" fillId="0" borderId="0" numFmtId="166" xfId="5" applyNumberFormat="1" applyFont="1" applyAlignment="1">
      <alignment wrapText="1"/>
    </xf>
    <xf fontId="3" fillId="3" borderId="42" numFmtId="1" xfId="2" applyNumberFormat="1" applyFont="1" applyFill="1" applyBorder="1" applyAlignment="1">
      <alignment horizontal="right"/>
    </xf>
    <xf fontId="6" fillId="5" borderId="21" numFmtId="4" xfId="2" applyNumberFormat="1" applyFont="1" applyFill="1" applyBorder="1" applyAlignment="1">
      <alignment horizontal="center" vertical="center" wrapText="1"/>
    </xf>
    <xf fontId="6" fillId="5" borderId="42" numFmtId="4" xfId="2" applyNumberFormat="1" applyFont="1" applyFill="1" applyBorder="1" applyAlignment="1">
      <alignment horizontal="center" vertical="center" wrapText="1"/>
    </xf>
    <xf fontId="3" fillId="5" borderId="19" numFmtId="4" xfId="2" applyNumberFormat="1" applyFont="1" applyFill="1" applyBorder="1" applyAlignment="1">
      <alignment wrapText="1"/>
    </xf>
    <xf fontId="3" fillId="5" borderId="21" numFmtId="4" xfId="2" applyNumberFormat="1" applyFont="1" applyFill="1" applyBorder="1" applyAlignment="1">
      <alignment wrapText="1"/>
    </xf>
    <xf fontId="3" fillId="0" borderId="20" numFmtId="4" xfId="2" applyNumberFormat="1" applyFont="1" applyBorder="1" applyAlignment="1">
      <alignment horizontal="center" vertical="center"/>
    </xf>
    <xf fontId="0" fillId="0" borderId="42" numFmtId="4" xfId="0" applyNumberFormat="1" applyBorder="1" applyAlignment="1">
      <alignment vertical="center" wrapText="1"/>
    </xf>
    <xf fontId="3" fillId="0" borderId="30" numFmtId="4" xfId="2" applyNumberFormat="1" applyFont="1" applyBorder="1" applyAlignment="1">
      <alignment wrapText="1"/>
    </xf>
    <xf fontId="3" fillId="0" borderId="34" numFmtId="4" xfId="2" applyNumberFormat="1" applyFont="1" applyBorder="1" applyAlignment="1">
      <alignment wrapText="1"/>
    </xf>
    <xf fontId="3" fillId="0" borderId="30" numFmtId="4" xfId="2" applyNumberFormat="1" applyFont="1" applyBorder="1" applyAlignment="1">
      <alignment horizontal="left" wrapText="1"/>
    </xf>
    <xf fontId="29" fillId="3" borderId="42" numFmtId="4" xfId="2" applyNumberFormat="1" applyFont="1" applyFill="1" applyBorder="1"/>
    <xf fontId="29" fillId="9" borderId="42" numFmtId="4" xfId="2" applyNumberFormat="1" applyFont="1" applyFill="1" applyBorder="1"/>
    <xf fontId="4" fillId="0" borderId="42" numFmtId="4" xfId="2" applyNumberFormat="1" applyFont="1" applyBorder="1" applyAlignment="1">
      <alignment vertical="center" wrapText="1"/>
    </xf>
    <xf fontId="30" fillId="3" borderId="42" numFmtId="4" xfId="2" applyNumberFormat="1" applyFont="1" applyFill="1" applyBorder="1" applyAlignment="1">
      <alignment horizontal="right" wrapText="1"/>
    </xf>
    <xf fontId="4" fillId="0" borderId="42" numFmtId="1" xfId="2" applyNumberFormat="1" applyFont="1" applyBorder="1"/>
    <xf fontId="3" fillId="5" borderId="42" numFmtId="4" xfId="2" applyNumberFormat="1" applyFont="1" applyFill="1" applyBorder="1" applyAlignment="1">
      <alignment horizontal="right" wrapText="1"/>
    </xf>
    <xf fontId="3" fillId="11" borderId="42" numFmtId="4" xfId="2" applyNumberFormat="1" applyFont="1" applyFill="1" applyBorder="1" applyAlignment="1">
      <alignment horizontal="right" wrapText="1"/>
    </xf>
    <xf fontId="3" fillId="11" borderId="42" numFmtId="4" xfId="2" applyNumberFormat="1" applyFont="1" applyFill="1" applyBorder="1" applyAlignment="1">
      <alignment wrapText="1"/>
    </xf>
    <xf fontId="3" fillId="5" borderId="19" numFmtId="4" xfId="2" applyNumberFormat="1" applyFont="1" applyFill="1" applyBorder="1" applyAlignment="1">
      <alignment horizontal="right" wrapText="1"/>
    </xf>
    <xf fontId="3" fillId="0" borderId="0" numFmtId="4" xfId="2" applyNumberFormat="1" applyFont="1" applyAlignment="1">
      <alignment horizontal="right" wrapText="1"/>
    </xf>
    <xf fontId="13" fillId="5" borderId="42" numFmtId="4" xfId="2" applyNumberFormat="1" applyFont="1" applyFill="1" applyBorder="1" applyAlignment="1">
      <alignment horizontal="right" wrapText="1"/>
    </xf>
    <xf fontId="31" fillId="0" borderId="42" numFmtId="4" xfId="0" applyNumberFormat="1" applyFont="1" applyBorder="1" applyAlignment="1">
      <alignment vertical="center" wrapText="1"/>
    </xf>
    <xf fontId="6" fillId="6" borderId="34" numFmtId="4" xfId="2" applyNumberFormat="1" applyFont="1" applyFill="1" applyBorder="1" applyAlignment="1">
      <alignment horizontal="center"/>
    </xf>
    <xf fontId="19" fillId="6" borderId="34" numFmtId="4" xfId="2" applyNumberFormat="1" applyFont="1" applyFill="1" applyBorder="1" applyAlignment="1">
      <alignment horizontal="center"/>
    </xf>
    <xf fontId="6" fillId="7" borderId="34" numFmtId="4" xfId="2" applyNumberFormat="1" applyFont="1" applyFill="1" applyBorder="1" applyAlignment="1">
      <alignment horizontal="center"/>
    </xf>
    <xf fontId="3" fillId="0" borderId="20" numFmtId="4" xfId="2" applyNumberFormat="1" applyFont="1" applyBorder="1" applyAlignment="1">
      <alignment horizontal="center"/>
    </xf>
    <xf fontId="3" fillId="0" borderId="0" numFmtId="4" xfId="2" applyNumberFormat="1" applyFont="1" applyAlignment="1">
      <alignment horizontal="left"/>
    </xf>
    <xf fontId="6" fillId="6" borderId="27" numFmtId="4" xfId="2" applyNumberFormat="1" applyFont="1" applyFill="1" applyBorder="1" applyAlignment="1">
      <alignment horizontal="center"/>
    </xf>
    <xf fontId="19" fillId="6" borderId="27" numFmtId="4" xfId="2" applyNumberFormat="1" applyFont="1" applyFill="1" applyBorder="1" applyAlignment="1">
      <alignment horizontal="center"/>
    </xf>
    <xf fontId="6" fillId="7" borderId="27" numFmtId="4" xfId="2" applyNumberFormat="1" applyFont="1" applyFill="1" applyBorder="1" applyAlignment="1">
      <alignment horizontal="center"/>
    </xf>
    <xf fontId="17" fillId="0" borderId="42" numFmtId="4" xfId="2" applyNumberFormat="1" applyFont="1" applyBorder="1" applyAlignment="1">
      <alignment horizontal="right"/>
    </xf>
    <xf fontId="6" fillId="0" borderId="18" numFmtId="4" xfId="2" applyNumberFormat="1" applyFont="1" applyBorder="1" applyAlignment="1">
      <alignment horizontal="right" vertical="center" wrapText="1"/>
    </xf>
    <xf fontId="6" fillId="0" borderId="42" numFmtId="4" xfId="2" applyNumberFormat="1" applyFont="1" applyBorder="1" applyAlignment="1">
      <alignment horizontal="right" wrapText="1"/>
    </xf>
    <xf fontId="20" fillId="9" borderId="42" numFmtId="4" xfId="2" applyNumberFormat="1" applyFont="1" applyFill="1" applyBorder="1" applyAlignment="1">
      <alignment horizontal="right"/>
    </xf>
    <xf fontId="6" fillId="9" borderId="42" numFmtId="3" xfId="2" applyNumberFormat="1" applyFont="1" applyFill="1" applyBorder="1" applyAlignment="1">
      <alignment horizontal="center" vertical="center" wrapText="1"/>
    </xf>
    <xf fontId="6" fillId="4" borderId="42" numFmtId="4" xfId="2" applyNumberFormat="1" applyFont="1" applyFill="1" applyBorder="1" applyAlignment="1">
      <alignment horizontal="right" wrapText="1"/>
    </xf>
    <xf fontId="6" fillId="9" borderId="42" numFmtId="164" xfId="5" applyNumberFormat="1" applyFont="1" applyFill="1" applyBorder="1" applyAlignment="1">
      <alignment horizontal="right"/>
    </xf>
    <xf fontId="6" fillId="9" borderId="42" numFmtId="1" xfId="2" applyNumberFormat="1" applyFont="1" applyFill="1" applyBorder="1" applyAlignment="1">
      <alignment horizontal="right"/>
    </xf>
    <xf fontId="6" fillId="9" borderId="42" numFmtId="4" xfId="2" applyNumberFormat="1" applyFont="1" applyFill="1" applyBorder="1"/>
    <xf fontId="6" fillId="9" borderId="18" numFmtId="4" xfId="2" applyNumberFormat="1" applyFont="1" applyFill="1" applyBorder="1" applyAlignment="1">
      <alignment horizontal="right" vertical="center" wrapText="1"/>
    </xf>
    <xf fontId="3" fillId="9" borderId="19" numFmtId="3" xfId="2" applyNumberFormat="1" applyFont="1" applyFill="1" applyBorder="1"/>
    <xf fontId="3" fillId="9" borderId="20" numFmtId="3" xfId="2" applyNumberFormat="1" applyFont="1" applyFill="1" applyBorder="1"/>
    <xf fontId="3" fillId="9" borderId="20" numFmtId="4" xfId="2" applyNumberFormat="1" applyFont="1" applyFill="1" applyBorder="1"/>
    <xf fontId="3" fillId="9" borderId="19" numFmtId="3" xfId="2" applyNumberFormat="1" applyFont="1" applyFill="1" applyBorder="1" applyAlignment="1">
      <alignment horizontal="center"/>
    </xf>
    <xf fontId="3" fillId="9" borderId="20" numFmtId="3" xfId="2" applyNumberFormat="1" applyFont="1" applyFill="1" applyBorder="1" applyAlignment="1">
      <alignment horizontal="center"/>
    </xf>
    <xf fontId="3" fillId="9" borderId="20" numFmtId="4" xfId="2" applyNumberFormat="1" applyFont="1" applyFill="1" applyBorder="1" applyAlignment="1">
      <alignment horizontal="center"/>
    </xf>
    <xf fontId="3" fillId="9" borderId="21" numFmtId="4" xfId="2" applyNumberFormat="1" applyFont="1" applyFill="1" applyBorder="1" applyAlignment="1">
      <alignment horizontal="center"/>
    </xf>
    <xf fontId="0" fillId="0" borderId="34" numFmtId="4" xfId="0" applyNumberFormat="1" applyBorder="1" applyAlignment="1">
      <alignment horizontal="right" vertical="center" wrapText="1"/>
    </xf>
    <xf fontId="19" fillId="9" borderId="42" numFmtId="4" xfId="2" applyNumberFormat="1" applyFont="1" applyFill="1" applyBorder="1" applyAlignment="1">
      <alignment horizontal="right" wrapText="1"/>
    </xf>
    <xf fontId="23" fillId="9" borderId="42" numFmtId="4" xfId="2" applyNumberFormat="1" applyFont="1" applyFill="1" applyBorder="1" applyAlignment="1">
      <alignment horizontal="right"/>
    </xf>
    <xf fontId="13" fillId="9" borderId="42" numFmtId="4" xfId="2" applyNumberFormat="1" applyFont="1" applyFill="1" applyBorder="1" applyAlignment="1">
      <alignment horizontal="right" wrapText="1"/>
    </xf>
    <xf fontId="19" fillId="9" borderId="42" numFmtId="3" xfId="2" applyNumberFormat="1" applyFont="1" applyFill="1" applyBorder="1" applyAlignment="1">
      <alignment horizontal="center" vertical="center" wrapText="1"/>
    </xf>
    <xf fontId="6" fillId="9" borderId="8" numFmtId="4" xfId="2" applyNumberFormat="1" applyFont="1" applyFill="1" applyBorder="1" applyAlignment="1">
      <alignment horizontal="right"/>
    </xf>
    <xf fontId="0" fillId="9" borderId="34" numFmtId="4" xfId="0" applyNumberFormat="1" applyFill="1" applyBorder="1" applyAlignment="1">
      <alignment horizontal="right" vertical="center" wrapText="1"/>
    </xf>
    <xf fontId="6" fillId="3" borderId="42" numFmtId="4" xfId="2" applyNumberFormat="1" applyFont="1" applyFill="1" applyBorder="1" applyAlignment="1">
      <alignment horizontal="right" wrapText="1"/>
    </xf>
    <xf fontId="6" fillId="3" borderId="42" numFmtId="4" xfId="2" applyNumberFormat="1" applyFont="1" applyFill="1" applyBorder="1"/>
    <xf fontId="6" fillId="3" borderId="42" numFmtId="4" xfId="2" applyNumberFormat="1" applyFont="1" applyFill="1" applyBorder="1" applyAlignment="1">
      <alignment wrapText="1"/>
    </xf>
    <xf fontId="6" fillId="0" borderId="42" numFmtId="4" xfId="2" applyNumberFormat="1" applyFont="1" applyBorder="1" applyAlignment="1">
      <alignment wrapText="1"/>
    </xf>
    <xf fontId="4" fillId="5" borderId="42" numFmtId="4" xfId="2" applyNumberFormat="1" applyFont="1" applyFill="1" applyBorder="1" applyAlignment="1">
      <alignment horizontal="right" wrapText="1"/>
    </xf>
    <xf fontId="4" fillId="5" borderId="42" numFmtId="4" xfId="2" applyNumberFormat="1" applyFont="1" applyFill="1" applyBorder="1" applyAlignment="1">
      <alignment wrapText="1"/>
    </xf>
    <xf fontId="6" fillId="6" borderId="42" numFmtId="4" xfId="2" applyNumberFormat="1" applyFont="1" applyFill="1" applyBorder="1" applyAlignment="1">
      <alignment vertical="center" wrapText="1"/>
    </xf>
    <xf fontId="6" fillId="6" borderId="42" numFmtId="4" xfId="2" applyNumberFormat="1" applyFont="1" applyFill="1" applyBorder="1" applyAlignment="1">
      <alignment horizontal="center"/>
    </xf>
    <xf fontId="6" fillId="6" borderId="42" numFmtId="4" xfId="2" applyNumberFormat="1" applyFont="1" applyFill="1" applyBorder="1" applyAlignment="1">
      <alignment horizontal="center" wrapText="1"/>
    </xf>
    <xf fontId="20" fillId="6" borderId="42" numFmtId="4" xfId="2" applyNumberFormat="1" applyFont="1" applyFill="1" applyBorder="1" applyAlignment="1">
      <alignment horizontal="center"/>
    </xf>
    <xf fontId="3" fillId="6" borderId="42" numFmtId="3" xfId="0" applyNumberFormat="1" applyFont="1" applyFill="1" applyBorder="1" applyAlignment="1">
      <alignment horizontal="center" vertical="center" wrapText="1"/>
    </xf>
    <xf fontId="4" fillId="6" borderId="42" numFmtId="4" xfId="2" applyNumberFormat="1" applyFont="1" applyFill="1" applyBorder="1"/>
    <xf fontId="3" fillId="6" borderId="42" numFmtId="4" xfId="2" applyNumberFormat="1" applyFont="1" applyFill="1" applyBorder="1" applyAlignment="1">
      <alignment horizontal="center"/>
    </xf>
    <xf fontId="5" fillId="6" borderId="42" numFmtId="4" xfId="0" applyNumberFormat="1" applyFont="1" applyFill="1" applyBorder="1" applyAlignment="1">
      <alignment wrapText="1"/>
    </xf>
    <xf fontId="3" fillId="6" borderId="42" numFmtId="4" xfId="0" applyNumberFormat="1" applyFont="1" applyFill="1" applyBorder="1" applyAlignment="1">
      <alignment wrapText="1"/>
    </xf>
    <xf fontId="6" fillId="9" borderId="42" numFmtId="4" xfId="2" applyNumberFormat="1" applyFont="1" applyFill="1" applyBorder="1" applyAlignment="1">
      <alignment vertical="center" wrapText="1"/>
    </xf>
    <xf fontId="3" fillId="9" borderId="26" numFmtId="3" xfId="2" applyNumberFormat="1" applyFont="1" applyFill="1" applyBorder="1"/>
    <xf fontId="3" fillId="9" borderId="30" numFmtId="3" xfId="2" applyNumberFormat="1" applyFont="1" applyFill="1" applyBorder="1"/>
    <xf fontId="3" fillId="9" borderId="30" numFmtId="4" xfId="2" applyNumberFormat="1" applyFont="1" applyFill="1" applyBorder="1"/>
    <xf fontId="3" fillId="9" borderId="26" numFmtId="3" xfId="2" applyNumberFormat="1" applyFont="1" applyFill="1" applyBorder="1" applyAlignment="1">
      <alignment horizontal="center"/>
    </xf>
    <xf fontId="3" fillId="9" borderId="30" numFmtId="3" xfId="2" applyNumberFormat="1" applyFont="1" applyFill="1" applyBorder="1" applyAlignment="1">
      <alignment horizontal="center"/>
    </xf>
    <xf fontId="6" fillId="3" borderId="42" numFmtId="4" xfId="2" applyNumberFormat="1" applyFont="1" applyFill="1" applyBorder="1" applyAlignment="1">
      <alignment horizontal="right"/>
    </xf>
    <xf fontId="3" fillId="5" borderId="27" numFmtId="4" xfId="2" applyNumberFormat="1" applyFont="1" applyFill="1" applyBorder="1" applyAlignment="1">
      <alignment horizontal="right" wrapText="1"/>
    </xf>
    <xf fontId="3" fillId="11" borderId="34" numFmtId="4" xfId="2" applyNumberFormat="1" applyFont="1" applyFill="1" applyBorder="1" applyAlignment="1">
      <alignment horizontal="right" wrapText="1"/>
    </xf>
    <xf fontId="6" fillId="0" borderId="42" numFmtId="4" xfId="2" applyNumberFormat="1" applyFont="1" applyBorder="1" applyAlignment="1">
      <alignment horizontal="center" vertical="center" wrapText="1"/>
    </xf>
    <xf fontId="6" fillId="0" borderId="42" numFmtId="4" xfId="2" applyNumberFormat="1" applyFont="1" applyBorder="1" applyAlignment="1">
      <alignment horizontal="right" vertical="center" wrapText="1"/>
    </xf>
    <xf fontId="6" fillId="9" borderId="42" numFmtId="3" xfId="2" applyNumberFormat="1" applyFont="1" applyFill="1" applyBorder="1" applyAlignment="1">
      <alignment horizontal="right"/>
    </xf>
    <xf fontId="6" fillId="9" borderId="42" numFmtId="4" xfId="0" applyNumberFormat="1" applyFont="1" applyFill="1" applyBorder="1"/>
    <xf fontId="3" fillId="4" borderId="29" numFmtId="4" xfId="0" applyNumberFormat="1" applyFont="1" applyFill="1" applyBorder="1" applyAlignment="1">
      <alignment wrapText="1"/>
    </xf>
    <xf fontId="6" fillId="9" borderId="59" numFmtId="4" xfId="2" applyNumberFormat="1" applyFont="1" applyFill="1" applyBorder="1" applyAlignment="1">
      <alignment horizontal="right"/>
    </xf>
    <xf fontId="19" fillId="9" borderId="59" numFmtId="4" xfId="2" applyNumberFormat="1" applyFont="1" applyFill="1" applyBorder="1" applyAlignment="1">
      <alignment horizontal="right"/>
    </xf>
    <xf fontId="6" fillId="4" borderId="42" numFmtId="4" xfId="2" applyNumberFormat="1" applyFont="1" applyFill="1" applyBorder="1" applyAlignment="1">
      <alignment horizontal="right" vertical="center" wrapText="1"/>
    </xf>
    <xf fontId="3" fillId="4" borderId="19" numFmtId="3" xfId="2" applyNumberFormat="1" applyFont="1" applyFill="1" applyBorder="1"/>
    <xf fontId="3" fillId="4" borderId="20" numFmtId="3" xfId="2" applyNumberFormat="1" applyFont="1" applyFill="1" applyBorder="1"/>
    <xf fontId="3" fillId="4" borderId="20" numFmtId="4" xfId="2" applyNumberFormat="1" applyFont="1" applyFill="1" applyBorder="1"/>
    <xf fontId="3" fillId="4" borderId="19" numFmtId="3" xfId="2" applyNumberFormat="1" applyFont="1" applyFill="1" applyBorder="1" applyAlignment="1">
      <alignment horizontal="center"/>
    </xf>
    <xf fontId="3" fillId="4" borderId="20" numFmtId="3" xfId="2" applyNumberFormat="1" applyFont="1" applyFill="1" applyBorder="1" applyAlignment="1">
      <alignment horizontal="center"/>
    </xf>
    <xf fontId="3" fillId="4" borderId="20" numFmtId="4" xfId="2" applyNumberFormat="1" applyFont="1" applyFill="1" applyBorder="1" applyAlignment="1">
      <alignment horizontal="center"/>
    </xf>
    <xf fontId="3" fillId="4" borderId="21" numFmtId="4" xfId="2" applyNumberFormat="1" applyFont="1" applyFill="1" applyBorder="1" applyAlignment="1">
      <alignment horizontal="center"/>
    </xf>
    <xf fontId="4" fillId="9" borderId="42" numFmtId="4" xfId="2" applyNumberFormat="1" applyFont="1" applyFill="1" applyBorder="1"/>
    <xf fontId="3" fillId="3" borderId="42" numFmtId="1" xfId="2" applyNumberFormat="1" applyFont="1" applyFill="1" applyBorder="1"/>
    <xf fontId="6" fillId="0" borderId="0" numFmtId="4" xfId="2" applyNumberFormat="1" applyFont="1" applyAlignment="1">
      <alignment horizontal="left"/>
    </xf>
    <xf fontId="3" fillId="0" borderId="55" numFmtId="4" xfId="0" applyNumberFormat="1" applyFont="1" applyBorder="1" applyAlignment="1">
      <alignment wrapText="1"/>
    </xf>
    <xf fontId="3" fillId="7" borderId="42" numFmtId="4" xfId="2" applyNumberFormat="1" applyFont="1" applyFill="1" applyBorder="1"/>
    <xf fontId="3" fillId="4" borderId="56" numFmtId="3" xfId="2" applyNumberFormat="1" applyFont="1" applyFill="1" applyBorder="1" applyAlignment="1">
      <alignment horizontal="center" vertical="center"/>
    </xf>
    <xf fontId="3" fillId="4" borderId="57" numFmtId="4" xfId="2" applyNumberFormat="1" applyFont="1" applyFill="1" applyBorder="1" applyAlignment="1">
      <alignment horizontal="center" vertical="center"/>
    </xf>
    <xf fontId="3" fillId="4" borderId="56" numFmtId="4" xfId="2" applyNumberFormat="1" applyFont="1" applyFill="1" applyBorder="1" applyAlignment="1">
      <alignment horizontal="center" vertical="center"/>
    </xf>
    <xf fontId="4" fillId="9" borderId="0" numFmtId="4" xfId="2" applyNumberFormat="1" applyFont="1" applyFill="1"/>
    <xf fontId="3" fillId="3" borderId="0" numFmtId="3" xfId="2" applyNumberFormat="1" applyFont="1" applyFill="1" applyAlignment="1">
      <alignment horizontal="center" vertical="center" wrapText="1"/>
    </xf>
    <xf fontId="4" fillId="3" borderId="0" numFmtId="1" xfId="2" applyNumberFormat="1" applyFont="1" applyFill="1"/>
    <xf fontId="17" fillId="3" borderId="0" numFmtId="4" xfId="2" applyNumberFormat="1" applyFont="1" applyFill="1"/>
    <xf fontId="3" fillId="4" borderId="0" numFmtId="4" xfId="2" applyNumberFormat="1" applyFont="1" applyFill="1"/>
    <xf fontId="6" fillId="4" borderId="34" numFmtId="4" xfId="2" applyNumberFormat="1" applyFont="1" applyFill="1" applyBorder="1" applyAlignment="1">
      <alignment vertical="top" wrapText="1"/>
    </xf>
    <xf fontId="6" fillId="4" borderId="34" numFmtId="4" xfId="2" applyNumberFormat="1" applyFont="1" applyFill="1" applyBorder="1" applyAlignment="1">
      <alignment vertical="center" wrapText="1"/>
    </xf>
    <xf fontId="6" fillId="2" borderId="42" numFmtId="4" xfId="2" applyNumberFormat="1" applyFont="1" applyFill="1" applyBorder="1" applyAlignment="1">
      <alignment horizontal="right" vertical="center"/>
    </xf>
    <xf fontId="6" fillId="4" borderId="42" numFmtId="4" xfId="2" applyNumberFormat="1" applyFont="1" applyFill="1" applyBorder="1" applyAlignment="1">
      <alignment horizontal="center" vertical="center"/>
    </xf>
    <xf fontId="6" fillId="4" borderId="42" numFmtId="4" xfId="2" applyNumberFormat="1" applyFont="1" applyFill="1" applyBorder="1" applyAlignment="1">
      <alignment horizontal="center" vertical="center" wrapText="1"/>
    </xf>
    <xf fontId="3" fillId="4" borderId="42" numFmtId="4" xfId="2" applyNumberFormat="1" applyFont="1" applyFill="1" applyBorder="1" applyAlignment="1">
      <alignment horizontal="right"/>
    </xf>
    <xf fontId="20" fillId="4" borderId="42" numFmtId="4" xfId="2" applyNumberFormat="1" applyFont="1" applyFill="1" applyBorder="1" applyAlignment="1">
      <alignment horizontal="center" vertical="center"/>
    </xf>
    <xf fontId="20" fillId="4" borderId="42" numFmtId="4" xfId="2" applyNumberFormat="1" applyFont="1" applyFill="1" applyBorder="1" applyAlignment="1">
      <alignment horizontal="center" vertical="center" wrapText="1"/>
    </xf>
    <xf fontId="6" fillId="4" borderId="0" numFmtId="4" xfId="2" applyNumberFormat="1" applyFont="1" applyFill="1" applyAlignment="1">
      <alignment horizontal="center" vertical="center" wrapText="1"/>
    </xf>
    <xf fontId="3" fillId="4" borderId="19" numFmtId="4" xfId="2" applyNumberFormat="1" applyFont="1" applyFill="1" applyBorder="1" applyAlignment="1">
      <alignment horizontal="right" wrapText="1"/>
    </xf>
    <xf fontId="32" fillId="0" borderId="0" numFmtId="4" xfId="2" applyNumberFormat="1" applyFont="1" applyAlignment="1">
      <alignment horizontal="right" wrapText="1"/>
    </xf>
    <xf fontId="4" fillId="0" borderId="0" numFmtId="1" xfId="2" applyNumberFormat="1" applyFont="1"/>
    <xf fontId="3" fillId="0" borderId="19" numFmtId="4" xfId="2" applyNumberFormat="1" applyFont="1" applyBorder="1" applyAlignment="1">
      <alignment horizontal="right" wrapText="1"/>
    </xf>
    <xf fontId="3" fillId="0" borderId="8" numFmtId="4" xfId="2" applyNumberFormat="1" applyFont="1" applyBorder="1" applyAlignment="1">
      <alignment horizontal="right" wrapText="1"/>
    </xf>
    <xf fontId="3" fillId="0" borderId="25" numFmtId="4" xfId="2" applyNumberFormat="1" applyFont="1" applyBorder="1" applyAlignment="1">
      <alignment horizontal="right" wrapText="1"/>
    </xf>
    <xf fontId="5" fillId="0" borderId="0" numFmtId="4" xfId="2" applyNumberFormat="1" applyFont="1"/>
    <xf fontId="3" fillId="4" borderId="19" numFmtId="4" xfId="2" applyNumberFormat="1" applyFont="1" applyFill="1" applyBorder="1"/>
    <xf fontId="3" fillId="4" borderId="21" numFmtId="4" xfId="2" applyNumberFormat="1" applyFont="1" applyFill="1" applyBorder="1"/>
    <xf fontId="3" fillId="4" borderId="20" numFmtId="3" xfId="2" applyNumberFormat="1" applyFont="1" applyFill="1" applyBorder="1" applyAlignment="1">
      <alignment horizontal="center" vertical="center"/>
    </xf>
    <xf fontId="3" fillId="4" borderId="19" numFmtId="3" xfId="2" applyNumberFormat="1" applyFont="1" applyFill="1" applyBorder="1" applyAlignment="1">
      <alignment horizontal="center" vertical="center"/>
    </xf>
    <xf fontId="3" fillId="4" borderId="62" numFmtId="3" xfId="2" applyNumberFormat="1" applyFont="1" applyFill="1" applyBorder="1"/>
    <xf fontId="3" fillId="4" borderId="63" numFmtId="3" xfId="2" applyNumberFormat="1" applyFont="1" applyFill="1" applyBorder="1"/>
    <xf fontId="3" fillId="4" borderId="63" numFmtId="4" xfId="2" applyNumberFormat="1" applyFont="1" applyFill="1" applyBorder="1"/>
    <xf fontId="3" fillId="4" borderId="64" numFmtId="4" xfId="2" applyNumberFormat="1" applyFont="1" applyFill="1" applyBorder="1"/>
    <xf fontId="3" fillId="9" borderId="8" numFmtId="4" xfId="2" applyNumberFormat="1" applyFont="1" applyFill="1" applyBorder="1"/>
    <xf fontId="4" fillId="0" borderId="0" numFmtId="1" xfId="2" applyNumberFormat="1" applyFont="1" applyAlignment="1">
      <alignment wrapText="1"/>
    </xf>
    <xf fontId="4" fillId="0" borderId="0" numFmtId="4" xfId="2" applyNumberFormat="1" applyFont="1" applyAlignment="1">
      <alignment wrapText="1"/>
    </xf>
    <xf fontId="28" fillId="5" borderId="42" numFmtId="4" xfId="2" applyNumberFormat="1" applyFont="1" applyFill="1" applyBorder="1" applyAlignment="1">
      <alignment horizontal="right" wrapText="1"/>
    </xf>
    <xf fontId="28" fillId="11" borderId="42" numFmtId="4" xfId="2" applyNumberFormat="1" applyFont="1" applyFill="1" applyBorder="1" applyAlignment="1">
      <alignment horizontal="right" wrapText="1"/>
    </xf>
    <xf fontId="28" fillId="5" borderId="19" numFmtId="4" xfId="2" applyNumberFormat="1" applyFont="1" applyFill="1" applyBorder="1" applyAlignment="1">
      <alignment horizontal="right" wrapText="1"/>
    </xf>
    <xf fontId="28" fillId="5" borderId="8" numFmtId="4" xfId="2" applyNumberFormat="1" applyFont="1" applyFill="1" applyBorder="1" applyAlignment="1">
      <alignment horizontal="right" wrapText="1"/>
    </xf>
    <xf fontId="3" fillId="9" borderId="0" numFmtId="4" xfId="2" applyNumberFormat="1" applyFont="1" applyFill="1" applyAlignment="1">
      <alignment horizontal="right"/>
    </xf>
    <xf fontId="4" fillId="0" borderId="0" numFmtId="1" xfId="2" applyNumberFormat="1" applyFont="1" applyAlignment="1">
      <alignment horizontal="center"/>
    </xf>
    <xf fontId="4" fillId="0" borderId="0" numFmtId="4" xfId="2" applyNumberFormat="1" applyFont="1" applyAlignment="1">
      <alignment horizontal="center"/>
    </xf>
    <xf fontId="4" fillId="0" borderId="0" numFmtId="4" xfId="2" applyNumberFormat="1" applyFont="1" applyAlignment="1">
      <alignment horizontal="right" wrapText="1"/>
    </xf>
    <xf fontId="3" fillId="3" borderId="0" numFmtId="4" xfId="2" applyNumberFormat="1" applyFont="1" applyFill="1" applyAlignment="1">
      <alignment horizontal="right" wrapText="1"/>
    </xf>
    <xf fontId="33" fillId="0" borderId="0" numFmtId="4" xfId="2" applyNumberFormat="1" applyFont="1"/>
    <xf fontId="9" fillId="15" borderId="42" numFmtId="0" xfId="1" applyFont="1" applyFill="1" applyBorder="1"/>
    <xf fontId="3" fillId="5" borderId="8" numFmtId="4" xfId="2" applyNumberFormat="1" applyFont="1" applyFill="1" applyBorder="1" applyAlignment="1">
      <alignment wrapText="1"/>
    </xf>
    <xf fontId="20" fillId="0" borderId="0" numFmtId="4" xfId="2" applyNumberFormat="1" applyFont="1"/>
    <xf fontId="3" fillId="16" borderId="42" numFmtId="4" xfId="2" applyNumberFormat="1" applyFont="1" applyFill="1" applyBorder="1" applyAlignment="1">
      <alignment vertical="center" wrapText="1"/>
    </xf>
    <xf fontId="3" fillId="16" borderId="42" numFmtId="4" xfId="2" applyNumberFormat="1" applyFont="1" applyFill="1" applyBorder="1" applyAlignment="1">
      <alignment horizontal="right"/>
    </xf>
    <xf fontId="3" fillId="16" borderId="42" numFmtId="4" xfId="2" applyNumberFormat="1" applyFont="1" applyFill="1" applyBorder="1" applyAlignment="1">
      <alignment horizontal="right" wrapText="1"/>
    </xf>
    <xf fontId="3" fillId="16" borderId="42" numFmtId="4" xfId="2" applyNumberFormat="1" applyFont="1" applyFill="1" applyBorder="1"/>
    <xf fontId="3" fillId="8" borderId="42" numFmtId="4" xfId="2" applyNumberFormat="1" applyFont="1" applyFill="1" applyBorder="1" applyAlignment="1">
      <alignment horizontal="right"/>
    </xf>
    <xf fontId="3" fillId="8" borderId="42" numFmtId="4" xfId="2" applyNumberFormat="1" applyFont="1" applyFill="1" applyBorder="1" applyAlignment="1">
      <alignment horizontal="right" wrapText="1"/>
    </xf>
    <xf fontId="3" fillId="16" borderId="42" numFmtId="4" xfId="0" applyNumberFormat="1" applyFont="1" applyFill="1" applyBorder="1"/>
    <xf fontId="4" fillId="16" borderId="42" numFmtId="4" xfId="2" applyNumberFormat="1" applyFont="1" applyFill="1" applyBorder="1" applyAlignment="1">
      <alignment horizontal="right"/>
    </xf>
    <xf fontId="3" fillId="16" borderId="0" numFmtId="4" xfId="2" applyNumberFormat="1" applyFont="1" applyFill="1" applyAlignment="1">
      <alignment horizontal="right" wrapText="1"/>
    </xf>
    <xf fontId="20" fillId="0" borderId="0" numFmtId="4" xfId="2" applyNumberFormat="1" applyFont="1" applyAlignment="1">
      <alignment horizontal="center"/>
    </xf>
    <xf fontId="23" fillId="0" borderId="0" numFmtId="4" xfId="2" applyNumberFormat="1" applyFont="1"/>
    <xf fontId="20" fillId="0" borderId="0" numFmtId="3" xfId="2" applyNumberFormat="1" applyFont="1" applyAlignment="1">
      <alignment horizontal="center"/>
    </xf>
    <xf fontId="28" fillId="0" borderId="0" numFmtId="4" xfId="2" applyNumberFormat="1" applyFont="1"/>
    <xf fontId="3" fillId="4" borderId="0" numFmtId="4" xfId="0" applyNumberFormat="1" applyFont="1" applyFill="1" applyAlignment="1">
      <alignment wrapText="1"/>
    </xf>
    <xf fontId="3" fillId="5" borderId="42" numFmtId="4" xfId="2" applyNumberFormat="1" applyFont="1" applyFill="1" applyBorder="1" applyAlignment="1">
      <alignment horizontal="center" wrapText="1"/>
    </xf>
    <xf fontId="3" fillId="17" borderId="42" numFmtId="4" xfId="2" applyNumberFormat="1" applyFont="1" applyFill="1" applyBorder="1" applyAlignment="1">
      <alignment vertical="center" wrapText="1"/>
    </xf>
    <xf fontId="3" fillId="17" borderId="42" numFmtId="4" xfId="2" applyNumberFormat="1" applyFont="1" applyFill="1" applyBorder="1" applyAlignment="1">
      <alignment horizontal="right"/>
    </xf>
    <xf fontId="3" fillId="17" borderId="42" numFmtId="4" xfId="2" applyNumberFormat="1" applyFont="1" applyFill="1" applyBorder="1" applyAlignment="1">
      <alignment horizontal="right" wrapText="1"/>
    </xf>
    <xf fontId="3" fillId="17" borderId="42" numFmtId="4" xfId="2" applyNumberFormat="1" applyFont="1" applyFill="1" applyBorder="1"/>
    <xf fontId="4" fillId="17" borderId="42" numFmtId="4" xfId="2" applyNumberFormat="1" applyFont="1" applyFill="1" applyBorder="1" applyAlignment="1">
      <alignment horizontal="right"/>
    </xf>
    <xf fontId="3" fillId="17" borderId="0" numFmtId="4" xfId="2" applyNumberFormat="1" applyFont="1" applyFill="1" applyAlignment="1">
      <alignment horizontal="right" wrapText="1"/>
    </xf>
    <xf fontId="27" fillId="0" borderId="42" numFmtId="4" xfId="2" applyNumberFormat="1" applyFont="1" applyBorder="1" applyAlignment="1">
      <alignment vertical="center" wrapText="1"/>
    </xf>
    <xf fontId="28" fillId="0" borderId="42" numFmtId="4" xfId="2" applyNumberFormat="1" applyFont="1" applyBorder="1" applyAlignment="1">
      <alignment horizontal="right" wrapText="1"/>
    </xf>
    <xf fontId="28" fillId="0" borderId="42" numFmtId="4" xfId="2" applyNumberFormat="1" applyFont="1" applyBorder="1" applyAlignment="1">
      <alignment horizontal="right"/>
    </xf>
    <xf fontId="28" fillId="9" borderId="42" numFmtId="4" xfId="2" applyNumberFormat="1" applyFont="1" applyFill="1" applyBorder="1" applyAlignment="1">
      <alignment horizontal="right"/>
    </xf>
    <xf fontId="28" fillId="0" borderId="0" numFmtId="4" xfId="2" applyNumberFormat="1" applyFont="1" applyAlignment="1">
      <alignment horizontal="center"/>
    </xf>
    <xf fontId="26" fillId="0" borderId="0" numFmtId="4" xfId="2" applyNumberFormat="1" applyFont="1"/>
    <xf fontId="23" fillId="0" borderId="42" numFmtId="4" xfId="2" applyNumberFormat="1" applyFont="1" applyBorder="1" applyAlignment="1">
      <alignment vertical="center" wrapText="1"/>
    </xf>
    <xf fontId="3" fillId="0" borderId="38" numFmtId="4" xfId="2" applyNumberFormat="1" applyFont="1" applyBorder="1"/>
    <xf fontId="34" fillId="0" borderId="42" numFmtId="4" xfId="2" applyNumberFormat="1" applyFont="1" applyBorder="1" applyAlignment="1">
      <alignment vertical="center" wrapText="1"/>
    </xf>
    <xf fontId="35" fillId="0" borderId="42" numFmtId="4" xfId="2" applyNumberFormat="1" applyFont="1" applyBorder="1" applyAlignment="1">
      <alignment vertical="center" wrapText="1"/>
    </xf>
    <xf fontId="3" fillId="0" borderId="34" numFmtId="4" xfId="2" applyNumberFormat="1" applyFont="1" applyBorder="1"/>
    <xf fontId="6" fillId="5" borderId="39" numFmtId="4" xfId="2" applyNumberFormat="1" applyFont="1" applyFill="1" applyBorder="1" applyAlignment="1">
      <alignment horizontal="right" wrapText="1"/>
    </xf>
    <xf fontId="6" fillId="5" borderId="65" numFmtId="4" xfId="2" applyNumberFormat="1" applyFont="1" applyFill="1" applyBorder="1" applyAlignment="1">
      <alignment horizontal="right" wrapText="1"/>
    </xf>
    <xf fontId="6" fillId="0" borderId="0" numFmtId="4" xfId="2" applyNumberFormat="1" applyFont="1" applyAlignment="1">
      <alignment horizontal="right" wrapText="1"/>
    </xf>
    <xf fontId="6" fillId="5" borderId="61" numFmtId="4" xfId="2" applyNumberFormat="1" applyFont="1" applyFill="1" applyBorder="1" applyAlignment="1">
      <alignment horizontal="right" wrapText="1"/>
    </xf>
    <xf fontId="3" fillId="13" borderId="0" numFmtId="4" xfId="0" applyNumberFormat="1" applyFont="1" applyFill="1" applyAlignment="1">
      <alignment wrapText="1"/>
    </xf>
    <xf fontId="36" fillId="0" borderId="0" numFmtId="4" xfId="2" applyNumberFormat="1" applyFont="1" applyAlignment="1">
      <alignment horizontal="center"/>
    </xf>
    <xf fontId="7" fillId="5" borderId="0" numFmtId="0" xfId="2" applyFont="1" applyFill="1" applyAlignment="1">
      <alignment horizontal="center" wrapText="1"/>
    </xf>
    <xf fontId="7" fillId="0" borderId="0" numFmtId="0" xfId="2" applyFont="1" applyAlignment="1">
      <alignment horizontal="center" wrapText="1"/>
    </xf>
    <xf fontId="8" fillId="0" borderId="0" numFmtId="0" xfId="0" applyFont="1" applyAlignment="1">
      <alignment wrapText="1"/>
    </xf>
    <xf fontId="6" fillId="6" borderId="0" numFmtId="4" xfId="2" applyNumberFormat="1" applyFont="1" applyFill="1" applyAlignment="1">
      <alignment horizontal="right" wrapText="1"/>
    </xf>
    <xf fontId="6" fillId="5" borderId="0" numFmtId="4" xfId="2" applyNumberFormat="1" applyFont="1" applyFill="1" applyAlignment="1">
      <alignment horizontal="right" wrapText="1"/>
    </xf>
    <xf fontId="6" fillId="7" borderId="0" numFmtId="4" xfId="2" applyNumberFormat="1" applyFont="1" applyFill="1" applyAlignment="1">
      <alignment horizontal="right" wrapText="1"/>
    </xf>
    <xf fontId="19" fillId="11" borderId="0" numFmtId="4" xfId="2" applyNumberFormat="1" applyFont="1" applyFill="1" applyAlignment="1">
      <alignment horizontal="center" wrapText="1"/>
    </xf>
    <xf fontId="6" fillId="11" borderId="0" numFmtId="4" xfId="2" applyNumberFormat="1" applyFont="1" applyFill="1" applyAlignment="1">
      <alignment horizontal="center" wrapText="1"/>
    </xf>
    <xf fontId="3" fillId="3" borderId="42" numFmtId="4" xfId="2" applyNumberFormat="1" applyFont="1" applyFill="1" applyBorder="1" applyAlignment="1">
      <alignment wrapText="1"/>
    </xf>
    <xf fontId="37" fillId="0" borderId="42" numFmtId="4" xfId="2" applyNumberFormat="1" applyFont="1" applyBorder="1" applyAlignment="1">
      <alignment vertical="center" wrapText="1"/>
    </xf>
    <xf fontId="38" fillId="0" borderId="42" numFmtId="4" xfId="2" applyNumberFormat="1" applyFont="1" applyBorder="1" applyAlignment="1">
      <alignment vertical="center" wrapText="1"/>
    </xf>
    <xf fontId="6" fillId="0" borderId="66" numFmtId="4" xfId="2" applyNumberFormat="1" applyFont="1" applyBorder="1" applyAlignment="1">
      <alignment vertical="center" wrapText="1"/>
    </xf>
    <xf fontId="6" fillId="0" borderId="65" numFmtId="4" xfId="2" applyNumberFormat="1" applyFont="1" applyBorder="1" applyAlignment="1">
      <alignment vertical="center" wrapText="1"/>
    </xf>
    <xf fontId="6" fillId="2" borderId="38" numFmtId="4" xfId="2" applyNumberFormat="1" applyFont="1" applyFill="1" applyBorder="1" applyAlignment="1">
      <alignment horizontal="right"/>
    </xf>
    <xf fontId="3" fillId="9" borderId="42" numFmtId="4" xfId="2" applyNumberFormat="1" applyFont="1" applyFill="1" applyBorder="1" applyAlignment="1">
      <alignment wrapText="1"/>
    </xf>
    <xf fontId="6" fillId="9" borderId="0" numFmtId="4" xfId="2" applyNumberFormat="1" applyFont="1" applyFill="1" applyAlignment="1">
      <alignment horizontal="right" wrapText="1"/>
    </xf>
    <xf fontId="6" fillId="0" borderId="0" numFmtId="4" xfId="2" applyNumberFormat="1" applyFont="1" applyAlignment="1">
      <alignment horizontal="center"/>
    </xf>
    <xf fontId="39" fillId="2" borderId="0" numFmtId="4" xfId="2" applyNumberFormat="1" applyFont="1" applyFill="1" applyAlignment="1">
      <alignment horizontal="right"/>
    </xf>
    <xf fontId="40" fillId="0" borderId="0" numFmtId="4" xfId="2" applyNumberFormat="1" applyFont="1" applyAlignment="1">
      <alignment horizontal="right"/>
    </xf>
    <xf fontId="41" fillId="0" borderId="0" numFmtId="4" xfId="2" applyNumberFormat="1" applyFont="1" applyAlignment="1">
      <alignment horizontal="center"/>
    </xf>
    <xf fontId="3" fillId="0" borderId="0" numFmtId="4" xfId="2" applyNumberFormat="1" applyFont="1" applyAlignment="1">
      <alignment horizontal="right"/>
    </xf>
    <xf fontId="10" fillId="0" borderId="0" numFmtId="4" xfId="2" applyNumberFormat="1" applyFont="1"/>
    <xf fontId="17" fillId="0" borderId="0" numFmtId="4" xfId="2" applyNumberFormat="1" applyFont="1" applyAlignment="1">
      <alignment horizontal="center" wrapText="1"/>
    </xf>
    <xf fontId="36" fillId="0" borderId="0" numFmtId="0" xfId="2" applyFont="1" applyAlignment="1">
      <alignment horizontal="center"/>
    </xf>
    <xf fontId="36" fillId="0" borderId="0" numFmtId="0" xfId="2" applyFont="1" applyAlignment="1">
      <alignment horizontal="center" vertical="center" wrapText="1"/>
    </xf>
    <xf fontId="39" fillId="2" borderId="0" numFmtId="0" xfId="2" applyFont="1" applyFill="1" applyAlignment="1">
      <alignment horizontal="right"/>
    </xf>
    <xf fontId="39" fillId="0" borderId="0" numFmtId="0" xfId="2" applyFont="1" applyAlignment="1">
      <alignment horizontal="right"/>
    </xf>
    <xf fontId="42" fillId="0" borderId="0" numFmtId="0" xfId="2" applyFont="1" applyAlignment="1">
      <alignment horizontal="center" wrapText="1"/>
    </xf>
    <xf fontId="42" fillId="0" borderId="0" numFmtId="0" xfId="2" applyFont="1" applyAlignment="1">
      <alignment horizontal="center"/>
    </xf>
    <xf fontId="43" fillId="0" borderId="0" numFmtId="3" xfId="2" applyNumberFormat="1" applyFont="1" applyAlignment="1">
      <alignment horizontal="center"/>
    </xf>
    <xf fontId="44" fillId="0" borderId="0" numFmtId="0" xfId="2" applyFont="1" applyAlignment="1">
      <alignment horizontal="center"/>
    </xf>
    <xf fontId="36" fillId="0" borderId="0" numFmtId="0" xfId="2" applyFont="1" applyAlignment="1">
      <alignment horizontal="center" wrapText="1"/>
    </xf>
    <xf fontId="42" fillId="0" borderId="0" numFmtId="1" xfId="2" applyNumberFormat="1" applyFont="1" applyAlignment="1">
      <alignment horizontal="center"/>
    </xf>
    <xf fontId="6" fillId="0" borderId="0" numFmtId="0" xfId="2" applyFont="1" applyAlignment="1">
      <alignment horizontal="right"/>
    </xf>
    <xf fontId="3" fillId="0" borderId="0" numFmtId="0" xfId="2" applyFont="1"/>
    <xf fontId="3" fillId="0" borderId="0" numFmtId="0" xfId="2" applyFont="1" applyAlignment="1">
      <alignment wrapText="1"/>
    </xf>
    <xf fontId="3" fillId="0" borderId="0" numFmtId="0" xfId="0" applyFont="1" applyAlignment="1">
      <alignment wrapText="1"/>
    </xf>
    <xf fontId="3" fillId="0" borderId="0" numFmtId="0" xfId="0" applyFont="1"/>
    <xf fontId="45" fillId="0" borderId="0" numFmtId="0" xfId="2" applyFont="1" applyAlignment="1">
      <alignment horizontal="center"/>
    </xf>
    <xf fontId="20" fillId="0" borderId="0" numFmtId="4" xfId="2" applyNumberFormat="1" applyFont="1" applyAlignment="1">
      <alignment horizontal="center" vertical="center" wrapText="1"/>
    </xf>
    <xf fontId="20" fillId="2" borderId="0" numFmtId="4" xfId="2" applyNumberFormat="1" applyFont="1" applyFill="1" applyAlignment="1">
      <alignment horizontal="center"/>
    </xf>
    <xf fontId="20" fillId="0" borderId="0" numFmtId="4" xfId="2" applyNumberFormat="1" applyFont="1" applyAlignment="1">
      <alignment horizontal="center" wrapText="1"/>
    </xf>
    <xf fontId="3" fillId="0" borderId="0" numFmtId="4" xfId="0" applyNumberFormat="1" applyFont="1" applyAlignment="1">
      <alignment horizontal="centerContinuous" wrapText="1"/>
    </xf>
    <xf fontId="20" fillId="0" borderId="0" numFmtId="1" xfId="2" applyNumberFormat="1" applyFont="1" applyAlignment="1">
      <alignment horizontal="center"/>
    </xf>
    <xf fontId="23" fillId="0" borderId="0" numFmtId="4" xfId="2" applyNumberFormat="1" applyFont="1" applyAlignment="1">
      <alignment horizontal="center"/>
    </xf>
    <xf fontId="7" fillId="8" borderId="0" numFmtId="4" xfId="2" applyNumberFormat="1" applyFont="1" applyFill="1" applyAlignment="1">
      <alignment vertical="center" wrapText="1"/>
    </xf>
    <xf fontId="3" fillId="8" borderId="0" numFmtId="4" xfId="2" applyNumberFormat="1" applyFont="1" applyFill="1" applyAlignment="1">
      <alignment vertical="center" wrapText="1"/>
    </xf>
    <xf fontId="3" fillId="8" borderId="0" numFmtId="4" xfId="2" applyNumberFormat="1" applyFont="1" applyFill="1" applyAlignment="1">
      <alignment horizontal="right" wrapText="1"/>
    </xf>
    <xf fontId="42" fillId="0" borderId="0" numFmtId="4" xfId="2" applyNumberFormat="1" applyFont="1" applyAlignment="1">
      <alignment horizontal="center"/>
    </xf>
    <xf fontId="33" fillId="0" borderId="0" numFmtId="4" xfId="2" applyNumberFormat="1" applyFont="1" applyAlignment="1">
      <alignment vertical="center" wrapText="1"/>
    </xf>
    <xf fontId="33" fillId="2" borderId="0" numFmtId="4" xfId="2" applyNumberFormat="1" applyFont="1" applyFill="1"/>
    <xf fontId="9" fillId="0" borderId="45" numFmtId="0" xfId="1" applyFont="1" applyBorder="1"/>
    <xf fontId="21" fillId="0" borderId="12" numFmtId="4" xfId="2" applyNumberFormat="1" applyFont="1" applyBorder="1" applyAlignment="1">
      <alignment vertical="center" wrapText="1"/>
    </xf>
    <xf fontId="3" fillId="0" borderId="9" numFmtId="4" xfId="2" applyNumberFormat="1" applyFont="1" applyBorder="1" applyAlignment="1">
      <alignment vertical="center" wrapText="1"/>
    </xf>
    <xf fontId="21" fillId="0" borderId="19" numFmtId="4" xfId="2" applyNumberFormat="1" applyFont="1" applyBorder="1" applyAlignment="1">
      <alignment vertical="center" wrapText="1"/>
    </xf>
    <xf fontId="21" fillId="0" borderId="1" numFmtId="4" xfId="2" applyNumberFormat="1" applyFont="1" applyBorder="1" applyAlignment="1">
      <alignment vertical="center" wrapText="1"/>
    </xf>
    <xf fontId="3" fillId="0" borderId="66" numFmtId="4" xfId="2" applyNumberFormat="1" applyFont="1" applyBorder="1" applyAlignment="1">
      <alignment vertical="center" wrapText="1"/>
    </xf>
    <xf fontId="21" fillId="0" borderId="67" numFmtId="4" xfId="2" applyNumberFormat="1" applyFont="1" applyBorder="1" applyAlignment="1">
      <alignment vertical="center" wrapText="1"/>
    </xf>
    <xf fontId="21" fillId="0" borderId="7" numFmtId="4" xfId="2" applyNumberFormat="1" applyFont="1" applyBorder="1" applyAlignment="1">
      <alignment vertical="center" wrapText="1"/>
    </xf>
    <xf fontId="9" fillId="0" borderId="34" numFmtId="0" xfId="1" applyFont="1" applyBorder="1"/>
    <xf fontId="21" fillId="0" borderId="26" numFmtId="4" xfId="2" applyNumberFormat="1" applyFont="1" applyBorder="1" applyAlignment="1">
      <alignment vertical="center" wrapText="1"/>
    </xf>
    <xf fontId="3" fillId="0" borderId="0" numFmtId="4" xfId="0" applyNumberFormat="1" applyFont="1" applyAlignment="1">
      <alignment vertical="center" wrapText="1"/>
    </xf>
    <xf fontId="3" fillId="2" borderId="0" numFmtId="4" xfId="0" applyNumberFormat="1" applyFont="1" applyFill="1"/>
    <xf fontId="4" fillId="0" borderId="0" numFmtId="1" xfId="0" applyNumberFormat="1" applyFont="1"/>
    <xf fontId="4" fillId="0" borderId="0" numFmtId="4" xfId="0" applyNumberFormat="1" applyFont="1"/>
    <xf fontId="3" fillId="0" borderId="9" numFmtId="4" xfId="0" applyNumberFormat="1" applyFont="1" applyBorder="1" applyAlignment="1">
      <alignment vertical="center" wrapText="1"/>
    </xf>
    <xf fontId="3" fillId="8" borderId="25" numFmtId="4" xfId="2" applyNumberFormat="1" applyFont="1" applyFill="1" applyBorder="1" applyAlignment="1">
      <alignment horizontal="right" wrapText="1"/>
    </xf>
    <xf fontId="33" fillId="3" borderId="0" numFmtId="0" xfId="0" applyFont="1" applyFill="1"/>
    <xf fontId="46" fillId="14" borderId="0" numFmtId="0" xfId="0" applyFont="1" applyFill="1"/>
    <xf fontId="33" fillId="0" borderId="0" numFmtId="0" xfId="0" applyFont="1"/>
    <xf fontId="9" fillId="0" borderId="0" numFmtId="4" xfId="0" applyNumberFormat="1" applyFont="1"/>
    <xf fontId="9" fillId="2" borderId="0" numFmtId="4" xfId="0" applyNumberFormat="1" applyFont="1" applyFill="1" applyAlignment="1">
      <alignment horizontal="right"/>
    </xf>
    <xf fontId="33" fillId="8" borderId="0" numFmtId="10" xfId="0" applyNumberFormat="1" applyFont="1" applyFill="1" applyAlignment="1">
      <alignment horizontal="right"/>
    </xf>
    <xf fontId="47" fillId="0" borderId="0" numFmtId="10" xfId="0" applyNumberFormat="1" applyFont="1" applyAlignment="1">
      <alignment horizontal="right"/>
    </xf>
    <xf fontId="47" fillId="0" borderId="0" numFmtId="164" xfId="5" applyNumberFormat="1" applyFont="1" applyAlignment="1">
      <alignment horizontal="right"/>
    </xf>
    <xf fontId="33" fillId="8" borderId="0" numFmtId="4" xfId="0" applyNumberFormat="1" applyFont="1" applyFill="1"/>
    <xf fontId="33" fillId="0" borderId="0" numFmtId="4" xfId="0" applyNumberFormat="1" applyFont="1" applyAlignment="1">
      <alignment horizontal="center"/>
    </xf>
    <xf fontId="33" fillId="0" borderId="0" numFmtId="4" xfId="0" applyNumberFormat="1" applyFont="1"/>
    <xf fontId="33" fillId="0" borderId="0" numFmtId="10" xfId="4" applyNumberFormat="1" applyFont="1"/>
    <xf fontId="33" fillId="2" borderId="0" numFmtId="4" xfId="0" applyNumberFormat="1" applyFont="1" applyFill="1"/>
    <xf fontId="33" fillId="0" borderId="0" numFmtId="10" xfId="0" applyNumberFormat="1" applyFont="1"/>
    <xf fontId="33" fillId="8" borderId="0" numFmtId="0" xfId="0" applyFont="1" applyFill="1"/>
    <xf fontId="48" fillId="3" borderId="0" numFmtId="0" xfId="1" applyFont="1" applyFill="1"/>
    <xf fontId="49" fillId="14" borderId="0" numFmtId="0" xfId="1" applyFont="1" applyFill="1"/>
    <xf fontId="50" fillId="0" borderId="0" numFmtId="0" xfId="1" applyFont="1" applyAlignment="1">
      <alignment horizontal="center" vertical="center"/>
    </xf>
    <xf fontId="42" fillId="0" borderId="0" numFmtId="4" xfId="1" applyNumberFormat="1" applyFont="1" applyAlignment="1">
      <alignment horizontal="center" vertical="center"/>
    </xf>
    <xf fontId="51" fillId="0" borderId="0" numFmtId="4" xfId="1" applyNumberFormat="1" applyFont="1"/>
    <xf fontId="42" fillId="2" borderId="0" numFmtId="4" xfId="1" applyNumberFormat="1" applyFont="1" applyFill="1" applyAlignment="1">
      <alignment horizontal="center"/>
    </xf>
    <xf fontId="48" fillId="8" borderId="0" numFmtId="10" xfId="1" applyNumberFormat="1" applyFont="1" applyFill="1" applyAlignment="1">
      <alignment horizontal="right"/>
    </xf>
    <xf fontId="52" fillId="0" borderId="0" numFmtId="10" xfId="1" applyNumberFormat="1" applyFont="1" applyAlignment="1">
      <alignment horizontal="right"/>
    </xf>
    <xf fontId="52" fillId="0" borderId="0" numFmtId="164" xfId="5" applyNumberFormat="1" applyFont="1" applyAlignment="1">
      <alignment horizontal="right"/>
    </xf>
    <xf fontId="48" fillId="8" borderId="0" numFmtId="4" xfId="1" applyNumberFormat="1" applyFont="1" applyFill="1"/>
    <xf fontId="48" fillId="0" borderId="0" numFmtId="4" xfId="1" applyNumberFormat="1" applyFont="1" applyAlignment="1">
      <alignment horizontal="center"/>
    </xf>
    <xf fontId="48" fillId="0" borderId="0" numFmtId="4" xfId="1" applyNumberFormat="1" applyFont="1"/>
    <xf fontId="48" fillId="0" borderId="0" numFmtId="10" xfId="4" applyNumberFormat="1" applyFont="1"/>
    <xf fontId="48" fillId="2" borderId="0" numFmtId="4" xfId="1" applyNumberFormat="1" applyFont="1" applyFill="1" applyAlignment="1">
      <alignment horizontal="right"/>
    </xf>
    <xf fontId="48" fillId="0" borderId="0" numFmtId="10" xfId="1" applyNumberFormat="1" applyFont="1"/>
    <xf fontId="48" fillId="8" borderId="0" numFmtId="0" xfId="1" applyFont="1" applyFill="1"/>
    <xf fontId="48" fillId="0" borderId="0" numFmtId="0" xfId="1" applyFont="1"/>
    <xf fontId="53" fillId="3" borderId="0" numFmtId="0" xfId="1" applyFont="1" applyFill="1"/>
    <xf fontId="43" fillId="14" borderId="0" numFmtId="0" xfId="1" applyFont="1" applyFill="1"/>
    <xf fontId="53" fillId="0" borderId="19" numFmtId="0" xfId="1" applyFont="1" applyBorder="1" applyAlignment="1">
      <alignment vertical="center" wrapText="1"/>
    </xf>
    <xf fontId="53" fillId="0" borderId="20" numFmtId="0" xfId="1" applyFont="1" applyBorder="1" applyAlignment="1">
      <alignment vertical="center" wrapText="1"/>
    </xf>
    <xf fontId="42" fillId="0" borderId="20" numFmtId="0" xfId="1" applyFont="1" applyBorder="1" applyAlignment="1">
      <alignment horizontal="center" vertical="center" wrapText="1"/>
    </xf>
    <xf fontId="42" fillId="0" borderId="21" numFmtId="0" xfId="1" applyFont="1" applyBorder="1" applyAlignment="1">
      <alignment horizontal="center" vertical="center" wrapText="1"/>
    </xf>
    <xf fontId="54" fillId="8" borderId="0" numFmtId="10" xfId="1" applyNumberFormat="1" applyFont="1" applyFill="1" applyAlignment="1">
      <alignment horizontal="center" vertical="center" wrapText="1"/>
    </xf>
    <xf fontId="55" fillId="0" borderId="0" numFmtId="10" xfId="1" applyNumberFormat="1" applyFont="1" applyAlignment="1">
      <alignment horizontal="center" vertical="center" wrapText="1"/>
    </xf>
    <xf fontId="55" fillId="0" borderId="0" numFmtId="164" xfId="5" applyNumberFormat="1" applyFont="1" applyAlignment="1">
      <alignment horizontal="center" vertical="center" wrapText="1"/>
    </xf>
    <xf fontId="53" fillId="8" borderId="0" numFmtId="4" xfId="1" applyNumberFormat="1" applyFont="1" applyFill="1"/>
    <xf fontId="53" fillId="0" borderId="26" numFmtId="4" xfId="1" applyNumberFormat="1" applyFont="1" applyBorder="1" applyAlignment="1">
      <alignment horizontal="center" vertical="center" wrapText="1"/>
    </xf>
    <xf fontId="54" fillId="0" borderId="30" numFmtId="0" xfId="1" applyFont="1" applyBorder="1" applyAlignment="1">
      <alignment vertical="center" wrapText="1"/>
    </xf>
    <xf fontId="56" fillId="0" borderId="30" numFmtId="0" xfId="1" applyFont="1" applyBorder="1" applyAlignment="1">
      <alignment vertical="center" wrapText="1"/>
    </xf>
    <xf fontId="53" fillId="0" borderId="19" numFmtId="4" xfId="1" applyNumberFormat="1" applyFont="1" applyBorder="1" applyAlignment="1">
      <alignment horizontal="center" vertical="center" wrapText="1"/>
    </xf>
    <xf fontId="53" fillId="0" borderId="20" numFmtId="4" xfId="1" applyNumberFormat="1" applyFont="1" applyBorder="1" applyAlignment="1">
      <alignment horizontal="center" vertical="center" wrapText="1"/>
    </xf>
    <xf fontId="53" fillId="0" borderId="21" numFmtId="4" xfId="1" applyNumberFormat="1" applyFont="1" applyBorder="1" applyAlignment="1">
      <alignment horizontal="center" vertical="center" wrapText="1"/>
    </xf>
    <xf fontId="53" fillId="2" borderId="0" numFmtId="4" xfId="1" applyNumberFormat="1" applyFont="1" applyFill="1" applyAlignment="1">
      <alignment horizontal="center" vertical="center" wrapText="1"/>
    </xf>
    <xf fontId="53" fillId="0" borderId="0" numFmtId="10" xfId="4" applyNumberFormat="1" applyFont="1" applyAlignment="1">
      <alignment horizontal="center" vertical="center" wrapText="1"/>
    </xf>
    <xf fontId="53" fillId="0" borderId="0" numFmtId="4" xfId="1" applyNumberFormat="1" applyFont="1" applyAlignment="1">
      <alignment horizontal="center" vertical="center" wrapText="1"/>
    </xf>
    <xf fontId="53" fillId="0" borderId="0" numFmtId="10" xfId="1" applyNumberFormat="1" applyFont="1" applyAlignment="1">
      <alignment horizontal="center" vertical="center" wrapText="1"/>
    </xf>
    <xf fontId="53" fillId="8" borderId="0" numFmtId="0" xfId="1" applyFont="1" applyFill="1"/>
    <xf fontId="53" fillId="0" borderId="0" numFmtId="0" xfId="1" applyFont="1"/>
    <xf fontId="53" fillId="0" borderId="0" numFmtId="10" xfId="1" applyNumberFormat="1" applyFont="1"/>
    <xf fontId="57" fillId="3" borderId="0" numFmtId="0" xfId="1" applyFont="1" applyFill="1" applyAlignment="1">
      <alignment horizontal="center"/>
    </xf>
    <xf fontId="58" fillId="14" borderId="0" numFmtId="0" xfId="1" applyFont="1" applyFill="1" applyAlignment="1">
      <alignment horizontal="center"/>
    </xf>
    <xf fontId="57" fillId="0" borderId="18" numFmtId="0" xfId="1" applyFont="1" applyBorder="1" applyAlignment="1">
      <alignment horizontal="center" vertical="center"/>
    </xf>
    <xf fontId="46" fillId="0" borderId="18" numFmtId="0" xfId="1" applyFont="1" applyBorder="1" applyAlignment="1">
      <alignment horizontal="center" vertical="distributed"/>
    </xf>
    <xf fontId="33" fillId="0" borderId="18" numFmtId="0" xfId="1" applyFont="1" applyBorder="1" applyAlignment="1">
      <alignment horizontal="center" vertical="distributed"/>
    </xf>
    <xf fontId="9" fillId="11" borderId="18" numFmtId="4" xfId="1" applyNumberFormat="1" applyFont="1" applyFill="1" applyBorder="1" applyAlignment="1">
      <alignment horizontal="center" vertical="center" wrapText="1"/>
    </xf>
    <xf fontId="36" fillId="2" borderId="18" numFmtId="4" xfId="1" applyNumberFormat="1" applyFont="1" applyFill="1" applyBorder="1" applyAlignment="1">
      <alignment horizontal="center" wrapText="1"/>
    </xf>
    <xf fontId="57" fillId="8" borderId="42" numFmtId="10" xfId="4" applyNumberFormat="1" applyFont="1" applyFill="1" applyBorder="1" applyAlignment="1">
      <alignment wrapText="1"/>
    </xf>
    <xf fontId="59" fillId="2" borderId="1" numFmtId="164" xfId="5" applyNumberFormat="1" applyFont="1" applyFill="1" applyBorder="1" applyAlignment="1">
      <alignment horizontal="centerContinuous" wrapText="1"/>
    </xf>
    <xf fontId="59" fillId="2" borderId="2" numFmtId="164" xfId="5" applyNumberFormat="1" applyFont="1" applyFill="1" applyBorder="1" applyAlignment="1">
      <alignment horizontal="centerContinuous" wrapText="1"/>
    </xf>
    <xf fontId="59" fillId="2" borderId="3" numFmtId="164" xfId="5" applyNumberFormat="1" applyFont="1" applyFill="1" applyBorder="1" applyAlignment="1">
      <alignment horizontal="centerContinuous" wrapText="1"/>
    </xf>
    <xf fontId="57" fillId="8" borderId="18" numFmtId="4" xfId="1" applyNumberFormat="1" applyFont="1" applyFill="1" applyBorder="1" applyAlignment="1">
      <alignment horizontal="center"/>
    </xf>
    <xf fontId="57" fillId="0" borderId="18" numFmtId="4" xfId="1" applyNumberFormat="1" applyFont="1" applyBorder="1" applyAlignment="1">
      <alignment horizontal="center" vertical="center"/>
    </xf>
    <xf fontId="57" fillId="0" borderId="18" numFmtId="4" xfId="1" applyNumberFormat="1" applyFont="1" applyBorder="1" applyAlignment="1">
      <alignment horizontal="center" vertical="center" wrapText="1"/>
    </xf>
    <xf fontId="57" fillId="0" borderId="1" numFmtId="4" xfId="1" applyNumberFormat="1" applyFont="1" applyBorder="1" applyAlignment="1">
      <alignment horizontal="center" wrapText="1"/>
    </xf>
    <xf fontId="57" fillId="0" borderId="21" numFmtId="4" xfId="1" applyNumberFormat="1" applyFont="1" applyBorder="1" applyAlignment="1">
      <alignment horizontal="center" wrapText="1"/>
    </xf>
    <xf fontId="57" fillId="0" borderId="42" numFmtId="4" xfId="1" applyNumberFormat="1" applyFont="1" applyBorder="1" applyAlignment="1">
      <alignment horizontal="center" wrapText="1"/>
    </xf>
    <xf fontId="57" fillId="0" borderId="42" numFmtId="10" xfId="4" applyNumberFormat="1" applyFont="1" applyBorder="1" applyAlignment="1">
      <alignment horizontal="center" wrapText="1"/>
    </xf>
    <xf fontId="57" fillId="8" borderId="0" numFmtId="4" xfId="1" applyNumberFormat="1" applyFont="1" applyFill="1" applyAlignment="1">
      <alignment horizontal="center"/>
    </xf>
    <xf fontId="57" fillId="2" borderId="42" numFmtId="4" xfId="1" applyNumberFormat="1" applyFont="1" applyFill="1" applyBorder="1" applyAlignment="1">
      <alignment horizontal="center" wrapText="1"/>
    </xf>
    <xf fontId="33" fillId="0" borderId="18" numFmtId="4" xfId="1" applyNumberFormat="1" applyFont="1" applyBorder="1" applyAlignment="1">
      <alignment horizontal="center" vertical="center" wrapText="1"/>
    </xf>
    <xf fontId="57" fillId="8" borderId="0" numFmtId="0" xfId="1" applyFont="1" applyFill="1" applyAlignment="1">
      <alignment horizontal="center"/>
    </xf>
    <xf fontId="57" fillId="0" borderId="19" numFmtId="4" xfId="1" applyNumberFormat="1" applyFont="1" applyBorder="1" applyAlignment="1">
      <alignment horizontal="center" wrapText="1"/>
    </xf>
    <xf fontId="57" fillId="0" borderId="18" numFmtId="4" xfId="1" applyNumberFormat="1" applyFont="1" applyBorder="1" applyAlignment="1">
      <alignment horizontal="center" wrapText="1"/>
    </xf>
    <xf fontId="57" fillId="0" borderId="0" numFmtId="0" xfId="1" applyFont="1" applyAlignment="1">
      <alignment horizontal="center"/>
    </xf>
    <xf fontId="60" fillId="0" borderId="34" numFmtId="0" xfId="1" applyFont="1" applyBorder="1" applyAlignment="1">
      <alignment horizontal="center" vertical="center"/>
    </xf>
    <xf fontId="46" fillId="0" borderId="34" numFmtId="0" xfId="1" applyFont="1" applyBorder="1" applyAlignment="1">
      <alignment horizontal="center" vertical="distributed"/>
    </xf>
    <xf fontId="33" fillId="0" borderId="34" numFmtId="0" xfId="1" applyFont="1" applyBorder="1" applyAlignment="1">
      <alignment horizontal="center" vertical="distributed"/>
    </xf>
    <xf fontId="9" fillId="11" borderId="34" numFmtId="4" xfId="1" applyNumberFormat="1" applyFont="1" applyFill="1" applyBorder="1" applyAlignment="1">
      <alignment horizontal="center" vertical="center" wrapText="1"/>
    </xf>
    <xf fontId="61" fillId="2" borderId="34" numFmtId="0" xfId="1" applyFont="1" applyFill="1" applyBorder="1" applyAlignment="1">
      <alignment horizontal="center" wrapText="1"/>
    </xf>
    <xf fontId="1" fillId="8" borderId="42" numFmtId="10" xfId="4" applyNumberFormat="1" applyFont="1" applyFill="1" applyBorder="1" applyAlignment="1">
      <alignment wrapText="1"/>
    </xf>
    <xf fontId="59" fillId="2" borderId="18" numFmtId="164" xfId="5" applyNumberFormat="1" applyFont="1" applyFill="1" applyBorder="1" applyAlignment="1">
      <alignment horizontal="center" wrapText="1"/>
    </xf>
    <xf fontId="59" fillId="2" borderId="18" numFmtId="164" xfId="5" applyNumberFormat="1" applyFont="1" applyFill="1" applyBorder="1" applyAlignment="1">
      <alignment horizontal="center" vertical="center" wrapText="1"/>
    </xf>
    <xf fontId="59" fillId="2" borderId="42" numFmtId="164" xfId="5" applyNumberFormat="1" applyFont="1" applyFill="1" applyBorder="1" applyAlignment="1">
      <alignment vertical="center" wrapText="1"/>
    </xf>
    <xf fontId="57" fillId="0" borderId="34" numFmtId="4" xfId="1" applyNumberFormat="1" applyFont="1" applyBorder="1" applyAlignment="1">
      <alignment horizontal="center" vertical="center"/>
    </xf>
    <xf fontId="57" fillId="0" borderId="26" numFmtId="4" xfId="1" applyNumberFormat="1" applyFont="1" applyBorder="1" applyAlignment="1">
      <alignment horizontal="center" vertical="center" wrapText="1"/>
    </xf>
    <xf fontId="57" fillId="0" borderId="21" numFmtId="4" xfId="1" applyNumberFormat="1" applyFont="1" applyBorder="1" applyAlignment="1">
      <alignment horizontal="center" vertical="center"/>
    </xf>
    <xf fontId="57" fillId="0" borderId="34" numFmtId="4" xfId="1" applyNumberFormat="1" applyFont="1" applyBorder="1" applyAlignment="1">
      <alignment horizontal="center" vertical="center" wrapText="1"/>
    </xf>
    <xf fontId="1" fillId="0" borderId="42" numFmtId="0" xfId="1" applyFont="1" applyBorder="1" applyAlignment="1">
      <alignment horizontal="center" wrapText="1"/>
    </xf>
    <xf fontId="1" fillId="0" borderId="42" numFmtId="10" xfId="4" applyNumberFormat="1" applyFont="1" applyBorder="1" applyAlignment="1">
      <alignment horizontal="center" wrapText="1"/>
    </xf>
    <xf fontId="1" fillId="2" borderId="42" numFmtId="0" xfId="1" applyFont="1" applyFill="1" applyBorder="1" applyAlignment="1">
      <alignment horizontal="center" wrapText="1"/>
    </xf>
    <xf fontId="57" fillId="0" borderId="42" numFmtId="4" xfId="1" applyNumberFormat="1" applyFont="1" applyBorder="1" applyAlignment="1">
      <alignment horizontal="center" vertical="center" wrapText="1"/>
    </xf>
    <xf fontId="33" fillId="0" borderId="34" numFmtId="4" xfId="1" applyNumberFormat="1" applyFont="1" applyBorder="1" applyAlignment="1">
      <alignment horizontal="center" vertical="center" wrapText="1"/>
    </xf>
    <xf fontId="57" fillId="0" borderId="42" numFmtId="4" xfId="1" applyNumberFormat="1" applyFont="1" applyBorder="1" applyAlignment="1">
      <alignment horizontal="center"/>
    </xf>
    <xf fontId="57" fillId="0" borderId="34" numFmtId="4" xfId="1" applyNumberFormat="1" applyFont="1" applyBorder="1" applyAlignment="1">
      <alignment horizontal="center" wrapText="1"/>
    </xf>
    <xf fontId="59" fillId="0" borderId="0" numFmtId="0" xfId="1" applyFont="1" applyAlignment="1">
      <alignment horizontal="center" vertical="center"/>
    </xf>
    <xf fontId="51" fillId="0" borderId="0" numFmtId="4" xfId="1" applyNumberFormat="1" applyFont="1" applyAlignment="1">
      <alignment horizontal="right"/>
    </xf>
    <xf fontId="48" fillId="0" borderId="0" numFmtId="10" xfId="1" applyNumberFormat="1" applyFont="1" applyAlignment="1">
      <alignment horizontal="right"/>
    </xf>
    <xf fontId="47" fillId="0" borderId="0" numFmtId="4" xfId="1" applyNumberFormat="1" applyFont="1" applyAlignment="1">
      <alignment vertical="center" wrapText="1"/>
    </xf>
    <xf fontId="62" fillId="0" borderId="0" numFmtId="164" xfId="5" applyNumberFormat="1" applyFont="1" applyAlignment="1">
      <alignment wrapText="1"/>
    </xf>
    <xf fontId="33" fillId="0" borderId="0" numFmtId="4" xfId="1" applyNumberFormat="1" applyFont="1" applyAlignment="1">
      <alignment vertical="center" wrapText="1"/>
    </xf>
    <xf fontId="9" fillId="0" borderId="0" numFmtId="4" xfId="0" applyNumberFormat="1" applyFont="1" applyAlignment="1">
      <alignment horizontal="right"/>
    </xf>
    <xf fontId="33" fillId="0" borderId="0" numFmtId="10" xfId="0" applyNumberFormat="1" applyFont="1" applyAlignment="1">
      <alignment horizontal="right"/>
    </xf>
    <xf fontId="57" fillId="0" borderId="0" numFmtId="0" xfId="0" applyFont="1"/>
    <xf fontId="48" fillId="0" borderId="0" numFmtId="4" xfId="0" applyNumberFormat="1" applyFont="1" applyAlignment="1">
      <alignment horizontal="center"/>
    </xf>
    <xf fontId="48" fillId="0" borderId="0" numFmtId="4" xfId="0" applyNumberFormat="1" applyFont="1"/>
    <xf fontId="48" fillId="0" borderId="0" numFmtId="10" xfId="0" applyNumberFormat="1" applyFont="1"/>
    <xf fontId="46" fillId="14" borderId="42" numFmtId="0" xfId="0" applyFont="1" applyFill="1" applyBorder="1"/>
    <xf fontId="57" fillId="15" borderId="18" numFmtId="0" xfId="1" applyFont="1" applyFill="1" applyBorder="1" applyAlignment="1">
      <alignment horizontal="center" vertical="center" wrapText="1"/>
    </xf>
    <xf fontId="57" fillId="15" borderId="1" numFmtId="0" xfId="1" applyFont="1" applyFill="1" applyBorder="1" applyAlignment="1">
      <alignment wrapText="1"/>
    </xf>
    <xf fontId="9" fillId="2" borderId="19" numFmtId="4" xfId="1" applyNumberFormat="1" applyFont="1" applyFill="1" applyBorder="1" applyAlignment="1">
      <alignment horizontal="centerContinuous" vertical="center" wrapText="1"/>
    </xf>
    <xf fontId="63" fillId="2" borderId="20" numFmtId="0" xfId="1" applyFont="1" applyFill="1" applyBorder="1" applyAlignment="1">
      <alignment horizontal="centerContinuous" vertical="center" wrapText="1"/>
    </xf>
    <xf fontId="1" fillId="2" borderId="21" numFmtId="0" xfId="1" applyFont="1" applyFill="1" applyBorder="1" applyAlignment="1">
      <alignment horizontal="center" vertical="center" wrapText="1"/>
    </xf>
    <xf fontId="36" fillId="2" borderId="1" numFmtId="164" xfId="5" applyNumberFormat="1" applyFont="1" applyFill="1" applyBorder="1" applyAlignment="1">
      <alignment horizontal="centerContinuous" vertical="center" wrapText="1"/>
    </xf>
    <xf fontId="64" fillId="2" borderId="21" numFmtId="0" xfId="1" applyFont="1" applyFill="1" applyBorder="1" applyAlignment="1">
      <alignment horizontal="centerContinuous" vertical="center" wrapText="1"/>
    </xf>
    <xf fontId="64" fillId="2" borderId="21" numFmtId="164" xfId="5" applyNumberFormat="1" applyFont="1" applyFill="1" applyBorder="1" applyAlignment="1">
      <alignment horizontal="centerContinuous" vertical="center" wrapText="1"/>
    </xf>
    <xf fontId="33" fillId="8" borderId="42" numFmtId="4" xfId="1" applyNumberFormat="1" applyFont="1" applyFill="1" applyBorder="1"/>
    <xf fontId="57" fillId="0" borderId="19" numFmtId="4" xfId="1" applyNumberFormat="1" applyFont="1" applyBorder="1" applyAlignment="1">
      <alignment horizontal="center" vertical="center" wrapText="1"/>
    </xf>
    <xf fontId="57" fillId="0" borderId="20" numFmtId="4" xfId="1" applyNumberFormat="1" applyFont="1" applyBorder="1" applyAlignment="1">
      <alignment horizontal="center" vertical="center" wrapText="1"/>
    </xf>
    <xf fontId="57" fillId="0" borderId="21" numFmtId="4" xfId="1" applyNumberFormat="1" applyFont="1" applyBorder="1" applyAlignment="1">
      <alignment horizontal="center" vertical="center" wrapText="1"/>
    </xf>
    <xf fontId="1" fillId="0" borderId="42" numFmtId="0" xfId="1" applyFont="1" applyBorder="1" applyAlignment="1">
      <alignment horizontal="center" vertical="center" wrapText="1"/>
    </xf>
    <xf fontId="56" fillId="0" borderId="42" numFmtId="10" xfId="4" applyNumberFormat="1" applyFont="1" applyBorder="1" applyAlignment="1">
      <alignment horizontal="center" vertical="center" wrapText="1"/>
    </xf>
    <xf fontId="53" fillId="8" borderId="42" numFmtId="4" xfId="1" applyNumberFormat="1" applyFont="1" applyFill="1" applyBorder="1"/>
    <xf fontId="56" fillId="0" borderId="21" numFmtId="10" xfId="4" applyNumberFormat="1" applyFont="1" applyBorder="1" applyAlignment="1">
      <alignment horizontal="center" vertical="center" wrapText="1"/>
    </xf>
    <xf fontId="33" fillId="0" borderId="18" numFmtId="4" xfId="1" applyNumberFormat="1" applyFont="1" applyBorder="1" applyAlignment="1">
      <alignment horizontal="center"/>
    </xf>
    <xf fontId="48" fillId="8" borderId="42" numFmtId="4" xfId="1" applyNumberFormat="1" applyFont="1" applyFill="1" applyBorder="1"/>
    <xf fontId="56" fillId="0" borderId="21" numFmtId="0" xfId="1" applyFont="1" applyBorder="1" applyAlignment="1">
      <alignment horizontal="center" vertical="center" wrapText="1"/>
    </xf>
    <xf fontId="56" fillId="0" borderId="21" numFmtId="10" xfId="1" applyNumberFormat="1" applyFont="1" applyBorder="1" applyAlignment="1">
      <alignment horizontal="center" vertical="center" wrapText="1"/>
    </xf>
    <xf fontId="33" fillId="8" borderId="42" numFmtId="0" xfId="1" applyFont="1" applyFill="1" applyBorder="1"/>
    <xf fontId="33" fillId="0" borderId="0" numFmtId="10" xfId="1" applyNumberFormat="1" applyFont="1"/>
    <xf fontId="33" fillId="0" borderId="0" numFmtId="0" xfId="1" applyFont="1"/>
    <xf fontId="33" fillId="0" borderId="18" numFmtId="0" xfId="1" applyFont="1" applyBorder="1" applyAlignment="1">
      <alignment horizontal="center" vertical="center" wrapText="1"/>
    </xf>
    <xf fontId="9" fillId="0" borderId="18" numFmtId="4" xfId="1" applyNumberFormat="1" applyFont="1" applyBorder="1" applyAlignment="1">
      <alignment horizontal="center" vertical="center" wrapText="1"/>
    </xf>
    <xf fontId="9" fillId="2" borderId="18" numFmtId="4" xfId="1" applyNumberFormat="1" applyFont="1" applyFill="1" applyBorder="1" applyAlignment="1">
      <alignment horizontal="center" vertical="center" wrapText="1"/>
    </xf>
    <xf fontId="33" fillId="8" borderId="18" numFmtId="10" xfId="1" applyNumberFormat="1" applyFont="1" applyFill="1" applyBorder="1" applyAlignment="1">
      <alignment horizontal="center" vertical="center" wrapText="1"/>
    </xf>
    <xf fontId="33" fillId="0" borderId="18" numFmtId="10" xfId="1" applyNumberFormat="1" applyFont="1" applyBorder="1" applyAlignment="1">
      <alignment horizontal="center" vertical="center" wrapText="1"/>
    </xf>
    <xf fontId="57" fillId="0" borderId="18" numFmtId="164" xfId="5" applyNumberFormat="1" applyFont="1" applyBorder="1" applyAlignment="1">
      <alignment wrapText="1"/>
    </xf>
    <xf fontId="33" fillId="0" borderId="42" numFmtId="4" xfId="1" applyNumberFormat="1" applyFont="1" applyBorder="1" applyAlignment="1">
      <alignment horizontal="center" vertical="center" wrapText="1"/>
    </xf>
    <xf fontId="36" fillId="0" borderId="18" numFmtId="4" xfId="1" applyNumberFormat="1" applyFont="1" applyBorder="1" applyAlignment="1">
      <alignment horizontal="center" vertical="center" wrapText="1"/>
    </xf>
    <xf fontId="48" fillId="0" borderId="42" numFmtId="10" xfId="4" applyNumberFormat="1" applyFont="1" applyBorder="1" applyAlignment="1">
      <alignment horizontal="center" vertical="center" wrapText="1"/>
    </xf>
    <xf fontId="36" fillId="2" borderId="18" numFmtId="4" xfId="1" applyNumberFormat="1" applyFont="1" applyFill="1" applyBorder="1" applyAlignment="1">
      <alignment horizontal="center" vertical="center" wrapText="1"/>
    </xf>
    <xf fontId="48" fillId="0" borderId="18" numFmtId="4" xfId="1" applyNumberFormat="1" applyFont="1" applyBorder="1" applyAlignment="1">
      <alignment horizontal="center" vertical="center" wrapText="1"/>
    </xf>
    <xf fontId="36" fillId="0" borderId="18" numFmtId="4" xfId="1" applyNumberFormat="1" applyFont="1" applyBorder="1" applyAlignment="1">
      <alignment horizontal="center" vertical="distributed"/>
    </xf>
    <xf fontId="48" fillId="0" borderId="42" numFmtId="10" xfId="1" applyNumberFormat="1" applyFont="1" applyBorder="1" applyAlignment="1">
      <alignment horizontal="center" vertical="center" wrapText="1"/>
    </xf>
    <xf fontId="42" fillId="0" borderId="18" numFmtId="4" xfId="1" applyNumberFormat="1" applyFont="1" applyBorder="1" applyAlignment="1">
      <alignment horizontal="center" vertical="distributed"/>
    </xf>
    <xf fontId="33" fillId="0" borderId="34" numFmtId="0" xfId="1" applyFont="1" applyBorder="1" applyAlignment="1">
      <alignment horizontal="center" vertical="center" wrapText="1"/>
    </xf>
    <xf fontId="1" fillId="0" borderId="34" numFmtId="0" xfId="1" applyFont="1" applyBorder="1" applyAlignment="1">
      <alignment horizontal="center" vertical="center" wrapText="1"/>
    </xf>
    <xf fontId="9" fillId="0" borderId="34" numFmtId="4" xfId="1" applyNumberFormat="1" applyFont="1" applyBorder="1" applyAlignment="1">
      <alignment horizontal="center" vertical="center" wrapText="1"/>
    </xf>
    <xf fontId="9" fillId="2" borderId="34" numFmtId="4" xfId="1" applyNumberFormat="1" applyFont="1" applyFill="1" applyBorder="1" applyAlignment="1">
      <alignment horizontal="center" vertical="center" wrapText="1"/>
    </xf>
    <xf fontId="33" fillId="8" borderId="34" numFmtId="10" xfId="1" applyNumberFormat="1" applyFont="1" applyFill="1" applyBorder="1" applyAlignment="1">
      <alignment horizontal="center" vertical="center" wrapText="1"/>
    </xf>
    <xf fontId="57" fillId="2" borderId="18" numFmtId="164" xfId="5" applyNumberFormat="1" applyFont="1" applyFill="1" applyBorder="1" applyAlignment="1">
      <alignment horizontal="center" wrapText="1"/>
    </xf>
    <xf fontId="57" fillId="2" borderId="18" numFmtId="164" xfId="5" applyNumberFormat="1" applyFont="1" applyFill="1" applyBorder="1" applyAlignment="1">
      <alignment horizontal="center" vertical="center" wrapText="1"/>
    </xf>
    <xf fontId="57" fillId="2" borderId="42" numFmtId="164" xfId="5" applyNumberFormat="1" applyFont="1" applyFill="1" applyBorder="1" applyAlignment="1">
      <alignment wrapText="1"/>
    </xf>
    <xf fontId="36" fillId="0" borderId="34" numFmtId="4" xfId="1" applyNumberFormat="1" applyFont="1" applyBorder="1" applyAlignment="1">
      <alignment horizontal="center" vertical="center" wrapText="1"/>
    </xf>
    <xf fontId="36" fillId="2" borderId="34" numFmtId="4" xfId="1" applyNumberFormat="1" applyFont="1" applyFill="1" applyBorder="1" applyAlignment="1">
      <alignment horizontal="center" vertical="center" wrapText="1"/>
    </xf>
    <xf fontId="48" fillId="0" borderId="34" numFmtId="4" xfId="1" applyNumberFormat="1" applyFont="1" applyBorder="1" applyAlignment="1">
      <alignment horizontal="center" vertical="center" wrapText="1"/>
    </xf>
    <xf fontId="36" fillId="0" borderId="34" numFmtId="4" xfId="1" applyNumberFormat="1" applyFont="1" applyBorder="1" applyAlignment="1">
      <alignment horizontal="center" vertical="distributed"/>
    </xf>
    <xf fontId="56" fillId="0" borderId="42" numFmtId="10" xfId="1" applyNumberFormat="1" applyFont="1" applyBorder="1" applyAlignment="1">
      <alignment horizontal="center" vertical="center" wrapText="1"/>
    </xf>
    <xf fontId="42" fillId="0" borderId="34" numFmtId="4" xfId="1" applyNumberFormat="1" applyFont="1" applyBorder="1" applyAlignment="1">
      <alignment horizontal="center" vertical="distributed"/>
    </xf>
    <xf fontId="33" fillId="0" borderId="34" numFmtId="0" xfId="1" applyFont="1" applyBorder="1"/>
    <xf fontId="33" fillId="0" borderId="34" numFmtId="0" xfId="1" applyFont="1" applyBorder="1" applyAlignment="1">
      <alignment horizontal="center" vertical="center"/>
    </xf>
    <xf fontId="9" fillId="0" borderId="42" numFmtId="4" xfId="1" applyNumberFormat="1" applyFont="1" applyBorder="1" applyAlignment="1">
      <alignment horizontal="right"/>
    </xf>
    <xf fontId="9" fillId="2" borderId="42" numFmtId="4" xfId="1" applyNumberFormat="1" applyFont="1" applyFill="1" applyBorder="1" applyAlignment="1">
      <alignment horizontal="right"/>
    </xf>
    <xf fontId="33" fillId="8" borderId="42" numFmtId="10" xfId="1" applyNumberFormat="1" applyFont="1" applyFill="1" applyBorder="1" applyAlignment="1">
      <alignment horizontal="right"/>
    </xf>
    <xf fontId="47" fillId="0" borderId="42" numFmtId="164" xfId="5" applyNumberFormat="1" applyFont="1" applyBorder="1" applyAlignment="1">
      <alignment horizontal="right"/>
    </xf>
    <xf fontId="47" fillId="2" borderId="42" numFmtId="4" xfId="1" applyNumberFormat="1" applyFont="1" applyFill="1" applyBorder="1" applyAlignment="1">
      <alignment horizontal="right"/>
    </xf>
    <xf fontId="33" fillId="0" borderId="42" numFmtId="4" xfId="1" applyNumberFormat="1" applyFont="1" applyBorder="1" applyAlignment="1">
      <alignment horizontal="center"/>
    </xf>
    <xf fontId="48" fillId="0" borderId="42" numFmtId="4" xfId="1" applyNumberFormat="1" applyFont="1" applyBorder="1" applyAlignment="1">
      <alignment horizontal="center"/>
    </xf>
    <xf fontId="48" fillId="0" borderId="42" numFmtId="10" xfId="4" applyNumberFormat="1" applyFont="1" applyBorder="1" applyAlignment="1">
      <alignment horizontal="center"/>
    </xf>
    <xf fontId="65" fillId="2" borderId="42" numFmtId="4" xfId="1" applyNumberFormat="1" applyFont="1" applyFill="1" applyBorder="1" applyAlignment="1">
      <alignment horizontal="center"/>
    </xf>
    <xf fontId="48" fillId="0" borderId="18" numFmtId="4" xfId="1" applyNumberFormat="1" applyFont="1" applyBorder="1" applyAlignment="1">
      <alignment horizontal="center"/>
    </xf>
    <xf fontId="48" fillId="0" borderId="42" numFmtId="10" xfId="1" applyNumberFormat="1" applyFont="1" applyBorder="1" applyAlignment="1">
      <alignment horizontal="center"/>
    </xf>
    <xf fontId="48" fillId="0" borderId="42" numFmtId="4" xfId="1" applyNumberFormat="1" applyFont="1" applyBorder="1"/>
    <xf fontId="33" fillId="0" borderId="42" numFmtId="0" xfId="1" applyFont="1" applyBorder="1"/>
    <xf fontId="33" fillId="0" borderId="42" numFmtId="4" xfId="1" applyNumberFormat="1" applyFont="1" applyBorder="1"/>
    <xf fontId="9" fillId="7" borderId="42" numFmtId="0" xfId="1" applyFont="1" applyFill="1" applyBorder="1"/>
    <xf fontId="9" fillId="0" borderId="42" numFmtId="0" xfId="1" applyFont="1" applyBorder="1"/>
    <xf fontId="57" fillId="3" borderId="0" numFmtId="0" xfId="0" applyFont="1" applyFill="1"/>
    <xf fontId="58" fillId="14" borderId="0" numFmtId="0" xfId="0" applyFont="1" applyFill="1"/>
    <xf fontId="57" fillId="0" borderId="42" numFmtId="0" xfId="1" applyFont="1" applyBorder="1"/>
    <xf fontId="36" fillId="0" borderId="42" numFmtId="4" xfId="1" applyNumberFormat="1" applyFont="1" applyBorder="1" applyAlignment="1">
      <alignment horizontal="right"/>
    </xf>
    <xf fontId="36" fillId="2" borderId="42" numFmtId="4" xfId="1" applyNumberFormat="1" applyFont="1" applyFill="1" applyBorder="1" applyAlignment="1">
      <alignment horizontal="right"/>
    </xf>
    <xf fontId="57" fillId="8" borderId="42" numFmtId="10" xfId="1" applyNumberFormat="1" applyFont="1" applyFill="1" applyBorder="1" applyAlignment="1">
      <alignment horizontal="right"/>
    </xf>
    <xf fontId="59" fillId="0" borderId="42" numFmtId="164" xfId="5" applyNumberFormat="1" applyFont="1" applyBorder="1" applyAlignment="1">
      <alignment horizontal="right"/>
    </xf>
    <xf fontId="59" fillId="2" borderId="42" numFmtId="4" xfId="1" applyNumberFormat="1" applyFont="1" applyFill="1" applyBorder="1" applyAlignment="1">
      <alignment horizontal="right"/>
    </xf>
    <xf fontId="57" fillId="8" borderId="42" numFmtId="4" xfId="1" applyNumberFormat="1" applyFont="1" applyFill="1" applyBorder="1" applyAlignment="1">
      <alignment horizontal="center"/>
    </xf>
    <xf fontId="53" fillId="0" borderId="42" numFmtId="10" xfId="4" applyNumberFormat="1" applyFont="1" applyBorder="1" applyAlignment="1">
      <alignment horizontal="center"/>
    </xf>
    <xf fontId="53" fillId="0" borderId="42" numFmtId="4" xfId="1" applyNumberFormat="1" applyFont="1" applyBorder="1" applyAlignment="1">
      <alignment horizontal="center"/>
    </xf>
    <xf fontId="53" fillId="0" borderId="42" numFmtId="10" xfId="1" applyNumberFormat="1" applyFont="1" applyBorder="1" applyAlignment="1">
      <alignment horizontal="center"/>
    </xf>
    <xf fontId="57" fillId="8" borderId="42" numFmtId="0" xfId="1" applyFont="1" applyFill="1" applyBorder="1"/>
    <xf fontId="33" fillId="0" borderId="25" numFmtId="0" xfId="1" applyFont="1" applyBorder="1"/>
    <xf fontId="33" fillId="0" borderId="18" numFmtId="4" xfId="2" applyNumberFormat="1" applyFont="1" applyBorder="1" applyAlignment="1">
      <alignment vertical="center" wrapText="1"/>
    </xf>
    <xf fontId="17" fillId="14" borderId="0" numFmtId="0" xfId="0" applyFont="1" applyFill="1"/>
    <xf fontId="9" fillId="0" borderId="42" numFmtId="0" xfId="1" applyFont="1" applyBorder="1" applyAlignment="1">
      <alignment horizontal="left" vertical="distributed"/>
    </xf>
    <xf fontId="53" fillId="8" borderId="42" numFmtId="4" xfId="1" applyNumberFormat="1" applyFont="1" applyFill="1" applyBorder="1" applyAlignment="1">
      <alignment horizontal="center"/>
    </xf>
    <xf fontId="33" fillId="0" borderId="42" numFmtId="0" xfId="1" applyFont="1" applyBorder="1" applyAlignment="1">
      <alignment vertical="distributed"/>
    </xf>
    <xf fontId="33" fillId="0" borderId="42" numFmtId="4" xfId="1" applyNumberFormat="1" applyFont="1" applyBorder="1" applyAlignment="1">
      <alignment horizontal="right"/>
    </xf>
    <xf fontId="48" fillId="0" borderId="42" numFmtId="4" xfId="1" applyNumberFormat="1" applyFont="1" applyBorder="1" applyAlignment="1">
      <alignment horizontal="right"/>
    </xf>
    <xf fontId="33" fillId="0" borderId="42" numFmtId="0" xfId="1" applyFont="1" applyBorder="1" applyAlignment="1">
      <alignment horizontal="center"/>
    </xf>
    <xf fontId="33" fillId="0" borderId="42" numFmtId="2" xfId="1" applyNumberFormat="1" applyFont="1" applyBorder="1"/>
    <xf fontId="33" fillId="0" borderId="42" numFmtId="2" xfId="1" applyNumberFormat="1" applyFont="1" applyBorder="1" applyAlignment="1">
      <alignment horizontal="center" vertical="center"/>
    </xf>
    <xf fontId="33" fillId="0" borderId="42" numFmtId="2" xfId="1" applyNumberFormat="1" applyFont="1" applyBorder="1" applyAlignment="1">
      <alignment wrapText="1"/>
    </xf>
    <xf fontId="57" fillId="0" borderId="42" numFmtId="2" xfId="1" applyNumberFormat="1" applyFont="1" applyBorder="1"/>
    <xf fontId="57" fillId="8" borderId="42" numFmtId="4" xfId="1" applyNumberFormat="1" applyFont="1" applyFill="1" applyBorder="1" applyAlignment="1">
      <alignment horizontal="right"/>
    </xf>
    <xf fontId="7" fillId="0" borderId="42" numFmtId="4" xfId="1" applyNumberFormat="1" applyFont="1" applyBorder="1" applyAlignment="1">
      <alignment horizontal="right" vertical="center"/>
    </xf>
    <xf fontId="53" fillId="0" borderId="42" numFmtId="10" xfId="4" applyNumberFormat="1" applyFont="1" applyBorder="1" applyAlignment="1">
      <alignment horizontal="right"/>
    </xf>
    <xf fontId="57" fillId="0" borderId="42" numFmtId="4" xfId="1" applyNumberFormat="1" applyFont="1" applyBorder="1" applyAlignment="1">
      <alignment horizontal="right"/>
    </xf>
    <xf fontId="53" fillId="8" borderId="42" numFmtId="4" xfId="1" applyNumberFormat="1" applyFont="1" applyFill="1" applyBorder="1" applyAlignment="1">
      <alignment horizontal="right"/>
    </xf>
    <xf fontId="53" fillId="0" borderId="42" numFmtId="4" xfId="1" applyNumberFormat="1" applyFont="1" applyBorder="1" applyAlignment="1">
      <alignment horizontal="right"/>
    </xf>
    <xf fontId="53" fillId="0" borderId="42" numFmtId="10" xfId="1" applyNumberFormat="1" applyFont="1" applyBorder="1" applyAlignment="1">
      <alignment horizontal="right"/>
    </xf>
    <xf fontId="57" fillId="3" borderId="42" numFmtId="4" xfId="1" applyNumberFormat="1" applyFont="1" applyFill="1" applyBorder="1" applyAlignment="1">
      <alignment horizontal="right"/>
    </xf>
    <xf fontId="53" fillId="3" borderId="42" numFmtId="10" xfId="4" applyNumberFormat="1" applyFont="1" applyFill="1" applyBorder="1" applyAlignment="1">
      <alignment horizontal="right"/>
    </xf>
    <xf fontId="33" fillId="3" borderId="0" numFmtId="4" xfId="0" applyNumberFormat="1" applyFont="1" applyFill="1"/>
    <xf fontId="46" fillId="14" borderId="0" numFmtId="4" xfId="0" applyNumberFormat="1" applyFont="1" applyFill="1"/>
    <xf fontId="33" fillId="0" borderId="42" numFmtId="2" xfId="1" applyNumberFormat="1" applyFont="1" applyBorder="1" applyAlignment="1">
      <alignment vertical="distributed"/>
    </xf>
    <xf fontId="33" fillId="8" borderId="42" numFmtId="2" xfId="1" applyNumberFormat="1" applyFont="1" applyFill="1" applyBorder="1" applyAlignment="1">
      <alignment vertical="distributed"/>
    </xf>
    <xf fontId="33" fillId="8" borderId="42" numFmtId="2" xfId="1" applyNumberFormat="1" applyFont="1" applyFill="1" applyBorder="1"/>
    <xf fontId="36" fillId="2" borderId="42" numFmtId="4" xfId="1" applyNumberFormat="1" applyFont="1" applyFill="1" applyBorder="1" applyAlignment="1">
      <alignment horizontal="center"/>
    </xf>
    <xf fontId="57" fillId="8" borderId="42" numFmtId="10" xfId="1" applyNumberFormat="1" applyFont="1" applyFill="1" applyBorder="1" applyAlignment="1">
      <alignment horizontal="center"/>
    </xf>
    <xf fontId="59" fillId="2" borderId="42" numFmtId="4" xfId="1" applyNumberFormat="1" applyFont="1" applyFill="1" applyBorder="1" applyAlignment="1">
      <alignment horizontal="center"/>
    </xf>
    <xf fontId="66" fillId="0" borderId="0" numFmtId="0" xfId="0" applyFont="1"/>
    <xf fontId="33" fillId="6" borderId="0" numFmtId="0" xfId="0" applyFont="1" applyFill="1"/>
    <xf fontId="9" fillId="0" borderId="0" numFmtId="4" xfId="1" applyNumberFormat="1" applyFont="1"/>
    <xf fontId="9" fillId="0" borderId="0" numFmtId="4" xfId="1" applyNumberFormat="1" applyFont="1" applyAlignment="1">
      <alignment horizontal="right"/>
    </xf>
    <xf fontId="33" fillId="0" borderId="0" numFmtId="10" xfId="1" applyNumberFormat="1" applyFont="1" applyAlignment="1">
      <alignment horizontal="right"/>
    </xf>
    <xf fontId="47" fillId="0" borderId="0" numFmtId="10" xfId="1" applyNumberFormat="1" applyFont="1" applyAlignment="1">
      <alignment horizontal="right"/>
    </xf>
    <xf fontId="33" fillId="0" borderId="0" numFmtId="4" xfId="1" applyNumberFormat="1" applyFont="1"/>
    <xf fontId="33" fillId="0" borderId="0" numFmtId="4" xfId="1" applyNumberFormat="1" applyFont="1" applyAlignment="1">
      <alignment horizontal="center"/>
    </xf>
    <xf fontId="33" fillId="0" borderId="0" numFmtId="10" xfId="4" applyNumberFormat="1" applyFont="1" applyAlignment="1">
      <alignment horizontal="center"/>
    </xf>
    <xf fontId="57" fillId="0" borderId="0" numFmtId="17" xfId="1" applyNumberFormat="1" applyFont="1"/>
    <xf fontId="8" fillId="15" borderId="18" numFmtId="0" xfId="1" applyFont="1" applyFill="1" applyBorder="1" applyAlignment="1">
      <alignment horizontal="center" wrapText="1"/>
    </xf>
    <xf fontId="8" fillId="15" borderId="1" numFmtId="0" xfId="1" applyFont="1" applyFill="1" applyBorder="1" applyAlignment="1">
      <alignment wrapText="1"/>
    </xf>
    <xf fontId="57" fillId="2" borderId="1" numFmtId="164" xfId="5" applyNumberFormat="1" applyFont="1" applyFill="1" applyBorder="1" applyAlignment="1">
      <alignment horizontal="center" vertical="center" wrapText="1"/>
    </xf>
    <xf fontId="64" fillId="2" borderId="21" numFmtId="0" xfId="1" applyFont="1" applyFill="1" applyBorder="1" applyAlignment="1">
      <alignment horizontal="center" vertical="center" wrapText="1"/>
    </xf>
    <xf fontId="64" fillId="2" borderId="21" numFmtId="164" xfId="5" applyNumberFormat="1" applyFont="1" applyFill="1" applyBorder="1" applyAlignment="1">
      <alignment horizontal="center" vertical="center" wrapText="1"/>
    </xf>
    <xf fontId="33" fillId="3" borderId="42" numFmtId="4" xfId="1" applyNumberFormat="1" applyFont="1" applyFill="1" applyBorder="1" applyAlignment="1">
      <alignment horizontal="center"/>
    </xf>
    <xf fontId="33" fillId="3" borderId="42" numFmtId="10" xfId="4" applyNumberFormat="1" applyFont="1" applyFill="1" applyBorder="1" applyAlignment="1">
      <alignment horizontal="center"/>
    </xf>
    <xf fontId="33" fillId="0" borderId="42" numFmtId="10" xfId="4" applyNumberFormat="1" applyFont="1" applyBorder="1" applyAlignment="1">
      <alignment horizontal="center"/>
    </xf>
    <xf fontId="48" fillId="8" borderId="42" numFmtId="0" xfId="1" applyFont="1" applyFill="1" applyBorder="1"/>
    <xf fontId="33" fillId="3" borderId="42" numFmtId="4" xfId="1" applyNumberFormat="1" applyFont="1" applyFill="1" applyBorder="1"/>
    <xf fontId="57" fillId="0" borderId="42" numFmtId="10" xfId="4" applyNumberFormat="1" applyFont="1" applyBorder="1" applyAlignment="1">
      <alignment horizontal="center"/>
    </xf>
    <xf fontId="57" fillId="8" borderId="42" numFmtId="4" xfId="1" applyNumberFormat="1" applyFont="1" applyFill="1" applyBorder="1"/>
    <xf fontId="53" fillId="8" borderId="42" numFmtId="0" xfId="1" applyFont="1" applyFill="1" applyBorder="1"/>
    <xf fontId="33" fillId="3" borderId="42" numFmtId="4" xfId="1" applyNumberFormat="1" applyFont="1" applyFill="1" applyBorder="1" applyAlignment="1">
      <alignment horizontal="right"/>
    </xf>
    <xf fontId="57" fillId="0" borderId="42" numFmtId="10" xfId="4" applyNumberFormat="1" applyFont="1" applyBorder="1" applyAlignment="1">
      <alignment horizontal="right"/>
    </xf>
    <xf fontId="57" fillId="3" borderId="42" numFmtId="10" xfId="4" applyNumberFormat="1" applyFont="1" applyFill="1" applyBorder="1" applyAlignment="1">
      <alignment horizontal="right"/>
    </xf>
    <xf fontId="64" fillId="3" borderId="0" numFmtId="4" xfId="0" applyNumberFormat="1" applyFont="1" applyFill="1"/>
    <xf fontId="67" fillId="0" borderId="0" numFmtId="10" xfId="1" applyNumberFormat="1" applyFont="1"/>
    <xf fontId="67" fillId="0" borderId="0" numFmtId="4" xfId="1" applyNumberFormat="1" applyFont="1"/>
    <xf fontId="64" fillId="0" borderId="0" numFmtId="4" xfId="0" applyNumberFormat="1" applyFont="1"/>
    <xf fontId="68" fillId="3" borderId="0" numFmtId="4" xfId="0" applyNumberFormat="1" applyFont="1" applyFill="1"/>
    <xf fontId="68" fillId="0" borderId="0" numFmtId="4" xfId="0" applyNumberFormat="1" applyFont="1"/>
    <xf fontId="69" fillId="14" borderId="0" numFmtId="4" xfId="0" applyNumberFormat="1" applyFont="1" applyFill="1"/>
    <xf fontId="53" fillId="0" borderId="0" numFmtId="4" xfId="1" applyNumberFormat="1" applyFont="1" applyAlignment="1">
      <alignment horizontal="left" vertical="center"/>
    </xf>
    <xf fontId="70" fillId="0" borderId="0" numFmtId="4" xfId="1" applyNumberFormat="1" applyFont="1"/>
    <xf fontId="71" fillId="0" borderId="0" numFmtId="10" xfId="1" applyNumberFormat="1" applyFont="1"/>
    <xf fontId="67" fillId="0" borderId="0" numFmtId="10" xfId="4" applyNumberFormat="1" applyFont="1"/>
    <xf fontId="64" fillId="0" borderId="0" numFmtId="10" xfId="4" applyNumberFormat="1" applyFont="1"/>
    <xf fontId="64" fillId="0" borderId="0" numFmtId="4" xfId="1" applyNumberFormat="1" applyFont="1"/>
    <xf fontId="48" fillId="0" borderId="0" numFmtId="10" xfId="4" applyNumberFormat="1" applyFont="1" applyAlignment="1">
      <alignment horizontal="center"/>
    </xf>
    <xf fontId="48" fillId="0" borderId="0" numFmtId="10" xfId="1" applyNumberFormat="1" applyFont="1" applyAlignment="1">
      <alignment horizontal="center"/>
    </xf>
    <xf fontId="33" fillId="15" borderId="18" numFmtId="0" xfId="1" applyFont="1" applyFill="1" applyBorder="1" applyAlignment="1">
      <alignment horizontal="center" vertical="center" wrapText="1"/>
    </xf>
    <xf fontId="33" fillId="15" borderId="18" numFmtId="0" xfId="1" applyFont="1" applyFill="1" applyBorder="1" applyAlignment="1">
      <alignment wrapText="1"/>
    </xf>
    <xf fontId="46" fillId="8" borderId="42" numFmtId="10" xfId="1" applyNumberFormat="1" applyFont="1" applyFill="1" applyBorder="1" applyAlignment="1">
      <alignment horizontal="center"/>
    </xf>
    <xf fontId="58" fillId="8" borderId="42" numFmtId="10" xfId="1" applyNumberFormat="1" applyFont="1" applyFill="1" applyBorder="1" applyAlignment="1">
      <alignment horizontal="center"/>
    </xf>
    <xf fontId="53" fillId="0" borderId="42" numFmtId="4" xfId="1" applyNumberFormat="1" applyFont="1" applyBorder="1"/>
    <xf fontId="72" fillId="3" borderId="0" numFmtId="4" xfId="0" applyNumberFormat="1" applyFont="1" applyFill="1"/>
    <xf fontId="73" fillId="14" borderId="0" numFmtId="4" xfId="0" applyNumberFormat="1" applyFont="1" applyFill="1"/>
    <xf fontId="74" fillId="0" borderId="0" numFmtId="10" xfId="1" applyNumberFormat="1" applyFont="1"/>
    <xf fontId="74" fillId="0" borderId="0" numFmtId="4" xfId="1" applyNumberFormat="1" applyFont="1"/>
    <xf fontId="72" fillId="0" borderId="0" numFmtId="4" xfId="0" applyNumberFormat="1" applyFont="1"/>
    <xf fontId="75" fillId="14" borderId="0" numFmtId="4" xfId="0" applyNumberFormat="1" applyFont="1" applyFill="1"/>
    <xf fontId="57" fillId="0" borderId="0" numFmtId="4" xfId="1" applyNumberFormat="1" applyFont="1" applyAlignment="1">
      <alignment horizontal="left" vertical="center"/>
    </xf>
    <xf fontId="56" fillId="0" borderId="0" numFmtId="0" xfId="1" applyFont="1" applyAlignment="1">
      <alignment vertical="center" wrapText="1"/>
    </xf>
    <xf fontId="48" fillId="8" borderId="42" numFmtId="10" xfId="1" applyNumberFormat="1" applyFont="1" applyFill="1" applyBorder="1" applyAlignment="1">
      <alignment horizontal="right"/>
    </xf>
    <xf fontId="33" fillId="0" borderId="42" numFmtId="0" xfId="0" applyFont="1" applyBorder="1"/>
    <xf fontId="49" fillId="8" borderId="42" numFmtId="10" xfId="1" applyNumberFormat="1" applyFont="1" applyFill="1" applyBorder="1" applyAlignment="1">
      <alignment horizontal="center"/>
    </xf>
    <xf fontId="53" fillId="8" borderId="42" numFmtId="10" xfId="1" applyNumberFormat="1" applyFont="1" applyFill="1" applyBorder="1" applyAlignment="1">
      <alignment horizontal="right"/>
    </xf>
    <xf fontId="57" fillId="0" borderId="42" numFmtId="4" xfId="1" applyNumberFormat="1" applyFont="1" applyBorder="1"/>
    <xf fontId="33" fillId="0" borderId="42" numFmtId="4" xfId="0" applyNumberFormat="1" applyFont="1" applyBorder="1"/>
    <xf fontId="53" fillId="8" borderId="42" numFmtId="10" xfId="1" applyNumberFormat="1" applyFont="1" applyFill="1" applyBorder="1" applyAlignment="1">
      <alignment horizontal="center"/>
    </xf>
    <xf fontId="76" fillId="8" borderId="0" numFmtId="0" xfId="0" applyFont="1" applyFill="1"/>
    <xf fontId="77" fillId="14" borderId="0" numFmtId="0" xfId="0" applyFont="1" applyFill="1"/>
    <xf fontId="53" fillId="0" borderId="0" numFmtId="2" xfId="1" applyNumberFormat="1" applyFont="1"/>
    <xf fontId="42" fillId="0" borderId="0" numFmtId="4" xfId="1" applyNumberFormat="1" applyFont="1" applyAlignment="1">
      <alignment horizontal="right"/>
    </xf>
    <xf fontId="53" fillId="0" borderId="0" numFmtId="10" xfId="1" applyNumberFormat="1" applyFont="1" applyAlignment="1">
      <alignment horizontal="right"/>
    </xf>
    <xf fontId="50" fillId="0" borderId="0" numFmtId="10" xfId="1" applyNumberFormat="1" applyFont="1" applyAlignment="1">
      <alignment horizontal="right"/>
    </xf>
    <xf fontId="57" fillId="0" borderId="0" numFmtId="4" xfId="1" applyNumberFormat="1" applyFont="1" applyAlignment="1">
      <alignment horizontal="center"/>
    </xf>
    <xf fontId="53" fillId="0" borderId="0" numFmtId="10" xfId="4" applyNumberFormat="1" applyFont="1" applyAlignment="1">
      <alignment horizontal="center"/>
    </xf>
    <xf fontId="53" fillId="0" borderId="0" numFmtId="4" xfId="1" applyNumberFormat="1" applyFont="1" applyAlignment="1">
      <alignment horizontal="center"/>
    </xf>
    <xf fontId="53" fillId="0" borderId="0" numFmtId="10" xfId="1" applyNumberFormat="1" applyFont="1" applyAlignment="1">
      <alignment horizontal="center"/>
    </xf>
    <xf fontId="76" fillId="0" borderId="0" numFmtId="0" xfId="0" applyFont="1"/>
    <xf fontId="57" fillId="15" borderId="42" numFmtId="0" xfId="1" applyFont="1" applyFill="1" applyBorder="1" applyAlignment="1">
      <alignment wrapText="1"/>
    </xf>
    <xf fontId="57" fillId="0" borderId="0" numFmtId="10" xfId="1" applyNumberFormat="1" applyFont="1"/>
    <xf fontId="57" fillId="0" borderId="0" numFmtId="0" xfId="1" applyFont="1"/>
    <xf fontId="47" fillId="0" borderId="42" numFmtId="164" xfId="7" applyNumberFormat="1" applyFont="1" applyBorder="1" applyAlignment="1">
      <alignment horizontal="right"/>
    </xf>
    <xf fontId="59" fillId="0" borderId="42" numFmtId="164" xfId="7" applyNumberFormat="1" applyFont="1" applyBorder="1" applyAlignment="1">
      <alignment horizontal="right"/>
    </xf>
    <xf fontId="33" fillId="0" borderId="42" numFmtId="4" xfId="1" applyNumberFormat="1" applyFont="1" applyBorder="1" applyAlignment="1">
      <alignment horizontal="center" vertical="center"/>
    </xf>
    <xf fontId="57" fillId="15" borderId="19" numFmtId="0" xfId="1" applyFont="1" applyFill="1" applyBorder="1" applyAlignment="1">
      <alignment wrapText="1"/>
    </xf>
    <xf fontId="36" fillId="0" borderId="42" numFmtId="4" xfId="1" applyNumberFormat="1" applyFont="1" applyBorder="1" applyAlignment="1">
      <alignment horizontal="center"/>
    </xf>
    <xf fontId="57" fillId="15" borderId="1" numFmtId="0" xfId="1" applyFont="1" applyFill="1" applyBorder="1" applyAlignment="1">
      <alignment horizontal="center" vertical="center" wrapText="1"/>
    </xf>
    <xf fontId="53" fillId="3" borderId="42" numFmtId="4" xfId="1" applyNumberFormat="1" applyFont="1" applyFill="1" applyBorder="1" applyAlignment="1">
      <alignment horizontal="right"/>
    </xf>
    <xf fontId="67" fillId="0" borderId="0" numFmtId="4" xfId="1" applyNumberFormat="1" applyFont="1" applyAlignment="1">
      <alignment horizontal="center"/>
    </xf>
    <xf fontId="64" fillId="0" borderId="0" numFmtId="4" xfId="1" applyNumberFormat="1" applyFont="1" applyAlignment="1">
      <alignment horizontal="center"/>
    </xf>
    <xf fontId="67" fillId="0" borderId="0" numFmtId="10" xfId="4" applyNumberFormat="1" applyFont="1" applyAlignment="1">
      <alignment horizontal="center"/>
    </xf>
    <xf fontId="67" fillId="8" borderId="0" numFmtId="4" xfId="1" applyNumberFormat="1" applyFont="1" applyFill="1"/>
    <xf fontId="33" fillId="8" borderId="0" numFmtId="0" xfId="1" applyFont="1" applyFill="1"/>
    <xf fontId="33" fillId="15" borderId="18" numFmtId="0" xfId="1" applyFont="1" applyFill="1" applyBorder="1" applyAlignment="1">
      <alignment horizontal="center" wrapText="1"/>
    </xf>
    <xf fontId="33" fillId="15" borderId="1" numFmtId="0" xfId="1" applyFont="1" applyFill="1" applyBorder="1" applyAlignment="1">
      <alignment horizontal="center" wrapText="1"/>
    </xf>
    <xf fontId="33" fillId="15" borderId="1" numFmtId="0" xfId="1" applyFont="1" applyFill="1" applyBorder="1" applyAlignment="1">
      <alignment horizontal="center" vertical="center" wrapText="1"/>
    </xf>
    <xf fontId="33" fillId="0" borderId="42" numFmtId="10" xfId="1" applyNumberFormat="1" applyFont="1" applyBorder="1" applyAlignment="1">
      <alignment horizontal="center"/>
    </xf>
    <xf fontId="57" fillId="0" borderId="42" numFmtId="10" xfId="1" applyNumberFormat="1" applyFont="1" applyBorder="1" applyAlignment="1">
      <alignment horizontal="center"/>
    </xf>
    <xf fontId="57" fillId="0" borderId="42" numFmtId="10" xfId="1" applyNumberFormat="1" applyFont="1" applyBorder="1" applyAlignment="1">
      <alignment horizontal="right"/>
    </xf>
    <xf fontId="36" fillId="2" borderId="18" numFmtId="4" xfId="1" applyNumberFormat="1" applyFont="1" applyFill="1" applyBorder="1" applyAlignment="1">
      <alignment horizontal="center"/>
    </xf>
    <xf fontId="57" fillId="8" borderId="18" numFmtId="10" xfId="1" applyNumberFormat="1" applyFont="1" applyFill="1" applyBorder="1" applyAlignment="1">
      <alignment horizontal="center"/>
    </xf>
    <xf fontId="59" fillId="2" borderId="18" numFmtId="4" xfId="1" applyNumberFormat="1" applyFont="1" applyFill="1" applyBorder="1" applyAlignment="1">
      <alignment horizontal="center"/>
    </xf>
    <xf fontId="57" fillId="0" borderId="18" numFmtId="4" xfId="1" applyNumberFormat="1" applyFont="1" applyBorder="1" applyAlignment="1">
      <alignment horizontal="center"/>
    </xf>
    <xf fontId="42" fillId="0" borderId="2" numFmtId="4" xfId="1" applyNumberFormat="1" applyFont="1" applyBorder="1" applyAlignment="1">
      <alignment horizontal="right"/>
    </xf>
    <xf fontId="53" fillId="0" borderId="2" numFmtId="10" xfId="1" applyNumberFormat="1" applyFont="1" applyBorder="1" applyAlignment="1">
      <alignment horizontal="right"/>
    </xf>
    <xf fontId="50" fillId="0" borderId="2" numFmtId="10" xfId="1" applyNumberFormat="1" applyFont="1" applyBorder="1" applyAlignment="1">
      <alignment horizontal="right"/>
    </xf>
    <xf fontId="47" fillId="0" borderId="2" numFmtId="164" xfId="5" applyNumberFormat="1" applyFont="1" applyBorder="1" applyAlignment="1">
      <alignment horizontal="right"/>
    </xf>
    <xf fontId="48" fillId="0" borderId="2" numFmtId="4" xfId="1" applyNumberFormat="1" applyFont="1" applyBorder="1"/>
    <xf fontId="53" fillId="0" borderId="2" numFmtId="4" xfId="1" applyNumberFormat="1" applyFont="1" applyBorder="1" applyAlignment="1">
      <alignment horizontal="center"/>
    </xf>
    <xf fontId="51" fillId="0" borderId="30" numFmtId="4" xfId="1" applyNumberFormat="1" applyFont="1" applyBorder="1" applyAlignment="1">
      <alignment horizontal="right"/>
    </xf>
    <xf fontId="48" fillId="0" borderId="30" numFmtId="10" xfId="1" applyNumberFormat="1" applyFont="1" applyBorder="1" applyAlignment="1">
      <alignment horizontal="right"/>
    </xf>
    <xf fontId="52" fillId="0" borderId="30" numFmtId="10" xfId="1" applyNumberFormat="1" applyFont="1" applyBorder="1" applyAlignment="1">
      <alignment horizontal="right"/>
    </xf>
    <xf fontId="47" fillId="0" borderId="30" numFmtId="164" xfId="5" applyNumberFormat="1" applyFont="1" applyBorder="1" applyAlignment="1">
      <alignment horizontal="right"/>
    </xf>
    <xf fontId="48" fillId="0" borderId="30" numFmtId="4" xfId="1" applyNumberFormat="1" applyFont="1" applyBorder="1"/>
    <xf fontId="48" fillId="0" borderId="30" numFmtId="4" xfId="1" applyNumberFormat="1" applyFont="1" applyBorder="1" applyAlignment="1">
      <alignment horizontal="center"/>
    </xf>
    <xf fontId="33" fillId="2" borderId="42" numFmtId="4" xfId="1" applyNumberFormat="1" applyFont="1" applyFill="1" applyBorder="1" applyAlignment="1">
      <alignment horizontal="center"/>
    </xf>
    <xf fontId="33" fillId="0" borderId="0" numFmtId="4" xfId="0" applyNumberFormat="1" applyFont="1" applyAlignment="1">
      <alignment horizontal="center" vertical="center"/>
    </xf>
    <xf fontId="57" fillId="2" borderId="42" numFmtId="4" xfId="1" applyNumberFormat="1" applyFont="1" applyFill="1" applyBorder="1" applyAlignment="1">
      <alignment horizontal="center"/>
    </xf>
    <xf fontId="57" fillId="2" borderId="42" numFmtId="4" xfId="1" applyNumberFormat="1" applyFont="1" applyFill="1" applyBorder="1" applyAlignment="1">
      <alignment horizontal="right"/>
    </xf>
    <xf fontId="47" fillId="0" borderId="18" numFmtId="164" xfId="5" applyNumberFormat="1" applyFont="1" applyBorder="1" applyAlignment="1">
      <alignment horizontal="right"/>
    </xf>
    <xf fontId="51" fillId="0" borderId="20" numFmtId="4" xfId="1" applyNumberFormat="1" applyFont="1" applyBorder="1" applyAlignment="1">
      <alignment horizontal="right"/>
    </xf>
    <xf fontId="48" fillId="0" borderId="20" numFmtId="10" xfId="1" applyNumberFormat="1" applyFont="1" applyBorder="1" applyAlignment="1">
      <alignment horizontal="right"/>
    </xf>
    <xf fontId="52" fillId="0" borderId="20" numFmtId="10" xfId="1" applyNumberFormat="1" applyFont="1" applyBorder="1" applyAlignment="1">
      <alignment horizontal="right"/>
    </xf>
    <xf fontId="47" fillId="0" borderId="20" numFmtId="164" xfId="5" applyNumberFormat="1" applyFont="1" applyBorder="1" applyAlignment="1">
      <alignment horizontal="right"/>
    </xf>
    <xf fontId="48" fillId="0" borderId="20" numFmtId="4" xfId="1" applyNumberFormat="1" applyFont="1" applyBorder="1"/>
    <xf fontId="48" fillId="0" borderId="20" numFmtId="4" xfId="1" applyNumberFormat="1" applyFont="1" applyBorder="1" applyAlignment="1">
      <alignment horizontal="center"/>
    </xf>
    <xf fontId="48" fillId="2" borderId="0" numFmtId="4" xfId="1" applyNumberFormat="1" applyFont="1" applyFill="1"/>
    <xf fontId="48" fillId="15" borderId="1" numFmtId="0" xfId="1" applyFont="1" applyFill="1" applyBorder="1" applyAlignment="1">
      <alignment horizontal="center" vertical="center" wrapText="1"/>
    </xf>
    <xf fontId="48" fillId="2" borderId="42" numFmtId="4" xfId="1" applyNumberFormat="1" applyFont="1" applyFill="1" applyBorder="1" applyAlignment="1">
      <alignment horizontal="center"/>
    </xf>
    <xf fontId="53" fillId="2" borderId="42" numFmtId="4" xfId="1" applyNumberFormat="1" applyFont="1" applyFill="1" applyBorder="1" applyAlignment="1">
      <alignment horizontal="center"/>
    </xf>
    <xf fontId="53" fillId="2" borderId="42" numFmtId="4" xfId="1" applyNumberFormat="1" applyFont="1" applyFill="1" applyBorder="1" applyAlignment="1">
      <alignment horizontal="right"/>
    </xf>
    <xf fontId="53" fillId="0" borderId="42" numFmtId="2" xfId="1" applyNumberFormat="1" applyFont="1" applyBorder="1"/>
    <xf fontId="53" fillId="8" borderId="18" numFmtId="4" xfId="1" applyNumberFormat="1" applyFont="1" applyFill="1" applyBorder="1" applyAlignment="1">
      <alignment horizontal="center"/>
    </xf>
    <xf fontId="53" fillId="0" borderId="18" numFmtId="4" xfId="1" applyNumberFormat="1" applyFont="1" applyBorder="1" applyAlignment="1">
      <alignment horizontal="center"/>
    </xf>
    <xf fontId="9" fillId="0" borderId="2" numFmtId="4" xfId="1" applyNumberFormat="1" applyFont="1" applyBorder="1" applyAlignment="1">
      <alignment horizontal="right"/>
    </xf>
    <xf fontId="33" fillId="0" borderId="2" numFmtId="10" xfId="1" applyNumberFormat="1" applyFont="1" applyBorder="1" applyAlignment="1">
      <alignment horizontal="right"/>
    </xf>
    <xf fontId="47" fillId="0" borderId="2" numFmtId="10" xfId="1" applyNumberFormat="1" applyFont="1" applyBorder="1" applyAlignment="1">
      <alignment horizontal="right"/>
    </xf>
    <xf fontId="48" fillId="0" borderId="2" numFmtId="4" xfId="1" applyNumberFormat="1" applyFont="1" applyBorder="1" applyAlignment="1">
      <alignment horizontal="center"/>
    </xf>
    <xf fontId="57" fillId="17" borderId="1" numFmtId="0" xfId="1" applyFont="1" applyFill="1" applyBorder="1" applyAlignment="1">
      <alignment horizontal="center" vertical="center" wrapText="1"/>
    </xf>
    <xf fontId="1" fillId="2" borderId="21" numFmtId="0" xfId="1" applyFont="1" applyFill="1" applyBorder="1" applyAlignment="1">
      <alignment horizontal="centerContinuous" vertical="center" wrapText="1"/>
    </xf>
    <xf fontId="59" fillId="2" borderId="1" numFmtId="164" xfId="5" applyNumberFormat="1" applyFont="1" applyFill="1" applyBorder="1" applyAlignment="1">
      <alignment horizontal="centerContinuous" vertical="center" wrapText="1"/>
    </xf>
    <xf fontId="78" fillId="2" borderId="21" numFmtId="0" xfId="1" applyFont="1" applyFill="1" applyBorder="1" applyAlignment="1">
      <alignment horizontal="centerContinuous" vertical="center" wrapText="1"/>
    </xf>
    <xf fontId="78" fillId="2" borderId="21" numFmtId="164" xfId="5" applyNumberFormat="1" applyFont="1" applyFill="1" applyBorder="1" applyAlignment="1">
      <alignment horizontal="centerContinuous" vertical="center" wrapText="1"/>
    </xf>
    <xf fontId="57" fillId="8" borderId="0" numFmtId="4" xfId="1" applyNumberFormat="1" applyFont="1" applyFill="1"/>
    <xf fontId="47" fillId="0" borderId="18" numFmtId="10" xfId="1" applyNumberFormat="1" applyFont="1" applyBorder="1" applyAlignment="1">
      <alignment horizontal="center" vertical="center" wrapText="1"/>
    </xf>
    <xf fontId="59" fillId="0" borderId="18" numFmtId="164" xfId="5" applyNumberFormat="1" applyFont="1" applyBorder="1" applyAlignment="1">
      <alignment wrapText="1"/>
    </xf>
    <xf fontId="36" fillId="0" borderId="42" numFmtId="4" xfId="1" applyNumberFormat="1" applyFont="1" applyBorder="1" applyAlignment="1">
      <alignment horizontal="center" vertical="center" wrapText="1"/>
    </xf>
    <xf fontId="48" fillId="0" borderId="42" numFmtId="4" xfId="1" applyNumberFormat="1" applyFont="1" applyBorder="1" applyAlignment="1">
      <alignment horizontal="center" vertical="center" wrapText="1"/>
    </xf>
    <xf fontId="1" fillId="8" borderId="34" numFmtId="0" xfId="1" applyFont="1" applyFill="1" applyBorder="1" applyAlignment="1">
      <alignment horizontal="center" vertical="center" wrapText="1"/>
    </xf>
    <xf fontId="59" fillId="2" borderId="42" numFmtId="164" xfId="5" applyNumberFormat="1" applyFont="1" applyFill="1" applyBorder="1" applyAlignment="1">
      <alignment wrapText="1"/>
    </xf>
    <xf fontId="63" fillId="0" borderId="42" numFmtId="0" xfId="1" applyFont="1" applyBorder="1" applyAlignment="1">
      <alignment horizontal="center" vertical="center" wrapText="1"/>
    </xf>
    <xf fontId="36" fillId="2" borderId="34" numFmtId="0" xfId="1" applyFont="1" applyFill="1" applyBorder="1" applyAlignment="1">
      <alignment horizontal="center" vertical="center" wrapText="1"/>
    </xf>
    <xf fontId="56" fillId="0" borderId="42" numFmtId="0" xfId="1" applyFont="1" applyBorder="1" applyAlignment="1">
      <alignment horizontal="center" vertical="center" wrapText="1"/>
    </xf>
    <xf fontId="9" fillId="2" borderId="25" numFmtId="4" xfId="1" applyNumberFormat="1" applyFont="1" applyFill="1" applyBorder="1" applyAlignment="1">
      <alignment horizontal="right"/>
    </xf>
    <xf fontId="47" fillId="2" borderId="25" numFmtId="4" xfId="1" applyNumberFormat="1" applyFont="1" applyFill="1" applyBorder="1" applyAlignment="1">
      <alignment horizontal="right"/>
    </xf>
    <xf fontId="33" fillId="8" borderId="0" numFmtId="4" xfId="1" applyNumberFormat="1" applyFont="1" applyFill="1"/>
    <xf fontId="33" fillId="11" borderId="18" numFmtId="4" xfId="1" applyNumberFormat="1" applyFont="1" applyFill="1" applyBorder="1" applyAlignment="1">
      <alignment horizontal="center"/>
    </xf>
    <xf fontId="33" fillId="0" borderId="18" numFmtId="10" xfId="4" applyNumberFormat="1" applyFont="1" applyBorder="1" applyAlignment="1">
      <alignment horizontal="center"/>
    </xf>
    <xf fontId="33" fillId="2" borderId="18" numFmtId="4" xfId="1" applyNumberFormat="1" applyFont="1" applyFill="1" applyBorder="1" applyAlignment="1">
      <alignment horizontal="center"/>
    </xf>
    <xf fontId="48" fillId="8" borderId="18" numFmtId="4" xfId="1" applyNumberFormat="1" applyFont="1" applyFill="1" applyBorder="1" applyAlignment="1">
      <alignment horizontal="center"/>
    </xf>
    <xf fontId="48" fillId="0" borderId="18" numFmtId="10" xfId="1" applyNumberFormat="1" applyFont="1" applyBorder="1" applyAlignment="1">
      <alignment horizontal="center"/>
    </xf>
    <xf fontId="33" fillId="0" borderId="42" numFmtId="10" xfId="1" applyNumberFormat="1" applyFont="1" applyBorder="1"/>
    <xf fontId="51" fillId="0" borderId="42" numFmtId="4" xfId="1" applyNumberFormat="1" applyFont="1" applyBorder="1" applyAlignment="1">
      <alignment horizontal="right"/>
    </xf>
    <xf fontId="51" fillId="2" borderId="42" numFmtId="4" xfId="1" applyNumberFormat="1" applyFont="1" applyFill="1" applyBorder="1" applyAlignment="1">
      <alignment horizontal="right"/>
    </xf>
    <xf fontId="52" fillId="2" borderId="42" numFmtId="4" xfId="1" applyNumberFormat="1" applyFont="1" applyFill="1" applyBorder="1" applyAlignment="1">
      <alignment horizontal="right"/>
    </xf>
    <xf fontId="36" fillId="0" borderId="19" numFmtId="4" xfId="1" applyNumberFormat="1" applyFont="1" applyBorder="1" applyAlignment="1">
      <alignment horizontal="right"/>
    </xf>
    <xf fontId="57" fillId="2" borderId="18" numFmtId="4" xfId="1" applyNumberFormat="1" applyFont="1" applyFill="1" applyBorder="1" applyAlignment="1">
      <alignment horizontal="center"/>
    </xf>
    <xf fontId="33" fillId="0" borderId="7" numFmtId="0" xfId="1" applyFont="1" applyBorder="1"/>
    <xf fontId="57" fillId="8" borderId="21" numFmtId="4" xfId="1" applyNumberFormat="1" applyFont="1" applyFill="1" applyBorder="1" applyAlignment="1">
      <alignment horizontal="right"/>
    </xf>
    <xf fontId="33" fillId="18" borderId="0" numFmtId="4" xfId="0" applyNumberFormat="1" applyFont="1" applyFill="1"/>
    <xf fontId="57" fillId="3" borderId="0" numFmtId="4" xfId="0" applyNumberFormat="1" applyFont="1" applyFill="1"/>
    <xf fontId="53" fillId="0" borderId="0" numFmtId="4" xfId="1" applyNumberFormat="1" applyFont="1"/>
    <xf fontId="57" fillId="0" borderId="0" numFmtId="4" xfId="0" applyNumberFormat="1" applyFont="1"/>
    <xf fontId="47" fillId="0" borderId="42" numFmtId="2" xfId="5" applyNumberFormat="1" applyFont="1" applyBorder="1" applyAlignment="1">
      <alignment horizontal="right"/>
    </xf>
    <xf fontId="51" fillId="0" borderId="0" numFmtId="4" xfId="1" applyNumberFormat="1" applyFont="1" applyAlignment="1">
      <alignment horizontal="center"/>
    </xf>
    <xf fontId="51" fillId="2" borderId="0" numFmtId="4" xfId="1" applyNumberFormat="1" applyFont="1" applyFill="1" applyAlignment="1">
      <alignment horizontal="center"/>
    </xf>
    <xf fontId="48" fillId="8" borderId="0" numFmtId="10" xfId="1" applyNumberFormat="1" applyFont="1" applyFill="1" applyAlignment="1">
      <alignment horizontal="center"/>
    </xf>
    <xf fontId="52" fillId="0" borderId="0" numFmtId="10" xfId="1" applyNumberFormat="1" applyFont="1" applyAlignment="1">
      <alignment horizontal="center"/>
    </xf>
    <xf fontId="52" fillId="2" borderId="0" numFmtId="4" xfId="1" applyNumberFormat="1" applyFont="1" applyFill="1" applyAlignment="1">
      <alignment horizontal="center"/>
    </xf>
    <xf fontId="48" fillId="8" borderId="0" numFmtId="4" xfId="1" applyNumberFormat="1" applyFont="1" applyFill="1" applyAlignment="1">
      <alignment horizontal="center"/>
    </xf>
    <xf fontId="48" fillId="2" borderId="0" numFmtId="4" xfId="1" applyNumberFormat="1" applyFont="1" applyFill="1" applyAlignment="1">
      <alignment horizontal="center"/>
    </xf>
    <xf fontId="51" fillId="2" borderId="0" numFmtId="4" xfId="1" applyNumberFormat="1" applyFont="1" applyFill="1" applyAlignment="1">
      <alignment horizontal="right"/>
    </xf>
    <xf fontId="48" fillId="2" borderId="0" numFmtId="4" xfId="0" applyNumberFormat="1" applyFont="1" applyFill="1"/>
    <xf fontId="48" fillId="0" borderId="0" numFmtId="0" xfId="0" applyFont="1"/>
    <xf fontId="9" fillId="0" borderId="0" numFmtId="4" xfId="0" applyNumberFormat="1" applyFont="1" applyAlignment="1">
      <alignment horizontal="center"/>
    </xf>
    <xf fontId="9" fillId="2" borderId="0" numFmtId="4" xfId="0" applyNumberFormat="1" applyFont="1" applyFill="1" applyAlignment="1">
      <alignment horizontal="center"/>
    </xf>
    <xf fontId="33" fillId="8" borderId="0" numFmtId="10" xfId="0" applyNumberFormat="1" applyFont="1" applyFill="1" applyAlignment="1">
      <alignment horizontal="center"/>
    </xf>
    <xf fontId="47" fillId="0" borderId="0" numFmtId="10" xfId="0" applyNumberFormat="1" applyFont="1" applyAlignment="1">
      <alignment horizontal="center"/>
    </xf>
    <xf fontId="47" fillId="0" borderId="0" numFmtId="164" xfId="5" applyNumberFormat="1" applyFont="1" applyAlignment="1">
      <alignment horizontal="center"/>
    </xf>
    <xf fontId="33" fillId="2" borderId="0" numFmtId="4" xfId="0" applyNumberFormat="1" applyFont="1" applyFill="1" applyAlignment="1">
      <alignment horizontal="center"/>
    </xf>
    <xf fontId="33" fillId="0" borderId="0" numFmtId="10" xfId="0" applyNumberFormat="1" applyFont="1" applyAlignment="1">
      <alignment horizontal="center"/>
    </xf>
    <xf fontId="9" fillId="0" borderId="0" numFmtId="0" xfId="0" applyFont="1"/>
    <xf fontId="51" fillId="0" borderId="0" numFmtId="0" xfId="1" applyFont="1"/>
    <xf fontId="51" fillId="0" borderId="0" numFmtId="0" xfId="1" applyFont="1" applyAlignment="1">
      <alignment horizontal="center"/>
    </xf>
    <xf fontId="51" fillId="11" borderId="0" numFmtId="0" xfId="1" applyFont="1" applyFill="1" applyAlignment="1">
      <alignment wrapText="1"/>
    </xf>
    <xf fontId="51" fillId="5" borderId="0" numFmtId="0" xfId="1" applyFont="1" applyFill="1" applyAlignment="1">
      <alignment wrapText="1"/>
    </xf>
    <xf fontId="9" fillId="0" borderId="0" numFmtId="0" xfId="1" applyFont="1"/>
    <xf fontId="9" fillId="11" borderId="0" numFmtId="0" xfId="1" applyFont="1" applyFill="1" applyAlignment="1">
      <alignment wrapText="1"/>
    </xf>
    <xf fontId="9" fillId="0" borderId="0" numFmtId="0" xfId="1" applyFont="1" applyAlignment="1">
      <alignment horizontal="center" wrapText="1"/>
    </xf>
    <xf fontId="51" fillId="13" borderId="0" numFmtId="0" xfId="1" applyFont="1" applyFill="1" applyAlignment="1">
      <alignment wrapText="1"/>
    </xf>
    <xf fontId="51" fillId="0" borderId="0" numFmtId="164" xfId="5" applyNumberFormat="1" applyFont="1"/>
    <xf fontId="51" fillId="0" borderId="0" numFmtId="0" xfId="1" applyFont="1" applyAlignment="1">
      <alignment wrapText="1"/>
    </xf>
    <xf fontId="79" fillId="0" borderId="0" numFmtId="0" xfId="1" applyFont="1" applyAlignment="1">
      <alignment horizontal="center" vertical="center"/>
    </xf>
    <xf fontId="9" fillId="0" borderId="0" numFmtId="0" xfId="1" applyFont="1" applyAlignment="1">
      <alignment horizontal="center"/>
    </xf>
    <xf fontId="51" fillId="0" borderId="42" numFmtId="0" xfId="1" applyFont="1" applyBorder="1" applyAlignment="1">
      <alignment horizontal="center" vertical="center"/>
    </xf>
    <xf fontId="9" fillId="11" borderId="42" numFmtId="0" xfId="1" applyFont="1" applyFill="1" applyBorder="1" applyAlignment="1">
      <alignment horizontal="center" vertical="center" wrapText="1"/>
    </xf>
    <xf fontId="9" fillId="5" borderId="42" numFmtId="0" xfId="1" applyFont="1" applyFill="1" applyBorder="1" applyAlignment="1">
      <alignment horizontal="center" vertical="center" wrapText="1"/>
    </xf>
    <xf fontId="51" fillId="0" borderId="42" numFmtId="164" xfId="5" applyNumberFormat="1" applyFont="1" applyBorder="1" applyAlignment="1">
      <alignment horizontal="center" vertical="center"/>
    </xf>
    <xf fontId="51" fillId="11" borderId="42" numFmtId="0" xfId="1" applyFont="1" applyFill="1" applyBorder="1" applyAlignment="1">
      <alignment horizontal="center" vertical="center" wrapText="1"/>
    </xf>
    <xf fontId="51" fillId="15" borderId="42" numFmtId="0" xfId="1" applyFont="1" applyFill="1" applyBorder="1" applyAlignment="1">
      <alignment horizontal="center" vertical="center" wrapText="1"/>
    </xf>
    <xf fontId="9" fillId="0" borderId="42" numFmtId="0" xfId="1" applyFont="1" applyBorder="1" applyAlignment="1">
      <alignment horizontal="center" vertical="center"/>
    </xf>
    <xf fontId="9" fillId="0" borderId="42" numFmtId="1" xfId="1" applyNumberFormat="1" applyFont="1" applyBorder="1" applyAlignment="1">
      <alignment horizontal="center" vertical="center"/>
    </xf>
    <xf fontId="51" fillId="11" borderId="19" numFmtId="0" xfId="1" applyFont="1" applyFill="1" applyBorder="1" applyAlignment="1">
      <alignment horizontal="center" vertical="center" wrapText="1"/>
    </xf>
    <xf fontId="51" fillId="5" borderId="42" numFmtId="0" xfId="1" applyFont="1" applyFill="1" applyBorder="1" applyAlignment="1">
      <alignment horizontal="center" vertical="center" wrapText="1"/>
    </xf>
    <xf fontId="80" fillId="0" borderId="68" numFmtId="0" xfId="0" applyFont="1" applyBorder="1"/>
    <xf fontId="81" fillId="0" borderId="45" numFmtId="0" xfId="0" applyFont="1" applyBorder="1" applyAlignment="1">
      <alignment horizontal="center" vertical="center"/>
    </xf>
    <xf fontId="81" fillId="0" borderId="50" numFmtId="0" xfId="0" applyFont="1" applyBorder="1" applyAlignment="1">
      <alignment horizontal="center" vertical="center"/>
    </xf>
    <xf fontId="9" fillId="3" borderId="0" numFmtId="0" xfId="0" applyFont="1" applyFill="1"/>
    <xf fontId="82" fillId="8" borderId="42" numFmtId="0" xfId="1" applyFont="1" applyFill="1" applyBorder="1" applyAlignment="1">
      <alignment vertical="center"/>
    </xf>
    <xf fontId="51" fillId="0" borderId="19" numFmtId="0" xfId="1" applyFont="1" applyBorder="1" applyAlignment="1">
      <alignment vertical="center"/>
    </xf>
    <xf fontId="56" fillId="0" borderId="20" numFmtId="0" xfId="1" applyFont="1" applyBorder="1" applyAlignment="1">
      <alignment vertical="center"/>
    </xf>
    <xf fontId="56" fillId="0" borderId="20" numFmtId="0" xfId="1" applyFont="1" applyBorder="1"/>
    <xf fontId="1" fillId="0" borderId="20" numFmtId="0" xfId="1" applyFont="1" applyBorder="1"/>
    <xf fontId="1" fillId="0" borderId="21" numFmtId="0" xfId="1" applyFont="1" applyBorder="1"/>
    <xf fontId="83" fillId="0" borderId="69" numFmtId="0" xfId="0" applyFont="1" applyBorder="1" applyAlignment="1">
      <alignment horizontal="center"/>
    </xf>
    <xf fontId="81" fillId="0" borderId="46" numFmtId="0" xfId="0" applyFont="1" applyBorder="1" applyAlignment="1">
      <alignment horizontal="center" vertical="center"/>
    </xf>
    <xf fontId="9" fillId="0" borderId="45" numFmtId="0" xfId="1" applyFont="1" applyBorder="1" applyAlignment="1">
      <alignment horizontal="centerContinuous" vertical="center"/>
    </xf>
    <xf fontId="9" fillId="0" borderId="46" numFmtId="0" xfId="1" applyFont="1" applyBorder="1" applyAlignment="1">
      <alignment horizontal="centerContinuous" vertical="center"/>
    </xf>
    <xf fontId="51" fillId="0" borderId="0" numFmtId="0" xfId="0" applyFont="1"/>
    <xf fontId="9" fillId="0" borderId="42" numFmtId="0" xfId="1" applyFont="1" applyBorder="1" applyAlignment="1">
      <alignment horizontal="center"/>
    </xf>
    <xf fontId="51" fillId="0" borderId="42" numFmtId="0" xfId="1" applyFont="1" applyBorder="1" applyAlignment="1">
      <alignment horizontal="center"/>
    </xf>
    <xf fontId="51" fillId="11" borderId="42" numFmtId="0" xfId="1" applyFont="1" applyFill="1" applyBorder="1" applyAlignment="1">
      <alignment horizontal="center" wrapText="1"/>
    </xf>
    <xf fontId="51" fillId="5" borderId="42" numFmtId="0" xfId="1" applyFont="1" applyFill="1" applyBorder="1" applyAlignment="1">
      <alignment horizontal="center" wrapText="1"/>
    </xf>
    <xf fontId="51" fillId="15" borderId="42" numFmtId="0" xfId="1" applyFont="1" applyFill="1" applyBorder="1" applyAlignment="1">
      <alignment horizontal="center" wrapText="1"/>
    </xf>
    <xf fontId="56" fillId="0" borderId="62" numFmtId="0" xfId="0" applyFont="1" applyBorder="1" applyAlignment="1">
      <alignment horizontal="center"/>
    </xf>
    <xf fontId="81" fillId="0" borderId="70" numFmtId="0" xfId="0" applyFont="1" applyBorder="1" applyAlignment="1">
      <alignment horizontal="center" vertical="center"/>
    </xf>
    <xf fontId="81" fillId="0" borderId="52" numFmtId="0" xfId="0" applyFont="1" applyBorder="1" applyAlignment="1">
      <alignment horizontal="center" vertical="center"/>
    </xf>
    <xf fontId="84" fillId="0" borderId="52" numFmtId="0" xfId="0" applyFont="1" applyBorder="1" applyAlignment="1">
      <alignment horizontal="center" vertical="center"/>
    </xf>
    <xf fontId="84" fillId="0" borderId="71" numFmtId="0" xfId="0" applyFont="1" applyBorder="1" applyAlignment="1">
      <alignment horizontal="center" vertical="center"/>
    </xf>
    <xf fontId="84" fillId="0" borderId="70" numFmtId="0" xfId="0" applyFont="1" applyBorder="1" applyAlignment="1">
      <alignment horizontal="center" vertical="center"/>
    </xf>
    <xf fontId="84" fillId="0" borderId="52" numFmtId="164" xfId="5" applyNumberFormat="1" applyFont="1" applyBorder="1" applyAlignment="1">
      <alignment horizontal="center" vertical="center"/>
    </xf>
    <xf fontId="84" fillId="0" borderId="52" numFmtId="0" xfId="0" applyFont="1" applyBorder="1" applyAlignment="1">
      <alignment horizontal="center" vertical="center" wrapText="1"/>
    </xf>
    <xf fontId="84" fillId="0" borderId="71" numFmtId="0" xfId="0" applyFont="1" applyBorder="1" applyAlignment="1">
      <alignment horizontal="center" vertical="center" wrapText="1"/>
    </xf>
    <xf fontId="51" fillId="0" borderId="70" numFmtId="0" xfId="1" applyFont="1" applyBorder="1" applyAlignment="1">
      <alignment horizontal="center" vertical="center"/>
    </xf>
    <xf fontId="51" fillId="0" borderId="71" numFmtId="0" xfId="1" applyFont="1" applyBorder="1" applyAlignment="1">
      <alignment horizontal="center" vertical="center"/>
    </xf>
    <xf fontId="9" fillId="0" borderId="42" numFmtId="4" xfId="1" applyNumberFormat="1" applyFont="1" applyBorder="1" applyAlignment="1">
      <alignment horizontal="center"/>
    </xf>
    <xf fontId="9" fillId="11" borderId="42" numFmtId="4" xfId="1" applyNumberFormat="1" applyFont="1" applyFill="1" applyBorder="1" applyAlignment="1">
      <alignment horizontal="center" wrapText="1"/>
    </xf>
    <xf fontId="9" fillId="5" borderId="42" numFmtId="4" xfId="1" applyNumberFormat="1" applyFont="1" applyFill="1" applyBorder="1" applyAlignment="1">
      <alignment horizontal="center" wrapText="1"/>
    </xf>
    <xf fontId="9" fillId="0" borderId="42" numFmtId="4" xfId="1" applyNumberFormat="1" applyFont="1" applyBorder="1" applyAlignment="1">
      <alignment horizontal="center" wrapText="1"/>
    </xf>
    <xf fontId="0" fillId="0" borderId="26" numFmtId="0" xfId="0" applyBorder="1"/>
    <xf fontId="9" fillId="0" borderId="33" numFmtId="3" xfId="0" applyNumberFormat="1" applyFont="1" applyBorder="1" applyAlignment="1">
      <alignment horizontal="center" vertical="center"/>
    </xf>
    <xf fontId="9" fillId="0" borderId="34" numFmtId="164" xfId="5" applyNumberFormat="1" applyFont="1" applyBorder="1" applyAlignment="1">
      <alignment horizontal="center" vertical="center"/>
    </xf>
    <xf fontId="9" fillId="0" borderId="34" numFmtId="3" xfId="0" applyNumberFormat="1" applyFont="1" applyBorder="1" applyAlignment="1">
      <alignment horizontal="center" vertical="center"/>
    </xf>
    <xf fontId="9" fillId="0" borderId="34" numFmtId="2" xfId="0" applyNumberFormat="1" applyFont="1" applyBorder="1" applyAlignment="1">
      <alignment horizontal="center" vertical="center"/>
    </xf>
    <xf fontId="9" fillId="0" borderId="35" numFmtId="2" xfId="0" applyNumberFormat="1" applyFont="1" applyBorder="1" applyAlignment="1">
      <alignment horizontal="center" vertical="center"/>
    </xf>
    <xf fontId="9" fillId="0" borderId="41" numFmtId="1" xfId="0" applyNumberFormat="1" applyFont="1" applyBorder="1" applyAlignment="1">
      <alignment horizontal="center" vertical="center"/>
    </xf>
    <xf fontId="9" fillId="0" borderId="47" numFmtId="2" xfId="0" applyNumberFormat="1" applyFont="1" applyBorder="1"/>
    <xf fontId="9" fillId="0" borderId="34" numFmtId="0" xfId="1" applyFont="1" applyBorder="1" applyAlignment="1">
      <alignment horizontal="center" vertical="center" wrapText="1"/>
    </xf>
    <xf fontId="9" fillId="0" borderId="35" numFmtId="2" xfId="1" applyNumberFormat="1" applyFont="1" applyBorder="1" applyAlignment="1">
      <alignment horizontal="center" vertical="center" wrapText="1"/>
    </xf>
    <xf fontId="9" fillId="0" borderId="33" numFmtId="0" xfId="1" applyFont="1" applyBorder="1" applyAlignment="1">
      <alignment horizontal="center" vertical="center"/>
    </xf>
    <xf fontId="9" fillId="0" borderId="34" numFmtId="2" xfId="1" applyNumberFormat="1" applyFont="1" applyBorder="1" applyAlignment="1">
      <alignment horizontal="center" vertical="center"/>
    </xf>
    <xf fontId="9" fillId="0" borderId="34" numFmtId="0" xfId="1" applyFont="1" applyBorder="1" applyAlignment="1">
      <alignment horizontal="center" vertical="center"/>
    </xf>
    <xf fontId="9" fillId="0" borderId="35" numFmtId="0" xfId="1" applyFont="1" applyBorder="1" applyAlignment="1">
      <alignment horizontal="center" vertical="center"/>
    </xf>
    <xf fontId="9" fillId="0" borderId="33" numFmtId="3" xfId="1" applyNumberFormat="1" applyFont="1" applyBorder="1" applyAlignment="1">
      <alignment horizontal="center" vertical="center"/>
    </xf>
    <xf fontId="9" fillId="0" borderId="35" numFmtId="4" xfId="1" applyNumberFormat="1" applyFont="1" applyBorder="1" applyAlignment="1">
      <alignment horizontal="center" vertical="center"/>
    </xf>
    <xf fontId="0" fillId="0" borderId="19" numFmtId="0" xfId="0" applyBorder="1"/>
    <xf fontId="9" fillId="0" borderId="41" numFmtId="3" xfId="0" applyNumberFormat="1" applyFont="1" applyBorder="1" applyAlignment="1">
      <alignment horizontal="center" vertical="center"/>
    </xf>
    <xf fontId="9" fillId="0" borderId="42" numFmtId="164" xfId="5" applyNumberFormat="1" applyFont="1" applyBorder="1" applyAlignment="1">
      <alignment horizontal="center" vertical="center"/>
    </xf>
    <xf fontId="9" fillId="0" borderId="42" numFmtId="3" xfId="0" applyNumberFormat="1" applyFont="1" applyBorder="1" applyAlignment="1">
      <alignment horizontal="center" vertical="center"/>
    </xf>
    <xf fontId="9" fillId="0" borderId="42" numFmtId="2" xfId="0" applyNumberFormat="1" applyFont="1" applyBorder="1" applyAlignment="1">
      <alignment horizontal="center" vertical="center"/>
    </xf>
    <xf fontId="9" fillId="0" borderId="47" numFmtId="2" xfId="0" applyNumberFormat="1" applyFont="1" applyBorder="1" applyAlignment="1">
      <alignment horizontal="center" vertical="center"/>
    </xf>
    <xf fontId="9" fillId="0" borderId="42" numFmtId="0" xfId="1" applyFont="1" applyBorder="1" applyAlignment="1">
      <alignment horizontal="center" vertical="center" wrapText="1"/>
    </xf>
    <xf fontId="9" fillId="0" borderId="47" numFmtId="2" xfId="1" applyNumberFormat="1" applyFont="1" applyBorder="1" applyAlignment="1">
      <alignment horizontal="center" vertical="center" wrapText="1"/>
    </xf>
    <xf fontId="9" fillId="0" borderId="41" numFmtId="0" xfId="1" applyFont="1" applyBorder="1" applyAlignment="1">
      <alignment horizontal="center" vertical="center"/>
    </xf>
    <xf fontId="9" fillId="0" borderId="42" numFmtId="2" xfId="1" applyNumberFormat="1" applyFont="1" applyBorder="1" applyAlignment="1">
      <alignment horizontal="center" vertical="center"/>
    </xf>
    <xf fontId="9" fillId="0" borderId="47" numFmtId="0" xfId="1" applyFont="1" applyBorder="1" applyAlignment="1">
      <alignment horizontal="center" vertical="center"/>
    </xf>
    <xf fontId="9" fillId="0" borderId="41" numFmtId="3" xfId="1" applyNumberFormat="1" applyFont="1" applyBorder="1" applyAlignment="1">
      <alignment horizontal="center" vertical="center"/>
    </xf>
    <xf fontId="9" fillId="0" borderId="47" numFmtId="4" xfId="1" applyNumberFormat="1" applyFont="1" applyBorder="1" applyAlignment="1">
      <alignment horizontal="center" vertical="center"/>
    </xf>
    <xf fontId="9" fillId="8" borderId="0" numFmtId="0" xfId="0" applyFont="1" applyFill="1"/>
    <xf fontId="9" fillId="0" borderId="72" numFmtId="3" xfId="0" applyNumberFormat="1" applyFont="1" applyBorder="1" applyAlignment="1">
      <alignment horizontal="center" vertical="center"/>
    </xf>
    <xf fontId="9" fillId="0" borderId="18" numFmtId="164" xfId="5" applyNumberFormat="1" applyFont="1" applyBorder="1" applyAlignment="1">
      <alignment horizontal="center" vertical="center"/>
    </xf>
    <xf fontId="9" fillId="0" borderId="18" numFmtId="3" xfId="0" applyNumberFormat="1" applyFont="1" applyBorder="1" applyAlignment="1">
      <alignment horizontal="center" vertical="center"/>
    </xf>
    <xf fontId="9" fillId="0" borderId="18" numFmtId="2" xfId="0" applyNumberFormat="1" applyFont="1" applyBorder="1" applyAlignment="1">
      <alignment horizontal="center" vertical="center"/>
    </xf>
    <xf fontId="9" fillId="0" borderId="22" numFmtId="2" xfId="0" applyNumberFormat="1" applyFont="1" applyBorder="1" applyAlignment="1">
      <alignment horizontal="center" vertical="center"/>
    </xf>
    <xf fontId="9" fillId="0" borderId="18" numFmtId="0" xfId="1" applyFont="1" applyBorder="1" applyAlignment="1">
      <alignment horizontal="center" vertical="center" wrapText="1"/>
    </xf>
    <xf fontId="9" fillId="0" borderId="22" numFmtId="2" xfId="1" applyNumberFormat="1" applyFont="1" applyBorder="1" applyAlignment="1">
      <alignment horizontal="center" vertical="center" wrapText="1"/>
    </xf>
    <xf fontId="9" fillId="0" borderId="72" numFmtId="0" xfId="1" applyFont="1" applyBorder="1" applyAlignment="1">
      <alignment horizontal="center" vertical="center"/>
    </xf>
    <xf fontId="9" fillId="0" borderId="18" numFmtId="2" xfId="1" applyNumberFormat="1" applyFont="1" applyBorder="1" applyAlignment="1">
      <alignment horizontal="center" vertical="center"/>
    </xf>
    <xf fontId="9" fillId="0" borderId="18" numFmtId="0" xfId="1" applyFont="1" applyBorder="1" applyAlignment="1">
      <alignment horizontal="center" vertical="center"/>
    </xf>
    <xf fontId="9" fillId="0" borderId="22" numFmtId="0" xfId="1" applyFont="1" applyBorder="1" applyAlignment="1">
      <alignment horizontal="center" vertical="center"/>
    </xf>
    <xf fontId="0" fillId="0" borderId="1" numFmtId="0" xfId="0" applyBorder="1"/>
    <xf fontId="9" fillId="0" borderId="72" numFmtId="3" xfId="1" applyNumberFormat="1" applyFont="1" applyBorder="1" applyAlignment="1">
      <alignment horizontal="center" vertical="center"/>
    </xf>
    <xf fontId="9" fillId="0" borderId="22" numFmtId="4" xfId="1" applyNumberFormat="1" applyFont="1" applyBorder="1" applyAlignment="1">
      <alignment horizontal="center" vertical="center"/>
    </xf>
    <xf fontId="36" fillId="0" borderId="0" numFmtId="0" xfId="0" applyFont="1"/>
    <xf fontId="36" fillId="0" borderId="42" numFmtId="0" xfId="1" applyFont="1" applyBorder="1"/>
    <xf fontId="36" fillId="11" borderId="42" numFmtId="4" xfId="1" applyNumberFormat="1" applyFont="1" applyFill="1" applyBorder="1" applyAlignment="1">
      <alignment horizontal="center" wrapText="1"/>
    </xf>
    <xf fontId="36" fillId="5" borderId="42" numFmtId="4" xfId="1" applyNumberFormat="1" applyFont="1" applyFill="1" applyBorder="1" applyAlignment="1">
      <alignment horizontal="center" wrapText="1"/>
    </xf>
    <xf fontId="36" fillId="0" borderId="42" numFmtId="4" xfId="1" applyNumberFormat="1" applyFont="1" applyBorder="1" applyAlignment="1">
      <alignment horizontal="center" wrapText="1"/>
    </xf>
    <xf fontId="42" fillId="0" borderId="0" numFmtId="0" xfId="1" applyFont="1"/>
    <xf fontId="42" fillId="0" borderId="56" numFmtId="0" xfId="1" applyFont="1" applyBorder="1"/>
    <xf fontId="36" fillId="0" borderId="73" numFmtId="3" xfId="0" applyNumberFormat="1" applyFont="1" applyBorder="1" applyAlignment="1">
      <alignment horizontal="center" vertical="center"/>
    </xf>
    <xf fontId="36" fillId="0" borderId="59" numFmtId="164" xfId="5" applyNumberFormat="1" applyFont="1" applyBorder="1" applyAlignment="1">
      <alignment horizontal="center" vertical="center"/>
    </xf>
    <xf fontId="36" fillId="0" borderId="59" numFmtId="3" xfId="0" applyNumberFormat="1" applyFont="1" applyBorder="1" applyAlignment="1">
      <alignment horizontal="center" vertical="center"/>
    </xf>
    <xf fontId="36" fillId="0" borderId="59" numFmtId="2" xfId="0" applyNumberFormat="1" applyFont="1" applyBorder="1" applyAlignment="1">
      <alignment horizontal="center" vertical="center"/>
    </xf>
    <xf fontId="36" fillId="0" borderId="73" numFmtId="0" xfId="0" applyFont="1" applyBorder="1" applyAlignment="1">
      <alignment horizontal="center" vertical="center"/>
    </xf>
    <xf fontId="36" fillId="0" borderId="59" numFmtId="1" xfId="0" applyNumberFormat="1" applyFont="1" applyBorder="1" applyAlignment="1">
      <alignment horizontal="center" vertical="center"/>
    </xf>
    <xf fontId="36" fillId="0" borderId="59" numFmtId="0" xfId="0" applyFont="1" applyBorder="1" applyAlignment="1">
      <alignment horizontal="center" vertical="center"/>
    </xf>
    <xf fontId="36" fillId="0" borderId="73" numFmtId="3" xfId="1" applyNumberFormat="1" applyFont="1" applyBorder="1" applyAlignment="1">
      <alignment horizontal="center" vertical="center"/>
    </xf>
    <xf fontId="36" fillId="0" borderId="74" numFmtId="4" xfId="1" applyNumberFormat="1" applyFont="1" applyBorder="1" applyAlignment="1">
      <alignment horizontal="center" vertical="center"/>
    </xf>
    <xf fontId="36" fillId="0" borderId="0" numFmtId="0" xfId="1" applyFont="1"/>
    <xf fontId="0" fillId="0" borderId="41" numFmtId="1" xfId="0" applyNumberFormat="1" applyBorder="1" applyAlignment="1">
      <alignment horizontal="center" vertical="center"/>
    </xf>
    <xf fontId="0" fillId="0" borderId="47" numFmtId="4" xfId="0" applyNumberFormat="1" applyBorder="1"/>
    <xf fontId="0" fillId="0" borderId="21" numFmtId="1" xfId="0" applyNumberFormat="1" applyBorder="1" applyAlignment="1">
      <alignment horizontal="center" vertical="center"/>
    </xf>
    <xf fontId="0" fillId="0" borderId="19" numFmtId="4" xfId="0" applyNumberFormat="1" applyBorder="1"/>
    <xf fontId="9" fillId="0" borderId="42" numFmtId="1" xfId="0" applyNumberFormat="1" applyFont="1" applyBorder="1" applyAlignment="1">
      <alignment horizontal="center" vertical="center"/>
    </xf>
    <xf fontId="9" fillId="0" borderId="42" numFmtId="4" xfId="0" applyNumberFormat="1" applyFont="1" applyBorder="1"/>
    <xf fontId="9" fillId="0" borderId="42" numFmtId="2" xfId="0" applyNumberFormat="1" applyFont="1" applyBorder="1"/>
    <xf fontId="0" fillId="0" borderId="41" numFmtId="0" xfId="0" applyBorder="1" applyAlignment="1">
      <alignment horizontal="center" vertical="center"/>
    </xf>
    <xf fontId="0" fillId="0" borderId="47" numFmtId="0" xfId="0" applyBorder="1"/>
    <xf fontId="0" fillId="0" borderId="21" numFmtId="0" xfId="0" applyBorder="1" applyAlignment="1">
      <alignment horizontal="center" vertical="center"/>
    </xf>
    <xf fontId="9" fillId="0" borderId="42" numFmtId="0" xfId="0" applyFont="1" applyBorder="1" applyAlignment="1">
      <alignment horizontal="center" vertical="center"/>
    </xf>
    <xf fontId="9" fillId="0" borderId="42" numFmtId="0" xfId="0" applyFont="1" applyBorder="1"/>
    <xf fontId="0" fillId="0" borderId="41" numFmtId="3" xfId="0" applyNumberFormat="1" applyBorder="1" applyAlignment="1">
      <alignment horizontal="center" vertical="center"/>
    </xf>
    <xf fontId="0" fillId="0" borderId="47" numFmtId="4" xfId="0" applyNumberFormat="1" applyBorder="1" applyAlignment="1">
      <alignment horizontal="right"/>
    </xf>
    <xf fontId="0" fillId="0" borderId="21" numFmtId="3" xfId="0" applyNumberFormat="1" applyBorder="1" applyAlignment="1">
      <alignment horizontal="center" vertical="center"/>
    </xf>
    <xf fontId="0" fillId="0" borderId="19" numFmtId="4" xfId="0" applyNumberFormat="1" applyBorder="1" applyAlignment="1">
      <alignment horizontal="right"/>
    </xf>
    <xf fontId="9" fillId="0" borderId="42" numFmtId="4" xfId="0" applyNumberFormat="1" applyFont="1" applyBorder="1" applyAlignment="1">
      <alignment horizontal="right"/>
    </xf>
    <xf fontId="0" fillId="0" borderId="47" numFmtId="2" xfId="0" applyNumberFormat="1" applyBorder="1"/>
    <xf fontId="0" fillId="0" borderId="19" numFmtId="2" xfId="0" applyNumberFormat="1" applyBorder="1"/>
    <xf fontId="9" fillId="0" borderId="42" numFmtId="1" xfId="0" applyNumberFormat="1" applyFont="1" applyBorder="1"/>
    <xf fontId="36" fillId="0" borderId="60" numFmtId="2" xfId="0" applyNumberFormat="1" applyFont="1" applyBorder="1" applyAlignment="1">
      <alignment horizontal="center" vertical="center"/>
    </xf>
    <xf fontId="36" fillId="0" borderId="74" numFmtId="2" xfId="0" applyNumberFormat="1" applyFont="1" applyBorder="1" applyAlignment="1">
      <alignment horizontal="center" vertical="center"/>
    </xf>
    <xf fontId="36" fillId="0" borderId="73" numFmtId="1" xfId="0" applyNumberFormat="1" applyFont="1" applyBorder="1" applyAlignment="1">
      <alignment horizontal="center" vertical="center"/>
    </xf>
    <xf fontId="36" fillId="0" borderId="61" numFmtId="1" xfId="0" applyNumberFormat="1" applyFont="1" applyBorder="1" applyAlignment="1">
      <alignment horizontal="center" vertical="center"/>
    </xf>
    <xf fontId="9" fillId="0" borderId="42" numFmtId="0" xfId="1" applyFont="1" applyBorder="1" applyAlignment="1">
      <alignment horizontal="left"/>
    </xf>
    <xf fontId="51" fillId="0" borderId="26" numFmtId="0" xfId="1" applyFont="1" applyBorder="1"/>
    <xf fontId="51" fillId="0" borderId="33" numFmtId="0" xfId="1" applyFont="1" applyBorder="1" applyAlignment="1">
      <alignment horizontal="center" vertical="center"/>
    </xf>
    <xf fontId="51" fillId="0" borderId="34" numFmtId="164" xfId="5" applyNumberFormat="1" applyFont="1" applyBorder="1" applyAlignment="1">
      <alignment horizontal="center" vertical="center"/>
    </xf>
    <xf fontId="51" fillId="0" borderId="34" numFmtId="0" xfId="1" applyFont="1" applyBorder="1" applyAlignment="1">
      <alignment horizontal="center" vertical="center"/>
    </xf>
    <xf fontId="51" fillId="0" borderId="34" numFmtId="2" xfId="1" applyNumberFormat="1" applyFont="1" applyBorder="1" applyAlignment="1">
      <alignment horizontal="center" vertical="center" wrapText="1"/>
    </xf>
    <xf fontId="51" fillId="0" borderId="35" numFmtId="2" xfId="1" applyNumberFormat="1" applyFont="1" applyBorder="1" applyAlignment="1">
      <alignment horizontal="center" vertical="center"/>
    </xf>
    <xf fontId="51" fillId="0" borderId="34" numFmtId="0" xfId="1" applyFont="1" applyBorder="1" applyAlignment="1">
      <alignment horizontal="center" vertical="center" wrapText="1"/>
    </xf>
    <xf fontId="51" fillId="0" borderId="34" numFmtId="2" xfId="1" applyNumberFormat="1" applyFont="1" applyBorder="1" applyAlignment="1">
      <alignment horizontal="center" vertical="center"/>
    </xf>
    <xf fontId="51" fillId="0" borderId="33" numFmtId="0" xfId="1" applyFont="1" applyBorder="1" applyAlignment="1">
      <alignment horizontal="center" vertical="center" wrapText="1"/>
    </xf>
    <xf fontId="9" fillId="3" borderId="42" numFmtId="0" xfId="1" applyFont="1" applyFill="1" applyBorder="1" applyAlignment="1">
      <alignment horizontal="left"/>
    </xf>
    <xf fontId="51" fillId="0" borderId="19" numFmtId="0" xfId="1" applyFont="1" applyBorder="1"/>
    <xf fontId="51" fillId="0" borderId="41" numFmtId="0" xfId="1" applyFont="1" applyBorder="1" applyAlignment="1">
      <alignment horizontal="center" vertical="center"/>
    </xf>
    <xf fontId="51" fillId="0" borderId="42" numFmtId="2" xfId="1" applyNumberFormat="1" applyFont="1" applyBorder="1" applyAlignment="1">
      <alignment horizontal="center" vertical="center" wrapText="1"/>
    </xf>
    <xf fontId="51" fillId="0" borderId="47" numFmtId="2" xfId="1" applyNumberFormat="1" applyFont="1" applyBorder="1" applyAlignment="1">
      <alignment horizontal="center" vertical="center"/>
    </xf>
    <xf fontId="51" fillId="0" borderId="42" numFmtId="0" xfId="1" applyFont="1" applyBorder="1" applyAlignment="1">
      <alignment horizontal="center" vertical="center" wrapText="1"/>
    </xf>
    <xf fontId="51" fillId="0" borderId="42" numFmtId="2" xfId="1" applyNumberFormat="1" applyFont="1" applyBorder="1" applyAlignment="1">
      <alignment horizontal="center" vertical="center"/>
    </xf>
    <xf fontId="51" fillId="0" borderId="41" numFmtId="0" xfId="1" applyFont="1" applyBorder="1" applyAlignment="1">
      <alignment horizontal="center" vertical="center" wrapText="1"/>
    </xf>
    <xf fontId="51" fillId="0" borderId="1" numFmtId="0" xfId="1" applyFont="1" applyBorder="1"/>
    <xf fontId="51" fillId="0" borderId="72" numFmtId="0" xfId="1" applyFont="1" applyBorder="1" applyAlignment="1">
      <alignment horizontal="center" vertical="center"/>
    </xf>
    <xf fontId="51" fillId="0" borderId="18" numFmtId="164" xfId="5" applyNumberFormat="1" applyFont="1" applyBorder="1" applyAlignment="1">
      <alignment horizontal="center" vertical="center"/>
    </xf>
    <xf fontId="51" fillId="0" borderId="18" numFmtId="0" xfId="1" applyFont="1" applyBorder="1" applyAlignment="1">
      <alignment horizontal="center" vertical="center"/>
    </xf>
    <xf fontId="51" fillId="0" borderId="18" numFmtId="2" xfId="1" applyNumberFormat="1" applyFont="1" applyBorder="1" applyAlignment="1">
      <alignment horizontal="center" vertical="center" wrapText="1"/>
    </xf>
    <xf fontId="51" fillId="0" borderId="22" numFmtId="2" xfId="1" applyNumberFormat="1" applyFont="1" applyBorder="1" applyAlignment="1">
      <alignment horizontal="center" vertical="center"/>
    </xf>
    <xf fontId="51" fillId="0" borderId="18" numFmtId="0" xfId="1" applyFont="1" applyBorder="1" applyAlignment="1">
      <alignment horizontal="center" vertical="center" wrapText="1"/>
    </xf>
    <xf fontId="51" fillId="0" borderId="18" numFmtId="2" xfId="1" applyNumberFormat="1" applyFont="1" applyBorder="1" applyAlignment="1">
      <alignment horizontal="center" vertical="center"/>
    </xf>
    <xf fontId="51" fillId="0" borderId="72" numFmtId="0" xfId="1" applyFont="1" applyBorder="1" applyAlignment="1">
      <alignment horizontal="center" vertical="center" wrapText="1"/>
    </xf>
    <xf fontId="36" fillId="0" borderId="56" numFmtId="0" xfId="0" applyFont="1" applyBorder="1"/>
    <xf fontId="9" fillId="0" borderId="73" numFmtId="0" xfId="0" applyFont="1" applyBorder="1" applyAlignment="1">
      <alignment horizontal="center" vertical="center"/>
    </xf>
    <xf fontId="9" fillId="0" borderId="59" numFmtId="164" xfId="5" applyNumberFormat="1" applyFont="1" applyBorder="1" applyAlignment="1">
      <alignment horizontal="center" vertical="center"/>
    </xf>
    <xf fontId="9" fillId="0" borderId="59" numFmtId="0" xfId="0" applyFont="1" applyBorder="1" applyAlignment="1">
      <alignment horizontal="center" vertical="center"/>
    </xf>
    <xf fontId="9" fillId="0" borderId="59" numFmtId="2" xfId="0" applyNumberFormat="1" applyFont="1" applyBorder="1" applyAlignment="1">
      <alignment horizontal="center" vertical="center"/>
    </xf>
    <xf fontId="9" fillId="0" borderId="74" numFmtId="2" xfId="0" applyNumberFormat="1" applyFont="1" applyBorder="1" applyAlignment="1">
      <alignment horizontal="center" vertical="center"/>
    </xf>
    <xf fontId="9" fillId="0" borderId="59" numFmtId="0" xfId="1" applyFont="1" applyBorder="1" applyAlignment="1">
      <alignment horizontal="center" vertical="center"/>
    </xf>
    <xf fontId="9" fillId="0" borderId="74" numFmtId="0" xfId="0" applyFont="1" applyBorder="1" applyAlignment="1">
      <alignment horizontal="center" vertical="center"/>
    </xf>
    <xf fontId="9" fillId="0" borderId="73" numFmtId="3" xfId="1" applyNumberFormat="1" applyFont="1" applyBorder="1" applyAlignment="1">
      <alignment horizontal="center" vertical="center"/>
    </xf>
    <xf fontId="9" fillId="0" borderId="74" numFmtId="4" xfId="1" applyNumberFormat="1" applyFont="1" applyBorder="1" applyAlignment="1">
      <alignment horizontal="center" vertical="center"/>
    </xf>
    <xf fontId="42" fillId="0" borderId="69" numFmtId="0" xfId="1" applyFont="1" applyBorder="1"/>
    <xf fontId="36" fillId="0" borderId="11" numFmtId="3" xfId="0" applyNumberFormat="1" applyFont="1" applyBorder="1" applyAlignment="1">
      <alignment horizontal="center" vertical="center"/>
    </xf>
    <xf fontId="36" fillId="0" borderId="15" numFmtId="164" xfId="5" applyNumberFormat="1" applyFont="1" applyBorder="1" applyAlignment="1">
      <alignment horizontal="center" vertical="center"/>
    </xf>
    <xf fontId="36" fillId="0" borderId="15" numFmtId="3" xfId="0" applyNumberFormat="1" applyFont="1" applyBorder="1" applyAlignment="1">
      <alignment horizontal="center" vertical="center"/>
    </xf>
    <xf fontId="36" fillId="0" borderId="15" numFmtId="2" xfId="0" applyNumberFormat="1" applyFont="1" applyBorder="1" applyAlignment="1">
      <alignment horizontal="center" vertical="center"/>
    </xf>
    <xf fontId="36" fillId="0" borderId="51" numFmtId="2" xfId="0" applyNumberFormat="1" applyFont="1" applyBorder="1" applyAlignment="1">
      <alignment horizontal="center" vertical="center"/>
    </xf>
    <xf fontId="36" fillId="0" borderId="16" numFmtId="3" xfId="0" applyNumberFormat="1" applyFont="1" applyBorder="1" applyAlignment="1">
      <alignment horizontal="center" vertical="center"/>
    </xf>
    <xf fontId="36" fillId="0" borderId="17" numFmtId="2" xfId="0" applyNumberFormat="1" applyFont="1" applyBorder="1" applyAlignment="1">
      <alignment horizontal="center" vertical="center"/>
    </xf>
    <xf fontId="36" fillId="0" borderId="15" numFmtId="1" xfId="0" applyNumberFormat="1" applyFont="1" applyBorder="1" applyAlignment="1">
      <alignment horizontal="center" vertical="center"/>
    </xf>
    <xf fontId="36" fillId="0" borderId="11" numFmtId="3" xfId="1" applyNumberFormat="1" applyFont="1" applyBorder="1" applyAlignment="1">
      <alignment horizontal="center" vertical="center"/>
    </xf>
    <xf fontId="36" fillId="0" borderId="51" numFmtId="4" xfId="1" applyNumberFormat="1" applyFont="1" applyBorder="1" applyAlignment="1">
      <alignment horizontal="center" vertical="center"/>
    </xf>
    <xf fontId="42" fillId="0" borderId="62" numFmtId="0" xfId="1" applyFont="1" applyBorder="1"/>
    <xf fontId="36" fillId="0" borderId="59" numFmtId="4" xfId="0" applyNumberFormat="1" applyFont="1" applyBorder="1" applyAlignment="1">
      <alignment horizontal="center" vertical="center"/>
    </xf>
    <xf fontId="36" fillId="0" borderId="74" numFmtId="4" xfId="0" applyNumberFormat="1" applyFont="1" applyBorder="1" applyAlignment="1">
      <alignment horizontal="center" vertical="center"/>
    </xf>
    <xf fontId="9" fillId="0" borderId="33" numFmtId="0" xfId="0" applyFont="1" applyBorder="1" applyAlignment="1">
      <alignment horizontal="center" vertical="center"/>
    </xf>
    <xf fontId="9" fillId="0" borderId="34" numFmtId="0" xfId="0" applyFont="1" applyBorder="1" applyAlignment="1">
      <alignment horizontal="center" vertical="center"/>
    </xf>
    <xf fontId="9" fillId="0" borderId="47" numFmtId="2" xfId="1" applyNumberFormat="1" applyFont="1" applyBorder="1" applyAlignment="1">
      <alignment horizontal="center" vertical="center"/>
    </xf>
    <xf fontId="9" fillId="0" borderId="41" numFmtId="0" xfId="1" applyFont="1" applyBorder="1" applyAlignment="1">
      <alignment horizontal="center" vertical="center" wrapText="1"/>
    </xf>
    <xf fontId="9" fillId="0" borderId="42" numFmtId="2" xfId="1" applyNumberFormat="1" applyFont="1" applyBorder="1" applyAlignment="1">
      <alignment horizontal="center" vertical="center" wrapText="1"/>
    </xf>
    <xf fontId="85" fillId="0" borderId="56" numFmtId="0" xfId="0" applyFont="1" applyBorder="1" applyAlignment="1">
      <alignment horizontal="left"/>
    </xf>
    <xf fontId="36" fillId="0" borderId="73" numFmtId="4" xfId="0" applyNumberFormat="1" applyFont="1" applyBorder="1" applyAlignment="1">
      <alignment horizontal="center" vertical="center"/>
    </xf>
    <xf fontId="36" fillId="0" borderId="73" numFmtId="164" xfId="5" applyNumberFormat="1" applyFont="1" applyBorder="1" applyAlignment="1">
      <alignment horizontal="center" vertical="center"/>
    </xf>
    <xf fontId="42" fillId="0" borderId="0" numFmtId="4" xfId="1" applyNumberFormat="1" applyFont="1" applyAlignment="1">
      <alignment horizontal="center"/>
    </xf>
    <xf fontId="51" fillId="0" borderId="0" numFmtId="4" xfId="1" applyNumberFormat="1" applyFont="1" applyAlignment="1">
      <alignment horizontal="center" wrapText="1"/>
    </xf>
    <xf fontId="36" fillId="0" borderId="0" numFmtId="4" xfId="1" applyNumberFormat="1" applyFont="1" applyAlignment="1">
      <alignment horizontal="center"/>
    </xf>
    <xf fontId="9" fillId="0" borderId="0" numFmtId="4" xfId="1" applyNumberFormat="1" applyFont="1" applyAlignment="1">
      <alignment horizontal="center" wrapText="1"/>
    </xf>
    <xf fontId="36" fillId="0" borderId="0" numFmtId="2" xfId="1" applyNumberFormat="1" applyFont="1" applyAlignment="1">
      <alignment horizontal="center" vertical="center"/>
    </xf>
    <xf fontId="36" fillId="0" borderId="0" numFmtId="164" xfId="5" applyNumberFormat="1" applyFont="1" applyAlignment="1">
      <alignment horizontal="center" vertical="center"/>
    </xf>
    <xf fontId="36" fillId="0" borderId="0" numFmtId="0" xfId="1" applyFont="1" applyAlignment="1">
      <alignment horizontal="center" vertical="center" wrapText="1"/>
    </xf>
    <xf fontId="36" fillId="0" borderId="0" numFmtId="0" xfId="1" applyFont="1" applyAlignment="1">
      <alignment horizontal="center" vertical="center"/>
    </xf>
    <xf fontId="51" fillId="0" borderId="0" numFmtId="1" xfId="1" applyNumberFormat="1" applyFont="1" applyAlignment="1">
      <alignment horizontal="center"/>
    </xf>
    <xf fontId="51" fillId="0" borderId="0" numFmtId="1" xfId="1" applyNumberFormat="1" applyFont="1" applyAlignment="1">
      <alignment horizontal="center" wrapText="1"/>
    </xf>
    <xf fontId="9" fillId="0" borderId="0" numFmtId="0" xfId="1" applyFont="1" applyAlignment="1">
      <alignment wrapText="1"/>
    </xf>
    <xf fontId="51" fillId="0" borderId="0" numFmtId="0" xfId="1" applyFont="1" applyAlignment="1">
      <alignment horizontal="center" vertical="center"/>
    </xf>
    <xf fontId="51" fillId="0" borderId="0" numFmtId="164" xfId="5" applyNumberFormat="1" applyFont="1" applyAlignment="1">
      <alignment horizontal="center" vertical="center"/>
    </xf>
    <xf fontId="51" fillId="0" borderId="0" numFmtId="0" xfId="1" applyFont="1" applyAlignment="1">
      <alignment horizontal="center" vertical="center" wrapText="1"/>
    </xf>
    <xf fontId="7" fillId="8" borderId="42" numFmtId="0" xfId="1" applyFont="1" applyFill="1" applyBorder="1" applyAlignment="1">
      <alignment horizontal="center" vertical="center" wrapText="1"/>
    </xf>
    <xf fontId="51" fillId="0" borderId="42" numFmtId="0" xfId="1" applyFont="1" applyBorder="1" applyAlignment="1">
      <alignment vertical="top" wrapText="1"/>
    </xf>
    <xf fontId="56" fillId="0" borderId="42" numFmtId="0" xfId="1" applyFont="1" applyBorder="1" applyAlignment="1">
      <alignment vertical="top" wrapText="1"/>
    </xf>
    <xf fontId="1" fillId="0" borderId="42" numFmtId="0" xfId="1" applyFont="1" applyBorder="1" applyAlignment="1">
      <alignment vertical="top" wrapText="1"/>
    </xf>
    <xf fontId="7" fillId="8" borderId="19" numFmtId="0" xfId="1" applyFont="1" applyFill="1" applyBorder="1" applyAlignment="1">
      <alignment horizontal="center" vertical="center" wrapText="1"/>
    </xf>
    <xf fontId="9" fillId="0" borderId="4" numFmtId="0" xfId="1" applyFont="1" applyBorder="1" applyAlignment="1">
      <alignment horizontal="centerContinuous"/>
    </xf>
    <xf fontId="9" fillId="0" borderId="6" numFmtId="0" xfId="1" applyFont="1" applyBorder="1" applyAlignment="1">
      <alignment horizontal="centerContinuous"/>
    </xf>
    <xf fontId="9" fillId="0" borderId="4" numFmtId="0" xfId="1" applyFont="1" applyBorder="1" applyAlignment="1">
      <alignment horizontal="centerContinuous" wrapText="1"/>
    </xf>
    <xf fontId="9" fillId="0" borderId="5" numFmtId="0" xfId="1" applyFont="1" applyBorder="1" applyAlignment="1">
      <alignment horizontal="centerContinuous"/>
    </xf>
    <xf fontId="51" fillId="0" borderId="5" numFmtId="0" xfId="1" applyFont="1" applyBorder="1" applyAlignment="1">
      <alignment horizontal="centerContinuous"/>
    </xf>
    <xf fontId="51" fillId="0" borderId="6" numFmtId="0" xfId="1" applyFont="1" applyBorder="1" applyAlignment="1">
      <alignment horizontal="centerContinuous"/>
    </xf>
    <xf fontId="51" fillId="0" borderId="5" numFmtId="164" xfId="5" applyNumberFormat="1" applyFont="1" applyBorder="1" applyAlignment="1">
      <alignment horizontal="centerContinuous"/>
    </xf>
    <xf fontId="1" fillId="0" borderId="13" numFmtId="0" xfId="0" applyFont="1" applyBorder="1" applyAlignment="1">
      <alignment horizontal="center" vertical="center"/>
    </xf>
    <xf fontId="1" fillId="0" borderId="75" numFmtId="0" xfId="0" applyFont="1" applyBorder="1" applyAlignment="1">
      <alignment horizontal="center" vertical="center"/>
    </xf>
    <xf fontId="86" fillId="0" borderId="45" numFmtId="0" xfId="0" applyFont="1" applyBorder="1" applyAlignment="1">
      <alignment horizontal="center"/>
    </xf>
    <xf fontId="86" fillId="0" borderId="46" numFmtId="0" xfId="0" applyFont="1" applyBorder="1" applyAlignment="1">
      <alignment horizontal="center"/>
    </xf>
    <xf fontId="36" fillId="0" borderId="62" numFmtId="0" xfId="1" applyFont="1" applyBorder="1" applyAlignment="1">
      <alignment horizontal="center" vertical="center"/>
    </xf>
    <xf fontId="9" fillId="0" borderId="70" numFmtId="0" xfId="1" applyFont="1" applyBorder="1" applyAlignment="1">
      <alignment horizontal="center" vertical="center"/>
    </xf>
    <xf fontId="9" fillId="0" borderId="71" numFmtId="0" xfId="1" applyFont="1" applyBorder="1" applyAlignment="1">
      <alignment horizontal="center" vertical="center"/>
    </xf>
    <xf fontId="51" fillId="0" borderId="76" numFmtId="0" xfId="1" applyFont="1" applyBorder="1" applyAlignment="1">
      <alignment horizontal="center" vertical="center"/>
    </xf>
    <xf fontId="51" fillId="0" borderId="67" numFmtId="0" xfId="1" applyFont="1" applyBorder="1" applyAlignment="1">
      <alignment horizontal="center" vertical="center"/>
    </xf>
    <xf fontId="51" fillId="0" borderId="67" numFmtId="164" xfId="5" applyNumberFormat="1" applyFont="1" applyBorder="1" applyAlignment="1">
      <alignment horizontal="center" vertical="center"/>
    </xf>
    <xf fontId="87" fillId="0" borderId="76" numFmtId="0" xfId="0" applyFont="1" applyBorder="1" applyAlignment="1">
      <alignment horizontal="center"/>
    </xf>
    <xf fontId="87" fillId="0" borderId="64" numFmtId="0" xfId="0" applyFont="1" applyBorder="1" applyAlignment="1">
      <alignment horizontal="center"/>
    </xf>
    <xf fontId="87" fillId="0" borderId="70" numFmtId="0" xfId="0" applyFont="1" applyBorder="1" applyAlignment="1">
      <alignment horizontal="center"/>
    </xf>
    <xf fontId="9" fillId="0" borderId="42" numFmtId="4" xfId="0" applyNumberFormat="1" applyFont="1" applyBorder="1" applyAlignment="1">
      <alignment horizontal="center" vertical="center" wrapText="1"/>
    </xf>
    <xf fontId="9" fillId="0" borderId="31" numFmtId="0" xfId="1" applyFont="1" applyBorder="1"/>
    <xf fontId="9" fillId="0" borderId="33" numFmtId="0" xfId="1" applyFont="1" applyBorder="1" applyAlignment="1">
      <alignment horizontal="center" vertical="center" wrapText="1"/>
    </xf>
    <xf fontId="9" fillId="0" borderId="35" numFmtId="2" xfId="1" applyNumberFormat="1" applyFont="1" applyBorder="1" applyAlignment="1">
      <alignment horizontal="center" vertical="center"/>
    </xf>
    <xf fontId="9" fillId="0" borderId="27" numFmtId="0" xfId="1" applyFont="1" applyBorder="1" applyAlignment="1">
      <alignment horizontal="center" vertical="center"/>
    </xf>
    <xf fontId="9" fillId="0" borderId="26" numFmtId="2" xfId="7" applyNumberFormat="1" applyFont="1" applyBorder="1" applyAlignment="1">
      <alignment horizontal="center" vertical="center"/>
    </xf>
    <xf fontId="0" fillId="0" borderId="21" numFmtId="1" xfId="0" applyNumberFormat="1" applyBorder="1" applyAlignment="1">
      <alignment horizontal="center"/>
    </xf>
    <xf fontId="0" fillId="0" borderId="41" numFmtId="1" xfId="0" applyNumberFormat="1" applyBorder="1"/>
    <xf fontId="0" fillId="0" borderId="21" numFmtId="3" xfId="0" applyNumberFormat="1" applyBorder="1"/>
    <xf fontId="0" fillId="0" borderId="19" numFmtId="164" xfId="5" applyNumberFormat="1" applyBorder="1"/>
    <xf fontId="9" fillId="0" borderId="27" numFmtId="166" xfId="5" applyNumberFormat="1" applyFont="1" applyBorder="1" applyAlignment="1">
      <alignment horizontal="center" vertical="center"/>
    </xf>
    <xf fontId="9" fillId="0" borderId="26" numFmtId="164" xfId="5" applyNumberFormat="1" applyFont="1" applyBorder="1" applyAlignment="1">
      <alignment horizontal="center" vertical="center"/>
    </xf>
    <xf fontId="0" fillId="0" borderId="41" numFmtId="1" xfId="0" applyNumberFormat="1" applyBorder="1" applyAlignment="1">
      <alignment horizontal="right"/>
    </xf>
    <xf fontId="0" fillId="0" borderId="21" numFmtId="1" xfId="0" applyNumberFormat="1" applyBorder="1" applyAlignment="1">
      <alignment horizontal="right"/>
    </xf>
    <xf fontId="9" fillId="0" borderId="0" numFmtId="164" xfId="5" applyNumberFormat="1" applyFont="1"/>
    <xf fontId="9" fillId="0" borderId="53" numFmtId="0" xfId="0" applyFont="1" applyBorder="1" applyAlignment="1">
      <alignment vertical="center" wrapText="1"/>
    </xf>
    <xf fontId="3" fillId="0" borderId="41" numFmtId="0" xfId="0" applyFont="1" applyBorder="1" applyAlignment="1">
      <alignment horizontal="center" vertical="center"/>
    </xf>
    <xf fontId="9" fillId="0" borderId="21" numFmtId="0" xfId="1" applyFont="1" applyBorder="1" applyAlignment="1">
      <alignment horizontal="center" vertical="center"/>
    </xf>
    <xf fontId="9" fillId="0" borderId="19" numFmtId="2" xfId="7" applyNumberFormat="1" applyFont="1" applyBorder="1" applyAlignment="1">
      <alignment horizontal="center" vertical="center"/>
    </xf>
    <xf fontId="0" fillId="0" borderId="27" numFmtId="1" xfId="0" applyNumberFormat="1" applyBorder="1" applyAlignment="1">
      <alignment horizontal="center"/>
    </xf>
    <xf fontId="0" fillId="0" borderId="26" numFmtId="4" xfId="0" applyNumberFormat="1" applyBorder="1" applyAlignment="1">
      <alignment horizontal="right"/>
    </xf>
    <xf fontId="0" fillId="0" borderId="33" numFmtId="1" xfId="0" applyNumberFormat="1" applyBorder="1" applyAlignment="1">
      <alignment horizontal="right"/>
    </xf>
    <xf fontId="0" fillId="0" borderId="35" numFmtId="4" xfId="0" applyNumberFormat="1" applyBorder="1"/>
    <xf fontId="0" fillId="0" borderId="27" numFmtId="3" xfId="0" applyNumberFormat="1" applyBorder="1" applyAlignment="1">
      <alignment horizontal="right"/>
    </xf>
    <xf fontId="0" fillId="0" borderId="26" numFmtId="164" xfId="5" applyNumberFormat="1" applyBorder="1" applyAlignment="1">
      <alignment horizontal="right"/>
    </xf>
    <xf fontId="9" fillId="0" borderId="21" numFmtId="166" xfId="5" applyNumberFormat="1" applyFont="1" applyBorder="1" applyAlignment="1">
      <alignment horizontal="center" vertical="center"/>
    </xf>
    <xf fontId="9" fillId="0" borderId="19" numFmtId="164" xfId="5" applyNumberFormat="1" applyFont="1" applyBorder="1" applyAlignment="1">
      <alignment horizontal="center" vertical="center"/>
    </xf>
    <xf fontId="0" fillId="0" borderId="33" numFmtId="1" xfId="0" applyNumberFormat="1" applyBorder="1" applyAlignment="1">
      <alignment horizontal="right" vertical="center" wrapText="1"/>
    </xf>
    <xf fontId="0" fillId="0" borderId="35" numFmtId="4" xfId="0" applyNumberFormat="1" applyBorder="1" applyAlignment="1">
      <alignment horizontal="right" vertical="center" wrapText="1"/>
    </xf>
    <xf fontId="0" fillId="0" borderId="27" numFmtId="1" xfId="0" applyNumberFormat="1" applyBorder="1" applyAlignment="1">
      <alignment horizontal="right" vertical="center" wrapText="1"/>
    </xf>
    <xf fontId="9" fillId="0" borderId="41" numFmtId="0" xfId="0" applyFont="1" applyBorder="1" applyAlignment="1">
      <alignment horizontal="center" vertical="center"/>
    </xf>
    <xf fontId="9" fillId="0" borderId="53" numFmtId="0" xfId="0" applyFont="1" applyBorder="1" applyAlignment="1">
      <alignment horizontal="left" vertical="center" wrapText="1"/>
    </xf>
    <xf fontId="9" fillId="0" borderId="53" numFmtId="0" xfId="0" applyFont="1" applyBorder="1" applyAlignment="1">
      <alignment vertical="center"/>
    </xf>
    <xf fontId="9" fillId="8" borderId="42" numFmtId="0" xfId="1" applyFont="1" applyFill="1" applyBorder="1"/>
    <xf fontId="9" fillId="8" borderId="19" numFmtId="0" xfId="1" applyFont="1" applyFill="1" applyBorder="1"/>
    <xf fontId="9" fillId="0" borderId="22" numFmtId="2" xfId="1" applyNumberFormat="1" applyFont="1" applyBorder="1" applyAlignment="1">
      <alignment horizontal="center" vertical="center"/>
    </xf>
    <xf fontId="9" fillId="0" borderId="72" numFmtId="0" xfId="1" applyFont="1" applyBorder="1" applyAlignment="1">
      <alignment horizontal="center" vertical="center" wrapText="1"/>
    </xf>
    <xf fontId="9" fillId="0" borderId="3" numFmtId="0" xfId="1" applyFont="1" applyBorder="1" applyAlignment="1">
      <alignment horizontal="center" vertical="center"/>
    </xf>
    <xf fontId="9" fillId="0" borderId="1" numFmtId="2" xfId="7" applyNumberFormat="1" applyFont="1" applyBorder="1" applyAlignment="1">
      <alignment horizontal="center" vertical="center"/>
    </xf>
    <xf fontId="0" fillId="0" borderId="72" numFmtId="1" xfId="0" applyNumberFormat="1" applyBorder="1"/>
    <xf fontId="0" fillId="0" borderId="22" numFmtId="4" xfId="0" applyNumberFormat="1" applyBorder="1"/>
    <xf fontId="0" fillId="0" borderId="3" numFmtId="3" xfId="0" applyNumberFormat="1" applyBorder="1"/>
    <xf fontId="0" fillId="0" borderId="1" numFmtId="164" xfId="5" applyNumberFormat="1" applyBorder="1"/>
    <xf fontId="9" fillId="0" borderId="3" numFmtId="166" xfId="5" applyNumberFormat="1" applyFont="1" applyBorder="1" applyAlignment="1">
      <alignment horizontal="center" vertical="center"/>
    </xf>
    <xf fontId="9" fillId="0" borderId="1" numFmtId="164" xfId="5" applyNumberFormat="1" applyFont="1" applyBorder="1" applyAlignment="1">
      <alignment horizontal="center" vertical="center"/>
    </xf>
    <xf fontId="0" fillId="0" borderId="3" numFmtId="1" xfId="0" applyNumberFormat="1" applyBorder="1" applyAlignment="1">
      <alignment horizontal="right"/>
    </xf>
    <xf fontId="9" fillId="0" borderId="48" numFmtId="0" xfId="0" applyFont="1" applyBorder="1" applyAlignment="1">
      <alignment vertical="center"/>
    </xf>
    <xf fontId="0" fillId="0" borderId="3" numFmtId="1" xfId="0" applyNumberFormat="1" applyBorder="1" applyAlignment="1">
      <alignment horizontal="center"/>
    </xf>
    <xf fontId="0" fillId="0" borderId="1" numFmtId="4" xfId="0" applyNumberFormat="1" applyBorder="1" applyAlignment="1">
      <alignment horizontal="right"/>
    </xf>
    <xf fontId="0" fillId="0" borderId="22" numFmtId="2" xfId="0" applyNumberFormat="1" applyBorder="1"/>
    <xf fontId="0" fillId="0" borderId="72" numFmtId="1" xfId="0" applyNumberFormat="1" applyBorder="1" applyAlignment="1">
      <alignment horizontal="right"/>
    </xf>
    <xf fontId="36" fillId="0" borderId="42" numFmtId="4" xfId="0" applyNumberFormat="1" applyFont="1" applyBorder="1" applyAlignment="1">
      <alignment horizontal="center" vertical="center" wrapText="1"/>
    </xf>
    <xf fontId="36" fillId="0" borderId="56" numFmtId="0" xfId="0" applyFont="1" applyBorder="1" applyAlignment="1">
      <alignment vertical="center"/>
    </xf>
    <xf fontId="36" fillId="0" borderId="74" numFmtId="164" xfId="5" applyNumberFormat="1" applyFont="1" applyBorder="1" applyAlignment="1">
      <alignment horizontal="center" vertical="center"/>
    </xf>
    <xf fontId="58" fillId="0" borderId="74" numFmtId="164" xfId="5" applyNumberFormat="1" applyFont="1" applyBorder="1" applyAlignment="1">
      <alignment horizontal="center" vertical="center"/>
    </xf>
    <xf fontId="36" fillId="0" borderId="61" numFmtId="0" xfId="0" applyFont="1" applyBorder="1" applyAlignment="1">
      <alignment horizontal="center" vertical="center"/>
    </xf>
    <xf fontId="36" fillId="0" borderId="60" numFmtId="164" xfId="7" applyNumberFormat="1" applyFont="1" applyBorder="1" applyAlignment="1">
      <alignment horizontal="center" vertical="center"/>
    </xf>
    <xf fontId="36" fillId="0" borderId="74" numFmtId="168" xfId="5" applyNumberFormat="1" applyFont="1" applyBorder="1" applyAlignment="1">
      <alignment horizontal="center" vertical="center"/>
    </xf>
    <xf fontId="36" fillId="0" borderId="74" numFmtId="2" xfId="1" applyNumberFormat="1" applyFont="1" applyBorder="1" applyAlignment="1">
      <alignment horizontal="center" vertical="center"/>
    </xf>
    <xf fontId="36" fillId="0" borderId="60" numFmtId="2" xfId="1" applyNumberFormat="1" applyFont="1" applyBorder="1" applyAlignment="1">
      <alignment horizontal="center" vertical="center"/>
    </xf>
    <xf fontId="36" fillId="0" borderId="60" numFmtId="164" xfId="5" applyNumberFormat="1" applyFont="1" applyBorder="1" applyAlignment="1">
      <alignment horizontal="center" vertical="center"/>
    </xf>
    <xf fontId="36" fillId="0" borderId="59" numFmtId="2" xfId="1" applyNumberFormat="1" applyFont="1" applyBorder="1" applyAlignment="1">
      <alignment horizontal="center" vertical="center"/>
    </xf>
    <xf fontId="36" fillId="0" borderId="0" numFmtId="164" xfId="5" applyNumberFormat="1" applyFont="1"/>
    <xf fontId="9" fillId="0" borderId="31" numFmtId="0" xfId="0" applyFont="1" applyBorder="1" applyAlignment="1">
      <alignment horizontal="left" vertical="center"/>
    </xf>
    <xf fontId="9" fillId="0" borderId="26" numFmtId="2" xfId="1" applyNumberFormat="1" applyFont="1" applyBorder="1" applyAlignment="1">
      <alignment horizontal="center" vertical="center"/>
    </xf>
    <xf fontId="9" fillId="0" borderId="45" numFmtId="0" xfId="1" applyFont="1" applyBorder="1" applyAlignment="1">
      <alignment horizontal="center" vertical="center" wrapText="1"/>
    </xf>
    <xf fontId="9" fillId="0" borderId="46" numFmtId="2" xfId="1" applyNumberFormat="1" applyFont="1" applyBorder="1" applyAlignment="1">
      <alignment horizontal="center" vertical="center" wrapText="1"/>
    </xf>
    <xf fontId="9" fillId="0" borderId="26" numFmtId="2" xfId="1" applyNumberFormat="1" applyFont="1" applyBorder="1" applyAlignment="1">
      <alignment horizontal="center" vertical="center" wrapText="1"/>
    </xf>
    <xf fontId="9" fillId="0" borderId="26" numFmtId="164" xfId="5" applyNumberFormat="1" applyFont="1" applyBorder="1" applyAlignment="1">
      <alignment horizontal="center" vertical="center" wrapText="1"/>
    </xf>
    <xf fontId="0" fillId="0" borderId="0" numFmtId="1" xfId="0" applyNumberFormat="1" applyAlignment="1">
      <alignment horizontal="right"/>
    </xf>
    <xf fontId="0" fillId="0" borderId="10" numFmtId="0" xfId="0" applyBorder="1"/>
    <xf fontId="86" fillId="0" borderId="9" numFmtId="0" xfId="0" applyFont="1" applyBorder="1"/>
    <xf fontId="86" fillId="0" borderId="10" numFmtId="0" xfId="0" applyFont="1" applyBorder="1"/>
    <xf fontId="9" fillId="0" borderId="53" numFmtId="0" xfId="0" applyFont="1" applyBorder="1" applyAlignment="1">
      <alignment horizontal="left" vertical="center"/>
    </xf>
    <xf fontId="0" fillId="0" borderId="41" numFmtId="1" xfId="0" applyNumberFormat="1" applyBorder="1" applyAlignment="1">
      <alignment horizontal="center"/>
    </xf>
    <xf fontId="9" fillId="0" borderId="19" numFmtId="2" xfId="1" applyNumberFormat="1" applyFont="1" applyBorder="1" applyAlignment="1">
      <alignment horizontal="center" vertical="center" wrapText="1"/>
    </xf>
    <xf fontId="9" fillId="0" borderId="19" numFmtId="164" xfId="5" applyNumberFormat="1" applyFont="1" applyBorder="1" applyAlignment="1">
      <alignment horizontal="center" vertical="center" wrapText="1"/>
    </xf>
    <xf fontId="36" fillId="0" borderId="47" numFmtId="2" xfId="1" applyNumberFormat="1" applyFont="1" applyBorder="1" applyAlignment="1">
      <alignment horizontal="center" vertical="center"/>
    </xf>
    <xf fontId="36" fillId="0" borderId="21" numFmtId="0" xfId="1" applyFont="1" applyBorder="1" applyAlignment="1">
      <alignment horizontal="center" vertical="center"/>
    </xf>
    <xf fontId="36" fillId="0" borderId="19" numFmtId="2" xfId="7" applyNumberFormat="1" applyFont="1" applyBorder="1" applyAlignment="1">
      <alignment horizontal="center" vertical="center"/>
    </xf>
    <xf fontId="0" fillId="0" borderId="70" numFmtId="1" xfId="0" applyNumberFormat="1" applyBorder="1" applyAlignment="1">
      <alignment horizontal="center"/>
    </xf>
    <xf fontId="0" fillId="0" borderId="71" numFmtId="4" xfId="0" applyNumberFormat="1" applyBorder="1"/>
    <xf fontId="9" fillId="0" borderId="1" numFmtId="2" xfId="1" applyNumberFormat="1" applyFont="1" applyBorder="1" applyAlignment="1">
      <alignment horizontal="center" vertical="center" wrapText="1"/>
    </xf>
    <xf fontId="9" fillId="0" borderId="1" numFmtId="164" xfId="5" applyNumberFormat="1" applyFont="1" applyBorder="1" applyAlignment="1">
      <alignment horizontal="center" vertical="center" wrapText="1"/>
    </xf>
    <xf fontId="36" fillId="0" borderId="0" numFmtId="164" xfId="1" applyNumberFormat="1" applyFont="1"/>
    <xf fontId="9" fillId="0" borderId="31" numFmtId="0" xfId="0" applyFont="1" applyBorder="1" applyAlignment="1">
      <alignment vertical="center"/>
    </xf>
    <xf fontId="86" fillId="0" borderId="33" numFmtId="4" xfId="0" applyNumberFormat="1" applyFont="1" applyBorder="1" applyAlignment="1">
      <alignment horizontal="center" vertical="center" wrapText="1"/>
    </xf>
    <xf fontId="9" fillId="0" borderId="19" numFmtId="2" xfId="1" applyNumberFormat="1" applyFont="1" applyBorder="1" applyAlignment="1">
      <alignment horizontal="center" vertical="center"/>
    </xf>
    <xf fontId="9" fillId="0" borderId="1" numFmtId="2" xfId="1" applyNumberFormat="1" applyFont="1" applyBorder="1" applyAlignment="1">
      <alignment horizontal="center" vertical="center"/>
    </xf>
    <xf fontId="86" fillId="0" borderId="72" numFmtId="3" xfId="0" applyNumberFormat="1" applyFont="1" applyBorder="1" applyAlignment="1">
      <alignment horizontal="center" vertical="center" wrapText="1"/>
    </xf>
    <xf fontId="86" fillId="0" borderId="22" numFmtId="4" xfId="0" applyNumberFormat="1" applyFont="1" applyBorder="1" applyAlignment="1">
      <alignment horizontal="right" vertical="center" wrapText="1"/>
    </xf>
    <xf fontId="9" fillId="0" borderId="56" numFmtId="0" xfId="0" applyFont="1" applyBorder="1" applyAlignment="1">
      <alignment vertical="center"/>
    </xf>
    <xf fontId="36" fillId="0" borderId="61" numFmtId="3" xfId="0" applyNumberFormat="1" applyFont="1" applyBorder="1" applyAlignment="1">
      <alignment horizontal="center" vertical="center"/>
    </xf>
    <xf fontId="86" fillId="0" borderId="77" numFmtId="0" xfId="0" applyFont="1" applyBorder="1" applyAlignment="1">
      <alignment horizontal="center" vertical="center"/>
    </xf>
    <xf fontId="86" fillId="0" borderId="56" numFmtId="0" xfId="0" applyFont="1" applyBorder="1" applyAlignment="1">
      <alignment horizontal="center" vertical="center"/>
    </xf>
    <xf fontId="36" fillId="0" borderId="18" numFmtId="4" xfId="0" applyNumberFormat="1" applyFont="1" applyBorder="1" applyAlignment="1">
      <alignment horizontal="center" vertical="center" wrapText="1"/>
    </xf>
    <xf fontId="36" fillId="0" borderId="18" numFmtId="4" xfId="1" applyNumberFormat="1" applyFont="1" applyBorder="1" applyAlignment="1">
      <alignment horizontal="center"/>
    </xf>
    <xf fontId="36" fillId="11" borderId="18" numFmtId="4" xfId="1" applyNumberFormat="1" applyFont="1" applyFill="1" applyBorder="1" applyAlignment="1">
      <alignment horizontal="center" wrapText="1"/>
    </xf>
    <xf fontId="36" fillId="5" borderId="18" numFmtId="4" xfId="1" applyNumberFormat="1" applyFont="1" applyFill="1" applyBorder="1" applyAlignment="1">
      <alignment horizontal="center" wrapText="1"/>
    </xf>
    <xf fontId="58" fillId="0" borderId="18" numFmtId="4" xfId="1" applyNumberFormat="1" applyFont="1" applyBorder="1" applyAlignment="1">
      <alignment horizontal="center"/>
    </xf>
    <xf fontId="36" fillId="0" borderId="18" numFmtId="4" xfId="1" applyNumberFormat="1" applyFont="1" applyBorder="1" applyAlignment="1">
      <alignment horizontal="center" wrapText="1"/>
    </xf>
    <xf fontId="9" fillId="0" borderId="69" numFmtId="0" xfId="0" applyFont="1" applyBorder="1" applyAlignment="1">
      <alignment vertical="center"/>
    </xf>
    <xf fontId="36" fillId="0" borderId="45" numFmtId="0" xfId="0" applyFont="1" applyBorder="1" applyAlignment="1">
      <alignment horizontal="center" vertical="center"/>
    </xf>
    <xf fontId="36" fillId="0" borderId="46" numFmtId="164" xfId="5" applyNumberFormat="1" applyFont="1" applyBorder="1"/>
    <xf fontId="36" fillId="0" borderId="46" numFmtId="2" xfId="1" applyNumberFormat="1" applyFont="1" applyBorder="1" applyAlignment="1">
      <alignment horizontal="center" vertical="center"/>
    </xf>
    <xf fontId="36" fillId="0" borderId="14" numFmtId="0" xfId="0" applyFont="1" applyBorder="1" applyAlignment="1">
      <alignment horizontal="center" vertical="center"/>
    </xf>
    <xf fontId="36" fillId="0" borderId="12" numFmtId="2" xfId="1" applyNumberFormat="1" applyFont="1" applyBorder="1" applyAlignment="1">
      <alignment horizontal="center" vertical="center"/>
    </xf>
    <xf fontId="36" fillId="0" borderId="12" numFmtId="164" xfId="5" applyNumberFormat="1" applyFont="1" applyBorder="1" applyAlignment="1">
      <alignment horizontal="center" vertical="center"/>
    </xf>
    <xf fontId="36" fillId="0" borderId="50" numFmtId="2" xfId="1" applyNumberFormat="1" applyFont="1" applyBorder="1" applyAlignment="1">
      <alignment horizontal="center" vertical="center"/>
    </xf>
    <xf fontId="36" fillId="0" borderId="50" numFmtId="3" xfId="0" applyNumberFormat="1" applyFont="1" applyBorder="1" applyAlignment="1">
      <alignment horizontal="center" vertical="center"/>
    </xf>
    <xf fontId="36" fillId="0" borderId="50" numFmtId="164" xfId="5" applyNumberFormat="1" applyFont="1" applyBorder="1" applyAlignment="1">
      <alignment horizontal="center" vertical="center"/>
    </xf>
    <xf fontId="36" fillId="0" borderId="59" numFmtId="4" xfId="0" applyNumberFormat="1" applyFont="1" applyBorder="1" applyAlignment="1">
      <alignment horizontal="center" vertical="center" wrapText="1"/>
    </xf>
    <xf fontId="36" fillId="0" borderId="59" numFmtId="4" xfId="1" applyNumberFormat="1" applyFont="1" applyBorder="1" applyAlignment="1">
      <alignment horizontal="center"/>
    </xf>
    <xf fontId="36" fillId="11" borderId="59" numFmtId="4" xfId="1" applyNumberFormat="1" applyFont="1" applyFill="1" applyBorder="1" applyAlignment="1">
      <alignment horizontal="center" wrapText="1"/>
    </xf>
    <xf fontId="36" fillId="5" borderId="59" numFmtId="4" xfId="1" applyNumberFormat="1" applyFont="1" applyFill="1" applyBorder="1" applyAlignment="1">
      <alignment horizontal="center" wrapText="1"/>
    </xf>
    <xf fontId="58" fillId="0" borderId="59" numFmtId="4" xfId="1" applyNumberFormat="1" applyFont="1" applyBorder="1" applyAlignment="1">
      <alignment horizontal="center"/>
    </xf>
    <xf fontId="36" fillId="0" borderId="74" numFmtId="4" xfId="1" applyNumberFormat="1" applyFont="1" applyBorder="1" applyAlignment="1">
      <alignment horizontal="center" wrapText="1"/>
    </xf>
    <xf fontId="36" fillId="0" borderId="62" numFmtId="0" xfId="0" applyFont="1" applyBorder="1" applyAlignment="1">
      <alignment vertical="center"/>
    </xf>
    <xf fontId="88" fillId="0" borderId="70" numFmtId="3" xfId="0" applyNumberFormat="1" applyFont="1" applyBorder="1" applyAlignment="1">
      <alignment horizontal="center" vertical="center"/>
    </xf>
    <xf fontId="36" fillId="0" borderId="71" numFmtId="164" xfId="5" applyNumberFormat="1" applyFont="1" applyBorder="1"/>
    <xf fontId="36" fillId="0" borderId="71" numFmtId="2" xfId="1" applyNumberFormat="1" applyFont="1" applyBorder="1" applyAlignment="1">
      <alignment horizontal="center" vertical="center"/>
    </xf>
    <xf fontId="88" fillId="0" borderId="76" numFmtId="3" xfId="0" applyNumberFormat="1" applyFont="1" applyBorder="1" applyAlignment="1">
      <alignment horizontal="center" vertical="center"/>
    </xf>
    <xf fontId="36" fillId="0" borderId="67" numFmtId="2" xfId="1" applyNumberFormat="1" applyFont="1" applyBorder="1" applyAlignment="1">
      <alignment horizontal="center" vertical="center"/>
    </xf>
    <xf fontId="36" fillId="0" borderId="67" numFmtId="164" xfId="5" applyNumberFormat="1" applyFont="1" applyBorder="1" applyAlignment="1">
      <alignment horizontal="center" vertical="center"/>
    </xf>
    <xf fontId="36" fillId="0" borderId="52" numFmtId="2" xfId="1" applyNumberFormat="1" applyFont="1" applyBorder="1" applyAlignment="1">
      <alignment horizontal="center" vertical="center"/>
    </xf>
    <xf fontId="88" fillId="0" borderId="52" numFmtId="3" xfId="0" applyNumberFormat="1" applyFont="1" applyBorder="1" applyAlignment="1">
      <alignment horizontal="center" vertical="center"/>
    </xf>
    <xf fontId="36" fillId="0" borderId="52" numFmtId="164" xfId="5" applyNumberFormat="1" applyFont="1" applyBorder="1" applyAlignment="1">
      <alignment horizontal="center" vertical="center"/>
    </xf>
    <xf fontId="9" fillId="0" borderId="34" numFmtId="4" xfId="0" applyNumberFormat="1" applyFont="1" applyBorder="1" applyAlignment="1">
      <alignment horizontal="center" vertical="center" wrapText="1"/>
    </xf>
    <xf fontId="9" fillId="0" borderId="34" numFmtId="4" xfId="1" applyNumberFormat="1" applyFont="1" applyBorder="1" applyAlignment="1">
      <alignment horizontal="center"/>
    </xf>
    <xf fontId="36" fillId="11" borderId="34" numFmtId="4" xfId="1" applyNumberFormat="1" applyFont="1" applyFill="1" applyBorder="1" applyAlignment="1">
      <alignment horizontal="center" wrapText="1"/>
    </xf>
    <xf fontId="9" fillId="11" borderId="34" numFmtId="4" xfId="1" applyNumberFormat="1" applyFont="1" applyFill="1" applyBorder="1" applyAlignment="1">
      <alignment horizontal="center" wrapText="1"/>
    </xf>
    <xf fontId="9" fillId="5" borderId="34" numFmtId="4" xfId="1" applyNumberFormat="1" applyFont="1" applyFill="1" applyBorder="1" applyAlignment="1">
      <alignment horizontal="center" wrapText="1"/>
    </xf>
    <xf fontId="9" fillId="0" borderId="34" numFmtId="4" xfId="1" applyNumberFormat="1" applyFont="1" applyBorder="1" applyAlignment="1">
      <alignment horizontal="center" wrapText="1"/>
    </xf>
    <xf fontId="0" fillId="0" borderId="27" numFmtId="1" xfId="0" applyNumberFormat="1" applyBorder="1" applyAlignment="1">
      <alignment horizontal="right"/>
    </xf>
    <xf fontId="0" fillId="0" borderId="26" numFmtId="4" xfId="0" applyNumberFormat="1" applyBorder="1"/>
    <xf fontId="9" fillId="0" borderId="53" numFmtId="0" xfId="1" applyFont="1" applyBorder="1"/>
    <xf fontId="9" fillId="19" borderId="19" numFmtId="0" xfId="1" applyFont="1" applyFill="1" applyBorder="1"/>
    <xf fontId="9" fillId="0" borderId="21" numFmtId="2" xfId="1" applyNumberFormat="1" applyFont="1" applyBorder="1" applyAlignment="1">
      <alignment horizontal="center" vertical="center"/>
    </xf>
    <xf fontId="9" fillId="0" borderId="48" numFmtId="0" xfId="1" applyFont="1" applyBorder="1"/>
    <xf fontId="58" fillId="0" borderId="42" numFmtId="4" xfId="1" applyNumberFormat="1" applyFont="1" applyBorder="1" applyAlignment="1">
      <alignment horizontal="center"/>
    </xf>
    <xf fontId="36" fillId="0" borderId="56" numFmtId="0" xfId="1" applyFont="1" applyBorder="1"/>
    <xf fontId="36" fillId="0" borderId="61" numFmtId="3" xfId="1" applyNumberFormat="1" applyFont="1" applyBorder="1" applyAlignment="1">
      <alignment horizontal="center" vertical="center"/>
    </xf>
    <xf fontId="36" fillId="0" borderId="59" numFmtId="3" xfId="1" applyNumberFormat="1" applyFont="1" applyBorder="1" applyAlignment="1">
      <alignment horizontal="center" vertical="center"/>
    </xf>
    <xf fontId="46" fillId="0" borderId="42" numFmtId="4" xfId="1" applyNumberFormat="1" applyFont="1" applyBorder="1" applyAlignment="1">
      <alignment horizontal="center"/>
    </xf>
    <xf fontId="2" fillId="0" borderId="41" numFmtId="1" xfId="0" applyNumberFormat="1" applyFont="1" applyBorder="1" applyAlignment="1">
      <alignment horizontal="center" vertical="center"/>
    </xf>
    <xf fontId="2" fillId="0" borderId="47" numFmtId="4" xfId="0" applyNumberFormat="1" applyFont="1" applyBorder="1" applyAlignment="1">
      <alignment horizontal="right" vertical="center"/>
    </xf>
    <xf fontId="0" fillId="0" borderId="19" numFmtId="4" xfId="0" applyNumberFormat="1" applyBorder="1" applyAlignment="1">
      <alignment horizontal="right" vertical="center"/>
    </xf>
    <xf fontId="9" fillId="0" borderId="18" numFmtId="4" xfId="0" applyNumberFormat="1" applyFont="1" applyBorder="1" applyAlignment="1">
      <alignment horizontal="center" vertical="center" wrapText="1"/>
    </xf>
    <xf fontId="9" fillId="0" borderId="18" numFmtId="4" xfId="1" applyNumberFormat="1" applyFont="1" applyBorder="1" applyAlignment="1">
      <alignment horizontal="center"/>
    </xf>
    <xf fontId="9" fillId="11" borderId="18" numFmtId="4" xfId="1" applyNumberFormat="1" applyFont="1" applyFill="1" applyBorder="1" applyAlignment="1">
      <alignment horizontal="center" wrapText="1"/>
    </xf>
    <xf fontId="9" fillId="5" borderId="18" numFmtId="4" xfId="1" applyNumberFormat="1" applyFont="1" applyFill="1" applyBorder="1" applyAlignment="1">
      <alignment horizontal="center" wrapText="1"/>
    </xf>
    <xf fontId="46" fillId="0" borderId="18" numFmtId="4" xfId="1" applyNumberFormat="1" applyFont="1" applyBorder="1" applyAlignment="1">
      <alignment horizontal="center"/>
    </xf>
    <xf fontId="9" fillId="0" borderId="18" numFmtId="4" xfId="1" applyNumberFormat="1" applyFont="1" applyBorder="1" applyAlignment="1">
      <alignment horizontal="center" wrapText="1"/>
    </xf>
    <xf fontId="2" fillId="0" borderId="72" numFmtId="1" xfId="0" applyNumberFormat="1" applyFont="1" applyBorder="1" applyAlignment="1">
      <alignment horizontal="center" vertical="center"/>
    </xf>
    <xf fontId="2" fillId="0" borderId="22" numFmtId="4" xfId="0" applyNumberFormat="1" applyFont="1" applyBorder="1" applyAlignment="1">
      <alignment horizontal="right" vertical="center"/>
    </xf>
    <xf fontId="2" fillId="0" borderId="22" numFmtId="2" xfId="0" applyNumberFormat="1" applyFont="1" applyBorder="1" applyAlignment="1">
      <alignment horizontal="right" vertical="center"/>
    </xf>
    <xf fontId="0" fillId="0" borderId="3" numFmtId="1" xfId="0" applyNumberFormat="1" applyBorder="1" applyAlignment="1">
      <alignment horizontal="center" vertical="center"/>
    </xf>
    <xf fontId="0" fillId="0" borderId="1" numFmtId="4" xfId="0" applyNumberFormat="1" applyBorder="1" applyAlignment="1">
      <alignment horizontal="right" vertical="center"/>
    </xf>
    <xf fontId="0" fillId="0" borderId="3" numFmtId="3" xfId="0" applyNumberFormat="1" applyBorder="1" applyAlignment="1">
      <alignment horizontal="center" vertical="center"/>
    </xf>
    <xf fontId="0" fillId="0" borderId="1" numFmtId="4" xfId="0" applyNumberFormat="1" applyBorder="1"/>
    <xf fontId="36" fillId="0" borderId="60" numFmtId="4" xfId="1" applyNumberFormat="1" applyFont="1" applyBorder="1" applyAlignment="1">
      <alignment horizontal="center" vertical="center"/>
    </xf>
    <xf fontId="36" fillId="0" borderId="59" numFmtId="4" xfId="1" applyNumberFormat="1" applyFont="1" applyBorder="1" applyAlignment="1">
      <alignment horizontal="center" vertical="center"/>
    </xf>
    <xf fontId="36" fillId="0" borderId="0" numFmtId="1" xfId="1" applyNumberFormat="1" applyFont="1"/>
    <xf fontId="36" fillId="0" borderId="42" numFmtId="0" xfId="1" applyFont="1" applyBorder="1" applyAlignment="1">
      <alignment wrapText="1"/>
    </xf>
    <xf fontId="36" fillId="0" borderId="31" numFmtId="0" xfId="1" applyFont="1" applyBorder="1"/>
    <xf fontId="9" fillId="0" borderId="46" numFmtId="2" xfId="1" applyNumberFormat="1" applyFont="1" applyBorder="1" applyAlignment="1">
      <alignment horizontal="center" vertical="center"/>
    </xf>
    <xf fontId="9" fillId="0" borderId="14" numFmtId="0" xfId="1" applyFont="1" applyBorder="1" applyAlignment="1">
      <alignment horizontal="center" vertical="center"/>
    </xf>
    <xf fontId="9" fillId="0" borderId="12" numFmtId="164" xfId="5" applyNumberFormat="1" applyFont="1" applyBorder="1" applyAlignment="1">
      <alignment horizontal="center" vertical="center" wrapText="1"/>
    </xf>
    <xf fontId="9" fillId="0" borderId="45" numFmtId="0" xfId="1" applyFont="1" applyBorder="1" applyAlignment="1">
      <alignment horizontal="center" vertical="center"/>
    </xf>
    <xf fontId="0" fillId="0" borderId="46" numFmtId="2" xfId="0" applyNumberFormat="1" applyBorder="1"/>
    <xf fontId="36" fillId="0" borderId="53" numFmtId="0" xfId="1" applyFont="1" applyBorder="1"/>
    <xf fontId="0" fillId="0" borderId="47" numFmtId="4" xfId="0" applyNumberFormat="1" applyBorder="1" applyAlignment="1">
      <alignment horizontal="right" vertical="center"/>
    </xf>
    <xf fontId="9" fillId="0" borderId="62" numFmtId="0" xfId="1" applyFont="1" applyBorder="1"/>
    <xf fontId="9" fillId="0" borderId="71" numFmtId="2" xfId="1" applyNumberFormat="1" applyFont="1" applyBorder="1" applyAlignment="1">
      <alignment horizontal="center" vertical="center"/>
    </xf>
    <xf fontId="9" fillId="0" borderId="70" numFmtId="0" xfId="1" applyFont="1" applyBorder="1" applyAlignment="1">
      <alignment horizontal="center" vertical="center" wrapText="1"/>
    </xf>
    <xf fontId="9" fillId="0" borderId="76" numFmtId="0" xfId="1" applyFont="1" applyBorder="1" applyAlignment="1">
      <alignment horizontal="center" vertical="center"/>
    </xf>
    <xf fontId="9" fillId="0" borderId="67" numFmtId="2" xfId="1" applyNumberFormat="1" applyFont="1" applyBorder="1" applyAlignment="1">
      <alignment horizontal="center" vertical="center"/>
    </xf>
    <xf fontId="9" fillId="0" borderId="71" numFmtId="2" xfId="1" applyNumberFormat="1" applyFont="1" applyBorder="1" applyAlignment="1">
      <alignment horizontal="center" vertical="center" wrapText="1"/>
    </xf>
    <xf fontId="9" fillId="0" borderId="67" numFmtId="2" xfId="1" applyNumberFormat="1" applyFont="1" applyBorder="1" applyAlignment="1">
      <alignment horizontal="center" vertical="center" wrapText="1"/>
    </xf>
    <xf fontId="0" fillId="0" borderId="70" numFmtId="1" xfId="0" applyNumberFormat="1" applyBorder="1" applyAlignment="1">
      <alignment horizontal="center" vertical="center"/>
    </xf>
    <xf fontId="0" fillId="0" borderId="71" numFmtId="4" xfId="0" applyNumberFormat="1" applyBorder="1" applyAlignment="1">
      <alignment horizontal="right" vertical="center"/>
    </xf>
    <xf fontId="0" fillId="0" borderId="76" numFmtId="1" xfId="0" applyNumberFormat="1" applyBorder="1" applyAlignment="1">
      <alignment horizontal="center" vertical="center"/>
    </xf>
    <xf fontId="9" fillId="0" borderId="67" numFmtId="164" xfId="5" applyNumberFormat="1" applyFont="1" applyBorder="1" applyAlignment="1">
      <alignment horizontal="center" vertical="center"/>
    </xf>
    <xf fontId="51" fillId="0" borderId="0" numFmtId="3" xfId="1" applyNumberFormat="1" applyFont="1" applyAlignment="1">
      <alignment horizontal="center"/>
    </xf>
    <xf fontId="51" fillId="0" borderId="0" numFmtId="3" xfId="1" applyNumberFormat="1" applyFont="1" applyAlignment="1">
      <alignment horizontal="center" wrapText="1"/>
    </xf>
    <xf fontId="9" fillId="0" borderId="0" numFmtId="3" xfId="1" applyNumberFormat="1" applyFont="1" applyAlignment="1">
      <alignment horizontal="center"/>
    </xf>
    <xf fontId="9" fillId="0" borderId="0" numFmtId="3" xfId="1" applyNumberFormat="1" applyFont="1" applyAlignment="1">
      <alignment horizontal="center" wrapText="1"/>
    </xf>
    <xf fontId="36" fillId="0" borderId="0" numFmtId="3" xfId="1" applyNumberFormat="1" applyFont="1" applyAlignment="1">
      <alignment horizontal="center" wrapText="1"/>
    </xf>
    <xf fontId="51" fillId="0" borderId="0" numFmtId="2" xfId="1" applyNumberFormat="1" applyFont="1"/>
    <xf fontId="42" fillId="0" borderId="0" numFmtId="0" xfId="1" applyFont="1" applyAlignment="1">
      <alignment horizontal="center"/>
    </xf>
    <xf fontId="42" fillId="0" borderId="0" numFmtId="0" xfId="1" applyFont="1" applyAlignment="1">
      <alignment horizontal="center" wrapText="1"/>
    </xf>
    <xf fontId="36" fillId="0" borderId="0" numFmtId="0" xfId="1" applyFont="1" applyAlignment="1">
      <alignment horizontal="center"/>
    </xf>
    <xf fontId="36" fillId="0" borderId="0" numFmtId="0" xfId="1" applyFont="1" applyAlignment="1">
      <alignment horizontal="center" wrapText="1"/>
    </xf>
    <xf fontId="57" fillId="8" borderId="42" numFmtId="0" xfId="1" applyFont="1" applyFill="1" applyBorder="1" applyAlignment="1">
      <alignment horizontal="center" vertical="center" wrapText="1"/>
    </xf>
    <xf fontId="7" fillId="0" borderId="42" numFmtId="0" xfId="1" applyFont="1" applyBorder="1" applyAlignment="1">
      <alignment horizontal="centerContinuous" vertical="center" wrapText="1"/>
    </xf>
    <xf fontId="89" fillId="0" borderId="42" numFmtId="0" xfId="1" applyFont="1" applyBorder="1" applyAlignment="1">
      <alignment horizontal="centerContinuous" vertical="center" wrapText="1"/>
    </xf>
    <xf fontId="90" fillId="0" borderId="42" numFmtId="0" xfId="1" applyFont="1" applyBorder="1" applyAlignment="1">
      <alignment horizontal="centerContinuous" vertical="center" wrapText="1"/>
    </xf>
    <xf fontId="7" fillId="0" borderId="42" numFmtId="0" xfId="1" applyFont="1" applyBorder="1" applyAlignment="1">
      <alignment horizontal="left" vertical="center" wrapText="1"/>
    </xf>
    <xf fontId="90" fillId="0" borderId="42" numFmtId="0" xfId="1" applyFont="1" applyBorder="1" applyAlignment="1">
      <alignment horizontal="left" vertical="center" wrapText="1"/>
    </xf>
    <xf fontId="9" fillId="0" borderId="0" numFmtId="0" xfId="0" applyFont="1" applyAlignment="1">
      <alignment horizontal="center" vertical="center"/>
    </xf>
    <xf fontId="51" fillId="0" borderId="42" numFmtId="1" xfId="1" applyNumberFormat="1" applyFont="1" applyBorder="1" applyAlignment="1">
      <alignment horizontal="center" vertical="center"/>
    </xf>
    <xf fontId="9" fillId="0" borderId="42" numFmtId="169" xfId="1" applyNumberFormat="1" applyFont="1" applyBorder="1" applyAlignment="1">
      <alignment horizontal="center"/>
    </xf>
    <xf fontId="9" fillId="11" borderId="42" numFmtId="169" xfId="1" applyNumberFormat="1" applyFont="1" applyFill="1" applyBorder="1" applyAlignment="1">
      <alignment horizontal="center" wrapText="1"/>
    </xf>
    <xf fontId="9" fillId="5" borderId="42" numFmtId="169" xfId="1" applyNumberFormat="1" applyFont="1" applyFill="1" applyBorder="1" applyAlignment="1">
      <alignment horizontal="center" wrapText="1"/>
    </xf>
    <xf fontId="9" fillId="0" borderId="42" numFmtId="169" xfId="1" applyNumberFormat="1" applyFont="1" applyBorder="1" applyAlignment="1">
      <alignment horizontal="center" wrapText="1"/>
    </xf>
    <xf fontId="9" fillId="0" borderId="42" numFmtId="166" xfId="5" applyNumberFormat="1" applyFont="1" applyBorder="1" applyAlignment="1">
      <alignment horizontal="center"/>
    </xf>
    <xf fontId="9" fillId="0" borderId="42" numFmtId="166" xfId="1" applyNumberFormat="1" applyFont="1" applyBorder="1" applyAlignment="1">
      <alignment horizontal="center"/>
    </xf>
    <xf fontId="9" fillId="0" borderId="0" numFmtId="169" xfId="1" applyNumberFormat="1" applyFont="1" applyAlignment="1">
      <alignment horizontal="center"/>
    </xf>
    <xf fontId="9" fillId="14" borderId="42" numFmtId="0" xfId="1" applyFont="1" applyFill="1" applyBorder="1"/>
    <xf fontId="36" fillId="0" borderId="42" numFmtId="169" xfId="1" applyNumberFormat="1" applyFont="1" applyBorder="1" applyAlignment="1">
      <alignment horizontal="center"/>
    </xf>
    <xf fontId="36" fillId="11" borderId="42" numFmtId="169" xfId="1" applyNumberFormat="1" applyFont="1" applyFill="1" applyBorder="1" applyAlignment="1">
      <alignment horizontal="center" wrapText="1"/>
    </xf>
    <xf fontId="36" fillId="5" borderId="42" numFmtId="169" xfId="1" applyNumberFormat="1" applyFont="1" applyFill="1" applyBorder="1" applyAlignment="1">
      <alignment horizontal="center" wrapText="1"/>
    </xf>
    <xf fontId="36" fillId="0" borderId="42" numFmtId="169" xfId="1" applyNumberFormat="1" applyFont="1" applyBorder="1" applyAlignment="1">
      <alignment horizontal="center" wrapText="1"/>
    </xf>
    <xf fontId="36" fillId="0" borderId="0" numFmtId="169" xfId="1" applyNumberFormat="1" applyFont="1" applyAlignment="1">
      <alignment horizontal="center"/>
    </xf>
    <xf fontId="51" fillId="0" borderId="0" numFmtId="169" xfId="1" applyNumberFormat="1" applyFont="1"/>
    <xf fontId="9" fillId="0" borderId="0" numFmtId="3" xfId="0" applyNumberFormat="1" applyFont="1"/>
    <xf fontId="36" fillId="6" borderId="42" numFmtId="0" xfId="1" applyFont="1" applyFill="1" applyBorder="1"/>
    <xf fontId="42" fillId="0" borderId="0" numFmtId="169" xfId="1" applyNumberFormat="1" applyFont="1"/>
    <xf fontId="9" fillId="6" borderId="42" numFmtId="0" xfId="1" applyFont="1" applyFill="1" applyBorder="1"/>
    <xf fontId="9" fillId="0" borderId="42" numFmtId="3" xfId="1" applyNumberFormat="1" applyFont="1" applyBorder="1" applyAlignment="1">
      <alignment horizontal="center"/>
    </xf>
    <xf fontId="91" fillId="0" borderId="0" numFmtId="0" xfId="0" applyFont="1"/>
    <xf fontId="36" fillId="6" borderId="42" numFmtId="0" xfId="1" applyFont="1" applyFill="1" applyBorder="1" applyAlignment="1">
      <alignment horizontal="left"/>
    </xf>
    <xf fontId="36" fillId="0" borderId="42" numFmtId="3" xfId="1" applyNumberFormat="1" applyFont="1" applyBorder="1" applyAlignment="1">
      <alignment horizontal="center"/>
    </xf>
    <xf fontId="36" fillId="0" borderId="0" numFmtId="3" xfId="1" applyNumberFormat="1" applyFont="1" applyAlignment="1">
      <alignment horizontal="center"/>
    </xf>
    <xf fontId="36" fillId="9" borderId="42" numFmtId="0" xfId="1" applyFont="1" applyFill="1" applyBorder="1"/>
    <xf fontId="36" fillId="0" borderId="42" numFmtId="166" xfId="5" applyNumberFormat="1" applyFont="1" applyBorder="1" applyAlignment="1">
      <alignment horizontal="center"/>
    </xf>
    <xf fontId="36" fillId="0" borderId="42" numFmtId="166" xfId="1" applyNumberFormat="1" applyFont="1" applyBorder="1" applyAlignment="1">
      <alignment horizontal="center"/>
    </xf>
    <xf fontId="9" fillId="9" borderId="42" numFmtId="0" xfId="1" applyFont="1" applyFill="1" applyBorder="1"/>
    <xf fontId="36" fillId="9" borderId="42" numFmtId="0" xfId="1" applyFont="1" applyFill="1" applyBorder="1" applyAlignment="1">
      <alignment horizontal="left"/>
    </xf>
    <xf fontId="53" fillId="0" borderId="0" numFmtId="169" xfId="1" applyNumberFormat="1" applyFont="1"/>
    <xf fontId="42" fillId="0" borderId="0" numFmtId="4" xfId="1" applyNumberFormat="1" applyFont="1"/>
    <xf fontId="36" fillId="0" borderId="0" numFmtId="4" xfId="0" applyNumberFormat="1" applyFont="1"/>
    <xf fontId="42" fillId="0" borderId="0" numFmtId="4" xfId="1" applyNumberFormat="1" applyFont="1" applyAlignment="1">
      <alignment horizontal="left"/>
    </xf>
    <xf fontId="42" fillId="0" borderId="0" numFmtId="4" xfId="1" applyNumberFormat="1" applyFont="1" applyAlignment="1">
      <alignment horizontal="center" wrapText="1"/>
    </xf>
    <xf fontId="36" fillId="0" borderId="0" numFmtId="4" xfId="1" applyNumberFormat="1" applyFont="1" applyAlignment="1">
      <alignment horizontal="center" wrapText="1"/>
    </xf>
    <xf fontId="42" fillId="0" borderId="0" numFmtId="4" xfId="1" applyNumberFormat="1" applyFont="1" applyAlignment="1">
      <alignment wrapText="1"/>
    </xf>
    <xf fontId="36" fillId="0" borderId="0" numFmtId="4" xfId="1" applyNumberFormat="1" applyFont="1"/>
    <xf fontId="42" fillId="0" borderId="0" numFmtId="164" xfId="5" applyNumberFormat="1" applyFont="1"/>
    <xf fontId="59" fillId="0" borderId="19" numFmtId="0" xfId="1" applyFont="1" applyBorder="1" applyAlignment="1">
      <alignment horizontal="centerContinuous" vertical="center" wrapText="1"/>
    </xf>
    <xf fontId="62" fillId="0" borderId="20" numFmtId="0" xfId="1" applyFont="1" applyBorder="1" applyAlignment="1">
      <alignment horizontal="centerContinuous" vertical="center" wrapText="1"/>
    </xf>
    <xf fontId="62" fillId="0" borderId="21" numFmtId="0" xfId="1" applyFont="1" applyBorder="1" applyAlignment="1">
      <alignment horizontal="centerContinuous" vertical="center" wrapText="1"/>
    </xf>
    <xf fontId="33" fillId="8" borderId="42" numFmtId="0" xfId="1" applyFont="1" applyFill="1" applyBorder="1" applyAlignment="1">
      <alignment horizontal="center" vertical="center" wrapText="1"/>
    </xf>
    <xf fontId="59" fillId="0" borderId="42" numFmtId="0" xfId="1" applyFont="1" applyBorder="1" applyAlignment="1">
      <alignment horizontal="centerContinuous" vertical="center" wrapText="1"/>
    </xf>
    <xf fontId="62" fillId="0" borderId="42" numFmtId="0" xfId="1" applyFont="1" applyBorder="1" applyAlignment="1">
      <alignment horizontal="centerContinuous" vertical="center" wrapText="1"/>
    </xf>
    <xf fontId="62" fillId="0" borderId="42" numFmtId="164" xfId="5" applyNumberFormat="1" applyFont="1" applyBorder="1" applyAlignment="1">
      <alignment horizontal="centerContinuous" vertical="center" wrapText="1"/>
    </xf>
    <xf fontId="51" fillId="0" borderId="0" numFmtId="0" xfId="0" applyFont="1" applyAlignment="1">
      <alignment horizontal="center" vertical="center"/>
    </xf>
    <xf fontId="9" fillId="11" borderId="42" numFmtId="3" xfId="1" applyNumberFormat="1" applyFont="1" applyFill="1" applyBorder="1" applyAlignment="1">
      <alignment horizontal="center" wrapText="1"/>
    </xf>
    <xf fontId="9" fillId="5" borderId="42" numFmtId="3" xfId="1" applyNumberFormat="1" applyFont="1" applyFill="1" applyBorder="1" applyAlignment="1">
      <alignment horizontal="center" wrapText="1"/>
    </xf>
    <xf fontId="9" fillId="0" borderId="42" numFmtId="3" xfId="1" applyNumberFormat="1" applyFont="1" applyBorder="1" applyAlignment="1">
      <alignment horizontal="center" wrapText="1"/>
    </xf>
    <xf fontId="9" fillId="13" borderId="42" numFmtId="3" xfId="1" applyNumberFormat="1" applyFont="1" applyFill="1" applyBorder="1" applyAlignment="1">
      <alignment horizontal="center" wrapText="1"/>
    </xf>
    <xf fontId="36" fillId="11" borderId="42" numFmtId="3" xfId="1" applyNumberFormat="1" applyFont="1" applyFill="1" applyBorder="1" applyAlignment="1">
      <alignment horizontal="center" wrapText="1"/>
    </xf>
    <xf fontId="36" fillId="5" borderId="42" numFmtId="3" xfId="1" applyNumberFormat="1" applyFont="1" applyFill="1" applyBorder="1" applyAlignment="1">
      <alignment horizontal="center" wrapText="1"/>
    </xf>
    <xf fontId="36" fillId="0" borderId="42" numFmtId="3" xfId="1" applyNumberFormat="1" applyFont="1" applyBorder="1" applyAlignment="1">
      <alignment horizontal="center" wrapText="1"/>
    </xf>
    <xf fontId="36" fillId="0" borderId="0" numFmtId="2" xfId="1" applyNumberFormat="1" applyFont="1" applyAlignment="1">
      <alignment horizontal="center"/>
    </xf>
    <xf fontId="42" fillId="0" borderId="0" numFmtId="2" xfId="1" applyNumberFormat="1" applyFont="1" applyAlignment="1">
      <alignment horizontal="center"/>
    </xf>
    <xf fontId="36" fillId="11" borderId="42" numFmtId="0" xfId="1" applyFont="1" applyFill="1" applyBorder="1"/>
    <xf fontId="36" fillId="11" borderId="42" numFmtId="3" xfId="1" applyNumberFormat="1" applyFont="1" applyFill="1" applyBorder="1" applyAlignment="1">
      <alignment horizontal="center"/>
    </xf>
    <xf fontId="51" fillId="0" borderId="42" numFmtId="3" xfId="1" applyNumberFormat="1" applyFont="1" applyBorder="1" applyAlignment="1">
      <alignment horizontal="center"/>
    </xf>
    <xf fontId="9" fillId="20" borderId="42" numFmtId="0" xfId="1" applyFont="1" applyFill="1" applyBorder="1"/>
    <xf fontId="42" fillId="0" borderId="0" numFmtId="3" xfId="1" applyNumberFormat="1" applyFont="1" applyAlignment="1">
      <alignment horizontal="center"/>
    </xf>
    <xf fontId="36" fillId="0" borderId="0" numFmtId="164" xfId="5" applyNumberFormat="1" applyFont="1" applyAlignment="1">
      <alignment horizontal="center"/>
    </xf>
    <xf fontId="42" fillId="0" borderId="0" numFmtId="3" xfId="1" applyNumberFormat="1" applyFont="1" applyAlignment="1">
      <alignment horizontal="center" wrapText="1"/>
    </xf>
    <xf fontId="51" fillId="0" borderId="0" numFmtId="0" xfId="1" applyFont="1" applyAlignment="1">
      <alignment horizontal="center" wrapText="1"/>
    </xf>
    <xf fontId="51" fillId="0" borderId="0" numFmtId="164" xfId="5" applyNumberFormat="1" applyFont="1" applyAlignment="1">
      <alignment horizontal="center"/>
    </xf>
    <xf fontId="51" fillId="0" borderId="42" numFmtId="1" xfId="1" applyNumberFormat="1" applyFont="1" applyBorder="1" applyAlignment="1">
      <alignment horizontal="center"/>
    </xf>
    <xf fontId="51" fillId="11" borderId="19" numFmtId="0" xfId="1" applyFont="1" applyFill="1" applyBorder="1" applyAlignment="1">
      <alignment horizontal="center" wrapText="1"/>
    </xf>
    <xf fontId="36" fillId="11" borderId="18" numFmtId="3" xfId="1" applyNumberFormat="1" applyFont="1" applyFill="1" applyBorder="1" applyAlignment="1">
      <alignment horizontal="center" wrapText="1"/>
    </xf>
    <xf fontId="51" fillId="0" borderId="2" numFmtId="3" xfId="1" applyNumberFormat="1" applyFont="1" applyBorder="1" applyAlignment="1">
      <alignment horizontal="center" wrapText="1"/>
    </xf>
    <xf fontId="36" fillId="8" borderId="19" numFmtId="0" xfId="1" applyFont="1" applyFill="1" applyBorder="1" applyAlignment="1">
      <alignment horizontal="center" vertical="center" wrapText="1"/>
    </xf>
    <xf fontId="57" fillId="0" borderId="19" numFmtId="0" xfId="1" applyFont="1" applyBorder="1" applyAlignment="1">
      <alignment horizontal="centerContinuous" vertical="center" wrapText="1"/>
    </xf>
    <xf fontId="1" fillId="0" borderId="2" numFmtId="0" xfId="1" applyFont="1" applyBorder="1" applyAlignment="1">
      <alignment horizontal="centerContinuous" vertical="center" wrapText="1"/>
    </xf>
    <xf fontId="56" fillId="0" borderId="2" numFmtId="0" xfId="1" applyFont="1" applyBorder="1" applyAlignment="1">
      <alignment horizontal="centerContinuous" vertical="center" wrapText="1"/>
    </xf>
    <xf fontId="51" fillId="0" borderId="2" numFmtId="3" xfId="1" applyNumberFormat="1" applyFont="1" applyBorder="1" applyAlignment="1">
      <alignment horizontal="centerContinuous" wrapText="1"/>
    </xf>
    <xf fontId="1" fillId="0" borderId="3" numFmtId="0" xfId="1" applyFont="1" applyBorder="1" applyAlignment="1">
      <alignment horizontal="centerContinuous" vertical="center" wrapText="1"/>
    </xf>
    <xf fontId="1" fillId="0" borderId="19" numFmtId="0" xfId="1" applyFont="1" applyBorder="1" applyAlignment="1">
      <alignment horizontal="center" vertical="center" wrapText="1"/>
    </xf>
    <xf fontId="1" fillId="0" borderId="26" numFmtId="0" xfId="1" applyFont="1" applyBorder="1" applyAlignment="1">
      <alignment horizontal="centerContinuous" vertical="center" wrapText="1"/>
    </xf>
    <xf fontId="1" fillId="0" borderId="30" numFmtId="0" xfId="1" applyFont="1" applyBorder="1" applyAlignment="1">
      <alignment horizontal="centerContinuous" vertical="center" wrapText="1"/>
    </xf>
    <xf fontId="56" fillId="0" borderId="30" numFmtId="0" xfId="1" applyFont="1" applyBorder="1" applyAlignment="1">
      <alignment horizontal="centerContinuous" vertical="center" wrapText="1"/>
    </xf>
    <xf fontId="51" fillId="0" borderId="30" numFmtId="3" xfId="1" applyNumberFormat="1" applyFont="1" applyBorder="1" applyAlignment="1">
      <alignment horizontal="centerContinuous" wrapText="1"/>
    </xf>
    <xf fontId="1" fillId="0" borderId="27" numFmtId="0" xfId="1" applyFont="1" applyBorder="1" applyAlignment="1">
      <alignment horizontal="centerContinuous" vertical="center" wrapText="1"/>
    </xf>
    <xf fontId="9" fillId="0" borderId="34" numFmtId="0" xfId="1" applyFont="1" applyBorder="1" applyAlignment="1">
      <alignment horizontal="center"/>
    </xf>
    <xf fontId="51" fillId="0" borderId="34" numFmtId="1" xfId="1" applyNumberFormat="1" applyFont="1" applyBorder="1" applyAlignment="1">
      <alignment horizontal="center"/>
    </xf>
    <xf fontId="51" fillId="11" borderId="26" numFmtId="0" xfId="1" applyFont="1" applyFill="1" applyBorder="1" applyAlignment="1">
      <alignment horizontal="center" wrapText="1"/>
    </xf>
    <xf fontId="51" fillId="0" borderId="34" numFmtId="0" xfId="1" applyFont="1" applyBorder="1" applyAlignment="1">
      <alignment horizontal="center"/>
    </xf>
    <xf fontId="51" fillId="11" borderId="34" numFmtId="0" xfId="1" applyFont="1" applyFill="1" applyBorder="1" applyAlignment="1">
      <alignment horizontal="center" wrapText="1"/>
    </xf>
    <xf fontId="51" fillId="5" borderId="34" numFmtId="0" xfId="1" applyFont="1" applyFill="1" applyBorder="1" applyAlignment="1">
      <alignment horizontal="center" wrapText="1"/>
    </xf>
    <xf fontId="51" fillId="0" borderId="34" numFmtId="0" xfId="1" applyFont="1" applyBorder="1" applyAlignment="1">
      <alignment horizontal="center" wrapText="1"/>
    </xf>
    <xf fontId="51" fillId="0" borderId="42" numFmtId="0" xfId="1" applyFont="1" applyBorder="1"/>
    <xf fontId="9" fillId="0" borderId="1" numFmtId="0" xfId="1" applyFont="1" applyBorder="1"/>
    <xf fontId="9" fillId="0" borderId="18" numFmtId="0" xfId="1" applyFont="1" applyBorder="1" applyAlignment="1">
      <alignment horizontal="center"/>
    </xf>
    <xf fontId="9" fillId="0" borderId="18" numFmtId="0" xfId="1" applyFont="1" applyBorder="1"/>
    <xf fontId="9" fillId="11" borderId="1" numFmtId="0" xfId="1" applyFont="1" applyFill="1" applyBorder="1" applyAlignment="1">
      <alignment wrapText="1"/>
    </xf>
    <xf fontId="9" fillId="11" borderId="8" numFmtId="0" xfId="1" applyFont="1" applyFill="1" applyBorder="1" applyAlignment="1">
      <alignment horizontal="center" wrapText="1"/>
    </xf>
    <xf fontId="51" fillId="0" borderId="18" numFmtId="0" xfId="1" applyFont="1" applyBorder="1"/>
    <xf fontId="51" fillId="11" borderId="8" numFmtId="0" xfId="1" applyFont="1" applyFill="1" applyBorder="1" applyAlignment="1">
      <alignment horizontal="center" wrapText="1"/>
    </xf>
    <xf fontId="9" fillId="11" borderId="42" numFmtId="0" xfId="1" applyFont="1" applyFill="1" applyBorder="1" applyAlignment="1">
      <alignment horizontal="center" wrapText="1"/>
    </xf>
    <xf fontId="9" fillId="0" borderId="18" numFmtId="0" xfId="1" applyFont="1" applyBorder="1" applyAlignment="1">
      <alignment horizontal="center" wrapText="1"/>
    </xf>
    <xf fontId="9" fillId="0" borderId="25" numFmtId="0" xfId="1" applyFont="1" applyBorder="1"/>
    <xf fontId="9" fillId="0" borderId="25" numFmtId="0" xfId="1" applyFont="1" applyBorder="1" applyAlignment="1">
      <alignment horizontal="center"/>
    </xf>
    <xf fontId="51" fillId="0" borderId="25" numFmtId="0" xfId="1" applyFont="1" applyBorder="1"/>
    <xf fontId="9" fillId="0" borderId="25" numFmtId="0" xfId="1" applyFont="1" applyBorder="1" applyAlignment="1">
      <alignment horizontal="center" wrapText="1"/>
    </xf>
    <xf fontId="9" fillId="11" borderId="0" numFmtId="0" xfId="1" applyFont="1" applyFill="1" applyAlignment="1">
      <alignment horizontal="center" wrapText="1"/>
    </xf>
    <xf fontId="51" fillId="0" borderId="25" numFmtId="0" xfId="1" applyFont="1" applyBorder="1" applyAlignment="1">
      <alignment horizontal="center"/>
    </xf>
    <xf fontId="9" fillId="5" borderId="18" numFmtId="3" xfId="1" applyNumberFormat="1" applyFont="1" applyFill="1" applyBorder="1" applyAlignment="1">
      <alignment horizontal="center" wrapText="1"/>
    </xf>
    <xf fontId="9" fillId="11" borderId="18" numFmtId="0" xfId="1" applyFont="1" applyFill="1" applyBorder="1" applyAlignment="1">
      <alignment horizontal="center" wrapText="1"/>
    </xf>
    <xf fontId="36" fillId="0" borderId="42" numFmtId="0" xfId="1" applyFont="1" applyBorder="1" applyAlignment="1">
      <alignment horizontal="center"/>
    </xf>
    <xf fontId="36" fillId="11" borderId="19" numFmtId="0" xfId="1" applyFont="1" applyFill="1" applyBorder="1" applyAlignment="1">
      <alignment horizontal="center" wrapText="1"/>
    </xf>
    <xf fontId="9" fillId="11" borderId="21" numFmtId="0" xfId="1" applyFont="1" applyFill="1" applyBorder="1" applyAlignment="1">
      <alignment horizontal="center" wrapText="1"/>
    </xf>
    <xf fontId="42" fillId="0" borderId="42" numFmtId="0" xfId="1" applyFont="1" applyBorder="1" applyAlignment="1">
      <alignment horizontal="center"/>
    </xf>
    <xf fontId="51" fillId="11" borderId="21" numFmtId="0" xfId="1" applyFont="1" applyFill="1" applyBorder="1" applyAlignment="1">
      <alignment horizontal="center" wrapText="1"/>
    </xf>
    <xf fontId="36" fillId="0" borderId="42" numFmtId="0" xfId="1" applyFont="1" applyBorder="1" applyAlignment="1">
      <alignment horizontal="center" wrapText="1"/>
    </xf>
    <xf fontId="9" fillId="0" borderId="8" numFmtId="0" xfId="1" applyFont="1" applyBorder="1" applyAlignment="1">
      <alignment horizontal="center"/>
    </xf>
    <xf fontId="9" fillId="5" borderId="34" numFmtId="3" xfId="1" applyNumberFormat="1" applyFont="1" applyFill="1" applyBorder="1" applyAlignment="1">
      <alignment horizontal="center" wrapText="1"/>
    </xf>
    <xf fontId="51" fillId="0" borderId="8" numFmtId="0" xfId="1" applyFont="1" applyBorder="1" applyAlignment="1">
      <alignment horizontal="center"/>
    </xf>
    <xf fontId="9" fillId="11" borderId="34" numFmtId="0" xfId="1" applyFont="1" applyFill="1" applyBorder="1" applyAlignment="1">
      <alignment horizontal="center" wrapText="1"/>
    </xf>
    <xf fontId="9" fillId="0" borderId="8" numFmtId="1" xfId="1" applyNumberFormat="1" applyFont="1" applyBorder="1" applyAlignment="1">
      <alignment horizontal="center"/>
    </xf>
    <xf fontId="9" fillId="11" borderId="0" numFmtId="1" xfId="1" applyNumberFormat="1" applyFont="1" applyFill="1" applyAlignment="1">
      <alignment horizontal="center" wrapText="1"/>
    </xf>
    <xf fontId="36" fillId="0" borderId="21" numFmtId="0" xfId="1" applyFont="1" applyBorder="1" applyAlignment="1">
      <alignment horizontal="center"/>
    </xf>
    <xf fontId="36" fillId="11" borderId="20" numFmtId="0" xfId="1" applyFont="1" applyFill="1" applyBorder="1" applyAlignment="1">
      <alignment horizontal="center" wrapText="1"/>
    </xf>
    <xf fontId="42" fillId="0" borderId="21" numFmtId="0" xfId="1" applyFont="1" applyBorder="1" applyAlignment="1">
      <alignment horizontal="center"/>
    </xf>
    <xf fontId="9" fillId="3" borderId="25" numFmtId="0" xfId="1" applyFont="1" applyFill="1" applyBorder="1" applyAlignment="1">
      <alignment horizontal="left"/>
    </xf>
    <xf fontId="9" fillId="0" borderId="25" numFmtId="0" xfId="1" applyFont="1" applyBorder="1" applyAlignment="1">
      <alignment horizontal="left"/>
    </xf>
    <xf fontId="36" fillId="11" borderId="42" numFmtId="0" xfId="1" applyFont="1" applyFill="1" applyBorder="1" applyAlignment="1">
      <alignment horizontal="center" wrapText="1"/>
    </xf>
    <xf fontId="9" fillId="0" borderId="25" numFmtId="1" xfId="1" applyNumberFormat="1" applyFont="1" applyBorder="1" applyAlignment="1">
      <alignment horizontal="center"/>
    </xf>
    <xf fontId="9" fillId="0" borderId="8" numFmtId="1" xfId="1" applyNumberFormat="1" applyFont="1" applyBorder="1" applyAlignment="1">
      <alignment horizontal="center" vertical="center"/>
    </xf>
    <xf fontId="51" fillId="0" borderId="8" numFmtId="2" xfId="1" applyNumberFormat="1" applyFont="1" applyBorder="1"/>
    <xf fontId="51" fillId="0" borderId="8" numFmtId="1" xfId="1" applyNumberFormat="1" applyFont="1" applyBorder="1" applyAlignment="1">
      <alignment horizontal="center"/>
    </xf>
    <xf fontId="9" fillId="0" borderId="8" numFmtId="2" xfId="1" applyNumberFormat="1" applyFont="1" applyBorder="1"/>
    <xf fontId="9" fillId="0" borderId="25" numFmtId="1" xfId="1" applyNumberFormat="1" applyFont="1" applyBorder="1" applyAlignment="1">
      <alignment horizontal="center" wrapText="1"/>
    </xf>
    <xf fontId="9" fillId="0" borderId="25" numFmtId="0" xfId="1" applyFont="1" applyBorder="1" applyAlignment="1">
      <alignment horizontal="right"/>
    </xf>
    <xf fontId="9" fillId="0" borderId="0" numFmtId="0" xfId="1" applyFont="1" applyAlignment="1">
      <alignment horizontal="right" vertical="center"/>
    </xf>
    <xf fontId="9" fillId="0" borderId="7" numFmtId="0" xfId="1" applyFont="1" applyBorder="1" applyAlignment="1">
      <alignment horizontal="right" vertical="center"/>
    </xf>
    <xf fontId="9" fillId="11" borderId="7" numFmtId="0" xfId="1" applyFont="1" applyFill="1" applyBorder="1" applyAlignment="1">
      <alignment wrapText="1"/>
    </xf>
    <xf fontId="9" fillId="0" borderId="7" numFmtId="0" xfId="1" applyFont="1" applyBorder="1"/>
    <xf fontId="51" fillId="0" borderId="7" numFmtId="0" xfId="1" applyFont="1" applyBorder="1"/>
    <xf fontId="36" fillId="0" borderId="18" numFmtId="0" xfId="1" applyFont="1" applyBorder="1"/>
    <xf fontId="36" fillId="0" borderId="18" numFmtId="1" xfId="1" applyNumberFormat="1" applyFont="1" applyBorder="1" applyAlignment="1">
      <alignment horizontal="center"/>
    </xf>
    <xf fontId="36" fillId="0" borderId="3" numFmtId="1" xfId="1" applyNumberFormat="1" applyFont="1" applyBorder="1" applyAlignment="1">
      <alignment horizontal="center"/>
    </xf>
    <xf fontId="36" fillId="11" borderId="18" numFmtId="1" xfId="1" applyNumberFormat="1" applyFont="1" applyFill="1" applyBorder="1" applyAlignment="1">
      <alignment horizontal="center" wrapText="1"/>
    </xf>
    <xf fontId="9" fillId="11" borderId="3" numFmtId="0" xfId="1" applyFont="1" applyFill="1" applyBorder="1" applyAlignment="1">
      <alignment horizontal="center" wrapText="1"/>
    </xf>
    <xf fontId="42" fillId="0" borderId="18" numFmtId="1" xfId="1" applyNumberFormat="1" applyFont="1" applyBorder="1" applyAlignment="1">
      <alignment horizontal="center"/>
    </xf>
    <xf fontId="51" fillId="11" borderId="3" numFmtId="0" xfId="1" applyFont="1" applyFill="1" applyBorder="1" applyAlignment="1">
      <alignment horizontal="center" wrapText="1"/>
    </xf>
    <xf fontId="9" fillId="11" borderId="2" numFmtId="0" xfId="1" applyFont="1" applyFill="1" applyBorder="1" applyAlignment="1">
      <alignment horizontal="center" wrapText="1"/>
    </xf>
    <xf fontId="36" fillId="0" borderId="18" numFmtId="1" xfId="1" applyNumberFormat="1" applyFont="1" applyBorder="1" applyAlignment="1">
      <alignment horizontal="center" wrapText="1"/>
    </xf>
    <xf fontId="36" fillId="0" borderId="42" numFmtId="1" xfId="1" applyNumberFormat="1" applyFont="1" applyBorder="1" applyAlignment="1">
      <alignment horizontal="center"/>
    </xf>
    <xf fontId="36" fillId="0" borderId="21" numFmtId="1" xfId="1" applyNumberFormat="1" applyFont="1" applyBorder="1" applyAlignment="1">
      <alignment horizontal="center"/>
    </xf>
    <xf fontId="36" fillId="11" borderId="42" numFmtId="1" xfId="1" applyNumberFormat="1" applyFont="1" applyFill="1" applyBorder="1" applyAlignment="1">
      <alignment horizontal="center" wrapText="1"/>
    </xf>
    <xf fontId="42" fillId="0" borderId="42" numFmtId="1" xfId="1" applyNumberFormat="1" applyFont="1" applyBorder="1" applyAlignment="1">
      <alignment horizontal="center"/>
    </xf>
    <xf fontId="42" fillId="11" borderId="42" numFmtId="1" xfId="1" applyNumberFormat="1" applyFont="1" applyFill="1" applyBorder="1" applyAlignment="1">
      <alignment horizontal="center" wrapText="1"/>
    </xf>
    <xf fontId="42" fillId="5" borderId="42" numFmtId="1" xfId="1" applyNumberFormat="1" applyFont="1" applyFill="1" applyBorder="1" applyAlignment="1">
      <alignment horizontal="center" wrapText="1"/>
    </xf>
    <xf fontId="36" fillId="11" borderId="19" numFmtId="1" xfId="1" applyNumberFormat="1" applyFont="1" applyFill="1" applyBorder="1" applyAlignment="1">
      <alignment horizontal="center" wrapText="1"/>
    </xf>
    <xf fontId="36" fillId="0" borderId="42" numFmtId="1" xfId="1" applyNumberFormat="1" applyFont="1" applyBorder="1" applyAlignment="1">
      <alignment horizontal="center" wrapText="1"/>
    </xf>
    <xf fontId="51" fillId="0" borderId="0" numFmtId="1" xfId="1" applyNumberFormat="1" applyFont="1"/>
    <xf fontId="9" fillId="0" borderId="2" numFmtId="0" xfId="1" applyFont="1" applyBorder="1"/>
    <xf fontId="9" fillId="11" borderId="18" numFmtId="0" xfId="1" applyFont="1" applyFill="1" applyBorder="1" applyAlignment="1">
      <alignment wrapText="1"/>
    </xf>
    <xf fontId="51" fillId="0" borderId="2" numFmtId="0" xfId="1" applyFont="1" applyBorder="1"/>
    <xf fontId="9" fillId="11" borderId="1" numFmtId="0" xfId="1" applyFont="1" applyFill="1" applyBorder="1" applyAlignment="1">
      <alignment horizontal="center" vertical="center" wrapText="1"/>
    </xf>
    <xf fontId="9" fillId="11" borderId="25" numFmtId="0" xfId="1" applyFont="1" applyFill="1" applyBorder="1" applyAlignment="1">
      <alignment wrapText="1"/>
    </xf>
    <xf fontId="9" fillId="0" borderId="42" numFmtId="1" xfId="1" applyNumberFormat="1" applyFont="1" applyBorder="1" applyAlignment="1">
      <alignment horizontal="center"/>
    </xf>
    <xf fontId="9" fillId="11" borderId="42" numFmtId="0" xfId="1" applyFont="1" applyFill="1" applyBorder="1" applyAlignment="1">
      <alignment wrapText="1"/>
    </xf>
    <xf fontId="9" fillId="11" borderId="19" numFmtId="0" xfId="1" applyFont="1" applyFill="1" applyBorder="1" applyAlignment="1">
      <alignment horizontal="center" vertical="center" wrapText="1"/>
    </xf>
    <xf fontId="9" fillId="0" borderId="42" numFmtId="0" xfId="1" applyFont="1" applyBorder="1" applyAlignment="1">
      <alignment horizontal="center" wrapText="1"/>
    </xf>
    <xf fontId="51" fillId="11" borderId="21" numFmtId="1" xfId="1" applyNumberFormat="1" applyFont="1" applyFill="1" applyBorder="1" applyAlignment="1">
      <alignment horizontal="center" wrapText="1"/>
    </xf>
    <xf fontId="9" fillId="11" borderId="19" numFmtId="1" xfId="1" applyNumberFormat="1" applyFont="1" applyFill="1" applyBorder="1" applyAlignment="1">
      <alignment horizontal="center" vertical="center" wrapText="1"/>
    </xf>
    <xf fontId="42" fillId="11" borderId="42" numFmtId="0" xfId="1" applyFont="1" applyFill="1" applyBorder="1" applyAlignment="1">
      <alignment horizontal="center" wrapText="1"/>
    </xf>
    <xf fontId="42" fillId="5" borderId="42" numFmtId="0" xfId="1" applyFont="1" applyFill="1" applyBorder="1" applyAlignment="1">
      <alignment horizontal="center" wrapText="1"/>
    </xf>
    <xf fontId="9" fillId="8" borderId="42" numFmtId="0" xfId="1" applyFont="1" applyFill="1" applyBorder="1" applyAlignment="1">
      <alignment horizontal="center" vertical="center" wrapText="1"/>
    </xf>
    <xf fontId="36" fillId="0" borderId="42" numFmtId="0" xfId="1" applyFont="1" applyBorder="1" applyAlignment="1">
      <alignment horizontal="center" vertical="center" wrapText="1"/>
    </xf>
    <xf fontId="1" fillId="11" borderId="42" numFmtId="0" xfId="1" applyFont="1" applyFill="1" applyBorder="1" applyAlignment="1">
      <alignment horizontal="center" vertical="center" wrapText="1"/>
    </xf>
    <xf fontId="1" fillId="5" borderId="42" numFmtId="0" xfId="1" applyFont="1" applyFill="1" applyBorder="1" applyAlignment="1">
      <alignment horizontal="center" vertical="center" wrapText="1"/>
    </xf>
    <xf fontId="9" fillId="0" borderId="26" numFmtId="0" xfId="1" applyFont="1" applyBorder="1" applyAlignment="1">
      <alignment horizontal="center" vertical="center"/>
    </xf>
    <xf fontId="33" fillId="0" borderId="26" numFmtId="0" xfId="1" applyFont="1" applyBorder="1" applyAlignment="1">
      <alignment horizontal="center" vertical="center"/>
    </xf>
    <xf fontId="48" fillId="0" borderId="34" numFmtId="1" xfId="1" applyNumberFormat="1" applyFont="1" applyBorder="1" applyAlignment="1">
      <alignment horizontal="center" vertical="center"/>
    </xf>
    <xf fontId="48" fillId="11" borderId="26" numFmtId="1" xfId="1" applyNumberFormat="1" applyFont="1" applyFill="1" applyBorder="1" applyAlignment="1">
      <alignment horizontal="center" vertical="center" wrapText="1"/>
    </xf>
    <xf fontId="48" fillId="0" borderId="26" numFmtId="0" xfId="1" applyFont="1" applyBorder="1" applyAlignment="1">
      <alignment horizontal="center" vertical="center"/>
    </xf>
    <xf fontId="48" fillId="11" borderId="26" numFmtId="0" xfId="1" applyFont="1" applyFill="1" applyBorder="1" applyAlignment="1">
      <alignment horizontal="center" vertical="center" wrapText="1"/>
    </xf>
    <xf fontId="48" fillId="5" borderId="26" numFmtId="0" xfId="1" applyFont="1" applyFill="1" applyBorder="1" applyAlignment="1">
      <alignment horizontal="center" vertical="center" wrapText="1"/>
    </xf>
    <xf fontId="48" fillId="0" borderId="34" numFmtId="0" xfId="1" applyFont="1" applyBorder="1" applyAlignment="1">
      <alignment horizontal="center" vertical="center"/>
    </xf>
    <xf fontId="48" fillId="0" borderId="30" numFmtId="0" xfId="1" applyFont="1" applyBorder="1" applyAlignment="1">
      <alignment horizontal="center" vertical="center"/>
    </xf>
    <xf fontId="51" fillId="11" borderId="26" numFmtId="0" xfId="1" applyFont="1" applyFill="1" applyBorder="1" applyAlignment="1">
      <alignment horizontal="center" vertical="center" wrapText="1"/>
    </xf>
    <xf fontId="9" fillId="0" borderId="18" numFmtId="1" xfId="1" applyNumberFormat="1" applyFont="1" applyBorder="1" applyAlignment="1">
      <alignment horizontal="center"/>
    </xf>
    <xf fontId="9" fillId="11" borderId="18" numFmtId="1" xfId="1" applyNumberFormat="1" applyFont="1" applyFill="1" applyBorder="1" applyAlignment="1">
      <alignment horizontal="center" wrapText="1"/>
    </xf>
    <xf fontId="9" fillId="11" borderId="18" numFmtId="0" xfId="1" applyFont="1" applyFill="1" applyBorder="1" applyAlignment="1">
      <alignment horizontal="center" vertical="center" wrapText="1"/>
    </xf>
    <xf fontId="9" fillId="5" borderId="18" numFmtId="1" xfId="1" applyNumberFormat="1" applyFont="1" applyFill="1" applyBorder="1" applyAlignment="1">
      <alignment horizontal="center" vertical="center" wrapText="1"/>
    </xf>
    <xf fontId="9" fillId="5" borderId="18" numFmtId="0" xfId="1" applyFont="1" applyFill="1" applyBorder="1" applyAlignment="1">
      <alignment wrapText="1"/>
    </xf>
    <xf fontId="9" fillId="0" borderId="25" numFmtId="3" xfId="1" applyNumberFormat="1" applyFont="1" applyBorder="1" applyAlignment="1">
      <alignment horizontal="center"/>
    </xf>
    <xf fontId="36" fillId="0" borderId="25" numFmtId="3" xfId="1" applyNumberFormat="1" applyFont="1" applyBorder="1" applyAlignment="1">
      <alignment horizontal="center"/>
    </xf>
    <xf fontId="36" fillId="11" borderId="8" numFmtId="3" xfId="1" applyNumberFormat="1" applyFont="1" applyFill="1" applyBorder="1" applyAlignment="1">
      <alignment horizontal="center" wrapText="1"/>
    </xf>
    <xf fontId="51" fillId="0" borderId="8" numFmtId="3" xfId="1" applyNumberFormat="1" applyFont="1" applyBorder="1" applyAlignment="1">
      <alignment horizontal="center"/>
    </xf>
    <xf fontId="9" fillId="0" borderId="8" numFmtId="3" xfId="1" applyNumberFormat="1" applyFont="1" applyBorder="1" applyAlignment="1">
      <alignment horizontal="center"/>
    </xf>
    <xf fontId="9" fillId="11" borderId="0" numFmtId="3" xfId="1" applyNumberFormat="1" applyFont="1" applyFill="1" applyAlignment="1">
      <alignment horizontal="center" wrapText="1"/>
    </xf>
    <xf fontId="9" fillId="5" borderId="25" numFmtId="3" xfId="1" applyNumberFormat="1" applyFont="1" applyFill="1" applyBorder="1" applyAlignment="1">
      <alignment horizontal="center" wrapText="1"/>
    </xf>
    <xf fontId="9" fillId="0" borderId="25" numFmtId="3" xfId="1" applyNumberFormat="1" applyFont="1" applyBorder="1" applyAlignment="1">
      <alignment horizontal="center" wrapText="1"/>
    </xf>
    <xf fontId="42" fillId="0" borderId="42" numFmtId="3" xfId="1" applyNumberFormat="1" applyFont="1" applyBorder="1" applyAlignment="1">
      <alignment horizontal="center"/>
    </xf>
    <xf fontId="36" fillId="11" borderId="42" numFmtId="0" xfId="1" applyFont="1" applyFill="1" applyBorder="1" applyAlignment="1">
      <alignment horizontal="center" vertical="center" wrapText="1"/>
    </xf>
    <xf fontId="36" fillId="5" borderId="42" numFmtId="1" xfId="1" applyNumberFormat="1" applyFont="1" applyFill="1" applyBorder="1" applyAlignment="1">
      <alignment horizontal="center" vertical="center" wrapText="1"/>
    </xf>
    <xf fontId="36" fillId="11" borderId="19" numFmtId="3" xfId="1" applyNumberFormat="1" applyFont="1" applyFill="1" applyBorder="1" applyAlignment="1">
      <alignment horizontal="center" wrapText="1"/>
    </xf>
    <xf fontId="36" fillId="11" borderId="20" numFmtId="3" xfId="1" applyNumberFormat="1" applyFont="1" applyFill="1" applyBorder="1" applyAlignment="1">
      <alignment horizontal="center" wrapText="1"/>
    </xf>
    <xf fontId="9" fillId="11" borderId="25" numFmtId="0" xfId="1" applyFont="1" applyFill="1" applyBorder="1" applyAlignment="1">
      <alignment horizontal="center" vertical="center" wrapText="1"/>
    </xf>
    <xf fontId="9" fillId="5" borderId="25" numFmtId="1" xfId="1" applyNumberFormat="1" applyFont="1" applyFill="1" applyBorder="1" applyAlignment="1">
      <alignment horizontal="center" vertical="center" wrapText="1"/>
    </xf>
    <xf fontId="36" fillId="0" borderId="21" numFmtId="3" xfId="1" applyNumberFormat="1" applyFont="1" applyBorder="1" applyAlignment="1">
      <alignment horizontal="center"/>
    </xf>
    <xf fontId="9" fillId="0" borderId="34" numFmtId="0" xfId="1" applyFont="1" applyBorder="1" applyAlignment="1">
      <alignment horizontal="left"/>
    </xf>
    <xf fontId="36" fillId="0" borderId="19" numFmtId="3" xfId="1" applyNumberFormat="1" applyFont="1" applyBorder="1" applyAlignment="1">
      <alignment horizontal="center"/>
    </xf>
    <xf fontId="36" fillId="11" borderId="18" numFmtId="0" xfId="1" applyFont="1" applyFill="1" applyBorder="1" applyAlignment="1">
      <alignment horizontal="center" vertical="center" wrapText="1"/>
    </xf>
    <xf fontId="36" fillId="5" borderId="18" numFmtId="1" xfId="1" applyNumberFormat="1" applyFont="1" applyFill="1" applyBorder="1" applyAlignment="1">
      <alignment horizontal="center" vertical="center" wrapText="1"/>
    </xf>
    <xf fontId="36" fillId="0" borderId="7" numFmtId="3" xfId="1" applyNumberFormat="1" applyFont="1" applyBorder="1" applyAlignment="1">
      <alignment horizontal="center"/>
    </xf>
    <xf fontId="36" fillId="11" borderId="25" numFmtId="3" xfId="1" applyNumberFormat="1" applyFont="1" applyFill="1" applyBorder="1" applyAlignment="1">
      <alignment horizontal="center" wrapText="1"/>
    </xf>
    <xf fontId="9" fillId="0" borderId="7" numFmtId="3" xfId="1" applyNumberFormat="1" applyFont="1" applyBorder="1" applyAlignment="1">
      <alignment horizontal="center"/>
    </xf>
    <xf fontId="36" fillId="0" borderId="25" numFmtId="0" xfId="1" applyFont="1" applyBorder="1"/>
    <xf fontId="51" fillId="6" borderId="0" numFmtId="0" xfId="0" applyFont="1" applyFill="1"/>
    <xf fontId="36" fillId="6" borderId="19" numFmtId="3" xfId="1" applyNumberFormat="1" applyFont="1" applyFill="1" applyBorder="1" applyAlignment="1">
      <alignment horizontal="center"/>
    </xf>
    <xf fontId="36" fillId="6" borderId="42" numFmtId="3" xfId="1" applyNumberFormat="1" applyFont="1" applyFill="1" applyBorder="1" applyAlignment="1">
      <alignment horizontal="center" wrapText="1"/>
    </xf>
    <xf fontId="92" fillId="0" borderId="0" numFmtId="0" xfId="0" applyFont="1"/>
    <xf fontId="42" fillId="0" borderId="0" numFmtId="0" xfId="1" applyFont="1" applyAlignment="1">
      <alignment wrapText="1"/>
    </xf>
    <xf fontId="93" fillId="0" borderId="0" numFmtId="0" xfId="0" applyFont="1"/>
    <xf fontId="36" fillId="0" borderId="1" numFmtId="3" xfId="1" applyNumberFormat="1" applyFont="1" applyBorder="1" applyAlignment="1">
      <alignment horizontal="center"/>
    </xf>
    <xf fontId="93" fillId="11" borderId="0" numFmtId="0" xfId="0" applyFont="1" applyFill="1"/>
    <xf fontId="36" fillId="11" borderId="19" numFmtId="0" xfId="1" applyFont="1" applyFill="1" applyBorder="1" applyAlignment="1">
      <alignment horizontal="right"/>
    </xf>
    <xf fontId="36" fillId="11" borderId="73" numFmtId="3" xfId="1" applyNumberFormat="1" applyFont="1" applyFill="1" applyBorder="1" applyAlignment="1">
      <alignment horizontal="center"/>
    </xf>
    <xf fontId="36" fillId="11" borderId="59" numFmtId="3" xfId="1" applyNumberFormat="1" applyFont="1" applyFill="1" applyBorder="1" applyAlignment="1">
      <alignment horizontal="center"/>
    </xf>
    <xf fontId="36" fillId="11" borderId="60" numFmtId="3" xfId="1" applyNumberFormat="1" applyFont="1" applyFill="1" applyBorder="1" applyAlignment="1">
      <alignment horizontal="center"/>
    </xf>
    <xf fontId="36" fillId="11" borderId="57" numFmtId="3" xfId="1" applyNumberFormat="1" applyFont="1" applyFill="1" applyBorder="1" applyAlignment="1">
      <alignment horizontal="center" wrapText="1"/>
    </xf>
    <xf fontId="36" fillId="11" borderId="61" numFmtId="3" xfId="1" applyNumberFormat="1" applyFont="1" applyFill="1" applyBorder="1" applyAlignment="1">
      <alignment horizontal="center"/>
    </xf>
    <xf fontId="36" fillId="11" borderId="38" numFmtId="3" xfId="1" applyNumberFormat="1" applyFont="1" applyFill="1" applyBorder="1" applyAlignment="1">
      <alignment horizontal="center"/>
    </xf>
    <xf fontId="36" fillId="11" borderId="38" numFmtId="3" xfId="1" applyNumberFormat="1" applyFont="1" applyFill="1" applyBorder="1" applyAlignment="1">
      <alignment horizontal="center" wrapText="1"/>
    </xf>
    <xf fontId="36" fillId="11" borderId="40" numFmtId="3" xfId="1" applyNumberFormat="1" applyFont="1" applyFill="1" applyBorder="1" applyAlignment="1">
      <alignment horizontal="center" wrapText="1"/>
    </xf>
    <xf fontId="51" fillId="11" borderId="0" numFmtId="0" xfId="1" applyFont="1" applyFill="1"/>
    <xf fontId="42" fillId="0" borderId="0" numFmtId="0" xfId="0" applyFont="1"/>
    <xf fontId="36" fillId="0" borderId="0" numFmtId="0" xfId="1" applyFont="1" applyAlignment="1">
      <alignment horizontal="right"/>
    </xf>
    <xf fontId="9" fillId="0" borderId="0" numFmtId="3" xfId="1" applyNumberFormat="1" applyFont="1" applyAlignment="1">
      <alignment horizontal="center" vertical="top"/>
    </xf>
    <xf fontId="42" fillId="0" borderId="0" numFmtId="0" xfId="1" applyFont="1" applyAlignment="1">
      <alignment horizontal="right"/>
    </xf>
    <xf fontId="51" fillId="11" borderId="42" numFmtId="1" xfId="1" applyNumberFormat="1" applyFont="1" applyFill="1" applyBorder="1" applyAlignment="1">
      <alignment horizontal="center" wrapText="1"/>
    </xf>
    <xf fontId="9" fillId="14" borderId="25" numFmtId="4" xfId="0" applyNumberFormat="1" applyFont="1" applyFill="1" applyBorder="1" applyAlignment="1">
      <alignment vertical="center" wrapText="1"/>
    </xf>
    <xf fontId="9" fillId="9" borderId="0" numFmtId="0" xfId="0" applyFont="1" applyFill="1"/>
    <xf fontId="36" fillId="9" borderId="0" numFmtId="0" xfId="0" applyFont="1" applyFill="1"/>
    <xf fontId="9" fillId="3" borderId="42" numFmtId="0" xfId="1" applyFont="1" applyFill="1" applyBorder="1"/>
    <xf fontId="42" fillId="0" borderId="0" numFmtId="3" xfId="1" applyNumberFormat="1" applyFont="1"/>
    <xf fontId="36" fillId="0" borderId="42" numFmtId="4" xfId="1" applyNumberFormat="1" applyFont="1" applyBorder="1"/>
    <xf fontId="42" fillId="0" borderId="42" numFmtId="4" xfId="1" applyNumberFormat="1" applyFont="1" applyBorder="1" applyAlignment="1">
      <alignment horizontal="center"/>
    </xf>
    <xf fontId="94" fillId="0" borderId="0" numFmtId="0" xfId="0" applyFont="1"/>
    <xf fontId="42" fillId="0" borderId="0" numFmtId="0" xfId="1" applyFont="1" applyAlignment="1">
      <alignment horizontal="left"/>
    </xf>
    <xf fontId="53" fillId="8" borderId="42" numFmtId="0" xfId="1" applyFont="1" applyFill="1" applyBorder="1" applyAlignment="1">
      <alignment horizontal="center" vertical="center" wrapText="1"/>
    </xf>
    <xf fontId="42" fillId="0" borderId="19" numFmtId="0" xfId="1" applyFont="1" applyBorder="1" applyAlignment="1">
      <alignment vertical="center" wrapText="1"/>
    </xf>
    <xf fontId="56" fillId="0" borderId="20" numFmtId="0" xfId="1" applyFont="1" applyBorder="1" applyAlignment="1">
      <alignment vertical="center" wrapText="1"/>
    </xf>
    <xf fontId="56" fillId="0" borderId="21" numFmtId="0" xfId="1" applyFont="1" applyBorder="1" applyAlignment="1">
      <alignment vertical="center" wrapText="1"/>
    </xf>
    <xf fontId="9" fillId="5" borderId="42" numFmtId="0" xfId="1" applyFont="1" applyFill="1" applyBorder="1" applyAlignment="1">
      <alignment horizontal="center" wrapText="1"/>
    </xf>
    <xf fontId="9" fillId="15" borderId="42" numFmtId="0" xfId="1" applyFont="1" applyFill="1" applyBorder="1" applyAlignment="1">
      <alignment horizontal="center" wrapText="1"/>
    </xf>
    <xf fontId="36" fillId="2" borderId="42" numFmtId="0" xfId="1" applyFont="1" applyFill="1" applyBorder="1"/>
    <xf fontId="36" fillId="2" borderId="42" numFmtId="3" xfId="1" applyNumberFormat="1" applyFont="1" applyFill="1" applyBorder="1" applyAlignment="1">
      <alignment horizontal="center"/>
    </xf>
    <xf fontId="36" fillId="2" borderId="42" numFmtId="3" xfId="1" applyNumberFormat="1" applyFont="1" applyFill="1" applyBorder="1" applyAlignment="1">
      <alignment horizontal="center" wrapText="1"/>
    </xf>
    <xf fontId="36" fillId="3" borderId="0" numFmtId="0" xfId="0" applyFont="1" applyFill="1"/>
    <xf fontId="36" fillId="8" borderId="0" numFmtId="0" xfId="0" applyFont="1" applyFill="1"/>
    <xf fontId="9" fillId="21" borderId="42" numFmtId="3" xfId="1" applyNumberFormat="1" applyFont="1" applyFill="1" applyBorder="1" applyAlignment="1">
      <alignment horizontal="center"/>
    </xf>
    <xf fontId="36" fillId="3" borderId="42" numFmtId="0" xfId="1" applyFont="1" applyFill="1" applyBorder="1"/>
    <xf fontId="51" fillId="0" borderId="0" numFmtId="3" xfId="1" applyNumberFormat="1" applyFont="1"/>
    <xf fontId="42" fillId="0" borderId="0" numFmtId="1" xfId="1" applyNumberFormat="1" applyFont="1" applyAlignment="1">
      <alignment horizontal="center"/>
    </xf>
    <xf fontId="42" fillId="0" borderId="0" numFmtId="1" xfId="1" applyNumberFormat="1" applyFont="1" applyAlignment="1">
      <alignment horizontal="center" wrapText="1"/>
    </xf>
    <xf fontId="51" fillId="0" borderId="0" numFmtId="0" xfId="1" applyFont="1" applyAlignment="1">
      <alignment horizontal="left"/>
    </xf>
    <xf fontId="9" fillId="22" borderId="42" numFmtId="0" xfId="1" applyFont="1" applyFill="1" applyBorder="1"/>
    <xf fontId="92" fillId="3" borderId="0" numFmtId="0" xfId="0" applyFont="1" applyFill="1"/>
    <xf fontId="9" fillId="4" borderId="0" numFmtId="0" xfId="0" applyFont="1" applyFill="1" applyAlignment="1">
      <alignment horizontal="center" vertical="center"/>
    </xf>
    <xf fontId="9" fillId="0" borderId="0" numFmtId="1" xfId="1" applyNumberFormat="1" applyFont="1" applyAlignment="1">
      <alignment horizontal="center" wrapText="1"/>
    </xf>
    <xf fontId="58" fillId="0" borderId="19" numFmtId="0" xfId="1" applyFont="1" applyBorder="1" applyAlignment="1">
      <alignment horizontal="centerContinuous" vertical="center" wrapText="1"/>
    </xf>
    <xf fontId="9" fillId="0" borderId="0" numFmtId="0" xfId="1" applyFont="1" applyAlignment="1">
      <alignment horizontal="left"/>
    </xf>
    <xf fontId="9" fillId="0" borderId="0" numFmtId="0" xfId="1" applyFont="1" applyAlignment="1">
      <alignment horizontal="centerContinuous"/>
    </xf>
    <xf fontId="9" fillId="0" borderId="0" numFmtId="0" xfId="0" applyFont="1" applyAlignment="1">
      <alignment horizontal="centerContinuous"/>
    </xf>
    <xf fontId="51" fillId="11" borderId="0" numFmtId="0" xfId="1" applyFont="1" applyFill="1" applyAlignment="1">
      <alignment horizontal="centerContinuous" wrapText="1"/>
    </xf>
    <xf fontId="51" fillId="0" borderId="0" numFmtId="0" xfId="1" applyFont="1" applyAlignment="1">
      <alignment horizontal="centerContinuous"/>
    </xf>
    <xf fontId="51" fillId="13" borderId="0" numFmtId="0" xfId="1" applyFont="1" applyFill="1" applyAlignment="1">
      <alignment horizontal="centerContinuous" wrapText="1"/>
    </xf>
    <xf fontId="51" fillId="0" borderId="0" numFmtId="164" xfId="5" applyNumberFormat="1" applyFont="1" applyAlignment="1">
      <alignment horizontal="centerContinuous"/>
    </xf>
    <xf fontId="51" fillId="0" borderId="0" numFmtId="0" xfId="1" applyFont="1" applyAlignment="1">
      <alignment horizontal="centerContinuous" wrapText="1"/>
    </xf>
    <xf fontId="9" fillId="3" borderId="0" numFmtId="0" xfId="0" applyFont="1" applyFill="1" applyAlignment="1">
      <alignment horizontal="center"/>
    </xf>
    <xf fontId="9" fillId="3" borderId="42" numFmtId="0" xfId="1" applyFont="1" applyFill="1" applyBorder="1" applyAlignment="1">
      <alignment horizontal="center"/>
    </xf>
    <xf fontId="51" fillId="13" borderId="42" numFmtId="0" xfId="1" applyFont="1" applyFill="1" applyBorder="1" applyAlignment="1">
      <alignment horizontal="center" wrapText="1"/>
    </xf>
    <xf fontId="51" fillId="0" borderId="42" numFmtId="164" xfId="5" applyNumberFormat="1" applyFont="1" applyBorder="1" applyAlignment="1">
      <alignment horizontal="center"/>
    </xf>
    <xf fontId="51" fillId="0" borderId="42" numFmtId="0" xfId="1" applyFont="1" applyBorder="1" applyAlignment="1">
      <alignment horizontal="center" wrapText="1"/>
    </xf>
    <xf fontId="9" fillId="13" borderId="42" numFmtId="169" xfId="1" applyNumberFormat="1" applyFont="1" applyFill="1" applyBorder="1" applyAlignment="1">
      <alignment horizontal="center" wrapText="1"/>
    </xf>
    <xf fontId="9" fillId="0" borderId="42" numFmtId="164" xfId="5" applyNumberFormat="1" applyFont="1" applyBorder="1" applyAlignment="1">
      <alignment horizontal="center"/>
    </xf>
    <xf fontId="51" fillId="11" borderId="42" numFmtId="169" xfId="1" applyNumberFormat="1" applyFont="1" applyFill="1" applyBorder="1" applyAlignment="1">
      <alignment horizontal="center" wrapText="1"/>
    </xf>
    <xf fontId="51" fillId="0" borderId="42" numFmtId="169" xfId="1" applyNumberFormat="1" applyFont="1" applyBorder="1" applyAlignment="1">
      <alignment horizontal="center" wrapText="1"/>
    </xf>
    <xf fontId="46" fillId="0" borderId="25" numFmtId="4" xfId="0" applyNumberFormat="1" applyFont="1" applyBorder="1" applyAlignment="1">
      <alignment vertical="center" wrapText="1"/>
    </xf>
    <xf fontId="42" fillId="0" borderId="42" numFmtId="0" xfId="1" applyFont="1" applyBorder="1"/>
    <xf fontId="51" fillId="0" borderId="42" numFmtId="0" xfId="1" applyFont="1" applyBorder="1" applyAlignment="1">
      <alignment horizontal="left"/>
    </xf>
    <xf fontId="36" fillId="0" borderId="19" numFmtId="3" xfId="1" applyNumberFormat="1" applyFont="1" applyBorder="1" applyAlignment="1">
      <alignment horizontal="center" wrapText="1"/>
    </xf>
    <xf fontId="42" fillId="0" borderId="25" numFmtId="3" xfId="1" applyNumberFormat="1" applyFont="1" applyBorder="1" applyAlignment="1">
      <alignment horizontal="center"/>
    </xf>
    <xf fontId="42" fillId="0" borderId="21" numFmtId="3" xfId="1" applyNumberFormat="1" applyFont="1" applyBorder="1" applyAlignment="1">
      <alignment horizontal="center"/>
    </xf>
    <xf fontId="9" fillId="0" borderId="19" numFmtId="3" xfId="1" applyNumberFormat="1" applyFont="1" applyBorder="1" applyAlignment="1">
      <alignment horizontal="center" wrapText="1"/>
    </xf>
    <xf fontId="51" fillId="0" borderId="21" numFmtId="0" xfId="1" applyFont="1" applyBorder="1"/>
    <xf fontId="42" fillId="0" borderId="25" numFmtId="0" xfId="1" applyFont="1" applyBorder="1"/>
    <xf fontId="42" fillId="0" borderId="21" numFmtId="0" xfId="1" applyFont="1" applyBorder="1"/>
    <xf fontId="9" fillId="0" borderId="21" numFmtId="0" xfId="1" applyFont="1" applyBorder="1"/>
    <xf fontId="9" fillId="21" borderId="42" numFmtId="0" xfId="1" applyFont="1" applyFill="1" applyBorder="1"/>
    <xf fontId="51" fillId="0" borderId="25" numFmtId="3" xfId="1" applyNumberFormat="1" applyFont="1" applyBorder="1"/>
    <xf fontId="51" fillId="0" borderId="42" numFmtId="169" xfId="1" applyNumberFormat="1" applyFont="1" applyBorder="1" applyAlignment="1">
      <alignment horizontal="center"/>
    </xf>
    <xf fontId="9" fillId="0" borderId="3" numFmtId="1" xfId="1" applyNumberFormat="1" applyFont="1" applyBorder="1" applyAlignment="1">
      <alignment horizontal="center" wrapText="1"/>
    </xf>
    <xf fontId="51" fillId="0" borderId="42" numFmtId="3" xfId="1" applyNumberFormat="1" applyFont="1" applyBorder="1"/>
    <xf fontId="51" fillId="11" borderId="0" numFmtId="3" xfId="1" applyNumberFormat="1" applyFont="1" applyFill="1" applyAlignment="1">
      <alignment wrapText="1"/>
    </xf>
    <xf fontId="51" fillId="13" borderId="0" numFmtId="3" xfId="1" applyNumberFormat="1" applyFont="1" applyFill="1" applyAlignment="1">
      <alignment wrapText="1"/>
    </xf>
    <xf fontId="42" fillId="0" borderId="0" numFmtId="0" xfId="1" applyFont="1" applyAlignment="1">
      <alignment horizontal="center" vertical="center"/>
    </xf>
    <xf fontId="51" fillId="0" borderId="0" numFmtId="3" xfId="1" applyNumberFormat="1" applyFont="1" applyAlignment="1">
      <alignment horizontal="center" vertical="center"/>
    </xf>
    <xf fontId="51" fillId="11" borderId="0" numFmtId="0" xfId="1" applyFont="1" applyFill="1" applyAlignment="1">
      <alignment horizontal="center" vertical="center" wrapText="1"/>
    </xf>
    <xf fontId="51" fillId="13" borderId="0" numFmtId="0" xfId="1" applyFont="1" applyFill="1" applyAlignment="1">
      <alignment horizontal="center" vertical="center" wrapText="1"/>
    </xf>
    <xf fontId="51" fillId="0" borderId="0" numFmtId="3" xfId="1" applyNumberFormat="1" applyFont="1" applyAlignment="1">
      <alignment wrapText="1"/>
    </xf>
    <xf fontId="42" fillId="11" borderId="0" numFmtId="0" xfId="1" applyFont="1" applyFill="1" applyAlignment="1">
      <alignment wrapText="1"/>
    </xf>
    <xf fontId="42" fillId="13" borderId="0" numFmtId="0" xfId="1" applyFont="1" applyFill="1" applyAlignment="1">
      <alignment wrapText="1"/>
    </xf>
    <xf fontId="9" fillId="0" borderId="42" numFmtId="3" xfId="1" applyNumberFormat="1" applyFont="1" applyBorder="1" applyAlignment="1">
      <alignment horizontal="center" vertical="center"/>
    </xf>
    <xf fontId="9" fillId="11" borderId="42" numFmtId="3" xfId="1" applyNumberFormat="1" applyFont="1" applyFill="1" applyBorder="1" applyAlignment="1">
      <alignment horizontal="center" vertical="center" wrapText="1"/>
    </xf>
    <xf fontId="9" fillId="5" borderId="42" numFmtId="3" xfId="1" applyNumberFormat="1" applyFont="1" applyFill="1" applyBorder="1" applyAlignment="1">
      <alignment horizontal="center" vertical="center" wrapText="1"/>
    </xf>
    <xf fontId="9" fillId="0" borderId="42" numFmtId="3" xfId="1" applyNumberFormat="1" applyFont="1" applyBorder="1" applyAlignment="1">
      <alignment horizontal="center" vertical="center" wrapText="1"/>
    </xf>
    <xf fontId="9" fillId="0" borderId="42" numFmtId="0" xfId="1" applyFont="1" applyBorder="1" applyAlignment="1">
      <alignment vertical="center"/>
    </xf>
    <xf fontId="9" fillId="6" borderId="0" numFmtId="0" xfId="0" applyFont="1" applyFill="1"/>
    <xf fontId="36" fillId="11" borderId="42" numFmtId="3" xfId="1" applyNumberFormat="1" applyFont="1" applyFill="1" applyBorder="1"/>
    <xf fontId="51" fillId="11" borderId="0" numFmtId="0" xfId="1" applyFont="1" applyFill="1" applyAlignment="1">
      <alignment horizontal="center" wrapText="1"/>
    </xf>
    <xf fontId="51" fillId="13" borderId="0" numFmtId="0" xfId="1" applyFont="1" applyFill="1" applyAlignment="1">
      <alignment horizontal="center" wrapText="1"/>
    </xf>
    <xf fontId="95" fillId="0" borderId="42" numFmtId="0" xfId="1" applyFont="1" applyBorder="1"/>
    <xf fontId="42" fillId="11" borderId="0" numFmtId="0" xfId="1" applyFont="1" applyFill="1" applyAlignment="1">
      <alignment horizontal="center" wrapText="1"/>
    </xf>
    <xf fontId="42" fillId="13" borderId="0" numFmtId="0" xfId="1" applyFont="1" applyFill="1" applyAlignment="1">
      <alignment horizontal="center" wrapText="1"/>
    </xf>
    <xf fontId="42" fillId="11" borderId="0" numFmtId="0" xfId="1" applyFont="1" applyFill="1"/>
    <xf fontId="42" fillId="0" borderId="0" numFmtId="0" xfId="0" applyFont="1" applyAlignment="1">
      <alignment horizontal="center" vertical="center"/>
    </xf>
    <xf fontId="51" fillId="11" borderId="42" numFmtId="1" xfId="1" applyNumberFormat="1" applyFont="1" applyFill="1" applyBorder="1" applyAlignment="1">
      <alignment horizontal="center" vertical="center" wrapText="1"/>
    </xf>
    <xf fontId="42" fillId="0" borderId="0" numFmtId="3" xfId="1" applyNumberFormat="1" applyFont="1" applyAlignment="1">
      <alignment horizontal="center" vertical="center"/>
    </xf>
    <xf fontId="51" fillId="0" borderId="0" numFmtId="3" xfId="1" applyNumberFormat="1" applyFont="1" applyAlignment="1">
      <alignment horizontal="center" vertical="center" wrapText="1"/>
    </xf>
    <xf fontId="42" fillId="11" borderId="0" numFmtId="0" xfId="1" applyFont="1" applyFill="1" applyAlignment="1">
      <alignment horizontal="center" vertical="center" wrapText="1"/>
    </xf>
    <xf fontId="42" fillId="13" borderId="0" numFmtId="0" xfId="1" applyFont="1" applyFill="1" applyAlignment="1">
      <alignment horizontal="center" vertical="center" wrapText="1"/>
    </xf>
    <xf fontId="42" fillId="0" borderId="0" numFmtId="164" xfId="5" applyNumberFormat="1" applyFont="1" applyAlignment="1">
      <alignment horizontal="center" vertical="center"/>
    </xf>
    <xf fontId="42" fillId="0" borderId="0" numFmtId="0" xfId="1" applyFont="1" applyAlignment="1">
      <alignment horizontal="center" vertical="center" wrapText="1"/>
    </xf>
    <xf fontId="36" fillId="0" borderId="42" numFmtId="3" xfId="1" applyNumberFormat="1" applyFont="1" applyBorder="1"/>
    <xf fontId="57" fillId="8" borderId="18" numFmtId="0" xfId="1" applyFont="1" applyFill="1" applyBorder="1" applyAlignment="1">
      <alignment horizontal="center" vertical="center" wrapText="1"/>
    </xf>
    <xf fontId="7" fillId="0" borderId="19" numFmtId="0" xfId="1" applyFont="1" applyBorder="1" applyAlignment="1">
      <alignment horizontal="centerContinuous" vertical="center" wrapText="1"/>
    </xf>
    <xf fontId="90" fillId="0" borderId="20" numFmtId="0" xfId="1" applyFont="1" applyBorder="1" applyAlignment="1">
      <alignment horizontal="centerContinuous" vertical="center" wrapText="1"/>
    </xf>
    <xf fontId="90" fillId="0" borderId="21" numFmtId="0" xfId="1" applyFont="1" applyBorder="1" applyAlignment="1">
      <alignment horizontal="centerContinuous" vertical="center" wrapText="1"/>
    </xf>
    <xf fontId="96" fillId="0" borderId="42" numFmtId="0" xfId="1" applyFont="1" applyBorder="1"/>
    <xf fontId="96" fillId="0" borderId="19" numFmtId="0" xfId="1" applyFont="1" applyBorder="1" applyAlignment="1">
      <alignment horizontal="centerContinuous"/>
    </xf>
    <xf fontId="96" fillId="0" borderId="20" numFmtId="0" xfId="1" applyFont="1" applyBorder="1" applyAlignment="1">
      <alignment horizontal="centerContinuous"/>
    </xf>
    <xf fontId="96" fillId="0" borderId="20" numFmtId="164" xfId="5" applyNumberFormat="1" applyFont="1" applyBorder="1" applyAlignment="1">
      <alignment horizontal="centerContinuous"/>
    </xf>
    <xf fontId="96" fillId="0" borderId="21" numFmtId="0" xfId="1" applyFont="1" applyBorder="1" applyAlignment="1">
      <alignment horizontal="centerContinuous"/>
    </xf>
    <xf fontId="51" fillId="13" borderId="42" numFmtId="0" xfId="1" applyFont="1" applyFill="1" applyBorder="1" applyAlignment="1">
      <alignment horizontal="center" vertical="center" wrapText="1"/>
    </xf>
    <xf fontId="42" fillId="11" borderId="42" numFmtId="169" xfId="1" applyNumberFormat="1" applyFont="1" applyFill="1" applyBorder="1" applyAlignment="1">
      <alignment horizontal="center" wrapText="1"/>
    </xf>
    <xf fontId="42" fillId="0" borderId="42" numFmtId="169" xfId="1" applyNumberFormat="1" applyFont="1" applyBorder="1" applyAlignment="1">
      <alignment horizontal="center" wrapText="1"/>
    </xf>
    <xf fontId="9" fillId="0" borderId="0" numFmtId="170" xfId="1" applyNumberFormat="1" applyFont="1" applyAlignment="1">
      <alignment horizontal="center"/>
    </xf>
    <xf fontId="9" fillId="9" borderId="42" numFmtId="0" xfId="1" applyFont="1" applyFill="1" applyBorder="1" applyAlignment="1">
      <alignment horizontal="left"/>
    </xf>
    <xf fontId="36" fillId="0" borderId="0" numFmtId="170" xfId="1" applyNumberFormat="1" applyFont="1" applyAlignment="1">
      <alignment horizontal="center"/>
    </xf>
    <xf fontId="36" fillId="11" borderId="42" numFmtId="169" xfId="1" applyNumberFormat="1" applyFont="1" applyFill="1" applyBorder="1" applyAlignment="1">
      <alignment horizontal="center"/>
    </xf>
    <xf fontId="36" fillId="11" borderId="42" numFmtId="4" xfId="1" applyNumberFormat="1" applyFont="1" applyFill="1" applyBorder="1" applyAlignment="1">
      <alignment horizontal="center"/>
    </xf>
    <xf fontId="9" fillId="0" borderId="0" numFmtId="169" xfId="1" applyNumberFormat="1" applyFont="1"/>
    <xf fontId="36" fillId="0" borderId="0" numFmtId="169" xfId="1" applyNumberFormat="1" applyFont="1"/>
    <xf fontId="36" fillId="13" borderId="42" numFmtId="169" xfId="1" applyNumberFormat="1" applyFont="1" applyFill="1" applyBorder="1" applyAlignment="1">
      <alignment horizontal="center" wrapText="1"/>
    </xf>
    <xf fontId="9" fillId="13" borderId="0" numFmtId="0" xfId="1" applyFont="1" applyFill="1"/>
    <xf fontId="9" fillId="13" borderId="0" numFmtId="169" xfId="1" applyNumberFormat="1" applyFont="1" applyFill="1" applyAlignment="1">
      <alignment horizontal="center"/>
    </xf>
    <xf fontId="9" fillId="13" borderId="0" numFmtId="0" xfId="1" applyFont="1" applyFill="1" applyAlignment="1">
      <alignment horizontal="center"/>
    </xf>
    <xf fontId="9" fillId="13" borderId="0" numFmtId="0" xfId="1" applyFont="1" applyFill="1" applyAlignment="1">
      <alignment wrapText="1"/>
    </xf>
    <xf fontId="3" fillId="13" borderId="0" numFmtId="0" xfId="1" applyFont="1" applyFill="1" applyAlignment="1">
      <alignment horizontal="center" vertical="center"/>
    </xf>
    <xf fontId="51" fillId="0" borderId="0" numFmtId="4" xfId="1" applyNumberFormat="1" applyFont="1" applyAlignment="1">
      <alignment wrapText="1"/>
    </xf>
    <xf fontId="9" fillId="0" borderId="0" numFmtId="4" xfId="1" applyNumberFormat="1" applyFont="1" applyAlignment="1">
      <alignment wrapText="1"/>
    </xf>
    <xf fontId="51" fillId="0" borderId="0" numFmtId="169" xfId="1" applyNumberFormat="1" applyFont="1" applyAlignment="1">
      <alignment horizontal="center"/>
    </xf>
    <xf fontId="59" fillId="0" borderId="42" numFmtId="0" xfId="1" applyFont="1" applyBorder="1" applyAlignment="1">
      <alignment horizontal="center" vertical="center" wrapText="1"/>
    </xf>
    <xf fontId="62" fillId="0" borderId="42" numFmtId="0" xfId="1" applyFont="1" applyBorder="1" applyAlignment="1">
      <alignment horizontal="center" vertical="center" wrapText="1"/>
    </xf>
    <xf fontId="9" fillId="11" borderId="42" numFmtId="1" xfId="1" applyNumberFormat="1" applyFont="1" applyFill="1" applyBorder="1" applyAlignment="1">
      <alignment horizontal="center" wrapText="1"/>
    </xf>
    <xf fontId="9" fillId="5" borderId="42" numFmtId="1" xfId="1" applyNumberFormat="1" applyFont="1" applyFill="1" applyBorder="1" applyAlignment="1">
      <alignment horizontal="center" wrapText="1"/>
    </xf>
    <xf fontId="9" fillId="13" borderId="42" numFmtId="1" xfId="1" applyNumberFormat="1" applyFont="1" applyFill="1" applyBorder="1" applyAlignment="1">
      <alignment horizontal="center" wrapText="1"/>
    </xf>
    <xf fontId="9" fillId="0" borderId="42" numFmtId="1" xfId="1" applyNumberFormat="1" applyFont="1" applyBorder="1" applyAlignment="1">
      <alignment horizontal="center" wrapText="1"/>
    </xf>
    <xf fontId="36" fillId="5" borderId="42" numFmtId="1" xfId="1" applyNumberFormat="1" applyFont="1" applyFill="1" applyBorder="1" applyAlignment="1">
      <alignment horizontal="center" wrapText="1"/>
    </xf>
    <xf fontId="36" fillId="13" borderId="42" numFmtId="1" xfId="1" applyNumberFormat="1" applyFont="1" applyFill="1" applyBorder="1" applyAlignment="1">
      <alignment horizontal="center" wrapText="1"/>
    </xf>
    <xf fontId="36" fillId="0" borderId="0" numFmtId="0" xfId="1" applyFont="1" applyAlignment="1">
      <alignment wrapText="1"/>
    </xf>
    <xf fontId="9" fillId="0" borderId="42" numFmtId="2" xfId="1" applyNumberFormat="1" applyFont="1" applyBorder="1" applyAlignment="1">
      <alignment horizontal="center"/>
    </xf>
    <xf fontId="9" fillId="11" borderId="42" numFmtId="2" xfId="1" applyNumberFormat="1" applyFont="1" applyFill="1" applyBorder="1" applyAlignment="1">
      <alignment horizontal="center" wrapText="1"/>
    </xf>
    <xf fontId="9" fillId="5" borderId="42" numFmtId="2" xfId="1" applyNumberFormat="1" applyFont="1" applyFill="1" applyBorder="1" applyAlignment="1">
      <alignment horizontal="center" wrapText="1"/>
    </xf>
    <xf fontId="51" fillId="0" borderId="42" numFmtId="1" xfId="1" applyNumberFormat="1" applyFont="1" applyBorder="1" applyAlignment="1">
      <alignment horizontal="center" wrapText="1"/>
    </xf>
    <xf fontId="36" fillId="0" borderId="42" numFmtId="2" xfId="1" applyNumberFormat="1" applyFont="1" applyBorder="1" applyAlignment="1">
      <alignment horizontal="center"/>
    </xf>
    <xf fontId="36" fillId="11" borderId="42" numFmtId="2" xfId="1" applyNumberFormat="1" applyFont="1" applyFill="1" applyBorder="1" applyAlignment="1">
      <alignment horizontal="center" wrapText="1"/>
    </xf>
    <xf fontId="36" fillId="5" borderId="42" numFmtId="2" xfId="1" applyNumberFormat="1" applyFont="1" applyFill="1" applyBorder="1" applyAlignment="1">
      <alignment horizontal="center" wrapText="1"/>
    </xf>
    <xf fontId="36" fillId="11" borderId="42" numFmtId="2" xfId="1" applyNumberFormat="1" applyFont="1" applyFill="1" applyBorder="1" applyAlignment="1">
      <alignment horizontal="center"/>
    </xf>
    <xf fontId="9" fillId="0" borderId="42" numFmtId="170" xfId="1" applyNumberFormat="1" applyFont="1" applyBorder="1" applyAlignment="1">
      <alignment horizontal="center"/>
    </xf>
    <xf fontId="97" fillId="0" borderId="0" numFmtId="0" xfId="0" applyFont="1"/>
    <xf fontId="36" fillId="5" borderId="42" numFmtId="0" xfId="1" applyFont="1" applyFill="1" applyBorder="1" applyAlignment="1">
      <alignment horizontal="center" wrapText="1"/>
    </xf>
    <xf fontId="9" fillId="13" borderId="42" numFmtId="0" xfId="1" applyFont="1" applyFill="1" applyBorder="1" applyAlignment="1">
      <alignment horizontal="center" wrapText="1"/>
    </xf>
    <xf fontId="42" fillId="0" borderId="0" numFmtId="1" xfId="1" applyNumberFormat="1" applyFont="1"/>
    <xf fontId="42" fillId="0" borderId="0" numFmtId="1" xfId="1" applyNumberFormat="1" applyFont="1" applyAlignment="1">
      <alignment wrapText="1"/>
    </xf>
    <xf fontId="42" fillId="0" borderId="0" numFmtId="170" xfId="1" applyNumberFormat="1" applyFont="1"/>
    <xf fontId="42" fillId="0" borderId="0" numFmtId="170" xfId="1" applyNumberFormat="1" applyFont="1" applyAlignment="1">
      <alignment wrapText="1"/>
    </xf>
    <xf fontId="42" fillId="0" borderId="7" numFmtId="0" xfId="1" applyFont="1" applyBorder="1"/>
    <xf fontId="36" fillId="0" borderId="0" numFmtId="1" xfId="1" applyNumberFormat="1" applyFont="1" applyAlignment="1">
      <alignment horizontal="center" wrapText="1"/>
    </xf>
    <xf fontId="51" fillId="0" borderId="0" numFmtId="166" xfId="5" applyNumberFormat="1" applyFont="1"/>
    <xf fontId="42" fillId="0" borderId="0" numFmtId="170" xfId="1" applyNumberFormat="1" applyFont="1" applyAlignment="1">
      <alignment horizontal="center"/>
    </xf>
    <xf fontId="51" fillId="11" borderId="0" numFmtId="169" xfId="1" applyNumberFormat="1" applyFont="1" applyFill="1" applyAlignment="1">
      <alignment wrapText="1"/>
    </xf>
    <xf fontId="42" fillId="11" borderId="0" numFmtId="169" xfId="1" applyNumberFormat="1" applyFont="1" applyFill="1" applyAlignment="1">
      <alignment wrapText="1"/>
    </xf>
    <xf fontId="9" fillId="0" borderId="42" numFmtId="4" xfId="1" applyNumberFormat="1" applyFont="1" applyBorder="1"/>
    <xf fontId="51" fillId="11" borderId="0" numFmtId="4" xfId="1" applyNumberFormat="1" applyFont="1" applyFill="1" applyAlignment="1">
      <alignment wrapText="1"/>
    </xf>
    <xf fontId="51" fillId="13" borderId="0" numFmtId="4" xfId="1" applyNumberFormat="1" applyFont="1" applyFill="1" applyAlignment="1">
      <alignment wrapText="1"/>
    </xf>
    <xf fontId="42" fillId="11" borderId="0" numFmtId="4" xfId="1" applyNumberFormat="1" applyFont="1" applyFill="1" applyAlignment="1">
      <alignment wrapText="1"/>
    </xf>
    <xf fontId="42" fillId="13" borderId="0" numFmtId="4" xfId="1" applyNumberFormat="1" applyFont="1" applyFill="1" applyAlignment="1">
      <alignment wrapText="1"/>
    </xf>
    <xf fontId="9" fillId="13" borderId="0" numFmtId="4" xfId="1" applyNumberFormat="1" applyFont="1" applyFill="1"/>
    <xf fontId="9" fillId="13" borderId="0" numFmtId="3" xfId="1" applyNumberFormat="1" applyFont="1" applyFill="1" applyAlignment="1">
      <alignment horizontal="center"/>
    </xf>
    <xf fontId="51" fillId="13" borderId="0" numFmtId="4" xfId="1" applyNumberFormat="1" applyFont="1" applyFill="1" applyAlignment="1">
      <alignment horizontal="center"/>
    </xf>
    <xf fontId="51" fillId="13" borderId="0" numFmtId="169" xfId="1" applyNumberFormat="1" applyFont="1" applyFill="1" applyAlignment="1">
      <alignment horizontal="center" wrapText="1"/>
    </xf>
    <xf fontId="9" fillId="13" borderId="0" numFmtId="4" xfId="1" applyNumberFormat="1" applyFont="1" applyFill="1" applyAlignment="1">
      <alignment horizontal="center"/>
    </xf>
    <xf fontId="3" fillId="0" borderId="0" numFmtId="4" xfId="1" applyNumberFormat="1" applyFont="1"/>
    <xf fontId="3" fillId="0" borderId="0" numFmtId="4" xfId="1" applyNumberFormat="1" applyFont="1" applyAlignment="1">
      <alignment horizontal="center"/>
    </xf>
    <xf fontId="3" fillId="0" borderId="0" numFmtId="169" xfId="1" applyNumberFormat="1" applyFont="1" applyAlignment="1">
      <alignment horizontal="center" wrapText="1"/>
    </xf>
    <xf fontId="3" fillId="0" borderId="0" numFmtId="169" xfId="1" applyNumberFormat="1" applyFont="1"/>
    <xf fontId="3" fillId="0" borderId="0" numFmtId="4" xfId="1" applyNumberFormat="1" applyFont="1" applyAlignment="1">
      <alignment wrapText="1"/>
    </xf>
    <xf fontId="3" fillId="0" borderId="0" numFmtId="164" xfId="5" applyNumberFormat="1" applyFont="1"/>
    <xf fontId="51" fillId="0" borderId="0" numFmtId="169" xfId="1" applyNumberFormat="1" applyFont="1" applyAlignment="1">
      <alignment horizontal="center" wrapText="1"/>
    </xf>
    <xf fontId="9" fillId="0" borderId="0" numFmtId="169" xfId="1" applyNumberFormat="1" applyFont="1" applyAlignment="1">
      <alignment horizontal="center" wrapText="1"/>
    </xf>
    <xf fontId="42" fillId="0" borderId="0" numFmtId="169" xfId="1" applyNumberFormat="1" applyFont="1" applyAlignment="1">
      <alignment wrapText="1"/>
    </xf>
    <xf fontId="8" fillId="0" borderId="42" numFmtId="0" xfId="1" applyFont="1" applyBorder="1" applyAlignment="1">
      <alignment horizontal="center" vertical="center" wrapText="1"/>
    </xf>
    <xf fontId="98" fillId="0" borderId="42" numFmtId="0" xfId="1" applyFont="1" applyBorder="1" applyAlignment="1">
      <alignment horizontal="center" vertical="center" wrapText="1"/>
    </xf>
    <xf fontId="9" fillId="0" borderId="42" numFmtId="3" xfId="1" applyNumberFormat="1" applyFont="1" applyBorder="1"/>
    <xf fontId="36" fillId="11" borderId="42" numFmtId="3" xfId="1" applyNumberFormat="1" applyFont="1" applyFill="1" applyBorder="1" applyAlignment="1">
      <alignment horizontal="center" vertical="center" wrapText="1"/>
    </xf>
    <xf fontId="9" fillId="11" borderId="42" numFmtId="3" xfId="1" applyNumberFormat="1" applyFont="1" applyFill="1" applyBorder="1" applyAlignment="1">
      <alignment wrapText="1"/>
    </xf>
    <xf fontId="9" fillId="13" borderId="42" numFmtId="3" xfId="1" applyNumberFormat="1" applyFont="1" applyFill="1" applyBorder="1" applyAlignment="1">
      <alignment wrapText="1"/>
    </xf>
    <xf fontId="9" fillId="0" borderId="42" numFmtId="164" xfId="5" applyNumberFormat="1" applyFont="1" applyBorder="1"/>
    <xf fontId="51" fillId="11" borderId="42" numFmtId="3" xfId="1" applyNumberFormat="1" applyFont="1" applyFill="1" applyBorder="1" applyAlignment="1">
      <alignment horizontal="center" wrapText="1"/>
    </xf>
    <xf fontId="51" fillId="0" borderId="42" numFmtId="3" xfId="1" applyNumberFormat="1" applyFont="1" applyBorder="1" applyAlignment="1">
      <alignment horizontal="center" wrapText="1"/>
    </xf>
    <xf fontId="36" fillId="0" borderId="42" numFmtId="164" xfId="5" applyNumberFormat="1" applyFont="1" applyBorder="1" applyAlignment="1">
      <alignment horizontal="center"/>
    </xf>
    <xf fontId="99" fillId="0" borderId="0" numFmtId="0" xfId="0" applyFont="1"/>
    <xf fontId="9" fillId="0" borderId="0" numFmtId="3" xfId="1" applyNumberFormat="1" applyFont="1"/>
    <xf fontId="36" fillId="15" borderId="42" numFmtId="3" xfId="1" applyNumberFormat="1" applyFont="1" applyFill="1" applyBorder="1" applyAlignment="1">
      <alignment horizontal="center"/>
    </xf>
    <xf fontId="36" fillId="15" borderId="42" numFmtId="3" xfId="1" applyNumberFormat="1" applyFont="1" applyFill="1" applyBorder="1" applyAlignment="1">
      <alignment horizontal="center" wrapText="1"/>
    </xf>
    <xf fontId="36" fillId="15" borderId="42" numFmtId="3" xfId="1" applyNumberFormat="1" applyFont="1" applyFill="1" applyBorder="1" applyAlignment="1">
      <alignment horizontal="center" vertical="center" wrapText="1"/>
    </xf>
    <xf fontId="9" fillId="15" borderId="42" numFmtId="3" xfId="1" applyNumberFormat="1" applyFont="1" applyFill="1" applyBorder="1" applyAlignment="1">
      <alignment horizontal="center" wrapText="1"/>
    </xf>
    <xf fontId="9" fillId="15" borderId="42" numFmtId="3" xfId="1" applyNumberFormat="1" applyFont="1" applyFill="1" applyBorder="1" applyAlignment="1">
      <alignment wrapText="1"/>
    </xf>
    <xf fontId="36" fillId="15" borderId="42" numFmtId="164" xfId="5" applyNumberFormat="1" applyFont="1" applyFill="1" applyBorder="1" applyAlignment="1">
      <alignment horizontal="center"/>
    </xf>
    <xf fontId="51" fillId="15" borderId="42" numFmtId="3" xfId="1" applyNumberFormat="1" applyFont="1" applyFill="1" applyBorder="1" applyAlignment="1">
      <alignment horizontal="center" wrapText="1"/>
    </xf>
    <xf fontId="36" fillId="9" borderId="42" numFmtId="3" xfId="1" applyNumberFormat="1" applyFont="1" applyFill="1" applyBorder="1" applyAlignment="1">
      <alignment horizontal="center"/>
    </xf>
    <xf fontId="36" fillId="9" borderId="42" numFmtId="3" xfId="1" applyNumberFormat="1" applyFont="1" applyFill="1" applyBorder="1" applyAlignment="1">
      <alignment horizontal="center" wrapText="1"/>
    </xf>
    <xf fontId="45" fillId="0" borderId="0" numFmtId="0" xfId="1" applyFont="1" applyAlignment="1">
      <alignment horizontal="center"/>
    </xf>
    <xf fontId="36" fillId="0" borderId="0" numFmtId="3" xfId="1" applyNumberFormat="1" applyFont="1" applyAlignment="1">
      <alignment wrapText="1"/>
    </xf>
    <xf fontId="42" fillId="0" borderId="0" numFmtId="3" xfId="1" applyNumberFormat="1" applyFont="1" applyAlignment="1">
      <alignment wrapText="1"/>
    </xf>
    <xf fontId="36" fillId="0" borderId="0" numFmtId="3" xfId="1" applyNumberFormat="1" applyFont="1"/>
    <xf fontId="36" fillId="0" borderId="1" numFmtId="3" xfId="1" applyNumberFormat="1" applyFont="1" applyBorder="1"/>
    <xf fontId="42" fillId="11" borderId="0" numFmtId="3" xfId="1" applyNumberFormat="1" applyFont="1" applyFill="1" applyAlignment="1">
      <alignment wrapText="1"/>
    </xf>
    <xf fontId="42" fillId="13" borderId="0" numFmtId="3" xfId="1" applyNumberFormat="1" applyFont="1" applyFill="1" applyAlignment="1">
      <alignment wrapText="1"/>
    </xf>
    <xf fontId="42" fillId="0" borderId="0" numFmtId="2" xfId="1" applyNumberFormat="1" applyFont="1"/>
    <xf fontId="9" fillId="0" borderId="0" numFmtId="0" xfId="0" applyFont="1" applyAlignment="1">
      <alignment vertical="center"/>
    </xf>
    <xf fontId="59" fillId="0" borderId="19" numFmtId="0" xfId="1" applyFont="1" applyBorder="1" applyAlignment="1">
      <alignment horizontal="centerContinuous" vertical="center"/>
    </xf>
    <xf fontId="62" fillId="0" borderId="20" numFmtId="0" xfId="1" applyFont="1" applyBorder="1" applyAlignment="1">
      <alignment horizontal="centerContinuous" vertical="center"/>
    </xf>
    <xf fontId="62" fillId="0" borderId="21" numFmtId="0" xfId="1" applyFont="1" applyBorder="1" applyAlignment="1">
      <alignment horizontal="centerContinuous" vertical="center"/>
    </xf>
    <xf fontId="51" fillId="0" borderId="0" numFmtId="0" xfId="1" applyFont="1" applyAlignment="1">
      <alignment vertical="center"/>
    </xf>
    <xf fontId="51" fillId="11" borderId="0" numFmtId="0" xfId="1" applyFont="1" applyFill="1" applyAlignment="1">
      <alignment vertical="center" wrapText="1"/>
    </xf>
    <xf fontId="51" fillId="13" borderId="0" numFmtId="0" xfId="1" applyFont="1" applyFill="1" applyAlignment="1">
      <alignment vertical="center" wrapText="1"/>
    </xf>
    <xf fontId="42" fillId="0" borderId="0" numFmtId="0" xfId="1" applyFont="1" applyAlignment="1">
      <alignment vertical="center"/>
    </xf>
    <xf fontId="42" fillId="11" borderId="0" numFmtId="0" xfId="1" applyFont="1" applyFill="1" applyAlignment="1">
      <alignment vertical="center" wrapText="1"/>
    </xf>
    <xf fontId="42" fillId="13" borderId="0" numFmtId="0" xfId="1" applyFont="1" applyFill="1" applyAlignment="1">
      <alignment vertical="center" wrapText="1"/>
    </xf>
    <xf fontId="51" fillId="0" borderId="0" numFmtId="164" xfId="5" applyNumberFormat="1" applyFont="1" applyAlignment="1">
      <alignment vertical="center"/>
    </xf>
    <xf fontId="51" fillId="0" borderId="0" numFmtId="0" xfId="1" applyFont="1" applyAlignment="1">
      <alignment vertical="center" wrapText="1"/>
    </xf>
    <xf fontId="78" fillId="0" borderId="42" numFmtId="0" xfId="1" applyFont="1" applyBorder="1" applyAlignment="1">
      <alignment horizontal="centerContinuous" vertical="center" wrapText="1"/>
    </xf>
    <xf fontId="9" fillId="0" borderId="42" numFmtId="169" xfId="1" applyNumberFormat="1" applyFont="1" applyBorder="1" applyAlignment="1">
      <alignment horizontal="center" vertical="center"/>
    </xf>
    <xf fontId="51" fillId="0" borderId="42" numFmtId="169" xfId="1" applyNumberFormat="1" applyFont="1" applyBorder="1" applyAlignment="1">
      <alignment horizontal="center" vertical="center"/>
    </xf>
    <xf fontId="51" fillId="11" borderId="42" numFmtId="169" xfId="1" applyNumberFormat="1" applyFont="1" applyFill="1" applyBorder="1" applyAlignment="1">
      <alignment horizontal="center" vertical="center" wrapText="1"/>
    </xf>
    <xf fontId="51" fillId="5" borderId="42" numFmtId="169" xfId="1" applyNumberFormat="1" applyFont="1" applyFill="1" applyBorder="1" applyAlignment="1">
      <alignment horizontal="center" vertical="center" wrapText="1"/>
    </xf>
    <xf fontId="51" fillId="15" borderId="42" numFmtId="169" xfId="1" applyNumberFormat="1" applyFont="1" applyFill="1" applyBorder="1" applyAlignment="1">
      <alignment horizontal="center" vertical="center" wrapText="1"/>
    </xf>
    <xf fontId="100" fillId="0" borderId="42" numFmtId="0" xfId="1" applyFont="1" applyBorder="1"/>
    <xf fontId="78" fillId="0" borderId="20" numFmtId="0" xfId="1" applyFont="1" applyBorder="1" applyAlignment="1">
      <alignment horizontal="centerContinuous" vertical="center" wrapText="1"/>
    </xf>
    <xf fontId="78" fillId="0" borderId="21" numFmtId="0" xfId="1" applyFont="1" applyBorder="1" applyAlignment="1">
      <alignment horizontal="centerContinuous" vertical="center" wrapText="1"/>
    </xf>
    <xf fontId="78" fillId="0" borderId="20" numFmtId="164" xfId="5" applyNumberFormat="1" applyFont="1" applyBorder="1" applyAlignment="1">
      <alignment horizontal="centerContinuous" vertical="center" wrapText="1"/>
    </xf>
    <xf fontId="36" fillId="0" borderId="42" numFmtId="2" xfId="1" applyNumberFormat="1" applyFont="1" applyBorder="1"/>
    <xf fontId="36" fillId="11" borderId="0" numFmtId="3" xfId="1" applyNumberFormat="1" applyFont="1" applyFill="1" applyAlignment="1">
      <alignment horizontal="center" wrapText="1"/>
    </xf>
    <xf fontId="36" fillId="11" borderId="0" numFmtId="0" xfId="1" applyFont="1" applyFill="1" applyAlignment="1">
      <alignment wrapText="1"/>
    </xf>
    <xf fontId="36" fillId="0" borderId="0" numFmtId="2" xfId="1" applyNumberFormat="1" applyFont="1"/>
    <xf fontId="42" fillId="0" borderId="0" numFmtId="166" xfId="5" applyNumberFormat="1" applyFont="1"/>
    <xf fontId="9" fillId="0" borderId="0" numFmtId="0" xfId="1" applyFont="1" applyAlignment="1">
      <alignment horizontal="center" vertical="center"/>
    </xf>
    <xf fontId="9" fillId="0" borderId="0" numFmtId="1" xfId="1" applyNumberFormat="1" applyFont="1"/>
    <xf fontId="9" fillId="0" borderId="0" numFmtId="2" xfId="1" applyNumberFormat="1" applyFont="1"/>
    <xf fontId="36" fillId="5" borderId="0" numFmtId="0" xfId="1" applyFont="1" applyFill="1" applyAlignment="1">
      <alignment wrapText="1"/>
    </xf>
    <xf fontId="9" fillId="5" borderId="0" numFmtId="0" xfId="1" applyFont="1" applyFill="1" applyAlignment="1">
      <alignment wrapText="1"/>
    </xf>
    <xf fontId="9" fillId="0" borderId="0" numFmtId="4" xfId="1" applyNumberFormat="1" applyFont="1" applyAlignment="1">
      <alignment horizontal="center"/>
    </xf>
    <xf fontId="47" fillId="8" borderId="0" numFmtId="0" xfId="1" applyFont="1" applyFill="1"/>
    <xf fontId="58" fillId="0" borderId="42" numFmtId="164" xfId="5" applyNumberFormat="1" applyFont="1" applyBorder="1" applyAlignment="1">
      <alignment horizontal="center"/>
    </xf>
    <xf fontId="51" fillId="0" borderId="0" numFmtId="164" xfId="5" applyNumberFormat="1" applyFont="1" applyAlignment="1">
      <alignment wrapText="1"/>
    </xf>
    <xf fontId="0" fillId="0" borderId="0" numFmtId="0" xfId="0" applyAlignment="1">
      <alignment horizontal="center" wrapText="1"/>
    </xf>
    <xf fontId="0" fillId="0" borderId="0" numFmtId="0" xfId="0" applyAlignment="1">
      <alignment horizontal="center" wrapText="1"/>
    </xf>
    <xf fontId="9" fillId="0" borderId="42" numFmtId="4" xfId="2" applyNumberFormat="1" applyFont="1" applyBorder="1" applyAlignment="1">
      <alignment horizontal="centerContinuous" vertical="center"/>
    </xf>
    <xf fontId="10" fillId="0" borderId="42" numFmtId="4" xfId="2" applyNumberFormat="1" applyFont="1" applyBorder="1" applyAlignment="1">
      <alignment horizontal="centerContinuous" vertical="center"/>
    </xf>
    <xf fontId="10" fillId="0" borderId="19" numFmtId="4" xfId="2" applyNumberFormat="1" applyFont="1" applyBorder="1" applyAlignment="1">
      <alignment horizontal="centerContinuous" vertical="center"/>
    </xf>
    <xf fontId="3" fillId="0" borderId="42" numFmtId="4" xfId="2" applyNumberFormat="1" applyFont="1" applyBorder="1" applyAlignment="1">
      <alignment horizontal="centerContinuous" vertical="center"/>
    </xf>
    <xf fontId="101" fillId="0" borderId="42" numFmtId="4" xfId="2" applyNumberFormat="1" applyFont="1" applyBorder="1" applyAlignment="1">
      <alignment horizontal="centerContinuous" vertical="center"/>
    </xf>
    <xf fontId="10" fillId="0" borderId="36" numFmtId="4" xfId="2" applyNumberFormat="1" applyFont="1" applyBorder="1" applyAlignment="1">
      <alignment horizontal="center" vertical="center"/>
    </xf>
    <xf fontId="10" fillId="0" borderId="33" numFmtId="4" xfId="2" applyNumberFormat="1" applyFont="1" applyBorder="1" applyAlignment="1">
      <alignment horizontal="center" vertical="center"/>
    </xf>
    <xf fontId="10" fillId="0" borderId="35" numFmtId="4" xfId="2" applyNumberFormat="1" applyFont="1" applyBorder="1" applyAlignment="1">
      <alignment horizontal="center" vertical="center"/>
    </xf>
    <xf fontId="3" fillId="0" borderId="54" numFmtId="166" xfId="5" applyNumberFormat="1" applyFont="1" applyBorder="1"/>
    <xf fontId="3" fillId="0" borderId="54" numFmtId="166" xfId="5" applyNumberFormat="1" applyFont="1" applyBorder="1" applyAlignment="1">
      <alignment horizontal="center" vertical="center"/>
    </xf>
    <xf fontId="3" fillId="13" borderId="42" numFmtId="3" xfId="2" applyNumberFormat="1" applyFont="1" applyFill="1" applyBorder="1" applyAlignment="1">
      <alignment horizontal="center" vertical="center"/>
    </xf>
    <xf fontId="3" fillId="13" borderId="54" numFmtId="166" xfId="5" applyNumberFormat="1" applyFont="1" applyFill="1" applyBorder="1"/>
    <xf fontId="5" fillId="0" borderId="42" numFmtId="3" xfId="2" applyNumberFormat="1" applyFont="1" applyBorder="1" applyAlignment="1">
      <alignment horizontal="center"/>
    </xf>
    <xf fontId="5" fillId="0" borderId="19" numFmtId="3" xfId="2" applyNumberFormat="1" applyFont="1" applyBorder="1" applyAlignment="1">
      <alignment horizontal="center"/>
    </xf>
    <xf fontId="9" fillId="8" borderId="6" numFmtId="4" xfId="2" applyNumberFormat="1" applyFont="1" applyFill="1" applyBorder="1" applyAlignment="1">
      <alignment horizontal="center"/>
    </xf>
    <xf fontId="17" fillId="3" borderId="8" numFmtId="3" xfId="2" applyNumberFormat="1" applyFont="1" applyFill="1" applyBorder="1" applyAlignment="1">
      <alignment horizontal="center" wrapText="1"/>
    </xf>
    <xf fontId="17" fillId="3" borderId="25" numFmtId="3" xfId="2" applyNumberFormat="1" applyFont="1" applyFill="1" applyBorder="1" applyAlignment="1">
      <alignment horizontal="center" wrapText="1"/>
    </xf>
    <xf fontId="3" fillId="3" borderId="27" numFmtId="3" xfId="2" applyNumberFormat="1" applyFont="1" applyFill="1" applyBorder="1" applyAlignment="1">
      <alignment horizontal="center" vertical="center" wrapText="1"/>
    </xf>
    <xf fontId="3" fillId="3" borderId="34" numFmtId="3" xfId="2" applyNumberFormat="1" applyFont="1" applyFill="1" applyBorder="1" applyAlignment="1">
      <alignment horizontal="center" vertical="center" wrapText="1"/>
    </xf>
    <xf fontId="3" fillId="3" borderId="78" numFmtId="4" xfId="2" applyNumberFormat="1" applyFont="1" applyFill="1" applyBorder="1" applyAlignment="1">
      <alignment horizontal="center" vertical="center" wrapText="1"/>
    </xf>
    <xf fontId="3" fillId="3" borderId="33" numFmtId="4" xfId="2" applyNumberFormat="1" applyFont="1" applyFill="1" applyBorder="1" applyAlignment="1">
      <alignment horizontal="center" vertical="center" wrapText="1"/>
    </xf>
    <xf fontId="3" fillId="3" borderId="35" numFmtId="4" xfId="2" applyNumberFormat="1" applyFont="1" applyFill="1" applyBorder="1" applyAlignment="1">
      <alignment horizontal="center" vertical="center" wrapText="1"/>
    </xf>
    <xf fontId="3" fillId="0" borderId="0" numFmtId="3" xfId="2" applyNumberFormat="1" applyFont="1" applyAlignment="1">
      <alignment horizontal="center" vertical="top"/>
    </xf>
    <xf fontId="3" fillId="0" borderId="8" numFmtId="3" xfId="2" applyNumberFormat="1" applyFont="1" applyBorder="1" applyAlignment="1">
      <alignment horizontal="center" vertical="center"/>
    </xf>
    <xf fontId="3" fillId="6" borderId="7" numFmtId="3" xfId="2" applyNumberFormat="1" applyFont="1" applyFill="1" applyBorder="1"/>
    <xf fontId="6" fillId="6" borderId="48" numFmtId="3" xfId="2" applyNumberFormat="1" applyFont="1" applyFill="1" applyBorder="1" applyAlignment="1">
      <alignment horizontal="center"/>
    </xf>
    <xf fontId="6" fillId="6" borderId="49" numFmtId="4" xfId="2" applyNumberFormat="1" applyFont="1" applyFill="1" applyBorder="1" applyAlignment="1">
      <alignment horizontal="center"/>
    </xf>
    <xf fontId="19" fillId="0" borderId="2" numFmtId="3" xfId="2" applyNumberFormat="1" applyFont="1" applyBorder="1"/>
    <xf fontId="3" fillId="0" borderId="2" numFmtId="4" xfId="2" applyNumberFormat="1" applyFont="1" applyBorder="1" applyAlignment="1">
      <alignment vertical="center"/>
    </xf>
    <xf fontId="3" fillId="6" borderId="9" numFmtId="3" xfId="2" applyNumberFormat="1" applyFont="1" applyFill="1" applyBorder="1" applyAlignment="1">
      <alignment horizontal="center"/>
    </xf>
    <xf fontId="3" fillId="14" borderId="53" numFmtId="3" xfId="2" applyNumberFormat="1" applyFont="1" applyFill="1" applyBorder="1" applyAlignment="1">
      <alignment horizontal="center"/>
    </xf>
    <xf fontId="3" fillId="14" borderId="54" numFmtId="4" xfId="2" applyNumberFormat="1" applyFont="1" applyFill="1" applyBorder="1" applyAlignment="1">
      <alignment horizontal="center"/>
    </xf>
    <xf fontId="3" fillId="6" borderId="53" numFmtId="3" xfId="2" applyNumberFormat="1" applyFont="1" applyFill="1" applyBorder="1" applyAlignment="1">
      <alignment horizontal="center"/>
    </xf>
    <xf fontId="3" fillId="6" borderId="54" numFmtId="4" xfId="2" applyNumberFormat="1" applyFont="1" applyFill="1" applyBorder="1"/>
    <xf fontId="3" fillId="9" borderId="53" numFmtId="3" xfId="2" applyNumberFormat="1" applyFont="1" applyFill="1" applyBorder="1" applyAlignment="1">
      <alignment horizontal="center"/>
    </xf>
    <xf fontId="3" fillId="9" borderId="54" numFmtId="4" xfId="2" applyNumberFormat="1" applyFont="1" applyFill="1" applyBorder="1" applyAlignment="1">
      <alignment horizontal="center"/>
    </xf>
    <xf fontId="3" fillId="9" borderId="31" numFmtId="3" xfId="2" applyNumberFormat="1" applyFont="1" applyFill="1" applyBorder="1" applyAlignment="1">
      <alignment horizontal="center"/>
    </xf>
    <xf fontId="3" fillId="9" borderId="32" numFmtId="4" xfId="2" applyNumberFormat="1" applyFont="1" applyFill="1" applyBorder="1"/>
    <xf fontId="3" fillId="0" borderId="9" numFmtId="3" xfId="2" applyNumberFormat="1" applyFont="1" applyBorder="1" applyAlignment="1">
      <alignment horizontal="center"/>
    </xf>
    <xf fontId="3" fillId="4" borderId="53" numFmtId="3" xfId="2" applyNumberFormat="1" applyFont="1" applyFill="1" applyBorder="1" applyAlignment="1">
      <alignment horizontal="center"/>
    </xf>
    <xf fontId="3" fillId="4" borderId="54" numFmtId="4" xfId="2" applyNumberFormat="1" applyFont="1" applyFill="1" applyBorder="1" applyAlignment="1">
      <alignment horizontal="center"/>
    </xf>
    <xf fontId="20" fillId="0" borderId="0" numFmtId="3" xfId="2" applyNumberFormat="1" applyFont="1"/>
    <xf fontId="28" fillId="0" borderId="0" numFmtId="3" xfId="2" applyNumberFormat="1" applyFont="1"/>
    <xf fontId="36" fillId="0" borderId="0" numFmtId="3" xfId="2" applyNumberFormat="1" applyFont="1" applyAlignment="1">
      <alignment horizontal="center"/>
    </xf>
    <xf fontId="3" fillId="0" borderId="0" numFmtId="3" xfId="0" applyNumberFormat="1" applyFont="1"/>
    <xf fontId="3" fillId="0" borderId="0" numFmtId="0" xfId="2" applyFont="1" applyAlignment="1">
      <alignment horizontal="center" vertical="center" wrapText="1"/>
    </xf>
    <xf fontId="0" fillId="0" borderId="0" numFmtId="4" xfId="0" applyNumberFormat="1"/>
    <xf fontId="56" fillId="0" borderId="0" numFmtId="0" xfId="0" applyFont="1"/>
    <xf fontId="0" fillId="0" borderId="0" numFmtId="164" xfId="5" applyNumberFormat="1"/>
    <xf fontId="56" fillId="0" borderId="0" numFmtId="164" xfId="5" applyNumberFormat="1" applyFont="1"/>
    <xf fontId="0" fillId="0" borderId="0" numFmtId="0" xfId="0"/>
    <xf fontId="0" fillId="11" borderId="0" numFmtId="0" xfId="0" applyFill="1"/>
    <xf fontId="1" fillId="0" borderId="0" numFmtId="0" xfId="0" applyFont="1"/>
    <xf fontId="63" fillId="0" borderId="25" numFmtId="0" xfId="0" applyFont="1" applyBorder="1"/>
    <xf fontId="63" fillId="0" borderId="0" numFmtId="0" xfId="0" applyFont="1"/>
    <xf fontId="0" fillId="2" borderId="0" numFmtId="0" xfId="0" applyFill="1"/>
    <xf fontId="0" fillId="0" borderId="0" numFmtId="2" xfId="0" applyNumberFormat="1"/>
    <xf fontId="60" fillId="0" borderId="0" numFmtId="0" xfId="0" applyFont="1"/>
    <xf fontId="0" fillId="0" borderId="0" numFmtId="164" xfId="5" applyNumberFormat="1" applyAlignment="1">
      <alignment horizontal="centerContinuous"/>
    </xf>
    <xf fontId="102" fillId="0" borderId="0" numFmtId="167" xfId="0" applyNumberFormat="1" applyFont="1"/>
    <xf fontId="102" fillId="0" borderId="0" numFmtId="168" xfId="0" applyNumberFormat="1" applyFont="1"/>
    <xf fontId="102" fillId="0" borderId="0" numFmtId="0" xfId="0" applyFont="1"/>
    <xf fontId="103" fillId="0" borderId="18" numFmtId="167" xfId="0" applyNumberFormat="1" applyFont="1" applyBorder="1"/>
    <xf fontId="103" fillId="0" borderId="0" numFmtId="167" xfId="0" applyNumberFormat="1" applyFont="1"/>
    <xf fontId="60" fillId="23" borderId="0" numFmtId="0" xfId="0" applyFont="1" applyFill="1" applyAlignment="1">
      <alignment horizontal="center" vertical="center"/>
    </xf>
    <xf fontId="60" fillId="0" borderId="0" numFmtId="0" xfId="0" applyFont="1" applyAlignment="1">
      <alignment horizontal="center" vertical="center"/>
    </xf>
    <xf fontId="60" fillId="0" borderId="23" numFmtId="0" xfId="0" applyFont="1" applyBorder="1"/>
    <xf fontId="3" fillId="0" borderId="1" numFmtId="4" xfId="2" applyNumberFormat="1" applyFont="1" applyBorder="1" applyAlignment="1">
      <alignment vertical="center" wrapText="1"/>
    </xf>
    <xf fontId="10" fillId="0" borderId="23" numFmtId="0" xfId="2" applyFont="1" applyBorder="1" applyAlignment="1">
      <alignment horizontal="center" vertical="center" wrapText="1"/>
    </xf>
    <xf fontId="104" fillId="0" borderId="0" numFmtId="4" xfId="0" applyNumberFormat="1" applyFont="1"/>
    <xf fontId="46" fillId="0" borderId="24" numFmtId="4" xfId="2" applyNumberFormat="1" applyFont="1" applyBorder="1" applyAlignment="1">
      <alignment horizontal="center" wrapText="1"/>
    </xf>
    <xf fontId="3" fillId="0" borderId="10" numFmtId="4" xfId="2" applyNumberFormat="1" applyFont="1" applyBorder="1" applyAlignment="1">
      <alignment horizontal="center" wrapText="1"/>
    </xf>
    <xf fontId="46" fillId="0" borderId="8" numFmtId="4" xfId="2" applyNumberFormat="1" applyFont="1" applyBorder="1" applyAlignment="1">
      <alignment horizontal="center" wrapText="1"/>
    </xf>
    <xf fontId="46" fillId="0" borderId="24" numFmtId="4" xfId="2" applyNumberFormat="1" applyFont="1" applyBorder="1" applyAlignment="1">
      <alignment horizontal="center"/>
    </xf>
    <xf fontId="3" fillId="0" borderId="28" numFmtId="4" xfId="2" applyNumberFormat="1" applyFont="1" applyBorder="1" applyAlignment="1">
      <alignment horizontal="center"/>
    </xf>
    <xf fontId="46" fillId="3" borderId="8" numFmtId="4" xfId="2" applyNumberFormat="1" applyFont="1" applyFill="1" applyBorder="1" applyAlignment="1">
      <alignment horizontal="center" wrapText="1"/>
    </xf>
    <xf fontId="3" fillId="3" borderId="7" numFmtId="4" xfId="2" applyNumberFormat="1" applyFont="1" applyFill="1" applyBorder="1" applyAlignment="1">
      <alignment horizontal="center" wrapText="1"/>
    </xf>
    <xf fontId="3" fillId="0" borderId="7" numFmtId="4" xfId="2" applyNumberFormat="1" applyFont="1" applyBorder="1" applyAlignment="1">
      <alignment horizontal="center" wrapText="1"/>
    </xf>
    <xf fontId="9" fillId="0" borderId="24" numFmtId="4" xfId="2" applyNumberFormat="1" applyFont="1" applyBorder="1" applyAlignment="1">
      <alignment horizontal="center"/>
    </xf>
    <xf fontId="46" fillId="0" borderId="8" numFmtId="4" xfId="2" applyNumberFormat="1" applyFont="1" applyBorder="1" applyAlignment="1">
      <alignment horizontal="center"/>
    </xf>
    <xf fontId="3" fillId="0" borderId="7" numFmtId="4" xfId="2" applyNumberFormat="1" applyFont="1" applyBorder="1" applyAlignment="1">
      <alignment horizontal="center"/>
    </xf>
    <xf fontId="46" fillId="3" borderId="8" numFmtId="4" xfId="2" applyNumberFormat="1" applyFont="1" applyFill="1" applyBorder="1" applyAlignment="1">
      <alignment horizontal="center"/>
    </xf>
    <xf fontId="3" fillId="3" borderId="7" numFmtId="4" xfId="2" applyNumberFormat="1" applyFont="1" applyFill="1" applyBorder="1" applyAlignment="1">
      <alignment horizontal="center"/>
    </xf>
    <xf fontId="9" fillId="0" borderId="8" numFmtId="4" xfId="2" applyNumberFormat="1" applyFont="1" applyBorder="1" applyAlignment="1">
      <alignment horizontal="center"/>
    </xf>
    <xf fontId="9" fillId="3" borderId="24" numFmtId="4" xfId="2" applyNumberFormat="1" applyFont="1" applyFill="1" applyBorder="1" applyAlignment="1">
      <alignment horizontal="center"/>
    </xf>
    <xf fontId="3" fillId="3" borderId="28" numFmtId="4" xfId="2" applyNumberFormat="1" applyFont="1" applyFill="1" applyBorder="1" applyAlignment="1">
      <alignment horizontal="center"/>
    </xf>
    <xf fontId="9" fillId="0" borderId="8" numFmtId="4" xfId="2" applyNumberFormat="1" applyFont="1" applyBorder="1" applyAlignment="1">
      <alignment horizontal="center" vertical="justify"/>
    </xf>
    <xf fontId="3" fillId="0" borderId="7" numFmtId="4" xfId="2" applyNumberFormat="1" applyFont="1" applyBorder="1" applyAlignment="1">
      <alignment horizontal="justify"/>
    </xf>
    <xf fontId="3" fillId="0" borderId="32" numFmtId="4" xfId="2" applyNumberFormat="1" applyFont="1" applyBorder="1" applyAlignment="1">
      <alignment horizontal="center" vertical="center"/>
    </xf>
    <xf fontId="9" fillId="0" borderId="0" numFmtId="4" xfId="2" applyNumberFormat="1" applyFont="1" applyAlignment="1">
      <alignment horizontal="center" wrapText="1"/>
    </xf>
    <xf fontId="15" fillId="0" borderId="24" numFmtId="4" xfId="2" applyNumberFormat="1" applyFont="1" applyBorder="1" applyAlignment="1">
      <alignment horizontal="center" wrapText="1"/>
    </xf>
    <xf fontId="46" fillId="0" borderId="19" numFmtId="4" xfId="2" applyNumberFormat="1" applyFont="1" applyBorder="1" applyAlignment="1">
      <alignment vertical="center" wrapText="1"/>
    </xf>
    <xf fontId="9" fillId="0" borderId="8" numFmtId="4" xfId="2" applyNumberFormat="1" applyFont="1" applyBorder="1" applyAlignment="1">
      <alignment horizontal="center" wrapText="1"/>
    </xf>
    <xf fontId="3" fillId="0" borderId="3" numFmtId="4" xfId="2" applyNumberFormat="1" applyFont="1" applyBorder="1" applyAlignment="1">
      <alignment horizontal="center" wrapText="1"/>
    </xf>
    <xf fontId="3" fillId="3" borderId="7" numFmtId="4" xfId="2" applyNumberFormat="1" applyFont="1" applyFill="1" applyBorder="1" applyAlignment="1">
      <alignment horizontal="center" vertical="center" wrapText="1"/>
    </xf>
    <xf fontId="36" fillId="0" borderId="18" numFmtId="0" xfId="0" applyFont="1" applyBorder="1" applyAlignment="1">
      <alignment horizontal="center" wrapText="1"/>
    </xf>
    <xf fontId="36" fillId="0" borderId="7" numFmtId="0" xfId="0" applyFont="1" applyBorder="1" applyAlignment="1">
      <alignment horizontal="center" wrapText="1"/>
    </xf>
    <xf fontId="0" fillId="0" borderId="0" numFmtId="167" xfId="0" applyNumberFormat="1"/>
    <xf fontId="1" fillId="0" borderId="0" numFmtId="0" xfId="0" applyFont="1" applyAlignment="1">
      <alignment horizontal="center" vertical="center"/>
    </xf>
    <xf fontId="60" fillId="0" borderId="29" numFmtId="0" xfId="0" applyFont="1" applyBorder="1" applyAlignment="1">
      <alignment horizontal="center" vertical="center"/>
    </xf>
    <xf fontId="0" fillId="0" borderId="7" numFmtId="4" xfId="0" applyNumberFormat="1" applyBorder="1" applyAlignment="1">
      <alignment horizontal="centerContinuous" vertical="center" wrapText="1"/>
    </xf>
    <xf fontId="0" fillId="0" borderId="29" numFmtId="0" xfId="0" applyBorder="1" applyAlignment="1">
      <alignment horizontal="center" vertical="center" wrapText="1"/>
    </xf>
    <xf fontId="64" fillId="8" borderId="0" numFmtId="0" xfId="0" applyFont="1" applyFill="1" applyAlignment="1">
      <alignment horizontal="justify"/>
    </xf>
    <xf fontId="10" fillId="0" borderId="33" numFmtId="4" xfId="2" applyNumberFormat="1" applyFont="1" applyBorder="1" applyAlignment="1">
      <alignment horizontal="center" vertical="center" wrapText="1"/>
    </xf>
    <xf fontId="10" fillId="0" borderId="32" numFmtId="4" xfId="2" applyNumberFormat="1" applyFont="1" applyBorder="1" applyAlignment="1">
      <alignment horizontal="center" vertical="center" wrapText="1"/>
    </xf>
    <xf fontId="10" fillId="3" borderId="27" numFmtId="4" xfId="2" applyNumberFormat="1" applyFont="1" applyFill="1" applyBorder="1" applyAlignment="1">
      <alignment horizontal="center" vertical="center"/>
    </xf>
    <xf fontId="10" fillId="3" borderId="26" numFmtId="4" xfId="2" applyNumberFormat="1" applyFont="1" applyFill="1" applyBorder="1" applyAlignment="1">
      <alignment horizontal="center" vertical="center"/>
    </xf>
    <xf fontId="10" fillId="0" borderId="27" numFmtId="4" xfId="2" applyNumberFormat="1" applyFont="1" applyBorder="1" applyAlignment="1">
      <alignment horizontal="center" vertical="center"/>
    </xf>
    <xf fontId="10" fillId="0" borderId="26" numFmtId="4" xfId="2" applyNumberFormat="1" applyFont="1" applyBorder="1" applyAlignment="1">
      <alignment horizontal="center" vertical="center"/>
    </xf>
    <xf fontId="10" fillId="0" borderId="26" numFmtId="4" xfId="2" applyNumberFormat="1" applyFont="1" applyBorder="1" applyAlignment="1">
      <alignment horizontal="center" vertical="center" wrapText="1"/>
    </xf>
    <xf fontId="10" fillId="3" borderId="33" numFmtId="4" xfId="2" applyNumberFormat="1" applyFont="1" applyFill="1" applyBorder="1" applyAlignment="1">
      <alignment horizontal="center" vertical="center"/>
    </xf>
    <xf fontId="10" fillId="3" borderId="35" numFmtId="4" xfId="2" applyNumberFormat="1" applyFont="1" applyFill="1" applyBorder="1" applyAlignment="1">
      <alignment horizontal="center" vertical="center"/>
    </xf>
    <xf fontId="36" fillId="0" borderId="34" numFmtId="0" xfId="0" applyFont="1" applyBorder="1" applyAlignment="1">
      <alignment horizontal="center" wrapText="1"/>
    </xf>
    <xf fontId="36" fillId="0" borderId="26" numFmtId="0" xfId="0" applyFont="1" applyBorder="1" applyAlignment="1">
      <alignment horizontal="center" wrapText="1"/>
    </xf>
    <xf fontId="1" fillId="0" borderId="0" numFmtId="0" xfId="0" applyFont="1" applyAlignment="1">
      <alignment wrapText="1"/>
    </xf>
    <xf fontId="0" fillId="0" borderId="0" numFmtId="0" xfId="0" applyAlignment="1">
      <alignment wrapText="1"/>
    </xf>
    <xf fontId="0" fillId="0" borderId="0" numFmtId="2" xfId="0" applyNumberFormat="1" applyAlignment="1">
      <alignment wrapText="1"/>
    </xf>
    <xf fontId="60" fillId="21" borderId="0" numFmtId="0" xfId="0" applyFont="1" applyFill="1" applyAlignment="1">
      <alignment wrapText="1"/>
    </xf>
    <xf fontId="60" fillId="0" borderId="29" numFmtId="0" xfId="0" applyFont="1" applyBorder="1" applyAlignment="1">
      <alignment wrapText="1"/>
    </xf>
    <xf fontId="10" fillId="0" borderId="32" numFmtId="4" xfId="2" applyNumberFormat="1" applyFont="1" applyBorder="1" applyAlignment="1">
      <alignment horizontal="center" vertical="center"/>
    </xf>
    <xf fontId="36" fillId="3" borderId="34" numFmtId="4" xfId="2" applyNumberFormat="1" applyFont="1" applyFill="1" applyBorder="1" applyAlignment="1">
      <alignment horizontal="center" vertical="top" wrapText="1"/>
    </xf>
    <xf fontId="36" fillId="3" borderId="0" numFmtId="4" xfId="2" applyNumberFormat="1" applyFont="1" applyFill="1" applyAlignment="1">
      <alignment horizontal="center" vertical="top" wrapText="1"/>
    </xf>
    <xf fontId="60" fillId="0" borderId="29" numFmtId="0" xfId="0" applyFont="1" applyBorder="1"/>
    <xf fontId="0" fillId="0" borderId="26" numFmtId="4" xfId="0" applyNumberFormat="1" applyBorder="1" applyAlignment="1">
      <alignment horizontal="centerContinuous" vertical="center" wrapText="1"/>
    </xf>
    <xf fontId="0" fillId="0" borderId="36" numFmtId="0" xfId="0" applyBorder="1" applyAlignment="1">
      <alignment horizontal="center" vertical="center" wrapText="1"/>
    </xf>
    <xf fontId="59" fillId="0" borderId="20" numFmtId="0" xfId="1" applyFont="1" applyBorder="1" applyAlignment="1">
      <alignment horizontal="center" vertical="center" wrapText="1"/>
    </xf>
    <xf fontId="62" fillId="0" borderId="20" numFmtId="0" xfId="1" applyFont="1" applyBorder="1" applyAlignment="1">
      <alignment horizontal="center" vertical="center" wrapText="1"/>
    </xf>
    <xf fontId="62" fillId="0" borderId="21" numFmtId="0" xfId="1" applyFont="1" applyBorder="1" applyAlignment="1">
      <alignment horizontal="center" vertical="center" wrapText="1"/>
    </xf>
    <xf fontId="62" fillId="0" borderId="0" numFmtId="0" xfId="1" applyFont="1" applyAlignment="1">
      <alignment horizontal="center" vertical="center" wrapText="1"/>
    </xf>
    <xf fontId="10" fillId="0" borderId="54" numFmtId="4" xfId="2" applyNumberFormat="1" applyFont="1" applyBorder="1" applyAlignment="1">
      <alignment horizontal="center" vertical="center" wrapText="1"/>
    </xf>
    <xf fontId="10" fillId="0" borderId="41" numFmtId="4" xfId="2" applyNumberFormat="1" applyFont="1" applyBorder="1" applyAlignment="1">
      <alignment horizontal="center" vertical="center"/>
    </xf>
    <xf fontId="10" fillId="0" borderId="47" numFmtId="4" xfId="2" applyNumberFormat="1" applyFont="1" applyBorder="1" applyAlignment="1">
      <alignment horizontal="center" vertical="center"/>
    </xf>
    <xf fontId="10" fillId="3" borderId="19" numFmtId="4" xfId="2" applyNumberFormat="1" applyFont="1" applyFill="1" applyBorder="1" applyAlignment="1">
      <alignment horizontal="center" vertical="center"/>
    </xf>
    <xf fontId="10" fillId="3" borderId="41" numFmtId="4" xfId="2" applyNumberFormat="1" applyFont="1" applyFill="1" applyBorder="1" applyAlignment="1">
      <alignment horizontal="center" vertical="center"/>
    </xf>
    <xf fontId="10" fillId="3" borderId="47" numFmtId="4" xfId="2" applyNumberFormat="1" applyFont="1" applyFill="1" applyBorder="1" applyAlignment="1">
      <alignment horizontal="center" vertical="center"/>
    </xf>
    <xf fontId="10" fillId="0" borderId="54" numFmtId="4" xfId="2" applyNumberFormat="1" applyFont="1" applyBorder="1" applyAlignment="1">
      <alignment horizontal="center" vertical="center"/>
    </xf>
    <xf fontId="9" fillId="3" borderId="42" numFmtId="4" xfId="2" applyNumberFormat="1" applyFont="1" applyFill="1" applyBorder="1" applyAlignment="1">
      <alignment horizontal="center" vertical="center" wrapText="1"/>
    </xf>
    <xf fontId="9" fillId="3" borderId="21" numFmtId="4" xfId="2" applyNumberFormat="1" applyFont="1" applyFill="1" applyBorder="1" applyAlignment="1">
      <alignment horizontal="center" vertical="center" wrapText="1"/>
    </xf>
    <xf fontId="1" fillId="0" borderId="0" numFmtId="0" xfId="0" applyFont="1" applyAlignment="1">
      <alignment vertical="center" wrapText="1"/>
    </xf>
    <xf fontId="60" fillId="0" borderId="0" numFmtId="4" xfId="0" applyNumberFormat="1" applyFont="1"/>
    <xf fontId="60" fillId="0" borderId="0" numFmtId="167" xfId="0" applyNumberFormat="1" applyFont="1"/>
    <xf fontId="60" fillId="0" borderId="29" numFmtId="167" xfId="0" applyNumberFormat="1" applyFont="1" applyBorder="1"/>
    <xf fontId="10" fillId="0" borderId="43" numFmtId="0" xfId="2" applyFont="1" applyBorder="1" applyAlignment="1">
      <alignment horizontal="center" vertical="center" wrapText="1"/>
    </xf>
    <xf fontId="9" fillId="0" borderId="21" numFmtId="4" xfId="1" applyNumberFormat="1" applyFont="1" applyBorder="1" applyAlignment="1">
      <alignment horizontal="center"/>
    </xf>
    <xf fontId="9" fillId="11" borderId="42" numFmtId="164" xfId="5" applyNumberFormat="1" applyFont="1" applyFill="1" applyBorder="1" applyAlignment="1">
      <alignment horizontal="center" wrapText="1"/>
    </xf>
    <xf fontId="51" fillId="5" borderId="42" numFmtId="164" xfId="5" applyNumberFormat="1" applyFont="1" applyFill="1" applyBorder="1" applyAlignment="1">
      <alignment horizontal="center" wrapText="1"/>
    </xf>
    <xf fontId="9" fillId="15" borderId="18" numFmtId="0" xfId="1" applyFont="1" applyFill="1" applyBorder="1" applyAlignment="1">
      <alignment horizontal="center" wrapText="1"/>
    </xf>
    <xf fontId="6" fillId="0" borderId="41" numFmtId="4" xfId="2" applyNumberFormat="1" applyFont="1" applyBorder="1" applyAlignment="1">
      <alignment horizontal="center" wrapText="1"/>
    </xf>
    <xf fontId="6" fillId="0" borderId="47" numFmtId="4" xfId="2" applyNumberFormat="1" applyFont="1" applyBorder="1" applyAlignment="1">
      <alignment horizontal="center" wrapText="1"/>
    </xf>
    <xf fontId="6" fillId="0" borderId="21" numFmtId="4" xfId="2" applyNumberFormat="1" applyFont="1" applyBorder="1" applyAlignment="1">
      <alignment horizontal="center" wrapText="1"/>
    </xf>
    <xf fontId="6" fillId="0" borderId="19" numFmtId="4" xfId="2" applyNumberFormat="1" applyFont="1" applyBorder="1" applyAlignment="1">
      <alignment horizontal="center" wrapText="1"/>
    </xf>
    <xf fontId="6" fillId="0" borderId="41" numFmtId="4" xfId="2" applyNumberFormat="1" applyFont="1" applyBorder="1" applyAlignment="1">
      <alignment horizontal="center"/>
    </xf>
    <xf fontId="6" fillId="0" borderId="47" numFmtId="4" xfId="2" applyNumberFormat="1" applyFont="1" applyBorder="1" applyAlignment="1">
      <alignment horizontal="center"/>
    </xf>
    <xf fontId="6" fillId="3" borderId="21" numFmtId="4" xfId="2" applyNumberFormat="1" applyFont="1" applyFill="1" applyBorder="1" applyAlignment="1">
      <alignment horizontal="center"/>
    </xf>
    <xf fontId="6" fillId="3" borderId="19" numFmtId="4" xfId="2" applyNumberFormat="1" applyFont="1" applyFill="1" applyBorder="1" applyAlignment="1">
      <alignment horizontal="center"/>
    </xf>
    <xf fontId="6" fillId="0" borderId="21" numFmtId="4" xfId="2" applyNumberFormat="1" applyFont="1" applyBorder="1" applyAlignment="1">
      <alignment horizontal="center"/>
    </xf>
    <xf fontId="6" fillId="0" borderId="19" numFmtId="4" xfId="2" applyNumberFormat="1" applyFont="1" applyBorder="1" applyAlignment="1">
      <alignment horizontal="center"/>
    </xf>
    <xf fontId="6" fillId="3" borderId="41" numFmtId="4" xfId="2" applyNumberFormat="1" applyFont="1" applyFill="1" applyBorder="1" applyAlignment="1">
      <alignment horizontal="center"/>
    </xf>
    <xf fontId="6" fillId="3" borderId="47" numFmtId="4" xfId="2" applyNumberFormat="1" applyFont="1" applyFill="1" applyBorder="1" applyAlignment="1">
      <alignment horizontal="center"/>
    </xf>
    <xf fontId="6" fillId="0" borderId="20" numFmtId="4" xfId="2" applyNumberFormat="1" applyFont="1" applyBorder="1" applyAlignment="1">
      <alignment horizontal="center" wrapText="1"/>
    </xf>
    <xf fontId="36" fillId="3" borderId="42" numFmtId="4" xfId="2" applyNumberFormat="1" applyFont="1" applyFill="1" applyBorder="1" applyAlignment="1">
      <alignment horizontal="center" wrapText="1"/>
    </xf>
    <xf fontId="36" fillId="3" borderId="21" numFmtId="4" xfId="2" applyNumberFormat="1" applyFont="1" applyFill="1" applyBorder="1" applyAlignment="1">
      <alignment horizontal="center" wrapText="1"/>
    </xf>
    <xf fontId="6" fillId="0" borderId="19" numFmtId="4" xfId="2" applyNumberFormat="1" applyFont="1" applyBorder="1" applyAlignment="1">
      <alignment vertical="center" wrapText="1"/>
    </xf>
    <xf fontId="6" fillId="0" borderId="43" numFmtId="0" xfId="2" applyFont="1" applyBorder="1" applyAlignment="1">
      <alignment horizontal="center" vertical="center" wrapText="1"/>
    </xf>
    <xf fontId="56" fillId="0" borderId="18" numFmtId="164" xfId="5" applyNumberFormat="1" applyFont="1" applyBorder="1" applyAlignment="1">
      <alignment horizontal="center" vertical="center"/>
    </xf>
    <xf fontId="1" fillId="0" borderId="2" numFmtId="164" xfId="5" applyNumberFormat="1" applyFont="1" applyBorder="1" applyAlignment="1">
      <alignment horizontal="center" vertical="center"/>
    </xf>
    <xf fontId="0" fillId="0" borderId="2" numFmtId="164" xfId="7" applyNumberFormat="1" applyBorder="1" applyAlignment="1">
      <alignment horizontal="center" vertical="center"/>
    </xf>
    <xf fontId="0" fillId="0" borderId="1" numFmtId="164" xfId="5" applyNumberFormat="1" applyBorder="1" applyAlignment="1">
      <alignment horizontal="center" vertical="center"/>
    </xf>
    <xf fontId="56" fillId="0" borderId="18" numFmtId="164" xfId="5" applyNumberFormat="1" applyFont="1" applyBorder="1" applyAlignment="1">
      <alignment vertical="center"/>
    </xf>
    <xf fontId="56" fillId="0" borderId="18" numFmtId="164" xfId="5" applyNumberFormat="1" applyFont="1" applyBorder="1"/>
    <xf fontId="0" fillId="0" borderId="0" numFmtId="164" xfId="5" applyNumberFormat="1" applyAlignment="1">
      <alignment horizontal="center" vertical="center"/>
    </xf>
    <xf fontId="0" fillId="0" borderId="23" numFmtId="0" xfId="0" applyBorder="1" applyAlignment="1">
      <alignment horizontal="center" vertical="center"/>
    </xf>
    <xf fontId="0" fillId="0" borderId="0" numFmtId="0" xfId="0" applyAlignment="1">
      <alignment horizontal="center" vertical="center"/>
    </xf>
    <xf fontId="3" fillId="0" borderId="41" numFmtId="4" xfId="2" applyNumberFormat="1" applyFont="1" applyBorder="1" applyAlignment="1">
      <alignment horizontal="right" wrapText="1"/>
    </xf>
    <xf fontId="3" fillId="0" borderId="53" numFmtId="4" xfId="2" applyNumberFormat="1" applyFont="1" applyBorder="1" applyAlignment="1">
      <alignment horizontal="right" wrapText="1"/>
    </xf>
    <xf fontId="9" fillId="3" borderId="42" numFmtId="4" xfId="2" applyNumberFormat="1" applyFont="1" applyFill="1" applyBorder="1" applyAlignment="1">
      <alignment horizontal="right" wrapText="1"/>
    </xf>
    <xf fontId="9" fillId="3" borderId="21" numFmtId="4" xfId="2" applyNumberFormat="1" applyFont="1" applyFill="1" applyBorder="1" applyAlignment="1">
      <alignment horizontal="right" wrapText="1"/>
    </xf>
    <xf fontId="3" fillId="0" borderId="79" numFmtId="0" xfId="2" applyFont="1" applyBorder="1" applyAlignment="1">
      <alignment horizontal="center" vertical="center" wrapText="1"/>
    </xf>
    <xf fontId="0" fillId="0" borderId="2" numFmtId="4" xfId="0" applyNumberFormat="1" applyBorder="1"/>
    <xf fontId="1" fillId="0" borderId="3" numFmtId="164" xfId="5" applyNumberFormat="1" applyFont="1" applyBorder="1" applyAlignment="1">
      <alignment horizontal="center" vertical="center"/>
    </xf>
    <xf fontId="56" fillId="0" borderId="25" numFmtId="164" xfId="5" applyNumberFormat="1" applyFont="1" applyBorder="1" applyAlignment="1">
      <alignment vertical="center"/>
    </xf>
    <xf fontId="0" fillId="0" borderId="2" numFmtId="164" xfId="5" applyNumberFormat="1" applyBorder="1"/>
    <xf fontId="1" fillId="0" borderId="2" numFmtId="164" xfId="5" applyNumberFormat="1" applyFont="1" applyBorder="1"/>
    <xf fontId="0" fillId="0" borderId="1" numFmtId="0" xfId="0" applyBorder="1" applyAlignment="1">
      <alignment horizontal="center" vertical="center"/>
    </xf>
    <xf fontId="56" fillId="0" borderId="18" numFmtId="164" xfId="5" applyNumberFormat="1" applyFont="1" applyBorder="1" applyAlignment="1">
      <alignment horizontal="right" vertical="center"/>
    </xf>
    <xf fontId="0" fillId="0" borderId="18" numFmtId="164" xfId="5" applyNumberFormat="1" applyBorder="1" applyAlignment="1">
      <alignment horizontal="center" vertical="center"/>
    </xf>
    <xf fontId="0" fillId="0" borderId="1" numFmtId="167" xfId="0" applyNumberFormat="1" applyBorder="1" applyAlignment="1">
      <alignment horizontal="center" vertical="center"/>
    </xf>
    <xf fontId="0" fillId="0" borderId="79" numFmtId="167" xfId="0" applyNumberFormat="1" applyBorder="1" applyAlignment="1">
      <alignment horizontal="center" vertical="center"/>
    </xf>
    <xf fontId="0" fillId="0" borderId="0" numFmtId="167" xfId="0" applyNumberFormat="1" applyAlignment="1">
      <alignment horizontal="center" vertical="center"/>
    </xf>
    <xf fontId="3" fillId="0" borderId="26" numFmtId="4" xfId="0" applyNumberFormat="1" applyFont="1" applyBorder="1" applyAlignment="1">
      <alignment vertical="center" wrapText="1"/>
    </xf>
    <xf fontId="13" fillId="0" borderId="41" numFmtId="4" xfId="2" applyNumberFormat="1" applyFont="1" applyBorder="1" applyAlignment="1">
      <alignment horizontal="right" wrapText="1"/>
    </xf>
    <xf fontId="13" fillId="0" borderId="47" numFmtId="4" xfId="2" applyNumberFormat="1" applyFont="1" applyBorder="1" applyAlignment="1">
      <alignment horizontal="right" wrapText="1"/>
    </xf>
    <xf fontId="13" fillId="0" borderId="21" numFmtId="4" xfId="2" applyNumberFormat="1" applyFont="1" applyBorder="1" applyAlignment="1">
      <alignment horizontal="right" wrapText="1"/>
    </xf>
    <xf fontId="13" fillId="0" borderId="19" numFmtId="4" xfId="2" applyNumberFormat="1" applyFont="1" applyBorder="1" applyAlignment="1">
      <alignment horizontal="right" wrapText="1"/>
    </xf>
    <xf fontId="13" fillId="0" borderId="19" numFmtId="0" xfId="2" applyFont="1" applyBorder="1" applyAlignment="1">
      <alignment horizontal="right" wrapText="1"/>
    </xf>
    <xf fontId="13" fillId="0" borderId="20" numFmtId="4" xfId="2" applyNumberFormat="1" applyFont="1" applyBorder="1" applyAlignment="1">
      <alignment horizontal="right" wrapText="1"/>
    </xf>
    <xf fontId="45" fillId="3" borderId="42" numFmtId="4" xfId="2" applyNumberFormat="1" applyFont="1" applyFill="1" applyBorder="1" applyAlignment="1">
      <alignment horizontal="right" wrapText="1"/>
    </xf>
    <xf fontId="45" fillId="3" borderId="21" numFmtId="4" xfId="2" applyNumberFormat="1" applyFont="1" applyFill="1" applyBorder="1" applyAlignment="1">
      <alignment horizontal="right" wrapText="1"/>
    </xf>
    <xf fontId="3" fillId="0" borderId="36" numFmtId="0" xfId="0" applyFont="1" applyBorder="1" applyAlignment="1">
      <alignment horizontal="center" vertical="center" wrapText="1"/>
    </xf>
    <xf fontId="0" fillId="0" borderId="30" numFmtId="4" xfId="0" applyNumberFormat="1" applyBorder="1"/>
    <xf fontId="1" fillId="0" borderId="27" numFmtId="164" xfId="5" applyNumberFormat="1" applyFont="1" applyBorder="1" applyAlignment="1">
      <alignment horizontal="center" vertical="center"/>
    </xf>
    <xf fontId="1" fillId="0" borderId="30" numFmtId="164" xfId="5" applyNumberFormat="1" applyFont="1" applyBorder="1" applyAlignment="1">
      <alignment horizontal="center" vertical="center"/>
    </xf>
    <xf fontId="0" fillId="0" borderId="30" numFmtId="164" xfId="7" applyNumberFormat="1" applyBorder="1" applyAlignment="1">
      <alignment horizontal="center" vertical="center"/>
    </xf>
    <xf fontId="0" fillId="0" borderId="26" numFmtId="164" xfId="5" applyNumberFormat="1" applyBorder="1" applyAlignment="1">
      <alignment horizontal="center" vertical="center"/>
    </xf>
    <xf fontId="0" fillId="0" borderId="30" numFmtId="164" xfId="5" applyNumberFormat="1" applyBorder="1"/>
    <xf fontId="56" fillId="0" borderId="30" numFmtId="164" xfId="5" applyNumberFormat="1" applyFont="1" applyBorder="1"/>
    <xf fontId="0" fillId="0" borderId="26" numFmtId="0" xfId="0" applyBorder="1" applyAlignment="1">
      <alignment horizontal="center" vertical="center"/>
    </xf>
    <xf fontId="56" fillId="0" borderId="34" numFmtId="164" xfId="5" applyNumberFormat="1" applyFont="1" applyBorder="1" applyAlignment="1">
      <alignment horizontal="right" vertical="center"/>
    </xf>
    <xf fontId="0" fillId="0" borderId="34" numFmtId="164" xfId="5" applyNumberFormat="1" applyBorder="1" applyAlignment="1">
      <alignment horizontal="center" vertical="center"/>
    </xf>
    <xf fontId="0" fillId="0" borderId="26" numFmtId="167" xfId="0" applyNumberFormat="1" applyBorder="1" applyAlignment="1">
      <alignment horizontal="center" vertical="center"/>
    </xf>
    <xf fontId="0" fillId="0" borderId="36" numFmtId="167" xfId="0" applyNumberFormat="1" applyBorder="1" applyAlignment="1">
      <alignment horizontal="center" vertical="center"/>
    </xf>
    <xf fontId="3" fillId="0" borderId="47" numFmtId="4" xfId="2" applyNumberFormat="1" applyFont="1" applyBorder="1" applyAlignment="1">
      <alignment horizontal="right" wrapText="1"/>
    </xf>
    <xf fontId="0" fillId="0" borderId="7" numFmtId="164" xfId="5" applyNumberFormat="1" applyBorder="1" applyAlignment="1">
      <alignment horizontal="center" vertical="center"/>
    </xf>
    <xf fontId="1" fillId="0" borderId="0" numFmtId="164" xfId="5" applyNumberFormat="1" applyFont="1"/>
    <xf fontId="0" fillId="0" borderId="7" numFmtId="0" xfId="0" applyBorder="1" applyAlignment="1">
      <alignment horizontal="center" vertical="center"/>
    </xf>
    <xf fontId="56" fillId="0" borderId="25" numFmtId="164" xfId="5" applyNumberFormat="1" applyFont="1" applyBorder="1" applyAlignment="1">
      <alignment horizontal="right" vertical="center"/>
    </xf>
    <xf fontId="0" fillId="0" borderId="8" numFmtId="164" xfId="5" applyNumberFormat="1" applyBorder="1" applyAlignment="1">
      <alignment horizontal="center" vertical="center"/>
    </xf>
    <xf fontId="0" fillId="0" borderId="7" numFmtId="167" xfId="0" applyNumberFormat="1" applyBorder="1" applyAlignment="1">
      <alignment horizontal="center" vertical="center"/>
    </xf>
    <xf fontId="0" fillId="0" borderId="29" numFmtId="167" xfId="0" applyNumberFormat="1" applyBorder="1" applyAlignment="1">
      <alignment horizontal="center" vertical="center"/>
    </xf>
    <xf fontId="56" fillId="0" borderId="34" numFmtId="164" xfId="5" applyNumberFormat="1" applyFont="1" applyBorder="1" applyAlignment="1">
      <alignment vertical="center"/>
    </xf>
    <xf fontId="0" fillId="0" borderId="0" numFmtId="0" xfId="0" applyAlignment="1">
      <alignment horizontal="center"/>
    </xf>
    <xf fontId="56" fillId="0" borderId="2" numFmtId="164" xfId="5" applyNumberFormat="1" applyFont="1" applyBorder="1" applyAlignment="1">
      <alignment vertical="center"/>
    </xf>
    <xf fontId="1" fillId="0" borderId="3" numFmtId="164" xfId="5" applyNumberFormat="1" applyFont="1" applyBorder="1"/>
    <xf fontId="0" fillId="16" borderId="79" numFmtId="167" xfId="0" applyNumberFormat="1" applyFill="1" applyBorder="1" applyAlignment="1">
      <alignment horizontal="center" vertical="center"/>
    </xf>
    <xf fontId="0" fillId="0" borderId="3" numFmtId="0" xfId="0" applyBorder="1"/>
    <xf fontId="3" fillId="0" borderId="7" numFmtId="4" xfId="0" applyNumberFormat="1" applyFont="1" applyBorder="1" applyAlignment="1">
      <alignment vertical="center" wrapText="1"/>
    </xf>
    <xf fontId="13" fillId="0" borderId="72" numFmtId="4" xfId="2" applyNumberFormat="1" applyFont="1" applyBorder="1" applyAlignment="1">
      <alignment horizontal="right" wrapText="1"/>
    </xf>
    <xf fontId="13" fillId="0" borderId="22" numFmtId="4" xfId="2" applyNumberFormat="1" applyFont="1" applyBorder="1" applyAlignment="1">
      <alignment horizontal="right" wrapText="1"/>
    </xf>
    <xf fontId="13" fillId="0" borderId="3" numFmtId="4" xfId="2" applyNumberFormat="1" applyFont="1" applyBorder="1" applyAlignment="1">
      <alignment horizontal="right" wrapText="1"/>
    </xf>
    <xf fontId="13" fillId="0" borderId="1" numFmtId="4" xfId="2" applyNumberFormat="1" applyFont="1" applyBorder="1" applyAlignment="1">
      <alignment horizontal="right" wrapText="1"/>
    </xf>
    <xf fontId="13" fillId="0" borderId="2" numFmtId="4" xfId="2" applyNumberFormat="1" applyFont="1" applyBorder="1" applyAlignment="1">
      <alignment horizontal="right" wrapText="1"/>
    </xf>
    <xf fontId="0" fillId="0" borderId="34" numFmtId="164" xfId="5" applyNumberFormat="1" applyBorder="1"/>
    <xf fontId="0" fillId="0" borderId="26" numFmtId="164" xfId="5" applyNumberFormat="1" applyBorder="1"/>
    <xf fontId="56" fillId="0" borderId="27" numFmtId="164" xfId="5" applyNumberFormat="1" applyFont="1" applyBorder="1"/>
    <xf fontId="0" fillId="0" borderId="7" numFmtId="0" xfId="0" applyBorder="1"/>
    <xf fontId="0" fillId="0" borderId="8" numFmtId="0" xfId="0" applyBorder="1"/>
    <xf fontId="3" fillId="0" borderId="4" numFmtId="4" xfId="2" applyNumberFormat="1" applyFont="1" applyBorder="1" applyAlignment="1">
      <alignment vertical="center" wrapText="1"/>
    </xf>
    <xf fontId="3" fillId="15" borderId="45" numFmtId="4" xfId="2" applyNumberFormat="1" applyFont="1" applyFill="1" applyBorder="1" applyAlignment="1">
      <alignment horizontal="right" wrapText="1"/>
    </xf>
    <xf fontId="3" fillId="15" borderId="46" numFmtId="4" xfId="2" applyNumberFormat="1" applyFont="1" applyFill="1" applyBorder="1" applyAlignment="1">
      <alignment horizontal="right" wrapText="1"/>
    </xf>
    <xf fontId="3" fillId="15" borderId="12" numFmtId="4" xfId="2" applyNumberFormat="1" applyFont="1" applyFill="1" applyBorder="1" applyAlignment="1">
      <alignment horizontal="right" wrapText="1"/>
    </xf>
    <xf fontId="0" fillId="21" borderId="0" numFmtId="164" xfId="5" applyNumberFormat="1" applyFill="1"/>
    <xf fontId="0" fillId="21" borderId="8" numFmtId="164" xfId="5" applyNumberFormat="1" applyFill="1" applyBorder="1" applyAlignment="1">
      <alignment horizontal="center" vertical="center"/>
    </xf>
    <xf fontId="1" fillId="0" borderId="66" numFmtId="4" xfId="0" applyNumberFormat="1" applyFont="1" applyBorder="1" applyAlignment="1">
      <alignment vertical="center" wrapText="1"/>
    </xf>
    <xf fontId="3" fillId="15" borderId="70" numFmtId="4" xfId="2" applyNumberFormat="1" applyFont="1" applyFill="1" applyBorder="1" applyAlignment="1">
      <alignment horizontal="right" wrapText="1"/>
    </xf>
    <xf fontId="13" fillId="15" borderId="71" numFmtId="4" xfId="2" applyNumberFormat="1" applyFont="1" applyFill="1" applyBorder="1" applyAlignment="1">
      <alignment horizontal="right" wrapText="1"/>
    </xf>
    <xf fontId="13" fillId="15" borderId="76" numFmtId="4" xfId="2" applyNumberFormat="1" applyFont="1" applyFill="1" applyBorder="1" applyAlignment="1">
      <alignment horizontal="right" wrapText="1"/>
    </xf>
    <xf fontId="13" fillId="15" borderId="67" numFmtId="4" xfId="2" applyNumberFormat="1" applyFont="1" applyFill="1" applyBorder="1" applyAlignment="1">
      <alignment horizontal="right" wrapText="1"/>
    </xf>
    <xf fontId="13" fillId="15" borderId="70" numFmtId="4" xfId="2" applyNumberFormat="1" applyFont="1" applyFill="1" applyBorder="1" applyAlignment="1">
      <alignment horizontal="right" wrapText="1"/>
    </xf>
    <xf fontId="13" fillId="15" borderId="63" numFmtId="4" xfId="2" applyNumberFormat="1" applyFont="1" applyFill="1" applyBorder="1" applyAlignment="1">
      <alignment horizontal="right" wrapText="1"/>
    </xf>
    <xf fontId="21" fillId="0" borderId="26" numFmtId="4" xfId="0" applyNumberFormat="1" applyFont="1" applyBorder="1" applyAlignment="1">
      <alignment vertical="center" wrapText="1"/>
    </xf>
    <xf fontId="3" fillId="0" borderId="7" numFmtId="4" xfId="2" applyNumberFormat="1" applyFont="1" applyBorder="1" applyAlignment="1">
      <alignment vertical="center" wrapText="1"/>
    </xf>
    <xf fontId="3" fillId="0" borderId="33" numFmtId="4" xfId="2" applyNumberFormat="1" applyFont="1" applyBorder="1" applyAlignment="1">
      <alignment horizontal="right" wrapText="1"/>
    </xf>
    <xf fontId="3" fillId="0" borderId="35" numFmtId="4" xfId="2" applyNumberFormat="1" applyFont="1" applyBorder="1" applyAlignment="1">
      <alignment horizontal="right" wrapText="1"/>
    </xf>
    <xf fontId="3" fillId="0" borderId="26" numFmtId="4" xfId="2" applyNumberFormat="1" applyFont="1" applyBorder="1" applyAlignment="1">
      <alignment horizontal="right" wrapText="1"/>
    </xf>
    <xf fontId="0" fillId="0" borderId="0" numFmtId="164" xfId="0" applyNumberFormat="1"/>
    <xf fontId="3" fillId="0" borderId="42" numFmtId="4" xfId="2" applyNumberFormat="1" applyFont="1" applyBorder="1" applyAlignment="1">
      <alignment horizontal="left" vertical="center" wrapText="1"/>
    </xf>
    <xf fontId="0" fillId="0" borderId="8" numFmtId="1" xfId="0" applyNumberFormat="1" applyBorder="1"/>
    <xf fontId="3" fillId="0" borderId="29" numFmtId="0" xfId="0" applyFont="1" applyBorder="1" applyAlignment="1">
      <alignment horizontal="center" vertical="center" wrapText="1"/>
    </xf>
    <xf fontId="0" fillId="0" borderId="27" numFmtId="1" xfId="0" applyNumberFormat="1" applyBorder="1"/>
    <xf fontId="3" fillId="0" borderId="2" numFmtId="4" xfId="2" applyNumberFormat="1" applyFont="1" applyBorder="1" applyAlignment="1">
      <alignment vertical="center" wrapText="1"/>
    </xf>
    <xf fontId="3" fillId="0" borderId="79" numFmtId="0" xfId="0" applyFont="1" applyBorder="1" applyAlignment="1">
      <alignment horizontal="center" vertical="center" wrapText="1"/>
    </xf>
    <xf fontId="0" fillId="0" borderId="3" numFmtId="164" xfId="5" applyNumberFormat="1" applyBorder="1" applyAlignment="1">
      <alignment horizontal="center" vertical="center"/>
    </xf>
    <xf fontId="0" fillId="0" borderId="3" numFmtId="164" xfId="5" applyNumberFormat="1" applyBorder="1"/>
    <xf fontId="3" fillId="0" borderId="30" numFmtId="4" xfId="2" applyNumberFormat="1" applyFont="1" applyBorder="1" applyAlignment="1">
      <alignment vertical="center" wrapText="1"/>
    </xf>
    <xf fontId="0" fillId="0" borderId="27" numFmtId="164" xfId="5" applyNumberFormat="1" applyBorder="1" applyAlignment="1">
      <alignment horizontal="center" vertical="center"/>
    </xf>
    <xf fontId="0" fillId="0" borderId="27" numFmtId="164" xfId="5" applyNumberFormat="1" applyBorder="1"/>
    <xf fontId="1" fillId="0" borderId="2" numFmtId="4" xfId="0" applyNumberFormat="1" applyFont="1" applyBorder="1"/>
    <xf fontId="0" fillId="0" borderId="2" numFmtId="167" xfId="0" applyNumberFormat="1" applyBorder="1" applyAlignment="1">
      <alignment horizontal="center" vertical="center"/>
    </xf>
    <xf fontId="0" fillId="0" borderId="2" numFmtId="167" xfId="0" applyNumberFormat="1" applyBorder="1"/>
    <xf fontId="1" fillId="0" borderId="26" numFmtId="4" xfId="0" applyNumberFormat="1" applyFont="1" applyBorder="1" applyAlignment="1">
      <alignment vertical="center" wrapText="1"/>
    </xf>
    <xf fontId="1" fillId="0" borderId="0" numFmtId="171" xfId="0" applyNumberFormat="1" applyFont="1"/>
    <xf fontId="0" fillId="0" borderId="26" numFmtId="4" xfId="0" applyNumberFormat="1" applyBorder="1" applyAlignment="1">
      <alignment vertical="center" wrapText="1"/>
    </xf>
    <xf fontId="3" fillId="0" borderId="1" numFmtId="4" xfId="0" applyNumberFormat="1" applyFont="1" applyBorder="1" applyAlignment="1">
      <alignment vertical="center" wrapText="1"/>
    </xf>
    <xf fontId="0" fillId="16" borderId="0" numFmtId="167" xfId="0" applyNumberFormat="1" applyFill="1"/>
    <xf fontId="0" fillId="0" borderId="57" numFmtId="0" xfId="0" applyBorder="1"/>
    <xf fontId="6" fillId="7" borderId="1" numFmtId="4" xfId="2" applyNumberFormat="1" applyFont="1" applyFill="1" applyBorder="1" applyAlignment="1">
      <alignment horizontal="right" vertical="center" wrapText="1"/>
    </xf>
    <xf fontId="6" fillId="7" borderId="41" numFmtId="4" xfId="2" applyNumberFormat="1" applyFont="1" applyFill="1" applyBorder="1" applyAlignment="1">
      <alignment horizontal="right" wrapText="1"/>
    </xf>
    <xf fontId="6" fillId="7" borderId="47" numFmtId="4" xfId="2" applyNumberFormat="1" applyFont="1" applyFill="1" applyBorder="1" applyAlignment="1">
      <alignment horizontal="right" wrapText="1"/>
    </xf>
    <xf fontId="6" fillId="7" borderId="19" numFmtId="4" xfId="2" applyNumberFormat="1" applyFont="1" applyFill="1" applyBorder="1" applyAlignment="1">
      <alignment horizontal="right" wrapText="1"/>
    </xf>
    <xf fontId="36" fillId="7" borderId="42" numFmtId="4" xfId="2" applyNumberFormat="1" applyFont="1" applyFill="1" applyBorder="1" applyAlignment="1">
      <alignment horizontal="right" wrapText="1"/>
    </xf>
    <xf fontId="36" fillId="7" borderId="21" numFmtId="4" xfId="2" applyNumberFormat="1" applyFont="1" applyFill="1" applyBorder="1" applyAlignment="1">
      <alignment horizontal="right" wrapText="1"/>
    </xf>
    <xf fontId="1" fillId="7" borderId="0" numFmtId="0" xfId="0" applyFont="1" applyFill="1"/>
    <xf fontId="0" fillId="7" borderId="0" numFmtId="4" xfId="0" applyNumberFormat="1" applyFill="1"/>
    <xf fontId="1" fillId="7" borderId="0" numFmtId="2" xfId="0" applyNumberFormat="1" applyFont="1" applyFill="1"/>
    <xf fontId="1" fillId="7" borderId="0" numFmtId="164" xfId="0" applyNumberFormat="1" applyFont="1" applyFill="1"/>
    <xf fontId="1" fillId="7" borderId="0" numFmtId="167" xfId="0" applyNumberFormat="1" applyFont="1" applyFill="1"/>
    <xf fontId="60" fillId="7" borderId="29" numFmtId="167" xfId="0" applyNumberFormat="1" applyFont="1" applyFill="1" applyBorder="1"/>
    <xf fontId="6" fillId="0" borderId="1" numFmtId="4" xfId="2" applyNumberFormat="1" applyFont="1" applyBorder="1" applyAlignment="1">
      <alignment horizontal="right" vertical="center" wrapText="1"/>
    </xf>
    <xf fontId="0" fillId="11" borderId="2" numFmtId="4" xfId="0" applyNumberFormat="1" applyFill="1" applyBorder="1"/>
    <xf fontId="1" fillId="11" borderId="18" numFmtId="164" xfId="5" applyNumberFormat="1" applyFont="1" applyFill="1" applyBorder="1" applyAlignment="1">
      <alignment horizontal="center" vertical="center"/>
    </xf>
    <xf fontId="1" fillId="11" borderId="2" numFmtId="164" xfId="5" applyNumberFormat="1" applyFont="1" applyFill="1" applyBorder="1" applyAlignment="1">
      <alignment horizontal="center" vertical="center"/>
    </xf>
    <xf fontId="1" fillId="11" borderId="2" numFmtId="164" xfId="7" applyNumberFormat="1" applyFont="1" applyFill="1" applyBorder="1" applyAlignment="1">
      <alignment horizontal="center" vertical="center"/>
    </xf>
    <xf fontId="1" fillId="11" borderId="1" numFmtId="164" xfId="5" applyNumberFormat="1" applyFont="1" applyFill="1" applyBorder="1" applyAlignment="1">
      <alignment horizontal="center" vertical="center"/>
    </xf>
    <xf fontId="56" fillId="11" borderId="18" numFmtId="164" xfId="5" applyNumberFormat="1" applyFont="1" applyFill="1" applyBorder="1" applyAlignment="1">
      <alignment vertical="center"/>
    </xf>
    <xf fontId="0" fillId="11" borderId="79" numFmtId="167" xfId="0" applyNumberFormat="1" applyFill="1" applyBorder="1" applyAlignment="1">
      <alignment horizontal="center" vertical="center"/>
    </xf>
    <xf fontId="1" fillId="7" borderId="26" numFmtId="4" xfId="0" applyNumberFormat="1" applyFont="1" applyFill="1" applyBorder="1" applyAlignment="1">
      <alignment vertical="center" wrapText="1"/>
    </xf>
    <xf fontId="13" fillId="7" borderId="41" numFmtId="4" xfId="2" applyNumberFormat="1" applyFont="1" applyFill="1" applyBorder="1" applyAlignment="1">
      <alignment horizontal="right" wrapText="1"/>
    </xf>
    <xf fontId="13" fillId="7" borderId="47" numFmtId="4" xfId="2" applyNumberFormat="1" applyFont="1" applyFill="1" applyBorder="1" applyAlignment="1">
      <alignment horizontal="right" wrapText="1"/>
    </xf>
    <xf fontId="13" fillId="7" borderId="21" numFmtId="4" xfId="2" applyNumberFormat="1" applyFont="1" applyFill="1" applyBorder="1" applyAlignment="1">
      <alignment horizontal="right" wrapText="1"/>
    </xf>
    <xf fontId="13" fillId="7" borderId="19" numFmtId="4" xfId="2" applyNumberFormat="1" applyFont="1" applyFill="1" applyBorder="1" applyAlignment="1">
      <alignment horizontal="right" wrapText="1"/>
    </xf>
    <xf fontId="13" fillId="7" borderId="20" numFmtId="4" xfId="2" applyNumberFormat="1" applyFont="1" applyFill="1" applyBorder="1" applyAlignment="1">
      <alignment horizontal="right" wrapText="1"/>
    </xf>
    <xf fontId="45" fillId="7" borderId="42" numFmtId="4" xfId="2" applyNumberFormat="1" applyFont="1" applyFill="1" applyBorder="1" applyAlignment="1">
      <alignment horizontal="right" wrapText="1"/>
    </xf>
    <xf fontId="45" fillId="7" borderId="21" numFmtId="4" xfId="2" applyNumberFormat="1" applyFont="1" applyFill="1" applyBorder="1" applyAlignment="1">
      <alignment horizontal="right" wrapText="1"/>
    </xf>
    <xf fontId="60" fillId="7" borderId="29" numFmtId="0" xfId="0" applyFont="1" applyFill="1" applyBorder="1"/>
    <xf fontId="1" fillId="0" borderId="34" numFmtId="164" xfId="5" applyNumberFormat="1" applyFont="1" applyBorder="1" applyAlignment="1">
      <alignment horizontal="center" vertical="center"/>
    </xf>
    <xf fontId="56" fillId="0" borderId="30" numFmtId="164" xfId="5" applyNumberFormat="1" applyFont="1" applyBorder="1" applyAlignment="1">
      <alignment horizontal="center" vertical="center"/>
    </xf>
    <xf fontId="0" fillId="0" borderId="30" numFmtId="164" xfId="5" applyNumberFormat="1" applyBorder="1" applyAlignment="1">
      <alignment horizontal="center" vertical="center"/>
    </xf>
    <xf fontId="0" fillId="0" borderId="30" numFmtId="0" xfId="0" applyBorder="1"/>
    <xf fontId="3" fillId="0" borderId="21" numFmtId="4" xfId="2" applyNumberFormat="1" applyFont="1" applyBorder="1" applyAlignment="1">
      <alignment horizontal="right" wrapText="1"/>
    </xf>
    <xf fontId="3" fillId="0" borderId="41" numFmtId="4" xfId="2" applyNumberFormat="1" applyFont="1" applyBorder="1" applyAlignment="1">
      <alignment horizontal="right"/>
    </xf>
    <xf fontId="3" fillId="0" borderId="47" numFmtId="4" xfId="2" applyNumberFormat="1" applyFont="1" applyBorder="1" applyAlignment="1">
      <alignment horizontal="right"/>
    </xf>
    <xf fontId="3" fillId="3" borderId="21" numFmtId="4" xfId="2" applyNumberFormat="1" applyFont="1" applyFill="1" applyBorder="1" applyAlignment="1">
      <alignment horizontal="right"/>
    </xf>
    <xf fontId="3" fillId="3" borderId="19" numFmtId="4" xfId="2" applyNumberFormat="1" applyFont="1" applyFill="1" applyBorder="1" applyAlignment="1">
      <alignment horizontal="right"/>
    </xf>
    <xf fontId="4" fillId="0" borderId="21" numFmtId="4" xfId="2" applyNumberFormat="1" applyFont="1" applyBorder="1" applyAlignment="1">
      <alignment horizontal="right"/>
    </xf>
    <xf fontId="3" fillId="0" borderId="19" numFmtId="4" xfId="2" applyNumberFormat="1" applyFont="1" applyBorder="1" applyAlignment="1">
      <alignment horizontal="right"/>
    </xf>
    <xf fontId="3" fillId="0" borderId="21" numFmtId="4" xfId="2" applyNumberFormat="1" applyFont="1" applyBorder="1" applyAlignment="1">
      <alignment horizontal="right"/>
    </xf>
    <xf fontId="3" fillId="3" borderId="41" numFmtId="4" xfId="2" applyNumberFormat="1" applyFont="1" applyFill="1" applyBorder="1" applyAlignment="1">
      <alignment horizontal="right"/>
    </xf>
    <xf fontId="3" fillId="3" borderId="47" numFmtId="4" xfId="2" applyNumberFormat="1" applyFont="1" applyFill="1" applyBorder="1" applyAlignment="1">
      <alignment horizontal="right"/>
    </xf>
    <xf fontId="3" fillId="0" borderId="20" numFmtId="4" xfId="2" applyNumberFormat="1" applyFont="1" applyBorder="1" applyAlignment="1">
      <alignment horizontal="right" wrapText="1"/>
    </xf>
    <xf fontId="1" fillId="0" borderId="25" numFmtId="164" xfId="5" applyNumberFormat="1" applyFont="1" applyBorder="1" applyAlignment="1">
      <alignment horizontal="center" vertical="center"/>
    </xf>
    <xf fontId="56" fillId="0" borderId="0" numFmtId="164" xfId="5" applyNumberFormat="1" applyFont="1" applyAlignment="1">
      <alignment horizontal="center" vertical="center"/>
    </xf>
    <xf fontId="0" fillId="0" borderId="0" numFmtId="164" xfId="7" applyNumberFormat="1" applyAlignment="1">
      <alignment horizontal="center" vertical="center"/>
    </xf>
    <xf fontId="13" fillId="0" borderId="41" numFmtId="4" xfId="2" applyNumberFormat="1" applyFont="1" applyBorder="1" applyAlignment="1">
      <alignment horizontal="right"/>
    </xf>
    <xf fontId="13" fillId="0" borderId="47" numFmtId="4" xfId="2" applyNumberFormat="1" applyFont="1" applyBorder="1" applyAlignment="1">
      <alignment horizontal="right"/>
    </xf>
    <xf fontId="13" fillId="3" borderId="21" numFmtId="4" xfId="2" applyNumberFormat="1" applyFont="1" applyFill="1" applyBorder="1" applyAlignment="1">
      <alignment horizontal="right"/>
    </xf>
    <xf fontId="13" fillId="3" borderId="19" numFmtId="4" xfId="2" applyNumberFormat="1" applyFont="1" applyFill="1" applyBorder="1" applyAlignment="1">
      <alignment horizontal="right"/>
    </xf>
    <xf fontId="13" fillId="0" borderId="21" numFmtId="4" xfId="2" applyNumberFormat="1" applyFont="1" applyBorder="1" applyAlignment="1">
      <alignment horizontal="right"/>
    </xf>
    <xf fontId="13" fillId="0" borderId="19" numFmtId="4" xfId="2" applyNumberFormat="1" applyFont="1" applyBorder="1" applyAlignment="1">
      <alignment horizontal="right"/>
    </xf>
    <xf fontId="13" fillId="3" borderId="41" numFmtId="4" xfId="2" applyNumberFormat="1" applyFont="1" applyFill="1" applyBorder="1" applyAlignment="1">
      <alignment horizontal="right"/>
    </xf>
    <xf fontId="1" fillId="0" borderId="0" numFmtId="164" xfId="5" applyNumberFormat="1" applyFont="1" applyAlignment="1">
      <alignment horizontal="center" vertical="center"/>
    </xf>
    <xf fontId="1" fillId="0" borderId="10" numFmtId="0" xfId="0" applyFont="1" applyBorder="1"/>
    <xf fontId="1" fillId="0" borderId="18" numFmtId="164" xfId="5" applyNumberFormat="1" applyFont="1" applyBorder="1" applyAlignment="1">
      <alignment horizontal="center" vertical="center"/>
    </xf>
    <xf fontId="0" fillId="0" borderId="0" numFmtId="164" xfId="5" applyNumberFormat="1" applyAlignment="1">
      <alignment vertical="center"/>
    </xf>
    <xf fontId="0" fillId="0" borderId="25" numFmtId="164" xfId="5" applyNumberFormat="1" applyBorder="1" applyAlignment="1">
      <alignment horizontal="center" vertical="center"/>
    </xf>
    <xf fontId="56" fillId="0" borderId="2" numFmtId="164" xfId="5" applyNumberFormat="1" applyFont="1" applyBorder="1" applyAlignment="1">
      <alignment horizontal="center" vertical="center"/>
    </xf>
    <xf fontId="56" fillId="0" borderId="2" numFmtId="164" xfId="5" applyNumberFormat="1" applyFont="1" applyBorder="1"/>
    <xf fontId="13" fillId="0" borderId="47" numFmtId="172" xfId="2" applyNumberFormat="1" applyFont="1" applyBorder="1" applyAlignment="1">
      <alignment horizontal="right" wrapText="1"/>
    </xf>
    <xf fontId="0" fillId="7" borderId="0" numFmtId="0" xfId="0" applyFill="1"/>
    <xf fontId="0" fillId="7" borderId="0" numFmtId="2" xfId="0" applyNumberFormat="1" applyFill="1"/>
    <xf fontId="0" fillId="7" borderId="0" numFmtId="164" xfId="0" applyNumberFormat="1" applyFill="1"/>
    <xf fontId="0" fillId="7" borderId="0" numFmtId="167" xfId="0" applyNumberFormat="1" applyFill="1"/>
    <xf fontId="56" fillId="11" borderId="2" numFmtId="164" xfId="5" applyNumberFormat="1" applyFont="1" applyFill="1" applyBorder="1" applyAlignment="1">
      <alignment horizontal="center" vertical="center"/>
    </xf>
    <xf fontId="56" fillId="11" borderId="2" numFmtId="164" xfId="7" applyNumberFormat="1" applyFont="1" applyFill="1" applyBorder="1" applyAlignment="1">
      <alignment horizontal="center" vertical="center"/>
    </xf>
    <xf fontId="56" fillId="11" borderId="1" numFmtId="164" xfId="5" applyNumberFormat="1" applyFont="1" applyFill="1" applyBorder="1" applyAlignment="1">
      <alignment horizontal="center" vertical="center"/>
    </xf>
    <xf fontId="1" fillId="7" borderId="26" numFmtId="4" xfId="0" applyNumberFormat="1" applyFont="1" applyFill="1" applyBorder="1" applyAlignment="1">
      <alignment horizontal="right" vertical="center" wrapText="1"/>
    </xf>
    <xf fontId="0" fillId="0" borderId="26" numFmtId="4" xfId="0" applyNumberFormat="1" applyBorder="1" applyAlignment="1">
      <alignment horizontal="right" vertical="center" wrapText="1"/>
    </xf>
    <xf fontId="3" fillId="0" borderId="36" numFmtId="0" xfId="2" applyFont="1" applyBorder="1" applyAlignment="1">
      <alignment horizontal="center" vertical="center" wrapText="1"/>
    </xf>
    <xf fontId="1" fillId="0" borderId="30" numFmtId="164" xfId="5" applyNumberFormat="1" applyFont="1" applyBorder="1"/>
    <xf fontId="3" fillId="0" borderId="22" numFmtId="4" xfId="2" applyNumberFormat="1" applyFont="1" applyBorder="1" applyAlignment="1">
      <alignment horizontal="right" wrapText="1"/>
    </xf>
    <xf fontId="3" fillId="0" borderId="1" numFmtId="4" xfId="2" applyNumberFormat="1" applyFont="1" applyBorder="1" applyAlignment="1">
      <alignment horizontal="right" wrapText="1"/>
    </xf>
    <xf fontId="3" fillId="0" borderId="45" numFmtId="4" xfId="2" applyNumberFormat="1" applyFont="1" applyBorder="1" applyAlignment="1">
      <alignment horizontal="right" wrapText="1"/>
    </xf>
    <xf fontId="3" fillId="0" borderId="46" numFmtId="4" xfId="2" applyNumberFormat="1" applyFont="1" applyBorder="1" applyAlignment="1">
      <alignment horizontal="right" wrapText="1"/>
    </xf>
    <xf fontId="3" fillId="0" borderId="12" numFmtId="4" xfId="2" applyNumberFormat="1" applyFont="1" applyBorder="1" applyAlignment="1">
      <alignment horizontal="right" wrapText="1"/>
    </xf>
    <xf fontId="105" fillId="0" borderId="0" numFmtId="0" xfId="0" applyFont="1"/>
    <xf fontId="105" fillId="0" borderId="0" numFmtId="164" xfId="5" applyNumberFormat="1" applyFont="1"/>
    <xf fontId="13" fillId="0" borderId="70" numFmtId="4" xfId="2" applyNumberFormat="1" applyFont="1" applyBorder="1" applyAlignment="1">
      <alignment horizontal="right" wrapText="1"/>
    </xf>
    <xf fontId="3" fillId="0" borderId="71" numFmtId="4" xfId="2" applyNumberFormat="1" applyFont="1" applyBorder="1" applyAlignment="1">
      <alignment horizontal="right" wrapText="1"/>
    </xf>
    <xf fontId="3" fillId="0" borderId="67" numFmtId="4" xfId="2" applyNumberFormat="1" applyFont="1" applyBorder="1" applyAlignment="1">
      <alignment horizontal="right" wrapText="1"/>
    </xf>
    <xf fontId="6" fillId="6" borderId="1" numFmtId="4" xfId="2" applyNumberFormat="1" applyFont="1" applyFill="1" applyBorder="1" applyAlignment="1">
      <alignment horizontal="right" vertical="center" wrapText="1"/>
    </xf>
    <xf fontId="6" fillId="6" borderId="33" numFmtId="4" xfId="2" applyNumberFormat="1" applyFont="1" applyFill="1" applyBorder="1" applyAlignment="1">
      <alignment horizontal="right" wrapText="1"/>
    </xf>
    <xf fontId="6" fillId="6" borderId="35" numFmtId="4" xfId="2" applyNumberFormat="1" applyFont="1" applyFill="1" applyBorder="1" applyAlignment="1">
      <alignment horizontal="right" wrapText="1"/>
    </xf>
    <xf fontId="6" fillId="6" borderId="26" numFmtId="4" xfId="2" applyNumberFormat="1" applyFont="1" applyFill="1" applyBorder="1" applyAlignment="1">
      <alignment horizontal="right" wrapText="1"/>
    </xf>
    <xf fontId="36" fillId="6" borderId="42" numFmtId="4" xfId="2" applyNumberFormat="1" applyFont="1" applyFill="1" applyBorder="1" applyAlignment="1">
      <alignment horizontal="right" wrapText="1"/>
    </xf>
    <xf fontId="36" fillId="6" borderId="21" numFmtId="4" xfId="2" applyNumberFormat="1" applyFont="1" applyFill="1" applyBorder="1" applyAlignment="1">
      <alignment horizontal="right" wrapText="1"/>
    </xf>
    <xf fontId="1" fillId="6" borderId="26" numFmtId="4" xfId="0" applyNumberFormat="1" applyFont="1" applyFill="1" applyBorder="1" applyAlignment="1">
      <alignment horizontal="right" vertical="center" wrapText="1"/>
    </xf>
    <xf fontId="19" fillId="6" borderId="41" numFmtId="4" xfId="2" applyNumberFormat="1" applyFont="1" applyFill="1" applyBorder="1" applyAlignment="1">
      <alignment horizontal="right" wrapText="1"/>
    </xf>
    <xf fontId="19" fillId="6" borderId="47" numFmtId="4" xfId="2" applyNumberFormat="1" applyFont="1" applyFill="1" applyBorder="1" applyAlignment="1">
      <alignment horizontal="right" wrapText="1"/>
    </xf>
    <xf fontId="19" fillId="6" borderId="21" numFmtId="4" xfId="2" applyNumberFormat="1" applyFont="1" applyFill="1" applyBorder="1" applyAlignment="1">
      <alignment horizontal="right" wrapText="1"/>
    </xf>
    <xf fontId="19" fillId="6" borderId="19" numFmtId="4" xfId="2" applyNumberFormat="1" applyFont="1" applyFill="1" applyBorder="1" applyAlignment="1">
      <alignment horizontal="right" wrapText="1"/>
    </xf>
    <xf fontId="19" fillId="6" borderId="41" numFmtId="4" xfId="2" applyNumberFormat="1" applyFont="1" applyFill="1" applyBorder="1" applyAlignment="1">
      <alignment horizontal="right"/>
    </xf>
    <xf fontId="19" fillId="0" borderId="47" numFmtId="4" xfId="2" applyNumberFormat="1" applyFont="1" applyBorder="1" applyAlignment="1">
      <alignment horizontal="right"/>
    </xf>
    <xf fontId="19" fillId="6" borderId="21" numFmtId="4" xfId="2" applyNumberFormat="1" applyFont="1" applyFill="1" applyBorder="1" applyAlignment="1">
      <alignment horizontal="right"/>
    </xf>
    <xf fontId="19" fillId="6" borderId="19" numFmtId="4" xfId="2" applyNumberFormat="1" applyFont="1" applyFill="1" applyBorder="1" applyAlignment="1">
      <alignment horizontal="right"/>
    </xf>
    <xf fontId="19" fillId="6" borderId="47" numFmtId="4" xfId="2" applyNumberFormat="1" applyFont="1" applyFill="1" applyBorder="1" applyAlignment="1">
      <alignment horizontal="right"/>
    </xf>
    <xf fontId="19" fillId="6" borderId="20" numFmtId="4" xfId="2" applyNumberFormat="1" applyFont="1" applyFill="1" applyBorder="1" applyAlignment="1">
      <alignment horizontal="right" wrapText="1"/>
    </xf>
    <xf fontId="45" fillId="6" borderId="42" numFmtId="4" xfId="2" applyNumberFormat="1" applyFont="1" applyFill="1" applyBorder="1" applyAlignment="1">
      <alignment horizontal="right" wrapText="1"/>
    </xf>
    <xf fontId="45" fillId="6" borderId="21" numFmtId="4" xfId="2" applyNumberFormat="1" applyFont="1" applyFill="1" applyBorder="1" applyAlignment="1">
      <alignment horizontal="right" wrapText="1"/>
    </xf>
    <xf fontId="0" fillId="14" borderId="0" numFmtId="4" xfId="0" applyNumberFormat="1" applyFill="1"/>
    <xf fontId="0" fillId="14" borderId="0" numFmtId="2" xfId="0" applyNumberFormat="1" applyFill="1"/>
    <xf fontId="0" fillId="24" borderId="0" numFmtId="167" xfId="0" applyNumberFormat="1" applyFill="1"/>
    <xf fontId="60" fillId="24" borderId="29" numFmtId="167" xfId="0" applyNumberFormat="1" applyFont="1" applyFill="1" applyBorder="1"/>
    <xf fontId="3" fillId="14" borderId="41" numFmtId="4" xfId="2" applyNumberFormat="1" applyFont="1" applyFill="1" applyBorder="1"/>
    <xf fontId="3" fillId="14" borderId="47" numFmtId="4" xfId="2" applyNumberFormat="1" applyFont="1" applyFill="1" applyBorder="1"/>
    <xf fontId="3" fillId="14" borderId="43" numFmtId="4" xfId="2" applyNumberFormat="1" applyFont="1" applyFill="1" applyBorder="1"/>
    <xf fontId="3" fillId="14" borderId="54" numFmtId="4" xfId="2" applyNumberFormat="1" applyFont="1" applyFill="1" applyBorder="1"/>
    <xf fontId="9" fillId="14" borderId="42" numFmtId="4" xfId="2" applyNumberFormat="1" applyFont="1" applyFill="1" applyBorder="1"/>
    <xf fontId="9" fillId="14" borderId="21" numFmtId="4" xfId="2" applyNumberFormat="1" applyFont="1" applyFill="1" applyBorder="1"/>
    <xf fontId="60" fillId="4" borderId="25" numFmtId="164" xfId="5" applyNumberFormat="1" applyFont="1" applyFill="1" applyBorder="1" applyAlignment="1">
      <alignment horizontal="center" vertical="center"/>
    </xf>
    <xf fontId="60" fillId="4" borderId="0" numFmtId="164" xfId="5" applyNumberFormat="1" applyFont="1" applyFill="1" applyAlignment="1">
      <alignment horizontal="center" vertical="center"/>
    </xf>
    <xf fontId="60" fillId="4" borderId="0" numFmtId="164" xfId="7" applyNumberFormat="1" applyFont="1" applyFill="1" applyAlignment="1">
      <alignment horizontal="center" vertical="center"/>
    </xf>
    <xf fontId="60" fillId="4" borderId="7" numFmtId="164" xfId="5" applyNumberFormat="1" applyFont="1" applyFill="1" applyBorder="1" applyAlignment="1">
      <alignment horizontal="center" vertical="center"/>
    </xf>
    <xf fontId="54" fillId="4" borderId="25" numFmtId="164" xfId="5" applyNumberFormat="1" applyFont="1" applyFill="1" applyBorder="1" applyAlignment="1">
      <alignment vertical="center"/>
    </xf>
    <xf fontId="0" fillId="4" borderId="7" numFmtId="0" xfId="0" applyFill="1" applyBorder="1" applyAlignment="1">
      <alignment horizontal="center" vertical="center"/>
    </xf>
    <xf fontId="56" fillId="4" borderId="25" numFmtId="164" xfId="5" applyNumberFormat="1" applyFont="1" applyFill="1" applyBorder="1" applyAlignment="1">
      <alignment horizontal="right" vertical="center"/>
    </xf>
    <xf fontId="0" fillId="4" borderId="7" numFmtId="167" xfId="0" applyNumberFormat="1" applyFill="1" applyBorder="1" applyAlignment="1">
      <alignment horizontal="center" vertical="center"/>
    </xf>
    <xf fontId="0" fillId="4" borderId="29" numFmtId="167" xfId="0" applyNumberFormat="1" applyFill="1" applyBorder="1" applyAlignment="1">
      <alignment horizontal="center" vertical="center"/>
    </xf>
    <xf fontId="9" fillId="0" borderId="25" numFmtId="4" xfId="2" applyNumberFormat="1" applyFont="1" applyBorder="1"/>
    <xf fontId="9" fillId="0" borderId="8" numFmtId="4" xfId="2" applyNumberFormat="1" applyFont="1" applyBorder="1"/>
    <xf fontId="0" fillId="13" borderId="0" numFmtId="164" xfId="0" applyNumberFormat="1" applyFill="1"/>
    <xf fontId="3" fillId="6" borderId="19" numFmtId="4" xfId="2" applyNumberFormat="1" applyFont="1" applyFill="1" applyBorder="1" applyAlignment="1">
      <alignment vertical="center" wrapText="1"/>
    </xf>
    <xf fontId="3" fillId="0" borderId="43" numFmtId="0" xfId="2" applyFont="1" applyBorder="1" applyAlignment="1">
      <alignment horizontal="center" vertical="center" wrapText="1"/>
    </xf>
    <xf fontId="1" fillId="7" borderId="42" numFmtId="164" xfId="5" applyNumberFormat="1" applyFont="1" applyFill="1" applyBorder="1" applyAlignment="1">
      <alignment horizontal="center" vertical="center"/>
    </xf>
    <xf fontId="56" fillId="7" borderId="42" numFmtId="164" xfId="5" applyNumberFormat="1" applyFont="1" applyFill="1" applyBorder="1" applyAlignment="1">
      <alignment horizontal="center" vertical="center"/>
    </xf>
    <xf fontId="56" fillId="7" borderId="42" numFmtId="164" xfId="7" applyNumberFormat="1" applyFont="1" applyFill="1" applyBorder="1" applyAlignment="1">
      <alignment horizontal="center" vertical="center"/>
    </xf>
    <xf fontId="56" fillId="7" borderId="19" numFmtId="164" xfId="5" applyNumberFormat="1" applyFont="1" applyFill="1" applyBorder="1" applyAlignment="1">
      <alignment horizontal="center" vertical="center"/>
    </xf>
    <xf fontId="56" fillId="7" borderId="42" numFmtId="164" xfId="5" applyNumberFormat="1" applyFont="1" applyFill="1" applyBorder="1" applyAlignment="1">
      <alignment vertical="center"/>
    </xf>
    <xf fontId="0" fillId="14" borderId="26" numFmtId="0" xfId="0" applyFill="1" applyBorder="1" applyAlignment="1">
      <alignment horizontal="center" vertical="center"/>
    </xf>
    <xf fontId="56" fillId="14" borderId="34" numFmtId="164" xfId="5" applyNumberFormat="1" applyFont="1" applyFill="1" applyBorder="1" applyAlignment="1">
      <alignment horizontal="right" vertical="center"/>
    </xf>
    <xf fontId="0" fillId="14" borderId="26" numFmtId="167" xfId="0" applyNumberFormat="1" applyFill="1" applyBorder="1" applyAlignment="1">
      <alignment horizontal="center" vertical="center"/>
    </xf>
    <xf fontId="0" fillId="14" borderId="36" numFmtId="167" xfId="0" applyNumberFormat="1" applyFill="1" applyBorder="1" applyAlignment="1">
      <alignment horizontal="center" vertical="center"/>
    </xf>
    <xf fontId="3" fillId="0" borderId="19" numFmtId="4" xfId="2" applyNumberFormat="1" applyFont="1" applyBorder="1" applyAlignment="1">
      <alignment vertical="center" wrapText="1"/>
    </xf>
    <xf fontId="0" fillId="0" borderId="19" numFmtId="164" xfId="5" applyNumberFormat="1" applyBorder="1" applyAlignment="1">
      <alignment horizontal="center" vertical="center"/>
    </xf>
    <xf fontId="1" fillId="0" borderId="20" numFmtId="164" xfId="5" applyNumberFormat="1" applyFont="1" applyBorder="1" applyAlignment="1">
      <alignment horizontal="center" vertical="center"/>
    </xf>
    <xf fontId="0" fillId="0" borderId="20" numFmtId="164" xfId="7" applyNumberFormat="1" applyBorder="1" applyAlignment="1">
      <alignment horizontal="center" vertical="center"/>
    </xf>
    <xf fontId="56" fillId="0" borderId="42" numFmtId="164" xfId="5" applyNumberFormat="1" applyFont="1" applyBorder="1" applyAlignment="1">
      <alignment vertical="center"/>
    </xf>
    <xf fontId="0" fillId="0" borderId="20" numFmtId="164" xfId="5" applyNumberFormat="1" applyBorder="1" applyAlignment="1">
      <alignment vertical="center"/>
    </xf>
    <xf fontId="1" fillId="0" borderId="20" numFmtId="164" xfId="5" applyNumberFormat="1" applyFont="1" applyBorder="1" applyAlignment="1">
      <alignment vertical="center"/>
    </xf>
    <xf fontId="1" fillId="0" borderId="20" numFmtId="164" xfId="5" applyNumberFormat="1" applyFont="1" applyBorder="1"/>
    <xf fontId="0" fillId="0" borderId="19" numFmtId="0" xfId="0" applyBorder="1" applyAlignment="1">
      <alignment horizontal="center" vertical="center"/>
    </xf>
    <xf fontId="56" fillId="0" borderId="19" numFmtId="164" xfId="5" applyNumberFormat="1" applyFont="1" applyBorder="1" applyAlignment="1">
      <alignment horizontal="right" vertical="center"/>
    </xf>
    <xf fontId="0" fillId="0" borderId="19" numFmtId="164" xfId="5" applyNumberFormat="1" applyBorder="1" applyAlignment="1">
      <alignment vertical="center"/>
    </xf>
    <xf fontId="0" fillId="0" borderId="42" numFmtId="164" xfId="5" applyNumberFormat="1" applyBorder="1" applyAlignment="1">
      <alignment horizontal="center" vertical="center"/>
    </xf>
    <xf fontId="0" fillId="0" borderId="21" numFmtId="164" xfId="5" applyNumberFormat="1" applyBorder="1" applyAlignment="1">
      <alignment horizontal="center" vertical="center"/>
    </xf>
    <xf fontId="0" fillId="0" borderId="20" numFmtId="167" xfId="0" applyNumberFormat="1" applyBorder="1" applyAlignment="1">
      <alignment horizontal="center" vertical="center"/>
    </xf>
    <xf fontId="0" fillId="0" borderId="43" numFmtId="167" xfId="0" applyNumberFormat="1" applyBorder="1" applyAlignment="1">
      <alignment horizontal="center" vertical="center"/>
    </xf>
    <xf fontId="5" fillId="6" borderId="41" numFmtId="4" xfId="2" applyNumberFormat="1" applyFont="1" applyFill="1" applyBorder="1" applyAlignment="1">
      <alignment horizontal="right" wrapText="1"/>
    </xf>
    <xf fontId="5" fillId="6" borderId="53" numFmtId="4" xfId="2" applyNumberFormat="1" applyFont="1" applyFill="1" applyBorder="1" applyAlignment="1">
      <alignment horizontal="right" wrapText="1"/>
    </xf>
    <xf fontId="24" fillId="6" borderId="42" numFmtId="4" xfId="2" applyNumberFormat="1" applyFont="1" applyFill="1" applyBorder="1" applyAlignment="1">
      <alignment horizontal="right" wrapText="1"/>
    </xf>
    <xf fontId="24" fillId="6" borderId="21" numFmtId="4" xfId="2" applyNumberFormat="1" applyFont="1" applyFill="1" applyBorder="1" applyAlignment="1">
      <alignment horizontal="right" wrapText="1"/>
    </xf>
    <xf fontId="5" fillId="6" borderId="21" numFmtId="4" xfId="2" applyNumberFormat="1" applyFont="1" applyFill="1" applyBorder="1" applyAlignment="1">
      <alignment horizontal="right" wrapText="1"/>
    </xf>
    <xf fontId="0" fillId="6" borderId="0" numFmtId="167" xfId="0" applyNumberFormat="1" applyFill="1"/>
    <xf fontId="0" fillId="0" borderId="20" numFmtId="4" xfId="0" applyNumberFormat="1" applyBorder="1"/>
    <xf fontId="3" fillId="3" borderId="41" numFmtId="4" xfId="2" applyNumberFormat="1" applyFont="1" applyFill="1" applyBorder="1" applyAlignment="1">
      <alignment horizontal="right" wrapText="1"/>
    </xf>
    <xf fontId="3" fillId="3" borderId="53" numFmtId="4" xfId="2" applyNumberFormat="1" applyFont="1" applyFill="1" applyBorder="1" applyAlignment="1">
      <alignment horizontal="right" wrapText="1"/>
    </xf>
    <xf fontId="0" fillId="0" borderId="0" numFmtId="166" xfId="5" applyNumberFormat="1"/>
    <xf fontId="0" fillId="0" borderId="0" numFmtId="171" xfId="0" applyNumberFormat="1"/>
    <xf fontId="0" fillId="0" borderId="19" numFmtId="4" xfId="0" applyNumberFormat="1" applyBorder="1" applyAlignment="1">
      <alignment vertical="center" wrapText="1"/>
    </xf>
    <xf fontId="1" fillId="0" borderId="2" numFmtId="164" xfId="7" applyNumberFormat="1" applyFont="1" applyBorder="1" applyAlignment="1">
      <alignment horizontal="center" vertical="center"/>
    </xf>
    <xf fontId="0" fillId="0" borderId="20" numFmtId="0" xfId="0" applyBorder="1"/>
    <xf fontId="0" fillId="0" borderId="21" numFmtId="0" xfId="0" applyBorder="1"/>
    <xf fontId="56" fillId="0" borderId="42" numFmtId="0" xfId="0" applyFont="1" applyBorder="1"/>
    <xf fontId="0" fillId="0" borderId="42" numFmtId="0" xfId="0" applyBorder="1"/>
    <xf fontId="56" fillId="0" borderId="19" numFmtId="164" xfId="5" applyNumberFormat="1" applyFont="1" applyBorder="1"/>
    <xf fontId="0" fillId="0" borderId="42" numFmtId="164" xfId="5" applyNumberFormat="1" applyBorder="1"/>
    <xf fontId="0" fillId="0" borderId="21" numFmtId="164" xfId="5" applyNumberFormat="1" applyBorder="1"/>
    <xf fontId="1" fillId="0" borderId="19" numFmtId="4" xfId="0" applyNumberFormat="1" applyFont="1" applyBorder="1" applyAlignment="1">
      <alignment vertical="center" wrapText="1"/>
    </xf>
    <xf fontId="56" fillId="0" borderId="20" numFmtId="164" xfId="5" applyNumberFormat="1" applyFont="1" applyBorder="1" applyAlignment="1">
      <alignment horizontal="center" vertical="center"/>
    </xf>
    <xf fontId="0" fillId="0" borderId="20" numFmtId="164" xfId="5" applyNumberFormat="1" applyBorder="1"/>
    <xf fontId="56" fillId="0" borderId="20" numFmtId="164" xfId="5" applyNumberFormat="1" applyFont="1" applyBorder="1"/>
    <xf fontId="56" fillId="0" borderId="42" numFmtId="164" xfId="5" applyNumberFormat="1" applyFont="1" applyBorder="1" applyAlignment="1">
      <alignment horizontal="right" vertical="center"/>
    </xf>
    <xf fontId="0" fillId="0" borderId="19" numFmtId="167" xfId="0" applyNumberFormat="1" applyBorder="1" applyAlignment="1">
      <alignment horizontal="center" vertical="center"/>
    </xf>
    <xf fontId="3" fillId="0" borderId="19" numFmtId="4" xfId="2" applyNumberFormat="1" applyFont="1" applyBorder="1" applyAlignment="1">
      <alignment wrapText="1"/>
    </xf>
    <xf fontId="3" fillId="0" borderId="43" numFmtId="0" xfId="0" applyFont="1" applyBorder="1" applyAlignment="1">
      <alignment horizontal="center" vertical="center" wrapText="1"/>
    </xf>
    <xf fontId="0" fillId="0" borderId="0" numFmtId="173" xfId="0" applyNumberFormat="1"/>
    <xf fontId="4" fillId="0" borderId="19" numFmtId="4" xfId="2" applyNumberFormat="1" applyFont="1" applyBorder="1" applyAlignment="1">
      <alignment vertical="center" wrapText="1"/>
    </xf>
    <xf fontId="1" fillId="7" borderId="0" numFmtId="164" xfId="5" applyNumberFormat="1" applyFont="1" applyFill="1" applyAlignment="1">
      <alignment horizontal="center" vertical="center"/>
    </xf>
    <xf fontId="1" fillId="7" borderId="0" numFmtId="164" xfId="7" applyNumberFormat="1" applyFont="1" applyFill="1" applyAlignment="1">
      <alignment horizontal="center" vertical="center"/>
    </xf>
    <xf fontId="1" fillId="7" borderId="7" numFmtId="164" xfId="5" applyNumberFormat="1" applyFont="1" applyFill="1" applyBorder="1" applyAlignment="1">
      <alignment horizontal="center" vertical="center"/>
    </xf>
    <xf fontId="56" fillId="7" borderId="25" numFmtId="164" xfId="5" applyNumberFormat="1" applyFont="1" applyFill="1" applyBorder="1" applyAlignment="1">
      <alignment vertical="center"/>
    </xf>
    <xf fontId="0" fillId="14" borderId="1" numFmtId="0" xfId="0" applyFill="1" applyBorder="1" applyAlignment="1">
      <alignment horizontal="center" vertical="center"/>
    </xf>
    <xf fontId="56" fillId="14" borderId="18" numFmtId="164" xfId="5" applyNumberFormat="1" applyFont="1" applyFill="1" applyBorder="1" applyAlignment="1">
      <alignment horizontal="right" vertical="center"/>
    </xf>
    <xf fontId="0" fillId="14" borderId="1" numFmtId="167" xfId="0" applyNumberFormat="1" applyFill="1" applyBorder="1" applyAlignment="1">
      <alignment horizontal="center" vertical="center"/>
    </xf>
    <xf fontId="0" fillId="14" borderId="79" numFmtId="167" xfId="0" applyNumberFormat="1" applyFill="1" applyBorder="1" applyAlignment="1">
      <alignment horizontal="center" vertical="center"/>
    </xf>
    <xf fontId="3" fillId="3" borderId="47" numFmtId="4" xfId="2" applyNumberFormat="1" applyFont="1" applyFill="1" applyBorder="1" applyAlignment="1">
      <alignment horizontal="right" wrapText="1"/>
    </xf>
    <xf fontId="3" fillId="3" borderId="21" numFmtId="4" xfId="2" applyNumberFormat="1" applyFont="1" applyFill="1" applyBorder="1" applyAlignment="1">
      <alignment horizontal="right" wrapText="1"/>
    </xf>
    <xf fontId="3" fillId="3" borderId="19" numFmtId="4" xfId="2" applyNumberFormat="1" applyFont="1" applyFill="1" applyBorder="1" applyAlignment="1">
      <alignment horizontal="right" wrapText="1"/>
    </xf>
    <xf fontId="13" fillId="3" borderId="47" numFmtId="4" xfId="2" applyNumberFormat="1" applyFont="1" applyFill="1" applyBorder="1" applyAlignment="1">
      <alignment horizontal="right"/>
    </xf>
    <xf fontId="13" fillId="3" borderId="21" numFmtId="4" xfId="2" applyNumberFormat="1" applyFont="1" applyFill="1" applyBorder="1" applyAlignment="1">
      <alignment horizontal="right" wrapText="1"/>
    </xf>
    <xf fontId="13" fillId="3" borderId="19" numFmtId="4" xfId="2" applyNumberFormat="1" applyFont="1" applyFill="1" applyBorder="1" applyAlignment="1">
      <alignment horizontal="right" wrapText="1"/>
    </xf>
    <xf fontId="31" fillId="0" borderId="19" numFmtId="4" xfId="0" applyNumberFormat="1" applyFont="1" applyBorder="1" applyAlignment="1">
      <alignment vertical="center" wrapText="1"/>
    </xf>
    <xf fontId="0" fillId="14" borderId="7" numFmtId="0" xfId="0" applyFill="1" applyBorder="1" applyAlignment="1">
      <alignment horizontal="center" vertical="center"/>
    </xf>
    <xf fontId="56" fillId="14" borderId="25" numFmtId="164" xfId="5" applyNumberFormat="1" applyFont="1" applyFill="1" applyBorder="1" applyAlignment="1">
      <alignment horizontal="right" vertical="center"/>
    </xf>
    <xf fontId="0" fillId="14" borderId="7" numFmtId="167" xfId="0" applyNumberFormat="1" applyFill="1" applyBorder="1" applyAlignment="1">
      <alignment horizontal="center" vertical="center"/>
    </xf>
    <xf fontId="0" fillId="14" borderId="29" numFmtId="167" xfId="0" applyNumberFormat="1" applyFill="1" applyBorder="1" applyAlignment="1">
      <alignment horizontal="center" vertical="center"/>
    </xf>
    <xf fontId="6" fillId="3" borderId="47" numFmtId="4" xfId="2" applyNumberFormat="1" applyFont="1" applyFill="1" applyBorder="1" applyAlignment="1">
      <alignment horizontal="center" wrapText="1"/>
    </xf>
    <xf fontId="6" fillId="3" borderId="21" numFmtId="4" xfId="2" applyNumberFormat="1" applyFont="1" applyFill="1" applyBorder="1" applyAlignment="1">
      <alignment horizontal="center" wrapText="1"/>
    </xf>
    <xf fontId="6" fillId="3" borderId="19" numFmtId="4" xfId="2" applyNumberFormat="1" applyFont="1" applyFill="1" applyBorder="1" applyAlignment="1">
      <alignment horizontal="center" wrapText="1"/>
    </xf>
    <xf fontId="56" fillId="11" borderId="18" numFmtId="164" xfId="5" applyNumberFormat="1" applyFont="1" applyFill="1" applyBorder="1" applyAlignment="1">
      <alignment horizontal="center" vertical="center"/>
    </xf>
    <xf fontId="56" fillId="11" borderId="18" numFmtId="164" xfId="7" applyNumberFormat="1" applyFont="1" applyFill="1" applyBorder="1" applyAlignment="1">
      <alignment horizontal="center" vertical="center"/>
    </xf>
    <xf fontId="0" fillId="11" borderId="36" numFmtId="167" xfId="0" applyNumberFormat="1" applyFill="1" applyBorder="1" applyAlignment="1">
      <alignment horizontal="center" vertical="center"/>
    </xf>
    <xf fontId="1" fillId="0" borderId="34" numFmtId="4" xfId="0" applyNumberFormat="1" applyFont="1" applyBorder="1" applyAlignment="1">
      <alignment vertical="center" wrapText="1"/>
    </xf>
    <xf fontId="13" fillId="3" borderId="47" numFmtId="4" xfId="2" applyNumberFormat="1" applyFont="1" applyFill="1" applyBorder="1" applyAlignment="1">
      <alignment horizontal="right" wrapText="1"/>
    </xf>
    <xf fontId="3" fillId="7" borderId="41" numFmtId="4" xfId="2" applyNumberFormat="1" applyFont="1" applyFill="1" applyBorder="1" applyAlignment="1">
      <alignment horizontal="right" wrapText="1"/>
    </xf>
    <xf fontId="3" fillId="7" borderId="53" numFmtId="4" xfId="2" applyNumberFormat="1" applyFont="1" applyFill="1" applyBorder="1" applyAlignment="1">
      <alignment horizontal="right" wrapText="1"/>
    </xf>
    <xf fontId="36" fillId="4" borderId="42" numFmtId="4" xfId="2" applyNumberFormat="1" applyFont="1" applyFill="1" applyBorder="1" applyAlignment="1">
      <alignment horizontal="right" wrapText="1"/>
    </xf>
    <xf fontId="36" fillId="4" borderId="21" numFmtId="4" xfId="2" applyNumberFormat="1" applyFont="1" applyFill="1" applyBorder="1" applyAlignment="1">
      <alignment horizontal="right" wrapText="1"/>
    </xf>
    <xf fontId="0" fillId="4" borderId="0" numFmtId="4" xfId="0" applyNumberFormat="1" applyFill="1"/>
    <xf fontId="0" fillId="4" borderId="0" numFmtId="2" xfId="0" applyNumberFormat="1" applyFill="1"/>
    <xf fontId="0" fillId="4" borderId="0" numFmtId="167" xfId="0" applyNumberFormat="1" applyFill="1"/>
    <xf fontId="0" fillId="4" borderId="29" numFmtId="167" xfId="0" applyNumberFormat="1" applyFill="1" applyBorder="1"/>
    <xf fontId="21" fillId="4" borderId="19" numFmtId="4" xfId="2" applyNumberFormat="1" applyFont="1" applyFill="1" applyBorder="1" applyAlignment="1">
      <alignment vertical="center" wrapText="1"/>
    </xf>
    <xf fontId="106" fillId="0" borderId="79" numFmtId="0" xfId="2" applyFont="1" applyBorder="1" applyAlignment="1">
      <alignment horizontal="center" vertical="center" wrapText="1"/>
    </xf>
    <xf fontId="0" fillId="0" borderId="25" numFmtId="164" xfId="7" applyNumberFormat="1" applyBorder="1" applyAlignment="1">
      <alignment horizontal="center" vertical="center"/>
    </xf>
    <xf fontId="56" fillId="0" borderId="25" numFmtId="164" xfId="5" applyNumberFormat="1" applyFont="1" applyBorder="1" applyAlignment="1">
      <alignment horizontal="center" vertical="center"/>
    </xf>
    <xf fontId="1" fillId="0" borderId="26" numFmtId="4" xfId="0" applyNumberFormat="1" applyFont="1" applyBorder="1" applyAlignment="1">
      <alignment horizontal="right" vertical="center" wrapText="1"/>
    </xf>
    <xf fontId="6" fillId="9" borderId="41" numFmtId="4" xfId="2" applyNumberFormat="1" applyFont="1" applyFill="1" applyBorder="1" applyAlignment="1">
      <alignment horizontal="right" wrapText="1"/>
    </xf>
    <xf fontId="6" fillId="9" borderId="47" numFmtId="4" xfId="2" applyNumberFormat="1" applyFont="1" applyFill="1" applyBorder="1" applyAlignment="1">
      <alignment horizontal="right" wrapText="1"/>
    </xf>
    <xf fontId="6" fillId="9" borderId="19" numFmtId="4" xfId="2" applyNumberFormat="1" applyFont="1" applyFill="1" applyBorder="1" applyAlignment="1">
      <alignment horizontal="right" wrapText="1"/>
    </xf>
    <xf fontId="6" fillId="0" borderId="19" numFmtId="4" xfId="2" applyNumberFormat="1" applyFont="1" applyBorder="1" applyAlignment="1">
      <alignment horizontal="right" wrapText="1"/>
    </xf>
    <xf fontId="45" fillId="9" borderId="42" numFmtId="4" xfId="2" applyNumberFormat="1" applyFont="1" applyFill="1" applyBorder="1" applyAlignment="1">
      <alignment horizontal="right" wrapText="1"/>
    </xf>
    <xf fontId="45" fillId="9" borderId="21" numFmtId="4" xfId="2" applyNumberFormat="1" applyFont="1" applyFill="1" applyBorder="1" applyAlignment="1">
      <alignment horizontal="right" wrapText="1"/>
    </xf>
    <xf fontId="0" fillId="0" borderId="42" numFmtId="164" xfId="7" applyNumberFormat="1" applyBorder="1" applyAlignment="1">
      <alignment horizontal="center" vertical="center"/>
    </xf>
    <xf fontId="1" fillId="0" borderId="42" numFmtId="164" xfId="5" applyNumberFormat="1" applyFont="1" applyBorder="1" applyAlignment="1">
      <alignment horizontal="center" vertical="center"/>
    </xf>
    <xf fontId="56" fillId="0" borderId="42" numFmtId="164" xfId="5" applyNumberFormat="1" applyFont="1" applyBorder="1" applyAlignment="1">
      <alignment horizontal="center" vertical="center"/>
    </xf>
    <xf fontId="6" fillId="13" borderId="19" numFmtId="4" xfId="2" applyNumberFormat="1" applyFont="1" applyFill="1" applyBorder="1" applyAlignment="1">
      <alignment vertical="center" wrapText="1"/>
    </xf>
    <xf fontId="6" fillId="13" borderId="41" numFmtId="4" xfId="2" applyNumberFormat="1" applyFont="1" applyFill="1" applyBorder="1" applyAlignment="1">
      <alignment horizontal="center" wrapText="1"/>
    </xf>
    <xf fontId="6" fillId="13" borderId="19" numFmtId="4" xfId="2" applyNumberFormat="1" applyFont="1" applyFill="1" applyBorder="1" applyAlignment="1">
      <alignment horizontal="center" wrapText="1"/>
    </xf>
    <xf fontId="6" fillId="13" borderId="21" numFmtId="4" xfId="2" applyNumberFormat="1" applyFont="1" applyFill="1" applyBorder="1" applyAlignment="1">
      <alignment horizontal="center" wrapText="1"/>
    </xf>
    <xf fontId="45" fillId="13" borderId="42" numFmtId="4" xfId="2" applyNumberFormat="1" applyFont="1" applyFill="1" applyBorder="1" applyAlignment="1">
      <alignment horizontal="right" wrapText="1"/>
    </xf>
    <xf fontId="45" fillId="13" borderId="21" numFmtId="4" xfId="2" applyNumberFormat="1" applyFont="1" applyFill="1" applyBorder="1" applyAlignment="1">
      <alignment horizontal="right" wrapText="1"/>
    </xf>
    <xf fontId="60" fillId="4" borderId="29" numFmtId="4" xfId="0" applyNumberFormat="1" applyFont="1" applyFill="1" applyBorder="1"/>
    <xf fontId="0" fillId="21" borderId="0" numFmtId="167" xfId="0" applyNumberFormat="1" applyFill="1"/>
    <xf fontId="0" fillId="0" borderId="42" numFmtId="167" xfId="0" applyNumberFormat="1" applyBorder="1"/>
    <xf fontId="6" fillId="3" borderId="41" numFmtId="4" xfId="2" applyNumberFormat="1" applyFont="1" applyFill="1" applyBorder="1" applyAlignment="1">
      <alignment horizontal="right" wrapText="1"/>
    </xf>
    <xf fontId="6" fillId="3" borderId="47" numFmtId="4" xfId="2" applyNumberFormat="1" applyFont="1" applyFill="1" applyBorder="1" applyAlignment="1">
      <alignment horizontal="right" wrapText="1"/>
    </xf>
    <xf fontId="6" fillId="3" borderId="21" numFmtId="4" xfId="2" applyNumberFormat="1" applyFont="1" applyFill="1" applyBorder="1" applyAlignment="1">
      <alignment horizontal="right" wrapText="1"/>
    </xf>
    <xf fontId="6" fillId="3" borderId="19" numFmtId="4" xfId="2" applyNumberFormat="1" applyFont="1" applyFill="1" applyBorder="1" applyAlignment="1">
      <alignment horizontal="right" wrapText="1"/>
    </xf>
    <xf fontId="6" fillId="3" borderId="41" numFmtId="4" xfId="2" applyNumberFormat="1" applyFont="1" applyFill="1" applyBorder="1"/>
    <xf fontId="6" fillId="3" borderId="19" numFmtId="4" xfId="2" applyNumberFormat="1" applyFont="1" applyFill="1" applyBorder="1"/>
    <xf fontId="1" fillId="11" borderId="25" numFmtId="164" xfId="5" applyNumberFormat="1" applyFont="1" applyFill="1" applyBorder="1" applyAlignment="1">
      <alignment horizontal="center" vertical="center"/>
    </xf>
    <xf fontId="56" fillId="11" borderId="25" numFmtId="164" xfId="5" applyNumberFormat="1" applyFont="1" applyFill="1" applyBorder="1" applyAlignment="1">
      <alignment horizontal="center" vertical="center"/>
    </xf>
    <xf fontId="56" fillId="11" borderId="25" numFmtId="164" xfId="7" applyNumberFormat="1" applyFont="1" applyFill="1" applyBorder="1" applyAlignment="1">
      <alignment horizontal="center" vertical="center"/>
    </xf>
    <xf fontId="56" fillId="11" borderId="7" numFmtId="164" xfId="5" applyNumberFormat="1" applyFont="1" applyFill="1" applyBorder="1" applyAlignment="1">
      <alignment horizontal="center" vertical="center"/>
    </xf>
    <xf fontId="56" fillId="11" borderId="25" numFmtId="164" xfId="5" applyNumberFormat="1" applyFont="1" applyFill="1" applyBorder="1" applyAlignment="1">
      <alignment vertical="center"/>
    </xf>
    <xf fontId="0" fillId="11" borderId="29" numFmtId="167" xfId="0" applyNumberFormat="1" applyFill="1" applyBorder="1" applyAlignment="1">
      <alignment horizontal="center" vertical="center"/>
    </xf>
    <xf fontId="107" fillId="0" borderId="42" numFmtId="4" xfId="2" applyNumberFormat="1" applyFont="1" applyBorder="1" applyAlignment="1">
      <alignment vertical="center" wrapText="1"/>
    </xf>
    <xf fontId="20" fillId="0" borderId="19" numFmtId="4" xfId="2" applyNumberFormat="1" applyFont="1" applyBorder="1" applyAlignment="1">
      <alignment vertical="center" wrapText="1"/>
    </xf>
    <xf fontId="56" fillId="0" borderId="2" numFmtId="0" xfId="0" applyFont="1" applyBorder="1"/>
    <xf fontId="20" fillId="0" borderId="42" numFmtId="4" xfId="2" applyNumberFormat="1" applyFont="1" applyBorder="1" applyAlignment="1">
      <alignment vertical="center" wrapText="1"/>
    </xf>
    <xf fontId="56" fillId="0" borderId="30" numFmtId="0" xfId="0" applyFont="1" applyBorder="1"/>
    <xf fontId="6" fillId="3" borderId="41" numFmtId="4" xfId="2" applyNumberFormat="1" applyFont="1" applyFill="1" applyBorder="1" applyAlignment="1">
      <alignment horizontal="right"/>
    </xf>
    <xf fontId="6" fillId="0" borderId="47" numFmtId="4" xfId="2" applyNumberFormat="1" applyFont="1" applyBorder="1" applyAlignment="1">
      <alignment horizontal="right"/>
    </xf>
    <xf fontId="6" fillId="3" borderId="21" numFmtId="4" xfId="2" applyNumberFormat="1" applyFont="1" applyFill="1" applyBorder="1" applyAlignment="1">
      <alignment horizontal="right"/>
    </xf>
    <xf fontId="6" fillId="3" borderId="19" numFmtId="4" xfId="2" applyNumberFormat="1" applyFont="1" applyFill="1" applyBorder="1" applyAlignment="1">
      <alignment horizontal="right"/>
    </xf>
    <xf fontId="6" fillId="3" borderId="47" numFmtId="4" xfId="2" applyNumberFormat="1" applyFont="1" applyFill="1" applyBorder="1"/>
    <xf fontId="6" fillId="3" borderId="21" numFmtId="4" xfId="2" applyNumberFormat="1" applyFont="1" applyFill="1" applyBorder="1"/>
    <xf fontId="6" fillId="3" borderId="21" numFmtId="4" xfId="2" applyNumberFormat="1" applyFont="1" applyFill="1" applyBorder="1" applyAlignment="1">
      <alignment wrapText="1"/>
    </xf>
    <xf fontId="6" fillId="3" borderId="19" numFmtId="4" xfId="2" applyNumberFormat="1" applyFont="1" applyFill="1" applyBorder="1" applyAlignment="1">
      <alignment wrapText="1"/>
    </xf>
    <xf fontId="6" fillId="0" borderId="21" numFmtId="4" xfId="2" applyNumberFormat="1" applyFont="1" applyBorder="1" applyAlignment="1">
      <alignment wrapText="1"/>
    </xf>
    <xf fontId="6" fillId="0" borderId="20" numFmtId="4" xfId="2" applyNumberFormat="1" applyFont="1" applyBorder="1" applyAlignment="1">
      <alignment wrapText="1"/>
    </xf>
    <xf fontId="6" fillId="3" borderId="41" numFmtId="4" xfId="2" applyNumberFormat="1" applyFont="1" applyFill="1" applyBorder="1" applyAlignment="1">
      <alignment wrapText="1"/>
    </xf>
    <xf fontId="6" fillId="3" borderId="47" numFmtId="4" xfId="2" applyNumberFormat="1" applyFont="1" applyFill="1" applyBorder="1" applyAlignment="1">
      <alignment wrapText="1"/>
    </xf>
    <xf fontId="0" fillId="8" borderId="0" numFmtId="4" xfId="0" applyNumberFormat="1" applyFill="1"/>
    <xf fontId="60" fillId="8" borderId="29" numFmtId="4" xfId="0" applyNumberFormat="1" applyFont="1" applyFill="1" applyBorder="1"/>
    <xf fontId="0" fillId="0" borderId="42" numFmtId="0" xfId="0" applyBorder="1" applyAlignment="1">
      <alignment horizontal="center" vertical="center"/>
    </xf>
    <xf fontId="6" fillId="0" borderId="19" numFmtId="4" xfId="2" applyNumberFormat="1" applyFont="1" applyBorder="1" applyAlignment="1">
      <alignment horizontal="right" vertical="center" wrapText="1"/>
    </xf>
    <xf fontId="6" fillId="3" borderId="41" numFmtId="4" xfId="2" applyNumberFormat="1" applyFont="1" applyFill="1" applyBorder="1" applyAlignment="1">
      <alignment horizontal="center" wrapText="1"/>
    </xf>
    <xf fontId="13" fillId="3" borderId="41" numFmtId="4" xfId="2" applyNumberFormat="1" applyFont="1" applyFill="1" applyBorder="1" applyAlignment="1">
      <alignment horizontal="right" wrapText="1"/>
    </xf>
    <xf fontId="36" fillId="9" borderId="42" numFmtId="4" xfId="2" applyNumberFormat="1" applyFont="1" applyFill="1" applyBorder="1" applyAlignment="1">
      <alignment horizontal="right" wrapText="1"/>
    </xf>
    <xf fontId="56" fillId="0" borderId="20" numFmtId="0" xfId="0" applyFont="1" applyBorder="1"/>
    <xf fontId="13" fillId="0" borderId="71" numFmtId="4" xfId="2" applyNumberFormat="1" applyFont="1" applyBorder="1" applyAlignment="1">
      <alignment horizontal="right" wrapText="1"/>
    </xf>
    <xf fontId="13" fillId="9" borderId="21" numFmtId="4" xfId="2" applyNumberFormat="1" applyFont="1" applyFill="1" applyBorder="1" applyAlignment="1">
      <alignment horizontal="right" wrapText="1"/>
    </xf>
    <xf fontId="13" fillId="9" borderId="19" numFmtId="4" xfId="2" applyNumberFormat="1" applyFont="1" applyFill="1" applyBorder="1" applyAlignment="1">
      <alignment horizontal="right" wrapText="1"/>
    </xf>
    <xf fontId="13" fillId="9" borderId="70" numFmtId="4" xfId="2" applyNumberFormat="1" applyFont="1" applyFill="1" applyBorder="1" applyAlignment="1">
      <alignment horizontal="right"/>
    </xf>
    <xf fontId="13" fillId="0" borderId="71" numFmtId="4" xfId="2" applyNumberFormat="1" applyFont="1" applyBorder="1" applyAlignment="1">
      <alignment horizontal="right"/>
    </xf>
    <xf fontId="13" fillId="9" borderId="21" numFmtId="4" xfId="2" applyNumberFormat="1" applyFont="1" applyFill="1" applyBorder="1" applyAlignment="1">
      <alignment horizontal="right"/>
    </xf>
    <xf fontId="13" fillId="9" borderId="19" numFmtId="4" xfId="2" applyNumberFormat="1" applyFont="1" applyFill="1" applyBorder="1" applyAlignment="1">
      <alignment horizontal="right"/>
    </xf>
    <xf fontId="13" fillId="9" borderId="71" numFmtId="4" xfId="2" applyNumberFormat="1" applyFont="1" applyFill="1" applyBorder="1" applyAlignment="1">
      <alignment horizontal="right"/>
    </xf>
    <xf fontId="13" fillId="9" borderId="70" numFmtId="4" xfId="2" applyNumberFormat="1" applyFont="1" applyFill="1" applyBorder="1" applyAlignment="1">
      <alignment horizontal="right" wrapText="1"/>
    </xf>
    <xf fontId="13" fillId="9" borderId="71" numFmtId="4" xfId="2" applyNumberFormat="1" applyFont="1" applyFill="1" applyBorder="1" applyAlignment="1">
      <alignment horizontal="right" wrapText="1"/>
    </xf>
    <xf fontId="13" fillId="9" borderId="67" numFmtId="4" xfId="2" applyNumberFormat="1" applyFont="1" applyFill="1" applyBorder="1" applyAlignment="1">
      <alignment horizontal="right"/>
    </xf>
    <xf fontId="6" fillId="4" borderId="26" numFmtId="4" xfId="2" applyNumberFormat="1" applyFont="1" applyFill="1" applyBorder="1" applyAlignment="1">
      <alignment vertical="center" wrapText="1"/>
    </xf>
    <xf fontId="6" fillId="4" borderId="42" numFmtId="164" xfId="7" applyNumberFormat="1" applyFont="1" applyFill="1" applyBorder="1" applyAlignment="1">
      <alignment horizontal="center" vertical="center"/>
    </xf>
    <xf fontId="6" fillId="4" borderId="42" numFmtId="167" xfId="0" applyNumberFormat="1" applyFont="1" applyFill="1" applyBorder="1" applyAlignment="1">
      <alignment horizontal="center" vertical="center"/>
    </xf>
    <xf fontId="6" fillId="4" borderId="42" numFmtId="164" xfId="5" applyNumberFormat="1" applyFont="1" applyFill="1" applyBorder="1" applyAlignment="1">
      <alignment horizontal="center" vertical="center"/>
    </xf>
    <xf fontId="60" fillId="4" borderId="19" numFmtId="164" xfId="5" applyNumberFormat="1" applyFont="1" applyFill="1" applyBorder="1" applyAlignment="1">
      <alignment horizontal="center" vertical="center"/>
    </xf>
    <xf fontId="54" fillId="4" borderId="42" numFmtId="164" xfId="5" applyNumberFormat="1" applyFont="1" applyFill="1" applyBorder="1" applyAlignment="1">
      <alignment vertical="center"/>
    </xf>
    <xf fontId="20" fillId="4" borderId="42" numFmtId="164" xfId="5" applyNumberFormat="1" applyFont="1" applyFill="1" applyBorder="1" applyAlignment="1">
      <alignment horizontal="center" vertical="center"/>
    </xf>
    <xf fontId="10" fillId="0" borderId="0" numFmtId="166" xfId="5" applyNumberFormat="1" applyFont="1"/>
    <xf fontId="9" fillId="0" borderId="25" numFmtId="4" xfId="2" applyNumberFormat="1" applyFont="1" applyBorder="1" applyAlignment="1">
      <alignment wrapText="1"/>
    </xf>
    <xf fontId="9" fillId="0" borderId="0" numFmtId="4" xfId="2" applyNumberFormat="1" applyFont="1" applyAlignment="1">
      <alignment wrapText="1"/>
    </xf>
    <xf fontId="56" fillId="0" borderId="0" numFmtId="0" xfId="0" applyFont="1" applyAlignment="1">
      <alignment horizontal="center" vertical="center"/>
    </xf>
    <xf fontId="102" fillId="0" borderId="0" numFmtId="164" xfId="5" applyNumberFormat="1" applyFont="1"/>
    <xf fontId="60" fillId="0" borderId="55" numFmtId="0" xfId="0" applyFont="1" applyBorder="1"/>
    <xf fontId="56" fillId="0" borderId="2" numFmtId="0" xfId="0" applyFont="1" applyBorder="1" applyAlignment="1">
      <alignment horizontal="center" vertical="center"/>
    </xf>
    <xf fontId="47" fillId="25" borderId="0" numFmtId="4" xfId="2" applyNumberFormat="1" applyFont="1" applyFill="1" applyAlignment="1">
      <alignment vertical="center" wrapText="1"/>
    </xf>
    <xf fontId="60" fillId="0" borderId="25" numFmtId="164" xfId="5" applyNumberFormat="1" applyFont="1" applyBorder="1" applyAlignment="1">
      <alignment horizontal="center" vertical="center"/>
    </xf>
    <xf fontId="3" fillId="0" borderId="1" numFmtId="0" xfId="2" applyFont="1" applyBorder="1" applyAlignment="1">
      <alignment vertical="center" wrapText="1"/>
    </xf>
    <xf fontId="0" fillId="0" borderId="0" numFmtId="4" xfId="5" applyNumberFormat="1"/>
    <xf fontId="0" fillId="0" borderId="0" numFmtId="4" xfId="5" applyNumberFormat="1" applyAlignment="1">
      <alignment horizontal="right"/>
    </xf>
    <xf fontId="3" fillId="0" borderId="7" numFmtId="0" xfId="2" applyFont="1" applyBorder="1" applyAlignment="1">
      <alignment vertical="center" wrapText="1"/>
    </xf>
    <xf fontId="0" fillId="0" borderId="20" numFmtId="4" xfId="5" applyNumberFormat="1" applyBorder="1"/>
    <xf fontId="0" fillId="0" borderId="20" numFmtId="4" xfId="5" applyNumberFormat="1" applyBorder="1" applyAlignment="1">
      <alignment horizontal="right"/>
    </xf>
    <xf fontId="3" fillId="16" borderId="19" numFmtId="4" xfId="2" applyNumberFormat="1" applyFont="1" applyFill="1" applyBorder="1" applyAlignment="1">
      <alignment vertical="center" wrapText="1"/>
    </xf>
    <xf fontId="3" fillId="16" borderId="7" numFmtId="0" xfId="2" applyFont="1" applyFill="1" applyBorder="1" applyAlignment="1">
      <alignment vertical="center" wrapText="1"/>
    </xf>
    <xf fontId="0" fillId="0" borderId="42" numFmtId="164" xfId="5" applyNumberFormat="1" applyBorder="1" applyAlignment="1">
      <alignment vertical="center"/>
    </xf>
    <xf fontId="3" fillId="0" borderId="29" numFmtId="0" xfId="2" applyFont="1" applyBorder="1" applyAlignment="1">
      <alignment horizontal="center" vertical="center" wrapText="1"/>
    </xf>
    <xf fontId="0" fillId="13" borderId="43" numFmtId="167" xfId="0" applyNumberFormat="1" applyFill="1" applyBorder="1" applyAlignment="1">
      <alignment horizontal="center" vertical="center"/>
    </xf>
    <xf fontId="6" fillId="0" borderId="7" numFmtId="0" xfId="2" applyFont="1" applyBorder="1" applyAlignment="1">
      <alignment vertical="center" wrapText="1"/>
    </xf>
    <xf fontId="6" fillId="0" borderId="29" numFmtId="0" xfId="2" applyFont="1" applyBorder="1" applyAlignment="1">
      <alignment horizontal="center" vertical="center" wrapText="1"/>
    </xf>
    <xf fontId="0" fillId="13" borderId="29" numFmtId="167" xfId="0" applyNumberFormat="1" applyFill="1" applyBorder="1" applyAlignment="1">
      <alignment horizontal="center" vertical="center"/>
    </xf>
    <xf fontId="1" fillId="0" borderId="0" numFmtId="167" xfId="0" applyNumberFormat="1" applyFont="1"/>
    <xf fontId="27" fillId="0" borderId="19" numFmtId="4" xfId="2" applyNumberFormat="1" applyFont="1" applyBorder="1" applyAlignment="1">
      <alignment vertical="center" wrapText="1"/>
    </xf>
    <xf fontId="27" fillId="0" borderId="7" numFmtId="0" xfId="2" applyFont="1" applyBorder="1" applyAlignment="1">
      <alignment vertical="center" wrapText="1"/>
    </xf>
    <xf fontId="23" fillId="0" borderId="19" numFmtId="4" xfId="2" applyNumberFormat="1" applyFont="1" applyBorder="1" applyAlignment="1">
      <alignment vertical="center" wrapText="1"/>
    </xf>
    <xf fontId="23" fillId="0" borderId="7" numFmtId="0" xfId="2" applyFont="1" applyBorder="1" applyAlignment="1">
      <alignment vertical="center" wrapText="1"/>
    </xf>
    <xf fontId="4" fillId="0" borderId="7" numFmtId="0" xfId="2" applyFont="1" applyBorder="1" applyAlignment="1">
      <alignment vertical="center" wrapText="1"/>
    </xf>
    <xf fontId="4" fillId="0" borderId="29" numFmtId="0" xfId="2" applyFont="1" applyBorder="1" applyAlignment="1">
      <alignment horizontal="center" vertical="center" wrapText="1"/>
    </xf>
    <xf fontId="34" fillId="0" borderId="19" numFmtId="4" xfId="2" applyNumberFormat="1" applyFont="1" applyBorder="1" applyAlignment="1">
      <alignment vertical="center" wrapText="1"/>
    </xf>
    <xf fontId="34" fillId="0" borderId="7" numFmtId="0" xfId="2" applyFont="1" applyBorder="1" applyAlignment="1">
      <alignment vertical="center" wrapText="1"/>
    </xf>
    <xf fontId="35" fillId="0" borderId="19" numFmtId="4" xfId="2" applyNumberFormat="1" applyFont="1" applyBorder="1" applyAlignment="1">
      <alignment vertical="center" wrapText="1"/>
    </xf>
    <xf fontId="35" fillId="0" borderId="7" numFmtId="0" xfId="2" applyFont="1" applyBorder="1" applyAlignment="1">
      <alignment vertical="center" wrapText="1"/>
    </xf>
    <xf fontId="0" fillId="0" borderId="2" numFmtId="4" xfId="5" applyNumberFormat="1" applyBorder="1"/>
    <xf fontId="0" fillId="0" borderId="2" numFmtId="4" xfId="5" applyNumberFormat="1" applyBorder="1" applyAlignment="1">
      <alignment horizontal="right"/>
    </xf>
    <xf fontId="0" fillId="0" borderId="20" numFmtId="4" xfId="6" applyNumberFormat="1" applyBorder="1" applyAlignment="1">
      <alignment vertical="center"/>
    </xf>
    <xf fontId="0" fillId="0" borderId="20" numFmtId="4" xfId="6" applyNumberFormat="1" applyBorder="1" applyAlignment="1">
      <alignment horizontal="right" vertical="center"/>
    </xf>
    <xf fontId="1" fillId="0" borderId="0" numFmtId="164" xfId="5" applyNumberFormat="1" applyFont="1" applyAlignment="1">
      <alignment vertical="center"/>
    </xf>
    <xf fontId="0" fillId="0" borderId="0" numFmtId="4" xfId="6" applyNumberFormat="1"/>
    <xf fontId="0" fillId="0" borderId="0" numFmtId="4" xfId="6" applyNumberFormat="1" applyAlignment="1">
      <alignment horizontal="right"/>
    </xf>
    <xf fontId="37" fillId="0" borderId="19" numFmtId="4" xfId="2" applyNumberFormat="1" applyFont="1" applyBorder="1" applyAlignment="1">
      <alignment vertical="center" wrapText="1"/>
    </xf>
    <xf fontId="37" fillId="0" borderId="7" numFmtId="0" xfId="2" applyFont="1" applyBorder="1" applyAlignment="1">
      <alignment vertical="center" wrapText="1"/>
    </xf>
    <xf fontId="38" fillId="0" borderId="19" numFmtId="4" xfId="2" applyNumberFormat="1" applyFont="1" applyBorder="1" applyAlignment="1">
      <alignment vertical="center" wrapText="1"/>
    </xf>
    <xf fontId="38" fillId="0" borderId="7" numFmtId="0" xfId="2" applyFont="1" applyBorder="1" applyAlignment="1">
      <alignment vertical="center" wrapText="1"/>
    </xf>
    <xf fontId="0" fillId="0" borderId="18" numFmtId="164" xfId="5" applyNumberFormat="1" applyBorder="1"/>
    <xf fontId="56" fillId="0" borderId="3" numFmtId="164" xfId="5" applyNumberFormat="1" applyFont="1" applyBorder="1"/>
    <xf fontId="0" fillId="0" borderId="25" numFmtId="164" xfId="5" applyNumberFormat="1" applyBorder="1"/>
    <xf fontId="0" fillId="0" borderId="7" numFmtId="164" xfId="5" applyNumberFormat="1" applyBorder="1"/>
    <xf fontId="56" fillId="0" borderId="8" numFmtId="164" xfId="5" applyNumberFormat="1" applyFont="1" applyBorder="1"/>
    <xf fontId="3" fillId="0" borderId="26" numFmtId="0" xfId="2" applyFont="1" applyBorder="1" applyAlignment="1">
      <alignment vertical="center" wrapText="1"/>
    </xf>
    <xf fontId="36" fillId="0" borderId="29" numFmtId="0" xfId="2" applyFont="1" applyBorder="1" applyAlignment="1">
      <alignment horizontal="center" vertical="center" wrapText="1"/>
    </xf>
    <xf fontId="0" fillId="0" borderId="3" numFmtId="4" xfId="5" applyNumberFormat="1" applyBorder="1" applyAlignment="1">
      <alignment vertical="center"/>
    </xf>
    <xf fontId="0" fillId="0" borderId="25" numFmtId="164" xfId="5" applyNumberFormat="1" applyBorder="1" applyAlignment="1">
      <alignment vertical="center"/>
    </xf>
    <xf fontId="75" fillId="0" borderId="0" numFmtId="164" xfId="0" applyNumberFormat="1" applyFont="1"/>
    <xf fontId="75" fillId="13" borderId="0" numFmtId="167" xfId="5" applyNumberFormat="1" applyFont="1" applyFill="1" applyAlignment="1">
      <alignment horizontal="center"/>
    </xf>
    <xf fontId="0" fillId="11" borderId="0" numFmtId="0" xfId="0" applyFill="1" applyAlignment="1">
      <alignment horizontal="center" vertical="center"/>
    </xf>
    <xf fontId="0" fillId="8" borderId="0" numFmtId="0" xfId="0" applyFill="1" applyAlignment="1">
      <alignment horizontal="center" vertical="center"/>
    </xf>
    <xf fontId="82" fillId="8" borderId="73" numFmtId="4" xfId="2" applyNumberFormat="1" applyFont="1" applyFill="1" applyBorder="1" applyAlignment="1">
      <alignment horizontal="center" vertical="center" wrapText="1"/>
    </xf>
    <xf fontId="3" fillId="8" borderId="60" numFmtId="4" xfId="2" applyNumberFormat="1" applyFont="1" applyFill="1" applyBorder="1" applyAlignment="1">
      <alignment horizontal="center" vertical="center" wrapText="1"/>
    </xf>
    <xf fontId="3" fillId="8" borderId="57" numFmtId="0" xfId="2" applyFont="1" applyFill="1" applyBorder="1" applyAlignment="1">
      <alignment horizontal="center" vertical="center" wrapText="1"/>
    </xf>
    <xf fontId="60" fillId="8" borderId="59" numFmtId="4" xfId="5" applyNumberFormat="1" applyFont="1" applyFill="1" applyBorder="1" applyAlignment="1">
      <alignment horizontal="center" vertical="center"/>
    </xf>
    <xf fontId="60" fillId="8" borderId="59" numFmtId="164" xfId="5" applyNumberFormat="1" applyFont="1" applyFill="1" applyBorder="1" applyAlignment="1">
      <alignment horizontal="center" vertical="center"/>
    </xf>
    <xf fontId="60" fillId="8" borderId="59" numFmtId="164" xfId="7" applyNumberFormat="1" applyFont="1" applyFill="1" applyBorder="1" applyAlignment="1">
      <alignment horizontal="center" vertical="center"/>
    </xf>
    <xf fontId="54" fillId="8" borderId="59" numFmtId="164" xfId="5" applyNumberFormat="1" applyFont="1" applyFill="1" applyBorder="1" applyAlignment="1">
      <alignment horizontal="center" vertical="center"/>
    </xf>
    <xf fontId="0" fillId="8" borderId="77" numFmtId="0" xfId="0" applyFill="1" applyBorder="1" applyAlignment="1">
      <alignment horizontal="center" vertical="center"/>
    </xf>
    <xf fontId="56" fillId="8" borderId="59" numFmtId="164" xfId="5" applyNumberFormat="1" applyFont="1" applyFill="1" applyBorder="1" applyAlignment="1">
      <alignment horizontal="right" vertical="center"/>
    </xf>
    <xf fontId="1" fillId="8" borderId="77" numFmtId="164" xfId="5" applyNumberFormat="1" applyFont="1" applyFill="1" applyBorder="1"/>
    <xf fontId="60" fillId="8" borderId="60" numFmtId="164" xfId="5" applyNumberFormat="1" applyFont="1" applyFill="1" applyBorder="1" applyAlignment="1">
      <alignment horizontal="center" vertical="center"/>
    </xf>
    <xf fontId="60" fillId="8" borderId="57" numFmtId="164" xfId="5" applyNumberFormat="1" applyFont="1" applyFill="1" applyBorder="1" applyAlignment="1">
      <alignment horizontal="center" vertical="center"/>
    </xf>
    <xf fontId="60" fillId="0" borderId="0" numFmtId="164" xfId="5" applyNumberFormat="1" applyFont="1" applyAlignment="1">
      <alignment horizontal="center" vertical="center"/>
    </xf>
    <xf fontId="1" fillId="8" borderId="0" numFmtId="164" xfId="5" applyNumberFormat="1" applyFont="1" applyFill="1" applyAlignment="1">
      <alignment horizontal="center" vertical="center"/>
    </xf>
    <xf fontId="1" fillId="8" borderId="0" numFmtId="0" xfId="0" applyFont="1" applyFill="1" applyAlignment="1">
      <alignment horizontal="center" vertical="center"/>
    </xf>
    <xf fontId="63" fillId="8" borderId="25" numFmtId="0" xfId="0" applyFont="1" applyFill="1" applyBorder="1" applyAlignment="1">
      <alignment horizontal="center" vertical="center"/>
    </xf>
    <xf fontId="63" fillId="8" borderId="0" numFmtId="0" xfId="0" applyFont="1" applyFill="1" applyAlignment="1">
      <alignment horizontal="center" vertical="center"/>
    </xf>
    <xf fontId="0" fillId="2" borderId="0" numFmtId="0" xfId="0" applyFill="1" applyAlignment="1">
      <alignment horizontal="center" vertical="center"/>
    </xf>
    <xf fontId="0" fillId="8" borderId="0" numFmtId="2" xfId="0" applyNumberFormat="1" applyFill="1" applyAlignment="1">
      <alignment horizontal="center" vertical="center"/>
    </xf>
    <xf fontId="60" fillId="8" borderId="0" numFmtId="0" xfId="0" applyFont="1" applyFill="1" applyAlignment="1">
      <alignment horizontal="center" vertical="center"/>
    </xf>
    <xf fontId="56" fillId="0" borderId="0" numFmtId="164" xfId="5" applyNumberFormat="1" applyFont="1" applyAlignment="1">
      <alignment vertical="center"/>
    </xf>
    <xf fontId="56" fillId="0" borderId="0" numFmtId="164" xfId="5" applyNumberFormat="1" applyFont="1" applyAlignment="1">
      <alignment horizontal="right" vertical="center"/>
    </xf>
    <xf fontId="108" fillId="0" borderId="0" numFmtId="164" xfId="7" applyNumberFormat="1" applyFont="1" applyAlignment="1">
      <alignment horizontal="center" vertical="center"/>
    </xf>
    <xf fontId="3" fillId="24" borderId="0" numFmtId="4" xfId="2" applyNumberFormat="1" applyFont="1" applyFill="1" applyAlignment="1">
      <alignment vertical="center" wrapText="1"/>
    </xf>
    <xf fontId="3" fillId="24" borderId="0" numFmtId="0" xfId="2" applyFont="1" applyFill="1" applyAlignment="1">
      <alignment horizontal="center" vertical="center" wrapText="1"/>
    </xf>
    <xf fontId="0" fillId="24" borderId="0" numFmtId="4" xfId="0" applyNumberFormat="1" applyFill="1"/>
    <xf fontId="56" fillId="15" borderId="0" numFmtId="164" xfId="5" applyNumberFormat="1" applyFont="1" applyFill="1" applyAlignment="1">
      <alignment horizontal="center" vertical="center"/>
    </xf>
    <xf fontId="1" fillId="15" borderId="0" numFmtId="164" xfId="7" applyNumberFormat="1" applyFont="1" applyFill="1" applyAlignment="1">
      <alignment horizontal="center" vertical="center"/>
    </xf>
    <xf fontId="109" fillId="15" borderId="0" numFmtId="167" xfId="5" applyNumberFormat="1" applyFont="1" applyFill="1" applyAlignment="1">
      <alignment horizontal="center" vertical="center"/>
    </xf>
    <xf fontId="1" fillId="15" borderId="0" numFmtId="164" xfId="5" applyNumberFormat="1" applyFont="1" applyFill="1" applyAlignment="1">
      <alignment horizontal="center" vertical="center"/>
    </xf>
    <xf fontId="56" fillId="15" borderId="0" numFmtId="164" xfId="5" applyNumberFormat="1" applyFont="1" applyFill="1" applyAlignment="1">
      <alignment vertical="center"/>
    </xf>
    <xf fontId="1" fillId="15" borderId="0" numFmtId="164" xfId="5" applyNumberFormat="1" applyFont="1" applyFill="1"/>
    <xf fontId="0" fillId="15" borderId="0" numFmtId="0" xfId="0" applyFill="1"/>
    <xf fontId="56" fillId="15" borderId="0" numFmtId="164" xfId="5" applyNumberFormat="1" applyFont="1" applyFill="1"/>
    <xf fontId="0" fillId="15" borderId="0" numFmtId="0" xfId="0" applyFill="1" applyAlignment="1">
      <alignment horizontal="center" vertical="center"/>
    </xf>
    <xf fontId="56" fillId="15" borderId="0" numFmtId="164" xfId="5" applyNumberFormat="1" applyFont="1" applyFill="1" applyAlignment="1">
      <alignment horizontal="right" vertical="center"/>
    </xf>
    <xf fontId="0" fillId="15" borderId="0" numFmtId="167" xfId="0" applyNumberFormat="1" applyFill="1" applyAlignment="1">
      <alignment horizontal="center" vertical="center"/>
    </xf>
    <xf fontId="21" fillId="0" borderId="46" numFmtId="4" xfId="2" applyNumberFormat="1" applyFont="1" applyBorder="1" applyAlignment="1">
      <alignment vertical="center" wrapText="1"/>
    </xf>
    <xf fontId="21" fillId="0" borderId="47" numFmtId="4" xfId="2" applyNumberFormat="1" applyFont="1" applyBorder="1" applyAlignment="1">
      <alignment vertical="center" wrapText="1"/>
    </xf>
    <xf fontId="21" fillId="0" borderId="22" numFmtId="4" xfId="2" applyNumberFormat="1" applyFont="1" applyBorder="1" applyAlignment="1">
      <alignment vertical="center" wrapText="1"/>
    </xf>
    <xf fontId="21" fillId="0" borderId="71" numFmtId="4" xfId="2" applyNumberFormat="1" applyFont="1" applyBorder="1" applyAlignment="1">
      <alignment vertical="center" wrapText="1"/>
    </xf>
    <xf fontId="21" fillId="24" borderId="7" numFmtId="4" xfId="2" applyNumberFormat="1" applyFont="1" applyFill="1" applyBorder="1" applyAlignment="1">
      <alignment vertical="center" wrapText="1"/>
    </xf>
    <xf fontId="1" fillId="15" borderId="0" numFmtId="0" xfId="0" applyFont="1" applyFill="1"/>
    <xf fontId="21" fillId="0" borderId="34" numFmtId="4" xfId="2" applyNumberFormat="1" applyFont="1" applyBorder="1" applyAlignment="1">
      <alignment vertical="center" wrapText="1"/>
    </xf>
    <xf fontId="21" fillId="24" borderId="28" numFmtId="4" xfId="2" applyNumberFormat="1" applyFont="1" applyFill="1" applyBorder="1" applyAlignment="1">
      <alignment vertical="center" wrapText="1"/>
    </xf>
    <xf fontId="3" fillId="0" borderId="0" numFmtId="0" xfId="0" applyFont="1" applyAlignment="1">
      <alignment horizontal="center" vertical="center" wrapText="1"/>
    </xf>
    <xf fontId="56" fillId="15" borderId="42" numFmtId="164" xfId="5" applyNumberFormat="1" applyFont="1" applyFill="1" applyBorder="1" applyAlignment="1">
      <alignment horizontal="center" vertical="center"/>
    </xf>
    <xf fontId="56" fillId="15" borderId="0" numFmtId="0" xfId="0" applyFont="1" applyFill="1"/>
    <xf fontId="51" fillId="5" borderId="18" numFmtId="164" xfId="5" applyNumberFormat="1" applyFont="1" applyFill="1" applyBorder="1" applyAlignment="1">
      <alignment horizontal="center" wrapText="1"/>
    </xf>
    <xf fontId="9" fillId="0" borderId="18" numFmtId="164" xfId="5" applyNumberFormat="1" applyFont="1" applyBorder="1" applyAlignment="1">
      <alignment horizontal="center"/>
    </xf>
    <xf fontId="8" fillId="0" borderId="42" numFmtId="4" xfId="2" applyNumberFormat="1" applyFont="1" applyBorder="1" applyAlignment="1">
      <alignment vertical="center" wrapText="1"/>
    </xf>
    <xf fontId="3" fillId="0" borderId="42" numFmtId="0" xfId="2" applyFont="1" applyBorder="1" applyAlignment="1">
      <alignment horizontal="center" vertical="center" wrapText="1"/>
    </xf>
    <xf fontId="0" fillId="0" borderId="42" numFmtId="4" xfId="0" applyNumberFormat="1" applyBorder="1"/>
    <xf fontId="64" fillId="0" borderId="42" numFmtId="164" xfId="5" applyNumberFormat="1" applyFont="1" applyBorder="1" applyAlignment="1">
      <alignment horizontal="center" vertical="center"/>
    </xf>
    <xf fontId="64" fillId="0" borderId="42" numFmtId="167" xfId="0" applyNumberFormat="1" applyFont="1" applyBorder="1" applyAlignment="1">
      <alignment horizontal="center" vertical="center"/>
    </xf>
    <xf fontId="62" fillId="0" borderId="0" numFmtId="0" xfId="0" applyFont="1" applyAlignment="1">
      <alignment horizontal="center" vertical="center"/>
    </xf>
    <xf fontId="110" fillId="0" borderId="4" numFmtId="0" xfId="0" applyFont="1" applyBorder="1" applyAlignment="1">
      <alignment horizontal="center" vertical="center" wrapText="1"/>
    </xf>
    <xf fontId="111" fillId="0" borderId="45" numFmtId="0" xfId="0" applyFont="1" applyBorder="1" applyAlignment="1">
      <alignment horizontal="center"/>
    </xf>
    <xf fontId="111" fillId="0" borderId="12" numFmtId="0" xfId="0" applyFont="1" applyBorder="1" applyAlignment="1">
      <alignment horizontal="center"/>
    </xf>
    <xf fontId="111" fillId="0" borderId="46" numFmtId="0" xfId="0" applyFont="1" applyBorder="1" applyAlignment="1">
      <alignment horizontal="center"/>
    </xf>
    <xf fontId="112" fillId="0" borderId="45" numFmtId="0" xfId="0" applyFont="1" applyBorder="1" applyAlignment="1">
      <alignment horizontal="center"/>
    </xf>
    <xf fontId="112" fillId="0" borderId="46" numFmtId="0" xfId="0" applyFont="1" applyBorder="1" applyAlignment="1">
      <alignment horizontal="center"/>
    </xf>
    <xf fontId="112" fillId="0" borderId="14" numFmtId="0" xfId="0" applyFont="1" applyBorder="1" applyAlignment="1">
      <alignment horizontal="center"/>
    </xf>
    <xf fontId="112" fillId="0" borderId="12" numFmtId="0" xfId="0" applyFont="1" applyBorder="1" applyAlignment="1">
      <alignment horizontal="center"/>
    </xf>
    <xf fontId="78" fillId="0" borderId="66" numFmtId="0" xfId="0" applyFont="1" applyBorder="1" applyAlignment="1">
      <alignment horizontal="center" vertical="center" wrapText="1"/>
    </xf>
    <xf fontId="1" fillId="9" borderId="70" numFmtId="0" xfId="0" applyFont="1" applyFill="1" applyBorder="1" applyAlignment="1">
      <alignment horizontal="center"/>
    </xf>
    <xf fontId="1" fillId="0" borderId="67" numFmtId="0" xfId="0" applyFont="1" applyBorder="1" applyAlignment="1">
      <alignment horizontal="center"/>
    </xf>
    <xf fontId="1" fillId="0" borderId="71" numFmtId="0" xfId="0" applyFont="1" applyBorder="1" applyAlignment="1">
      <alignment horizontal="center"/>
    </xf>
    <xf fontId="56" fillId="9" borderId="70" numFmtId="0" xfId="0" applyFont="1" applyFill="1" applyBorder="1" applyAlignment="1">
      <alignment horizontal="center"/>
    </xf>
    <xf fontId="56" fillId="0" borderId="71" numFmtId="0" xfId="0" applyFont="1" applyBorder="1" applyAlignment="1">
      <alignment horizontal="center"/>
    </xf>
    <xf fontId="56" fillId="9" borderId="76" numFmtId="0" xfId="0" applyFont="1" applyFill="1" applyBorder="1" applyAlignment="1">
      <alignment horizontal="center"/>
    </xf>
    <xf fontId="56" fillId="0" borderId="67" numFmtId="0" xfId="0" applyFont="1" applyBorder="1" applyAlignment="1">
      <alignment horizontal="center"/>
    </xf>
    <xf fontId="0" fillId="9" borderId="76" numFmtId="0" xfId="0" applyFill="1" applyBorder="1" applyAlignment="1">
      <alignment horizontal="center"/>
    </xf>
    <xf fontId="0" fillId="0" borderId="71" numFmtId="0" xfId="0" applyBorder="1" applyAlignment="1">
      <alignment horizontal="center"/>
    </xf>
    <xf fontId="0" fillId="0" borderId="0" numFmtId="0" xfId="0" applyAlignment="1">
      <alignment horizontal="center" vertical="center" wrapText="1"/>
    </xf>
    <xf fontId="1" fillId="0" borderId="0" numFmtId="0" xfId="0" applyFont="1" applyAlignment="1">
      <alignment horizontal="center"/>
    </xf>
    <xf fontId="56" fillId="0" borderId="0" numFmtId="0" xfId="0" applyFont="1" applyAlignment="1">
      <alignment horizontal="center"/>
    </xf>
    <xf fontId="111" fillId="0" borderId="4" numFmtId="0" xfId="0" applyFont="1" applyBorder="1" applyAlignment="1">
      <alignment horizontal="center" vertical="center" wrapText="1"/>
    </xf>
    <xf fontId="0" fillId="0" borderId="31" numFmtId="0" xfId="0" applyBorder="1" applyAlignment="1">
      <alignment horizontal="center" vertical="center" wrapText="1"/>
    </xf>
    <xf fontId="1" fillId="9" borderId="41" numFmtId="0" xfId="0" applyFont="1" applyFill="1" applyBorder="1" applyAlignment="1">
      <alignment horizontal="center"/>
    </xf>
    <xf fontId="1" fillId="0" borderId="19" numFmtId="0" xfId="0" applyFont="1" applyBorder="1" applyAlignment="1">
      <alignment horizontal="center"/>
    </xf>
    <xf fontId="1" fillId="0" borderId="47" numFmtId="0" xfId="0" applyFont="1" applyBorder="1" applyAlignment="1">
      <alignment horizontal="center"/>
    </xf>
    <xf fontId="56" fillId="9" borderId="41" numFmtId="0" xfId="0" applyFont="1" applyFill="1" applyBorder="1" applyAlignment="1">
      <alignment horizontal="center"/>
    </xf>
    <xf fontId="56" fillId="0" borderId="47" numFmtId="0" xfId="0" applyFont="1" applyBorder="1" applyAlignment="1">
      <alignment horizontal="center"/>
    </xf>
    <xf fontId="56" fillId="9" borderId="21" numFmtId="0" xfId="0" applyFont="1" applyFill="1" applyBorder="1" applyAlignment="1">
      <alignment horizontal="center"/>
    </xf>
    <xf fontId="56" fillId="0" borderId="19" numFmtId="0" xfId="0" applyFont="1" applyBorder="1" applyAlignment="1">
      <alignment horizontal="center"/>
    </xf>
    <xf fontId="0" fillId="0" borderId="53" numFmtId="0" xfId="0" applyBorder="1" applyAlignment="1">
      <alignment wrapText="1"/>
    </xf>
    <xf fontId="0" fillId="9" borderId="33" numFmtId="0" xfId="0" applyFill="1" applyBorder="1" applyAlignment="1">
      <alignment horizontal="center"/>
    </xf>
    <xf fontId="0" fillId="0" borderId="26" numFmtId="0" xfId="0" applyBorder="1" applyAlignment="1">
      <alignment horizontal="center"/>
    </xf>
    <xf fontId="1" fillId="9" borderId="33" numFmtId="0" xfId="0" applyFont="1" applyFill="1" applyBorder="1" applyAlignment="1">
      <alignment horizontal="center"/>
    </xf>
    <xf fontId="1" fillId="0" borderId="35" numFmtId="0" xfId="0" applyFont="1" applyBorder="1" applyAlignment="1">
      <alignment horizontal="center"/>
    </xf>
    <xf fontId="1" fillId="9" borderId="27" numFmtId="0" xfId="0" applyFont="1" applyFill="1" applyBorder="1" applyAlignment="1">
      <alignment horizontal="center"/>
    </xf>
    <xf fontId="1" fillId="0" borderId="26" numFmtId="0" xfId="0" applyFont="1" applyBorder="1" applyAlignment="1">
      <alignment horizontal="center"/>
    </xf>
    <xf fontId="60" fillId="0" borderId="27" numFmtId="0" xfId="0" applyFont="1" applyBorder="1" applyAlignment="1">
      <alignment horizontal="center"/>
    </xf>
    <xf fontId="60" fillId="0" borderId="35" numFmtId="0" xfId="0" applyFont="1" applyBorder="1" applyAlignment="1">
      <alignment horizontal="center"/>
    </xf>
    <xf fontId="0" fillId="9" borderId="41" numFmtId="0" xfId="0" applyFill="1" applyBorder="1" applyAlignment="1">
      <alignment horizontal="center"/>
    </xf>
    <xf fontId="0" fillId="0" borderId="19" numFmtId="0" xfId="0" applyBorder="1" applyAlignment="1">
      <alignment horizontal="center"/>
    </xf>
    <xf fontId="1" fillId="9" borderId="21" numFmtId="0" xfId="0" applyFont="1" applyFill="1" applyBorder="1" applyAlignment="1">
      <alignment horizontal="center"/>
    </xf>
    <xf fontId="60" fillId="0" borderId="21" numFmtId="0" xfId="0" applyFont="1" applyBorder="1" applyAlignment="1">
      <alignment horizontal="center"/>
    </xf>
    <xf fontId="60" fillId="0" borderId="47" numFmtId="0" xfId="0" applyFont="1" applyBorder="1" applyAlignment="1">
      <alignment horizontal="center"/>
    </xf>
    <xf fontId="1" fillId="0" borderId="53" numFmtId="0" xfId="0" applyFont="1" applyBorder="1" applyAlignment="1">
      <alignment wrapText="1"/>
    </xf>
    <xf fontId="0" fillId="3" borderId="53" numFmtId="0" xfId="0" applyFill="1" applyBorder="1" applyAlignment="1">
      <alignment wrapText="1"/>
    </xf>
    <xf fontId="0" fillId="3" borderId="19" numFmtId="0" xfId="0" applyFill="1" applyBorder="1" applyAlignment="1">
      <alignment horizontal="center"/>
    </xf>
    <xf fontId="1" fillId="3" borderId="47" numFmtId="0" xfId="0" applyFont="1" applyFill="1" applyBorder="1" applyAlignment="1">
      <alignment horizontal="center"/>
    </xf>
    <xf fontId="1" fillId="3" borderId="19" numFmtId="0" xfId="0" applyFont="1" applyFill="1" applyBorder="1" applyAlignment="1">
      <alignment horizontal="center"/>
    </xf>
    <xf fontId="0" fillId="0" borderId="48" numFmtId="0" xfId="0" applyBorder="1" applyAlignment="1">
      <alignment wrapText="1"/>
    </xf>
    <xf fontId="0" fillId="9" borderId="72" numFmtId="0" xfId="0" applyFill="1" applyBorder="1" applyAlignment="1">
      <alignment horizontal="center"/>
    </xf>
    <xf fontId="0" fillId="0" borderId="1" numFmtId="0" xfId="0" applyBorder="1" applyAlignment="1">
      <alignment horizontal="center"/>
    </xf>
    <xf fontId="1" fillId="9" borderId="72" numFmtId="0" xfId="0" applyFont="1" applyFill="1" applyBorder="1" applyAlignment="1">
      <alignment horizontal="center"/>
    </xf>
    <xf fontId="1" fillId="0" borderId="22" numFmtId="0" xfId="0" applyFont="1" applyBorder="1" applyAlignment="1">
      <alignment horizontal="center"/>
    </xf>
    <xf fontId="1" fillId="9" borderId="3" numFmtId="0" xfId="0" applyFont="1" applyFill="1" applyBorder="1" applyAlignment="1">
      <alignment horizontal="center"/>
    </xf>
    <xf fontId="1" fillId="0" borderId="1" numFmtId="0" xfId="0" applyFont="1" applyBorder="1" applyAlignment="1">
      <alignment horizontal="center"/>
    </xf>
    <xf fontId="1" fillId="0" borderId="48" numFmtId="0" xfId="0" applyFont="1" applyBorder="1" applyAlignment="1">
      <alignment wrapText="1"/>
    </xf>
    <xf fontId="0" fillId="9" borderId="41" numFmtId="0" xfId="0" applyFill="1" applyBorder="1" applyAlignment="1">
      <alignment horizontal="center" vertical="center"/>
    </xf>
    <xf fontId="1" fillId="9" borderId="41" numFmtId="0" xfId="0" applyFont="1" applyFill="1" applyBorder="1" applyAlignment="1">
      <alignment horizontal="center" vertical="center"/>
    </xf>
    <xf fontId="1" fillId="0" borderId="47" numFmtId="0" xfId="0" applyFont="1" applyBorder="1" applyAlignment="1">
      <alignment horizontal="center" vertical="center"/>
    </xf>
    <xf fontId="1" fillId="9" borderId="21" numFmtId="0" xfId="0" applyFont="1" applyFill="1" applyBorder="1" applyAlignment="1">
      <alignment horizontal="center" vertical="center"/>
    </xf>
    <xf fontId="1" fillId="0" borderId="19" numFmtId="0" xfId="0" applyFont="1" applyBorder="1" applyAlignment="1">
      <alignment horizontal="center" vertical="center"/>
    </xf>
    <xf fontId="60" fillId="0" borderId="21" numFmtId="0" xfId="0" applyFont="1" applyBorder="1" applyAlignment="1">
      <alignment horizontal="center" vertical="center"/>
    </xf>
    <xf fontId="60" fillId="0" borderId="47" numFmtId="0" xfId="0" applyFont="1" applyBorder="1" applyAlignment="1">
      <alignment horizontal="center" vertical="center"/>
    </xf>
    <xf fontId="1" fillId="9" borderId="72" numFmtId="0" xfId="0" applyFont="1" applyFill="1" applyBorder="1" applyAlignment="1">
      <alignment horizontal="center" vertical="center"/>
    </xf>
    <xf fontId="1" fillId="0" borderId="22" numFmtId="0" xfId="0" applyFont="1" applyBorder="1" applyAlignment="1">
      <alignment horizontal="center" vertical="center"/>
    </xf>
    <xf fontId="60" fillId="0" borderId="62" numFmtId="0" xfId="0" applyFont="1" applyBorder="1" applyAlignment="1">
      <alignment wrapText="1"/>
    </xf>
    <xf fontId="60" fillId="0" borderId="70" numFmtId="0" xfId="0" applyFont="1" applyBorder="1" applyAlignment="1">
      <alignment horizontal="center"/>
    </xf>
    <xf fontId="60" fillId="0" borderId="67" numFmtId="0" xfId="0" applyFont="1" applyBorder="1" applyAlignment="1">
      <alignment horizontal="center"/>
    </xf>
    <xf fontId="60" fillId="0" borderId="71" numFmtId="0" xfId="0" applyFont="1" applyBorder="1" applyAlignment="1">
      <alignment horizontal="center"/>
    </xf>
    <xf fontId="60" fillId="0" borderId="76" numFmtId="0" xfId="0" applyFont="1" applyBorder="1" applyAlignment="1">
      <alignment horizontal="center"/>
    </xf>
    <xf fontId="0" fillId="0" borderId="42" numFmtId="0" xfId="0" applyBorder="1" applyAlignment="1">
      <alignment horizontal="center"/>
    </xf>
    <xf fontId="1" fillId="0" borderId="42" numFmtId="0" xfId="0" applyFont="1" applyBorder="1" applyAlignment="1">
      <alignment horizontal="center"/>
    </xf>
    <xf fontId="0" fillId="0" borderId="73" numFmtId="0" xfId="0" applyBorder="1" applyAlignment="1">
      <alignment horizontal="center"/>
    </xf>
    <xf fontId="0" fillId="0" borderId="74" numFmtId="0" xfId="0" applyBorder="1" applyAlignment="1">
      <alignment horizontal="center"/>
    </xf>
    <xf fontId="111" fillId="0" borderId="23" numFmtId="0" xfId="0" applyFont="1" applyBorder="1" applyAlignment="1">
      <alignment horizontal="center" vertical="center" wrapText="1"/>
    </xf>
    <xf fontId="111" fillId="0" borderId="14" numFmtId="0" xfId="0" applyFont="1" applyBorder="1" applyAlignment="1">
      <alignment horizontal="center"/>
    </xf>
    <xf fontId="0" fillId="0" borderId="55" numFmtId="0" xfId="0" applyBorder="1" applyAlignment="1">
      <alignment horizontal="center" vertical="center" wrapText="1"/>
    </xf>
    <xf fontId="56" fillId="9" borderId="72" numFmtId="0" xfId="0" applyFont="1" applyFill="1" applyBorder="1" applyAlignment="1">
      <alignment horizontal="center"/>
    </xf>
    <xf fontId="56" fillId="0" borderId="22" numFmtId="0" xfId="0" applyFont="1" applyBorder="1" applyAlignment="1">
      <alignment horizontal="center"/>
    </xf>
    <xf fontId="56" fillId="9" borderId="3" numFmtId="0" xfId="0" applyFont="1" applyFill="1" applyBorder="1" applyAlignment="1">
      <alignment horizontal="center"/>
    </xf>
    <xf fontId="56" fillId="0" borderId="1" numFmtId="0" xfId="0" applyFont="1" applyBorder="1" applyAlignment="1">
      <alignment horizontal="center"/>
    </xf>
    <xf fontId="0" fillId="0" borderId="36" numFmtId="0" xfId="0" applyBorder="1"/>
    <xf fontId="0" fillId="0" borderId="45" numFmtId="0" xfId="0" applyBorder="1"/>
    <xf fontId="0" fillId="0" borderId="50" numFmtId="0" xfId="0" applyBorder="1"/>
    <xf fontId="1" fillId="0" borderId="50" numFmtId="0" xfId="0" applyFont="1" applyBorder="1"/>
    <xf fontId="1" fillId="0" borderId="12" numFmtId="0" xfId="0" applyFont="1" applyBorder="1"/>
    <xf fontId="60" fillId="0" borderId="46" numFmtId="0" xfId="0" applyFont="1" applyBorder="1" applyAlignment="1">
      <alignment horizontal="center" vertical="center"/>
    </xf>
    <xf fontId="0" fillId="0" borderId="43" numFmtId="0" xfId="0" applyBorder="1"/>
    <xf fontId="0" fillId="0" borderId="41" numFmtId="0" xfId="0" applyBorder="1"/>
    <xf fontId="1" fillId="0" borderId="42" numFmtId="0" xfId="0" applyFont="1" applyBorder="1"/>
    <xf fontId="1" fillId="0" borderId="19" numFmtId="0" xfId="0" applyFont="1" applyBorder="1"/>
    <xf fontId="0" fillId="0" borderId="72" numFmtId="0" xfId="0" applyBorder="1"/>
    <xf fontId="0" fillId="0" borderId="18" numFmtId="170" xfId="0" applyNumberFormat="1" applyBorder="1"/>
    <xf fontId="1" fillId="0" borderId="18" numFmtId="170" xfId="0" applyNumberFormat="1" applyFont="1" applyBorder="1"/>
    <xf fontId="103" fillId="0" borderId="18" numFmtId="1" xfId="0" applyNumberFormat="1" applyFont="1" applyBorder="1"/>
    <xf fontId="1" fillId="0" borderId="18" numFmtId="1" xfId="0" applyNumberFormat="1" applyFont="1" applyBorder="1"/>
    <xf fontId="1" fillId="0" borderId="18" numFmtId="0" xfId="0" applyFont="1" applyBorder="1"/>
    <xf fontId="1" fillId="0" borderId="1" numFmtId="0" xfId="0" applyFont="1" applyBorder="1"/>
    <xf fontId="60" fillId="0" borderId="22" numFmtId="0" xfId="0" applyFont="1" applyBorder="1" applyAlignment="1">
      <alignment horizontal="center" vertical="center"/>
    </xf>
    <xf fontId="60" fillId="0" borderId="80" numFmtId="0" xfId="0" applyFont="1" applyBorder="1" applyAlignment="1">
      <alignment wrapText="1"/>
    </xf>
    <xf fontId="60" fillId="0" borderId="73" numFmtId="0" xfId="0" applyFont="1" applyBorder="1"/>
    <xf fontId="60" fillId="0" borderId="61" numFmtId="0" xfId="0" applyFont="1" applyBorder="1"/>
    <xf fontId="60" fillId="0" borderId="58" numFmtId="0" xfId="0" applyFont="1" applyBorder="1"/>
    <xf fontId="62" fillId="0" borderId="57" numFmtId="0" xfId="0" applyFont="1" applyBorder="1" applyAlignment="1">
      <alignment horizontal="center" vertical="center"/>
    </xf>
    <xf fontId="62" fillId="0" borderId="29" numFmtId="0" xfId="0" applyFont="1" applyBorder="1" applyAlignment="1">
      <alignment horizontal="center" vertical="center"/>
    </xf>
    <xf fontId="111" fillId="0" borderId="0" numFmtId="0" xfId="0" applyFont="1" applyAlignment="1">
      <alignment horizontal="center"/>
    </xf>
    <xf fontId="111" fillId="0" borderId="9" numFmtId="0" xfId="0" applyFont="1" applyBorder="1" applyAlignment="1">
      <alignment horizontal="center"/>
    </xf>
    <xf fontId="111" fillId="0" borderId="10" numFmtId="0" xfId="0" applyFont="1" applyBorder="1" applyAlignment="1">
      <alignment horizontal="center"/>
    </xf>
    <xf fontId="1" fillId="0" borderId="43" numFmtId="0" xfId="0" applyFont="1" applyBorder="1"/>
    <xf fontId="1" fillId="0" borderId="41" numFmtId="0" xfId="0" applyFont="1" applyBorder="1"/>
    <xf fontId="1" fillId="0" borderId="47" numFmtId="0" xfId="0" applyFont="1" applyBorder="1"/>
    <xf fontId="1" fillId="0" borderId="21" numFmtId="0" xfId="0" applyFont="1" applyBorder="1"/>
    <xf fontId="1" fillId="0" borderId="79" numFmtId="0" xfId="0" applyFont="1" applyBorder="1"/>
    <xf fontId="1" fillId="0" borderId="72" numFmtId="0" xfId="0" applyFont="1" applyBorder="1"/>
    <xf fontId="1" fillId="0" borderId="22" numFmtId="0" xfId="0" applyFont="1" applyBorder="1"/>
    <xf fontId="1" fillId="0" borderId="3" numFmtId="0" xfId="0" applyFont="1" applyBorder="1"/>
    <xf fontId="60" fillId="0" borderId="56" numFmtId="0" xfId="0" applyFont="1" applyBorder="1" applyAlignment="1">
      <alignment wrapText="1"/>
    </xf>
    <xf fontId="60" fillId="0" borderId="59" numFmtId="0" xfId="0" applyFont="1" applyBorder="1" applyAlignment="1">
      <alignment horizontal="center"/>
    </xf>
    <xf fontId="60" fillId="0" borderId="74" numFmtId="0" xfId="0" applyFont="1" applyBorder="1" applyAlignment="1">
      <alignment horizontal="center"/>
    </xf>
    <xf fontId="1" fillId="0" borderId="36" numFmtId="0" xfId="0" applyFont="1" applyBorder="1"/>
    <xf fontId="60" fillId="0" borderId="42" numFmtId="0" xfId="0" applyFont="1" applyBorder="1" applyAlignment="1">
      <alignment horizontal="center" vertical="center"/>
    </xf>
    <xf fontId="0" fillId="0" borderId="33" numFmtId="0" xfId="0" applyBorder="1"/>
    <xf fontId="0" fillId="0" borderId="34" numFmtId="0" xfId="0" applyBorder="1"/>
    <xf fontId="1" fillId="0" borderId="34" numFmtId="0" xfId="0" applyFont="1" applyBorder="1"/>
    <xf fontId="1" fillId="0" borderId="26" numFmtId="0" xfId="0" applyFont="1" applyBorder="1"/>
    <xf fontId="57" fillId="0" borderId="0" numFmtId="2" xfId="1" applyNumberFormat="1" applyFont="1"/>
    <xf fontId="36" fillId="0" borderId="0" numFmtId="4" xfId="1" applyNumberFormat="1" applyFont="1" applyAlignment="1">
      <alignment horizontal="right"/>
    </xf>
    <xf fontId="57" fillId="0" borderId="0" numFmtId="10" xfId="1" applyNumberFormat="1" applyFont="1" applyAlignment="1">
      <alignment horizontal="center"/>
    </xf>
    <xf fontId="59" fillId="0" borderId="0" numFmtId="164" xfId="5" applyNumberFormat="1" applyFont="1" applyAlignment="1">
      <alignment horizontal="right"/>
    </xf>
    <xf fontId="59" fillId="0" borderId="0" numFmtId="4" xfId="1" applyNumberFormat="1" applyFont="1" applyAlignment="1">
      <alignment horizontal="center"/>
    </xf>
    <xf fontId="58" fillId="0" borderId="0" numFmtId="10" xfId="1" applyNumberFormat="1" applyFont="1" applyAlignment="1">
      <alignment horizontal="center"/>
    </xf>
    <xf fontId="59" fillId="0" borderId="0" numFmtId="164" xfId="7" applyNumberFormat="1" applyFont="1" applyAlignment="1">
      <alignment horizontal="right"/>
    </xf>
    <xf fontId="0" fillId="0" borderId="18" numFmtId="0" xfId="0" applyBorder="1"/>
    <xf fontId="60" fillId="0" borderId="18" numFmtId="0" xfId="0" applyFont="1" applyBorder="1" applyAlignment="1">
      <alignment horizontal="center" vertical="center"/>
    </xf>
    <xf fontId="60" fillId="0" borderId="56" numFmtId="0" xfId="0" applyFont="1" applyBorder="1"/>
    <xf fontId="60" fillId="0" borderId="57" numFmtId="0" xfId="0" applyFont="1" applyBorder="1"/>
    <xf fontId="1" fillId="0" borderId="45" numFmtId="0" xfId="0" applyFont="1" applyBorder="1"/>
    <xf fontId="0" fillId="0" borderId="34" numFmtId="0" xfId="0" applyBorder="1" applyAlignment="1">
      <alignment horizontal="center"/>
    </xf>
    <xf fontId="1" fillId="0" borderId="36" numFmtId="0" xfId="0" applyFont="1" applyBorder="1" applyAlignment="1">
      <alignment horizontal="left"/>
    </xf>
    <xf fontId="1" fillId="0" borderId="33" numFmtId="0" xfId="0" applyFont="1" applyBorder="1"/>
    <xf fontId="113" fillId="0" borderId="42" numFmtId="0" xfId="0" applyFont="1" applyBorder="1" applyAlignment="1">
      <alignment horizontal="center" vertical="center"/>
    </xf>
    <xf fontId="1" fillId="0" borderId="43" numFmtId="0" xfId="0" applyFont="1" applyBorder="1" applyAlignment="1">
      <alignment horizontal="left"/>
    </xf>
    <xf fontId="113" fillId="0" borderId="18" numFmtId="0" xfId="0" applyFont="1" applyBorder="1" applyAlignment="1">
      <alignment horizontal="center" vertical="center"/>
    </xf>
    <xf fontId="60" fillId="0" borderId="73" numFmtId="0" xfId="0" applyFont="1" applyBorder="1" applyAlignment="1">
      <alignment horizontal="center"/>
    </xf>
    <xf fontId="60" fillId="0" borderId="61" numFmtId="0" xfId="0" applyFont="1" applyBorder="1" applyAlignment="1">
      <alignment horizontal="center"/>
    </xf>
    <xf fontId="61" fillId="0" borderId="57" numFmtId="0" xfId="0" applyFont="1" applyBorder="1" applyAlignment="1">
      <alignment horizontal="center" vertical="center"/>
    </xf>
    <xf fontId="114" fillId="0" borderId="56" numFmtId="0" xfId="0" applyFont="1" applyBorder="1"/>
    <xf fontId="0" fillId="0" borderId="77" numFmtId="0" xfId="0" applyBorder="1"/>
    <xf fontId="114" fillId="0" borderId="58" numFmtId="0" xfId="0" applyFont="1" applyBorder="1"/>
    <xf fontId="115" fillId="0" borderId="0" numFmtId="0" xfId="0" applyFont="1"/>
    <xf fontId="75" fillId="0" borderId="0" numFmtId="0" xfId="0" applyFont="1" applyAlignment="1">
      <alignment horizontal="center" vertical="center" wrapText="1"/>
    </xf>
    <xf fontId="57" fillId="2" borderId="7" numFmtId="164" xfId="5" applyNumberFormat="1" applyFont="1" applyFill="1" applyBorder="1" applyAlignment="1">
      <alignment horizontal="center" vertical="center" wrapText="1"/>
    </xf>
    <xf fontId="57" fillId="2" borderId="0" numFmtId="164" xfId="5" applyNumberFormat="1" applyFont="1" applyFill="1" applyAlignment="1">
      <alignment horizontal="center" vertical="center" wrapText="1"/>
    </xf>
    <xf fontId="103" fillId="0" borderId="0" numFmtId="0" xfId="0" applyFont="1" applyAlignment="1">
      <alignment horizontal="center"/>
    </xf>
    <xf fontId="17" fillId="0" borderId="42" numFmtId="4" xfId="1" applyNumberFormat="1" applyFont="1" applyBorder="1" applyAlignment="1">
      <alignment horizontal="right"/>
    </xf>
    <xf fontId="17" fillId="2" borderId="42" numFmtId="4" xfId="1" applyNumberFormat="1" applyFont="1" applyFill="1" applyBorder="1" applyAlignment="1">
      <alignment horizontal="center"/>
    </xf>
    <xf fontId="33" fillId="8" borderId="42" numFmtId="10" xfId="1" applyNumberFormat="1" applyFont="1" applyFill="1" applyBorder="1" applyAlignment="1">
      <alignment horizontal="center"/>
    </xf>
    <xf fontId="47" fillId="2" borderId="42" numFmtId="4" xfId="1" applyNumberFormat="1" applyFont="1" applyFill="1" applyBorder="1" applyAlignment="1">
      <alignment horizontal="center"/>
    </xf>
    <xf fontId="33" fillId="8" borderId="42" numFmtId="4" xfId="1" applyNumberFormat="1" applyFont="1" applyFill="1" applyBorder="1" applyAlignment="1">
      <alignment horizontal="center"/>
    </xf>
    <xf fontId="48" fillId="8" borderId="42" numFmtId="4" xfId="1" applyNumberFormat="1" applyFont="1" applyFill="1" applyBorder="1" applyAlignment="1">
      <alignment horizontal="center"/>
    </xf>
    <xf fontId="57" fillId="0" borderId="42" numFmtId="2" xfId="1" applyNumberFormat="1" applyFont="1" applyBorder="1" applyAlignment="1">
      <alignment horizontal="center" vertical="center"/>
    </xf>
    <xf fontId="12" fillId="0" borderId="42" numFmtId="4" xfId="1" applyNumberFormat="1" applyFont="1" applyBorder="1" applyAlignment="1">
      <alignment horizontal="center" vertical="center"/>
    </xf>
    <xf fontId="12" fillId="2" borderId="42" numFmtId="4" xfId="1" applyNumberFormat="1" applyFont="1" applyFill="1" applyBorder="1" applyAlignment="1">
      <alignment horizontal="center" vertical="center"/>
    </xf>
    <xf fontId="58" fillId="8" borderId="42" numFmtId="10" xfId="1" applyNumberFormat="1" applyFont="1" applyFill="1" applyBorder="1" applyAlignment="1">
      <alignment horizontal="center" vertical="center"/>
    </xf>
    <xf fontId="59" fillId="0" borderId="42" numFmtId="4" xfId="1" applyNumberFormat="1" applyFont="1" applyBorder="1" applyAlignment="1">
      <alignment horizontal="center" vertical="center"/>
    </xf>
    <xf fontId="59" fillId="2" borderId="42" numFmtId="4" xfId="1" applyNumberFormat="1" applyFont="1" applyFill="1" applyBorder="1" applyAlignment="1">
      <alignment horizontal="center" vertical="center"/>
    </xf>
    <xf fontId="53" fillId="8" borderId="42" numFmtId="4" xfId="1" applyNumberFormat="1" applyFont="1" applyFill="1" applyBorder="1" applyAlignment="1">
      <alignment horizontal="center" vertical="center"/>
    </xf>
    <xf fontId="36" fillId="0" borderId="42" numFmtId="4" xfId="1" applyNumberFormat="1" applyFont="1" applyBorder="1" applyAlignment="1">
      <alignment horizontal="center" vertical="center"/>
    </xf>
    <xf fontId="48" fillId="8" borderId="42" numFmtId="10" xfId="1" applyNumberFormat="1" applyFont="1" applyFill="1" applyBorder="1" applyAlignment="1">
      <alignment horizontal="center"/>
    </xf>
    <xf fontId="33" fillId="8" borderId="42" numFmtId="10" xfId="1" applyNumberFormat="1" applyFont="1" applyFill="1" applyBorder="1" applyAlignment="1">
      <alignment horizontal="center" vertical="center"/>
    </xf>
    <xf fontId="59" fillId="0" borderId="42" numFmtId="164" xfId="5" applyNumberFormat="1" applyFont="1" applyBorder="1" applyAlignment="1">
      <alignment horizontal="center" vertical="center"/>
    </xf>
    <xf fontId="33" fillId="8" borderId="42" numFmtId="4" xfId="1" applyNumberFormat="1" applyFont="1" applyFill="1" applyBorder="1" applyAlignment="1">
      <alignment horizontal="center" vertical="center"/>
    </xf>
    <xf fontId="17" fillId="0" borderId="42" numFmtId="4" xfId="1" applyNumberFormat="1" applyFont="1" applyBorder="1" applyAlignment="1">
      <alignment horizontal="center"/>
    </xf>
    <xf fontId="33" fillId="8" borderId="18" numFmtId="10" xfId="1" applyNumberFormat="1" applyFont="1" applyFill="1" applyBorder="1" applyAlignment="1">
      <alignment horizontal="center" vertical="center"/>
    </xf>
    <xf fontId="48" fillId="8" borderId="18" numFmtId="4" xfId="1" applyNumberFormat="1" applyFont="1" applyFill="1" applyBorder="1" applyAlignment="1">
      <alignment horizontal="center" vertical="center"/>
    </xf>
    <xf fontId="33" fillId="0" borderId="18" numFmtId="2" xfId="1" applyNumberFormat="1" applyFont="1" applyBorder="1"/>
    <xf fontId="17" fillId="0" borderId="18" numFmtId="4" xfId="1" applyNumberFormat="1" applyFont="1" applyBorder="1" applyAlignment="1">
      <alignment horizontal="center"/>
    </xf>
    <xf fontId="17" fillId="2" borderId="18" numFmtId="4" xfId="1" applyNumberFormat="1" applyFont="1" applyFill="1" applyBorder="1" applyAlignment="1">
      <alignment horizontal="center"/>
    </xf>
    <xf fontId="33" fillId="8" borderId="18" numFmtId="10" xfId="1" applyNumberFormat="1" applyFont="1" applyFill="1" applyBorder="1" applyAlignment="1">
      <alignment horizontal="center"/>
    </xf>
    <xf fontId="47" fillId="2" borderId="18" numFmtId="4" xfId="1" applyNumberFormat="1" applyFont="1" applyFill="1" applyBorder="1" applyAlignment="1">
      <alignment horizontal="center"/>
    </xf>
    <xf fontId="33" fillId="8" borderId="18" numFmtId="4" xfId="1" applyNumberFormat="1" applyFont="1" applyFill="1" applyBorder="1" applyAlignment="1">
      <alignment horizontal="center"/>
    </xf>
    <xf fontId="57" fillId="0" borderId="18" numFmtId="2" xfId="1" applyNumberFormat="1" applyFont="1" applyBorder="1" applyAlignment="1">
      <alignment horizontal="center" vertical="center"/>
    </xf>
    <xf fontId="9" fillId="2" borderId="18" numFmtId="4" xfId="1" applyNumberFormat="1" applyFont="1" applyFill="1" applyBorder="1" applyAlignment="1">
      <alignment horizontal="center"/>
    </xf>
    <xf fontId="59" fillId="0" borderId="18" numFmtId="164" xfId="5" applyNumberFormat="1" applyFont="1" applyBorder="1" applyAlignment="1">
      <alignment horizontal="right"/>
    </xf>
    <xf fontId="33" fillId="0" borderId="56" numFmtId="2" xfId="1" applyNumberFormat="1" applyFont="1" applyBorder="1"/>
    <xf fontId="9" fillId="0" borderId="77" numFmtId="4" xfId="1" applyNumberFormat="1" applyFont="1" applyBorder="1" applyAlignment="1">
      <alignment horizontal="center"/>
    </xf>
    <xf fontId="9" fillId="2" borderId="77" numFmtId="4" xfId="1" applyNumberFormat="1" applyFont="1" applyFill="1" applyBorder="1" applyAlignment="1">
      <alignment horizontal="center"/>
    </xf>
    <xf fontId="33" fillId="8" borderId="77" numFmtId="10" xfId="1" applyNumberFormat="1" applyFont="1" applyFill="1" applyBorder="1" applyAlignment="1">
      <alignment horizontal="center"/>
    </xf>
    <xf fontId="47" fillId="0" borderId="56" numFmtId="164" xfId="5" applyNumberFormat="1" applyFont="1" applyBorder="1" applyAlignment="1">
      <alignment horizontal="right"/>
    </xf>
    <xf fontId="47" fillId="0" borderId="77" numFmtId="164" xfId="5" applyNumberFormat="1" applyFont="1" applyBorder="1" applyAlignment="1">
      <alignment horizontal="right"/>
    </xf>
    <xf fontId="47" fillId="2" borderId="58" numFmtId="4" xfId="1" applyNumberFormat="1" applyFont="1" applyFill="1" applyBorder="1" applyAlignment="1">
      <alignment horizontal="center"/>
    </xf>
    <xf fontId="33" fillId="8" borderId="77" numFmtId="4" xfId="1" applyNumberFormat="1" applyFont="1" applyFill="1" applyBorder="1" applyAlignment="1">
      <alignment horizontal="center"/>
    </xf>
    <xf fontId="33" fillId="0" borderId="77" numFmtId="4" xfId="1" applyNumberFormat="1" applyFont="1" applyBorder="1" applyAlignment="1">
      <alignment horizontal="center"/>
    </xf>
    <xf fontId="7" fillId="2" borderId="58" numFmtId="4" xfId="1" applyNumberFormat="1" applyFont="1" applyFill="1" applyBorder="1" applyAlignment="1">
      <alignment horizontal="center"/>
    </xf>
    <xf fontId="33" fillId="0" borderId="34" numFmtId="4" xfId="1" applyNumberFormat="1" applyFont="1" applyBorder="1" applyAlignment="1">
      <alignment horizontal="center"/>
    </xf>
    <xf fontId="1" fillId="0" borderId="0" numFmtId="0" xfId="0" applyFont="1" applyAlignment="1">
      <alignment horizontal="centerContinuous"/>
    </xf>
    <xf fontId="0" fillId="0" borderId="0" numFmtId="0" xfId="0" applyAlignment="1">
      <alignment horizontal="centerContinuous"/>
    </xf>
    <xf fontId="1" fillId="0" borderId="0" numFmtId="0" xfId="0" applyFont="1" applyAlignment="1">
      <alignment vertical="center"/>
    </xf>
    <xf fontId="1" fillId="26" borderId="23" numFmtId="0" xfId="0" applyFont="1" applyFill="1" applyBorder="1"/>
    <xf fontId="1" fillId="0" borderId="5" numFmtId="0" xfId="0" applyFont="1" applyBorder="1"/>
    <xf fontId="1" fillId="0" borderId="4" numFmtId="0" xfId="0" applyFont="1" applyBorder="1"/>
    <xf fontId="1" fillId="0" borderId="6" numFmtId="0" xfId="0" applyFont="1" applyBorder="1"/>
    <xf fontId="0" fillId="26" borderId="29" numFmtId="167" xfId="0" applyNumberFormat="1" applyFill="1" applyBorder="1"/>
    <xf fontId="0" fillId="0" borderId="9" numFmtId="164" xfId="5" applyNumberFormat="1" applyBorder="1"/>
    <xf fontId="0" fillId="0" borderId="10" numFmtId="164" xfId="5" applyNumberFormat="1" applyBorder="1"/>
    <xf fontId="0" fillId="0" borderId="9" numFmtId="164" xfId="0" applyNumberFormat="1" applyBorder="1"/>
    <xf fontId="0" fillId="0" borderId="10" numFmtId="164" xfId="0" applyNumberFormat="1" applyBorder="1"/>
    <xf fontId="63" fillId="0" borderId="0" numFmtId="166" xfId="5" applyNumberFormat="1" applyFont="1" applyAlignment="1">
      <alignment horizontal="center"/>
    </xf>
    <xf fontId="0" fillId="26" borderId="55" numFmtId="167" xfId="0" applyNumberFormat="1" applyFill="1" applyBorder="1"/>
    <xf fontId="63" fillId="0" borderId="65" numFmtId="164" xfId="5" applyNumberFormat="1" applyFont="1" applyBorder="1" applyAlignment="1">
      <alignment horizontal="center"/>
    </xf>
    <xf fontId="63" fillId="0" borderId="66" numFmtId="164" xfId="5" applyNumberFormat="1" applyFont="1" applyBorder="1" applyAlignment="1">
      <alignment horizontal="center"/>
    </xf>
    <xf fontId="63" fillId="0" borderId="68" numFmtId="164" xfId="5" applyNumberFormat="1" applyFont="1" applyBorder="1" applyAlignment="1">
      <alignment horizontal="center"/>
    </xf>
    <xf fontId="60" fillId="0" borderId="42" numFmtId="0" xfId="1" applyFont="1" applyBorder="1" applyAlignment="1">
      <alignment horizontal="center" wrapText="1"/>
    </xf>
    <xf fontId="60" fillId="0" borderId="34" numFmtId="0" xfId="1" applyFont="1" applyBorder="1" applyAlignment="1">
      <alignment horizontal="center" vertical="center" wrapText="1"/>
    </xf>
    <xf fontId="9" fillId="2" borderId="19" numFmtId="4" xfId="1" applyNumberFormat="1" applyFont="1" applyFill="1" applyBorder="1" applyAlignment="1">
      <alignment horizontal="center" vertical="center" wrapText="1"/>
    </xf>
    <xf fontId="63" fillId="2" borderId="20" numFmtId="0" xfId="1" applyFont="1" applyFill="1" applyBorder="1" applyAlignment="1">
      <alignment horizontal="center" vertical="center" wrapText="1"/>
    </xf>
    <xf fontId="64" fillId="0" borderId="0" numFmtId="0" xfId="0" applyFont="1"/>
    <xf fontId="10" fillId="5" borderId="1" numFmtId="4" xfId="2" applyNumberFormat="1" applyFont="1" applyFill="1" applyBorder="1" applyAlignment="1">
      <alignment horizontal="center" wrapText="1"/>
    </xf>
    <xf fontId="17" fillId="5" borderId="8" numFmtId="4" xfId="2" applyNumberFormat="1" applyFont="1" applyFill="1" applyBorder="1" applyAlignment="1">
      <alignment horizontal="center" vertical="center" wrapText="1"/>
    </xf>
    <xf fontId="3" fillId="5" borderId="25" numFmtId="4" xfId="2" applyNumberFormat="1" applyFont="1" applyFill="1" applyBorder="1" applyAlignment="1">
      <alignment horizontal="center" vertical="center" wrapText="1"/>
    </xf>
    <xf fontId="17" fillId="5" borderId="25" numFmtId="4" xfId="2" applyNumberFormat="1" applyFont="1" applyFill="1" applyBorder="1" applyAlignment="1">
      <alignment horizontal="center" vertical="center" wrapText="1"/>
    </xf>
    <xf fontId="10" fillId="0" borderId="25" numFmtId="4" xfId="2" applyNumberFormat="1" applyFont="1" applyBorder="1" applyAlignment="1">
      <alignment horizontal="center" vertical="center" wrapText="1"/>
    </xf>
    <xf fontId="17" fillId="5" borderId="25" numFmtId="4" xfId="2" applyNumberFormat="1" applyFont="1" applyFill="1" applyBorder="1" applyAlignment="1">
      <alignment horizontal="center" wrapText="1"/>
    </xf>
    <xf fontId="10" fillId="5" borderId="25" numFmtId="4" xfId="2" applyNumberFormat="1" applyFont="1" applyFill="1" applyBorder="1" applyAlignment="1">
      <alignment horizontal="center" vertical="center" wrapText="1"/>
    </xf>
    <xf fontId="17" fillId="5" borderId="7" numFmtId="4" xfId="2" applyNumberFormat="1" applyFont="1" applyFill="1" applyBorder="1" applyAlignment="1">
      <alignment horizontal="center" vertical="center" wrapText="1"/>
    </xf>
    <xf fontId="10" fillId="5" borderId="8" numFmtId="4" xfId="2" applyNumberFormat="1" applyFont="1" applyFill="1" applyBorder="1" applyAlignment="1">
      <alignment horizontal="center" vertical="center" wrapText="1"/>
    </xf>
    <xf fontId="10" fillId="5" borderId="0" numFmtId="4" xfId="2" applyNumberFormat="1" applyFont="1" applyFill="1" applyAlignment="1">
      <alignment horizontal="center" vertical="center" wrapText="1"/>
    </xf>
    <xf fontId="10" fillId="0" borderId="34" numFmtId="4" xfId="2" applyNumberFormat="1" applyFont="1" applyBorder="1" applyAlignment="1">
      <alignment horizontal="center" wrapText="1"/>
    </xf>
    <xf fontId="10" fillId="5" borderId="34" numFmtId="4" xfId="2" applyNumberFormat="1" applyFont="1" applyFill="1" applyBorder="1" applyAlignment="1">
      <alignment horizontal="center" vertical="center" wrapText="1"/>
    </xf>
    <xf fontId="9" fillId="0" borderId="42" numFmtId="0" xfId="2" applyFont="1" applyBorder="1" applyAlignment="1">
      <alignment horizontal="center" wrapText="1"/>
    </xf>
    <xf fontId="9" fillId="5" borderId="20" numFmtId="0" xfId="2" applyFont="1" applyFill="1" applyBorder="1" applyAlignment="1">
      <alignment horizontal="center" wrapText="1"/>
    </xf>
    <xf fontId="0" fillId="0" borderId="25" numFmtId="0" xfId="0" applyBorder="1"/>
    <xf fontId="0" fillId="0" borderId="25" numFmtId="4" xfId="0" applyNumberFormat="1" applyBorder="1"/>
    <xf fontId="0" fillId="0" borderId="0" numFmtId="170" xfId="0" applyNumberFormat="1"/>
    <xf fontId="0" fillId="0" borderId="0" numFmtId="3" xfId="0" applyNumberFormat="1"/>
    <xf fontId="0" fillId="0" borderId="25" numFmtId="3" xfId="0" applyNumberFormat="1" applyBorder="1"/>
    <xf fontId="0" fillId="0" borderId="7" numFmtId="4" xfId="0" applyNumberFormat="1" applyBorder="1"/>
    <xf fontId="0" fillId="0" borderId="8" numFmtId="3" xfId="0" applyNumberFormat="1" applyBorder="1"/>
    <xf fontId="0" fillId="0" borderId="7" numFmtId="3" xfId="0" applyNumberFormat="1" applyBorder="1"/>
    <xf fontId="0" fillId="27" borderId="0" numFmtId="4" xfId="0" applyNumberFormat="1" applyFill="1"/>
    <xf fontId="0" fillId="27" borderId="25" numFmtId="3" xfId="0" applyNumberFormat="1" applyFill="1" applyBorder="1"/>
    <xf fontId="0" fillId="27" borderId="25" numFmtId="0" xfId="0" applyFill="1" applyBorder="1"/>
    <xf fontId="0" fillId="0" borderId="7" numFmtId="1" xfId="0" applyNumberFormat="1" applyBorder="1"/>
    <xf fontId="60" fillId="0" borderId="19" numFmtId="4" xfId="0" applyNumberFormat="1" applyFont="1" applyBorder="1"/>
    <xf fontId="60" fillId="0" borderId="42" numFmtId="4" xfId="0" applyNumberFormat="1" applyFont="1" applyBorder="1"/>
    <xf fontId="60" fillId="0" borderId="20" numFmtId="169" xfId="0" applyNumberFormat="1" applyFont="1" applyBorder="1"/>
    <xf fontId="60" fillId="0" borderId="20" numFmtId="4" xfId="0" applyNumberFormat="1" applyFont="1" applyBorder="1"/>
    <xf fontId="60" fillId="0" borderId="21" numFmtId="4" xfId="0" applyNumberFormat="1" applyFont="1" applyBorder="1"/>
    <xf fontId="0" fillId="0" borderId="0" numFmtId="169" xfId="0" applyNumberFormat="1"/>
    <xf fontId="0" fillId="27" borderId="0" numFmtId="0" xfId="0" applyFill="1"/>
    <xf fontId="0" fillId="27" borderId="0" numFmtId="3" xfId="0" applyNumberFormat="1" applyFill="1"/>
    <xf fontId="0" fillId="0" borderId="21" numFmtId="4" xfId="0" applyNumberFormat="1" applyBorder="1"/>
    <xf fontId="0" fillId="27" borderId="7" numFmtId="4" xfId="0" applyNumberFormat="1" applyFill="1" applyBorder="1"/>
    <xf fontId="0" fillId="27" borderId="25" numFmtId="4" xfId="0" applyNumberFormat="1" applyFill="1" applyBorder="1"/>
    <xf fontId="0" fillId="27" borderId="0" numFmtId="169" xfId="0" applyNumberFormat="1" applyFill="1"/>
    <xf fontId="0" fillId="27" borderId="7" numFmtId="0" xfId="0" applyFill="1" applyBorder="1"/>
    <xf fontId="1" fillId="27" borderId="7" numFmtId="0" xfId="0" applyFont="1" applyFill="1" applyBorder="1"/>
    <xf fontId="9" fillId="15" borderId="19" numFmtId="0" xfId="1" applyFont="1" applyFill="1" applyBorder="1"/>
    <xf fontId="0" fillId="27" borderId="26" numFmtId="0" xfId="0" applyFill="1" applyBorder="1"/>
    <xf fontId="0" fillId="0" borderId="30" numFmtId="169" xfId="0" applyNumberFormat="1" applyBorder="1"/>
    <xf fontId="0" fillId="0" borderId="30" numFmtId="3" xfId="0" applyNumberFormat="1" applyBorder="1"/>
    <xf fontId="0" fillId="0" borderId="27" numFmtId="3" xfId="0" applyNumberFormat="1" applyBorder="1"/>
    <xf fontId="0" fillId="0" borderId="34" numFmtId="3" xfId="0" applyNumberFormat="1" applyBorder="1"/>
    <xf fontId="0" fillId="21" borderId="0" numFmtId="4" xfId="0" applyNumberFormat="1" applyFill="1"/>
    <xf fontId="36" fillId="0" borderId="42" numFmtId="4" xfId="2" applyNumberFormat="1" applyFont="1" applyBorder="1" applyAlignment="1">
      <alignment horizontal="center" vertical="center" wrapText="1"/>
    </xf>
    <xf fontId="3" fillId="6" borderId="18" numFmtId="4" xfId="2" applyNumberFormat="1" applyFont="1" applyFill="1" applyBorder="1" applyAlignment="1">
      <alignment vertical="center" wrapText="1"/>
    </xf>
    <xf fontId="0" fillId="0" borderId="42" numFmtId="4" xfId="0" applyNumberFormat="1" applyBorder="1" applyAlignment="1">
      <alignment horizontal="left" vertical="center" wrapText="1"/>
    </xf>
    <xf fontId="3" fillId="28" borderId="42" numFmtId="4" xfId="2" applyNumberFormat="1" applyFont="1" applyFill="1" applyBorder="1" applyAlignment="1">
      <alignment vertical="center" wrapText="1"/>
    </xf>
    <xf fontId="116" fillId="28" borderId="42" numFmtId="4" xfId="2" applyNumberFormat="1" applyFont="1" applyFill="1" applyBorder="1" applyAlignment="1">
      <alignment vertical="center" wrapText="1"/>
    </xf>
  </cellXfs>
  <cellStyles count="8">
    <cellStyle name="Обычный" xfId="0" builtinId="0"/>
    <cellStyle name="Обычный 2" xfId="1"/>
    <cellStyle name="Обычный 3" xfId="2"/>
    <cellStyle name="Обычный 4" xfId="3"/>
    <cellStyle name="Процентный 2" xfId="4"/>
    <cellStyle name="Финансовый" xfId="5" builtinId="3"/>
    <cellStyle name="Финансовый [0] 2" xfId="6"/>
    <cellStyle name="Финансовый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 Id="rId1" Type="http://schemas.openxmlformats.org/officeDocument/2006/relationships/externalLink" Target="externalLinks/externalLink1.xml"/><Relationship  Id="rId10" Type="http://schemas.openxmlformats.org/officeDocument/2006/relationships/worksheet" Target="worksheets/sheet9.xml"/><Relationship  Id="rId11" Type="http://schemas.openxmlformats.org/officeDocument/2006/relationships/worksheet" Target="worksheets/sheet10.xml"/><Relationship  Id="rId12" Type="http://schemas.openxmlformats.org/officeDocument/2006/relationships/theme" Target="theme/theme1.xml"/><Relationship  Id="rId13" Type="http://schemas.openxmlformats.org/officeDocument/2006/relationships/sharedStrings" Target="sharedStrings.xml"/><Relationship  Id="rId14" Type="http://schemas.openxmlformats.org/officeDocument/2006/relationships/styles" Target="styles.xml"/><Relationship  Id="rId2" Type="http://schemas.openxmlformats.org/officeDocument/2006/relationships/worksheet" Target="worksheets/sheet1.xml"/><Relationship  Id="rId3" Type="http://schemas.openxmlformats.org/officeDocument/2006/relationships/worksheet" Target="worksheets/sheet2.xml"/><Relationship  Id="rId4" Type="http://schemas.openxmlformats.org/officeDocument/2006/relationships/worksheet" Target="worksheets/sheet3.xml"/><Relationship  Id="rId5" Type="http://schemas.openxmlformats.org/officeDocument/2006/relationships/worksheet" Target="worksheets/sheet4.xml"/><Relationship  Id="rId6" Type="http://schemas.openxmlformats.org/officeDocument/2006/relationships/worksheet" Target="worksheets/sheet5.xml"/><Relationship  Id="rId7" Type="http://schemas.openxmlformats.org/officeDocument/2006/relationships/worksheet" Target="worksheets/sheet6.xml"/><Relationship  Id="rId8" Type="http://schemas.openxmlformats.org/officeDocument/2006/relationships/worksheet" Target="worksheets/sheet7.xml"/><Relationship  Id="rId9" Type="http://schemas.openxmlformats.org/officeDocument/2006/relationships/worksheet" Target="worksheets/sheet8.xml"/></Relationships>
</file>

<file path=xl/externalLinks/_rels/externalLink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W:\&#1047;&#1083;&#1099;&#1075;&#1086;&#1089;&#1090;&#1077;&#1074;&#1072;\&#1070;%20&#1084;&#1077;&#1076;&#1080;&#1082;&#1072;&#1084;&#1077;&#1085;&#1090;&#1099;\2022\&#1070;%20&#1084;&#1077;&#1076;&#1080;&#1082;&#1072;&#1084;&#1077;&#1085;&#1090;&#1099;\&#1070;&#1083;&#1103;%20&#1040;&#1053;&#1040;&#1051;&#1048;&#1047;%20&#1052;&#1045;&#1044;&#1048;&#1050;&#1040;&#1052;&#1045;&#1053;&#1058;&#1067;%202022%20&#1076;&#1083;&#1103;%20&#1054;&#104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НАЛИЗ"/>
      <sheetName val="Расход-2022 год"/>
      <sheetName val="2022 год"/>
      <sheetName val="Лист1"/>
      <sheetName val="Расход-2022"/>
      <sheetName val="2022"/>
      <sheetName val="ОВРТ"/>
    </sheetNames>
    <sheetDataSet>
      <sheetData sheetId="0"/>
      <sheetData sheetId="1"/>
      <sheetData sheetId="2">
        <row r="566">
          <cell r="T566">
            <v>1122</v>
          </cell>
        </row>
      </sheetData>
      <sheetData sheetId="3"/>
      <sheetData sheetId="4"/>
      <sheetData sheetId="5"/>
      <sheetData sheetId="6"/>
    </sheetDataSet>
  </externalBook>
</externalLink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 codeName="Лист1">
    <outlinePr applyStyles="0" summaryBelow="1" summaryRight="1" showOutlineSymbols="1"/>
    <pageSetUpPr autoPageBreaks="1" fitToPage="1"/>
  </sheetPr>
  <sheetViews>
    <sheetView zoomScale="85" workbookViewId="0">
      <pane xSplit="2" ySplit="9" topLeftCell="C10" activePane="bottomRight" state="frozen"/>
      <selection activeCell="I14" activeCellId="0" sqref="I14"/>
    </sheetView>
  </sheetViews>
  <sheetFormatPr defaultColWidth="8.85546875" defaultRowHeight="12.75"/>
  <cols>
    <col customWidth="1" min="1" max="1" style="2" width="25.7109375"/>
    <col customWidth="1" min="2" max="2" style="2" width="20.85546875"/>
    <col customWidth="1" min="3" max="3" style="3" width="14.42578125"/>
    <col customWidth="1" min="4" max="4" style="1" width="14"/>
    <col customWidth="1" min="5" max="5" style="1" width="17.28515625"/>
    <col customWidth="1" min="6" max="6" style="4" width="14.42578125"/>
    <col customWidth="1" min="7" max="7" style="5" width="13.42578125"/>
    <col customWidth="1" min="8" max="8" style="4" width="7.85546875"/>
    <col customWidth="1" min="9" max="9" style="5" width="13.5703125"/>
    <col customWidth="1" hidden="1" min="10" max="10" style="4" width="11.7109375"/>
    <col customWidth="1" min="11" max="11" style="1" width="12"/>
    <col customWidth="1" hidden="1" min="12" max="12" style="4" width="11.28515625"/>
    <col customWidth="1" min="13" max="13" style="4" width="12"/>
    <col customWidth="1" hidden="1" min="14" max="14" style="4" width="9.7109375"/>
    <col customWidth="1" min="15" max="15" style="1" width="13.28515625"/>
    <col customWidth="1" hidden="1" min="16" max="16" style="4" width="14.28515625"/>
    <col customWidth="1" min="17" max="17" style="1" width="13.42578125"/>
    <col customWidth="1" min="18" max="18" style="4" width="9.28515625"/>
    <col customWidth="1" min="19" max="19" style="1" width="14.28515625"/>
    <col customWidth="1" hidden="1" min="20" max="20" style="4" width="9.28515625"/>
    <col customWidth="1" min="21" max="21" style="1" width="10.85546875"/>
    <col customWidth="1" min="22" max="22" style="4" width="10.28515625"/>
    <col customWidth="1" min="23" max="23" style="1" width="9.28515625"/>
    <col customWidth="1" min="24" max="24" style="4" width="9.28515625"/>
    <col customWidth="1" min="25" max="25" style="1" width="9.85546875"/>
    <col customWidth="1" min="26" max="26" style="4" width="10.28515625"/>
    <col customWidth="1" min="27" max="27" style="1" width="9.28515625"/>
    <col customWidth="1" min="28" max="28" style="4" width="5.28515625"/>
    <col customWidth="1" min="29" max="29" style="1" width="5.7109375"/>
    <col customWidth="1" min="30" max="30" style="4" width="6.7109375"/>
    <col customWidth="1" min="31" max="31" style="1" width="11.7109375"/>
    <col customWidth="1" min="32" max="32" style="4" width="8.140625"/>
    <col customWidth="1" min="33" max="33" style="5" width="12.85546875"/>
    <col customWidth="1" min="34" max="34" style="4" width="9.7109375"/>
    <col customWidth="1" min="35" max="35" style="4" width="12.140625"/>
    <col customWidth="1" min="36" max="36" style="4" width="11.28515625"/>
    <col customWidth="1" min="37" max="37" style="1" width="12.5703125"/>
    <col customWidth="1" min="38" max="38" style="4" width="9.7109375"/>
    <col customWidth="1" min="39" max="39" style="1" width="13"/>
    <col customWidth="1" min="40" max="40" style="4" width="9.7109375"/>
    <col customWidth="1" min="41" max="41" style="5" width="13.5703125"/>
    <col customWidth="1" min="42" max="42" style="4" width="11.28515625"/>
    <col customWidth="1" min="43" max="43" style="5" width="10.85546875"/>
    <col customWidth="1" min="44" max="44" style="4" width="12.5703125"/>
    <col customWidth="1" min="45" max="45" style="5" width="12.7109375"/>
    <col customWidth="1" min="46" max="46" style="4" width="11.7109375"/>
    <col customWidth="1" min="47" max="47" style="4" width="18"/>
    <col customWidth="1" min="48" max="49" style="4" width="9.7109375"/>
    <col customWidth="1" min="50" max="51" style="6" width="14.85546875"/>
    <col customWidth="1" min="52" max="52" style="6" width="12.85546875"/>
    <col customWidth="1" min="53" max="53" style="6" width="12.5703125"/>
    <col customWidth="1" min="54" max="54" style="6" width="13.42578125"/>
    <col customWidth="1" min="55" max="55" style="7" width="12.140625"/>
    <col customWidth="1" hidden="1" min="56" max="56" style="5" width="19.28515625"/>
    <col customWidth="1" hidden="1" min="57" max="57" style="5" width="18.140625"/>
    <col customWidth="1" min="58" max="58" style="8" width="13"/>
    <col customWidth="1" min="59" max="59" style="4" width="18.7109375"/>
    <col customWidth="1" min="60" max="60" style="8" width="9.5703125"/>
    <col customWidth="1" min="61" max="61" style="4" width="16.5703125"/>
    <col customWidth="1" hidden="1" min="62" max="62" style="4" width="11.28515625"/>
    <col customWidth="1" min="63" max="63" style="4" width="18.140625"/>
    <col customWidth="1" min="64" max="64" style="4" width="17.42578125"/>
    <col customWidth="1" min="65" max="65" style="4" width="13.42578125"/>
    <col customWidth="1" min="66" max="66" style="4" width="15.140625"/>
    <col customWidth="1" min="67" max="67" style="4" width="10.5703125"/>
    <col customWidth="1" min="68" max="68" style="1" width="15.85546875"/>
    <col customWidth="1" hidden="1" min="69" max="69" style="1" width="17"/>
    <col customWidth="1" min="70" max="70" style="1" width="10"/>
    <col customWidth="1" min="71" max="74" style="1" width="8.85546875"/>
    <col customWidth="1" min="75" max="75" style="1" width="23.5703125"/>
    <col customWidth="1" min="76" max="76" style="9" width="12.7109375"/>
    <col customWidth="1" min="77" max="77" style="9" width="13.42578125"/>
    <col customWidth="1" min="78" max="78" style="9" width="11.42578125"/>
    <col customWidth="1" min="79" max="79" style="9" width="11.140625"/>
    <col customWidth="1" min="80" max="80" style="9" width="12.28515625"/>
    <col customWidth="1" min="81" max="81" style="9" width="12.85546875"/>
    <col customWidth="1" min="82" max="83" style="9" width="11.42578125"/>
    <col customWidth="1" min="84" max="84" style="9" width="10.7109375"/>
    <col customWidth="1" min="85" max="85" style="9" width="14.7109375"/>
    <col customWidth="1" min="86" max="86" style="9" width="12"/>
    <col customWidth="1" min="87" max="87" style="9" width="10.28515625"/>
    <col customWidth="1" min="88" max="88" style="9" width="9.28515625"/>
    <col customWidth="1" min="89" max="91" style="9" width="8.85546875"/>
    <col customWidth="1" min="92" max="92" style="9" width="7.5703125"/>
    <col customWidth="1" min="93" max="93" style="9" width="8.85546875"/>
    <col customWidth="1" hidden="1" min="94" max="94" style="6" width="6.5703125"/>
    <col customWidth="1" min="95" max="95" style="6" width="12.5703125"/>
    <col customWidth="1" min="96" max="96" style="9" width="8.42578125"/>
    <col customWidth="1" min="97" max="97" style="9" width="11.5703125"/>
    <col customWidth="1" min="98" max="98" style="10" width="12.5703125"/>
    <col customWidth="1" min="99" max="100" style="10" width="12.7109375"/>
    <col customWidth="1" min="101" max="101" style="10" width="14"/>
    <col customWidth="1" min="102" max="102" style="11" width="12.7109375"/>
    <col customWidth="1" hidden="1" min="103" max="103" style="11" width="12.7109375"/>
    <col customWidth="1" hidden="1" min="104" max="104" style="1" width="9"/>
    <col customWidth="1" hidden="1" min="105" max="105" style="12" width="15.28515625"/>
    <col customWidth="1" hidden="1" min="106" max="106" style="13" width="14"/>
    <col customWidth="1" hidden="1" min="107" max="107" style="13" width="14.7109375"/>
    <col customWidth="1" hidden="1" min="108" max="108" style="14" width="14.42578125"/>
    <col customWidth="1" hidden="1" min="109" max="109" style="14" width="15.140625"/>
    <col customWidth="1" min="110" max="110" style="14" width="12.7109375"/>
    <col min="111" max="112" style="1" width="8.85546875"/>
    <col bestFit="1" customWidth="1" min="113" max="113" style="1" width="9"/>
    <col customWidth="1" min="114" max="114" style="1" width="20.5703125"/>
    <col customWidth="1" min="115" max="115" style="1" width="8.85546875"/>
    <col customWidth="1" min="116" max="116" style="1" width="11.28515625"/>
    <col customWidth="1" min="117" max="117" style="1" width="9"/>
    <col customWidth="1" min="118" max="118" style="1" width="11"/>
    <col customWidth="1" min="119" max="119" style="1" width="10.5703125"/>
    <col customWidth="1" min="120" max="122" style="1" width="8.85546875"/>
    <col customWidth="1" min="123" max="123" style="1" width="11"/>
    <col customWidth="1" min="124" max="126" style="1" width="8.85546875"/>
    <col customWidth="1" min="127" max="127" style="1" width="9.5703125"/>
    <col customWidth="1" min="128" max="128" style="1" width="11.85546875"/>
    <col min="129" max="131" style="1" width="8.85546875"/>
    <col customWidth="1" min="132" max="132" style="1" width="11.7109375"/>
    <col customWidth="1" min="133" max="133" style="1" width="13.5703125"/>
    <col min="134" max="135" style="1" width="8.85546875"/>
    <col customWidth="1" min="136" max="137" style="1" width="20.85546875"/>
    <col customWidth="1" min="138" max="139" style="1" width="8.5703125"/>
    <col customWidth="1" min="140" max="140" style="1" width="14.28515625"/>
    <col customWidth="1" min="141" max="142" style="1" width="9.7109375"/>
    <col customWidth="1" min="143" max="143" style="1" width="12.7109375"/>
    <col customWidth="1" min="144" max="144" style="1" width="9.85546875"/>
    <col customWidth="1" min="145" max="145" style="1" width="8.85546875"/>
    <col customWidth="1" min="146" max="146" style="1" width="13.42578125"/>
    <col customWidth="1" min="147" max="148" style="1" width="9.7109375"/>
    <col customWidth="1" min="149" max="149" style="1" width="12.7109375"/>
    <col customWidth="1" min="150" max="150" style="1" width="10.140625"/>
    <col customWidth="1" min="151" max="151" style="1" width="8.5703125"/>
    <col customWidth="1" min="152" max="152" style="1" width="13.42578125"/>
    <col customWidth="1" min="153" max="154" style="1" width="9.7109375"/>
    <col customWidth="1" min="155" max="155" style="1" width="12.7109375"/>
    <col customWidth="1" min="156" max="157" style="1" width="9.5703125"/>
    <col customWidth="1" min="158" max="158" style="1" width="13.7109375"/>
    <col customWidth="1" min="159" max="160" style="1" width="8.85546875"/>
    <col customWidth="1" min="161" max="161" style="1" width="13.5703125"/>
    <col customWidth="1" min="162" max="163" style="1" width="8.85546875"/>
    <col customWidth="1" min="164" max="164" style="1" width="13.42578125"/>
    <col customWidth="1" min="165" max="166" style="1" width="8.85546875"/>
    <col customWidth="1" min="167" max="167" style="1" width="12.7109375"/>
    <col customWidth="1" min="168" max="169" style="1" width="8.85546875"/>
    <col customWidth="1" min="170" max="170" style="1" width="14.28515625"/>
    <col customWidth="1" min="171" max="172" style="1" width="8.85546875"/>
    <col customWidth="1" min="173" max="173" style="1" width="13.28515625"/>
    <col customWidth="1" min="174" max="175" style="1" width="8.85546875"/>
    <col customWidth="1" min="176" max="176" style="1" width="14.5703125"/>
    <col customWidth="1" min="177" max="178" style="1" width="8.85546875"/>
    <col customWidth="1" min="179" max="179" style="1" width="13.28515625"/>
    <col customWidth="1" min="180" max="181" style="1" width="8.85546875"/>
    <col customWidth="1" min="182" max="182" style="1" width="15.28515625"/>
    <col customWidth="1" min="183" max="184" style="1" width="8.85546875"/>
    <col customWidth="1" min="185" max="185" style="1" width="13.85546875"/>
    <col customWidth="1" min="186" max="187" style="1" width="8.85546875"/>
    <col customWidth="1" min="188" max="188" style="1" width="14.28515625"/>
    <col customWidth="1" min="189" max="190" style="1" width="8.85546875"/>
    <col customWidth="1" min="191" max="191" style="1" width="13.5703125"/>
    <col customWidth="1" min="192" max="193" style="1" width="8.85546875"/>
    <col customWidth="1" min="194" max="194" style="1" width="14.42578125"/>
    <col customWidth="1" min="195" max="196" style="1" width="8.85546875"/>
    <col customWidth="1" min="197" max="197" style="1" width="12.7109375"/>
    <col customWidth="1" min="198" max="199" style="1" width="8.85546875"/>
    <col customWidth="1" min="200" max="200" style="1" width="13.5703125"/>
    <col customWidth="1" min="201" max="202" style="1" width="8.85546875"/>
    <col customWidth="1" min="203" max="203" style="1" width="14.5703125"/>
    <col customWidth="1" min="204" max="204" style="1" width="12.7109375"/>
    <col customWidth="1" min="205" max="205" style="1" width="8.85546875"/>
    <col customWidth="1" min="206" max="206" style="1" width="13.42578125"/>
    <col customWidth="1" min="207" max="208" style="1" width="8.85546875"/>
    <col customWidth="1" min="209" max="209" style="1" width="15.85546875"/>
    <col customWidth="1" min="210" max="211" style="1" width="8.85546875"/>
    <col customWidth="1" min="212" max="212" style="1" width="13.85546875"/>
    <col customWidth="1" min="213" max="214" style="1" width="8.85546875"/>
    <col customWidth="1" min="215" max="215" style="1" width="14"/>
    <col customWidth="1" min="216" max="217" style="1" width="8.85546875"/>
    <col customWidth="1" min="218" max="218" style="1" width="14.28515625"/>
    <col customWidth="1" min="219" max="220" style="1" width="8.85546875"/>
    <col customWidth="1" min="221" max="221" style="1" width="12.85546875"/>
    <col customWidth="1" min="222" max="223" style="1" width="8.85546875"/>
    <col customWidth="1" min="224" max="224" style="1" width="14.5703125"/>
    <col customWidth="1" min="225" max="226" style="1" width="8.85546875"/>
    <col customWidth="1" min="227" max="227" style="1" width="12.85546875"/>
    <col customWidth="1" min="228" max="229" style="1" width="8.85546875"/>
    <col customWidth="1" min="230" max="230" style="1" width="15.42578125"/>
    <col customWidth="1" min="231" max="232" style="1" width="8.85546875"/>
    <col customWidth="1" min="233" max="233" style="1" width="13.42578125"/>
    <col customWidth="1" min="234" max="235" style="1" width="11.42578125"/>
    <col customWidth="1" min="236" max="236" style="1" width="15.85546875"/>
    <col customWidth="1" min="237" max="238" style="1" width="12.85546875"/>
    <col customWidth="1" min="239" max="239" style="1" width="17"/>
    <col customWidth="1" min="240" max="241" style="1" width="11.42578125"/>
    <col customWidth="1" min="242" max="242" style="1" width="15.85546875"/>
    <col min="243" max="16384" style="1" width="8.85546875"/>
  </cols>
  <sheetData>
    <row r="1" ht="9" customHeight="1">
      <c r="Q1" s="15"/>
      <c r="BF1" s="4"/>
      <c r="BH1" s="4"/>
      <c r="CP1" s="9"/>
      <c r="CQ1" s="9"/>
    </row>
    <row r="2" ht="18" customHeight="1">
      <c r="C2" s="3" t="s">
        <v>0</v>
      </c>
      <c r="D2" s="16"/>
      <c r="M2" s="17" t="s">
        <v>1</v>
      </c>
      <c r="O2" s="18"/>
      <c r="AI2" s="17"/>
      <c r="AM2" s="16" t="s">
        <v>2</v>
      </c>
      <c r="AP2" s="19"/>
      <c r="BB2" s="20"/>
      <c r="BC2" s="21"/>
      <c r="BD2" s="22"/>
      <c r="BE2" s="22"/>
      <c r="BF2" s="23"/>
      <c r="BG2" s="23"/>
      <c r="BH2" s="23"/>
      <c r="BI2" s="23"/>
      <c r="BJ2" s="23"/>
      <c r="BW2" s="16" t="s">
        <v>3</v>
      </c>
      <c r="CA2" s="24"/>
      <c r="CB2" s="9" t="s">
        <v>4</v>
      </c>
      <c r="CC2" s="25">
        <v>2025</v>
      </c>
      <c r="CD2" s="26" t="s">
        <v>5</v>
      </c>
      <c r="CG2" s="26"/>
      <c r="CM2" s="27"/>
      <c r="CP2" s="9"/>
      <c r="CQ2" s="27"/>
      <c r="EH2" s="28" t="s">
        <v>6</v>
      </c>
      <c r="EI2" s="28"/>
      <c r="EJ2" s="28"/>
      <c r="EK2" s="28"/>
      <c r="EL2" s="28"/>
      <c r="EM2" s="28"/>
      <c r="EN2" s="28" t="s">
        <v>7</v>
      </c>
      <c r="EO2" s="28"/>
      <c r="EP2" s="28"/>
      <c r="EQ2" s="28"/>
      <c r="ER2" s="28"/>
      <c r="ES2" s="28"/>
      <c r="ET2" s="28" t="s">
        <v>8</v>
      </c>
      <c r="EU2" s="28"/>
      <c r="EV2" s="28"/>
      <c r="EW2" s="28"/>
      <c r="EX2" s="28"/>
      <c r="EY2" s="28"/>
      <c r="EZ2" s="29" t="s">
        <v>9</v>
      </c>
      <c r="FA2" s="30"/>
      <c r="FB2" s="30"/>
      <c r="FC2" s="30"/>
      <c r="FD2" s="30"/>
      <c r="FE2" s="31"/>
      <c r="FF2" s="28" t="s">
        <v>10</v>
      </c>
      <c r="FG2" s="28"/>
      <c r="FH2" s="28"/>
      <c r="FI2" s="28"/>
      <c r="FJ2" s="28"/>
      <c r="FK2" s="28"/>
      <c r="FL2" s="29" t="s">
        <v>11</v>
      </c>
      <c r="FM2" s="30"/>
      <c r="FN2" s="30"/>
      <c r="FO2" s="30"/>
      <c r="FP2" s="30"/>
      <c r="FQ2" s="31"/>
      <c r="FR2" s="28" t="s">
        <v>12</v>
      </c>
      <c r="FS2" s="28"/>
      <c r="FT2" s="28"/>
      <c r="FU2" s="28"/>
      <c r="FV2" s="28"/>
      <c r="FW2" s="28"/>
      <c r="FX2" s="29" t="s">
        <v>13</v>
      </c>
      <c r="FY2" s="30"/>
      <c r="FZ2" s="30"/>
      <c r="GA2" s="30"/>
      <c r="GB2" s="30"/>
      <c r="GC2" s="31"/>
      <c r="GD2" s="28" t="s">
        <v>14</v>
      </c>
      <c r="GE2" s="28"/>
      <c r="GF2" s="28"/>
      <c r="GG2" s="28"/>
      <c r="GH2" s="28"/>
      <c r="GI2" s="28"/>
      <c r="GJ2" s="29" t="s">
        <v>15</v>
      </c>
      <c r="GK2" s="30"/>
      <c r="GL2" s="30"/>
      <c r="GM2" s="30"/>
      <c r="GN2" s="30"/>
      <c r="GO2" s="31"/>
      <c r="GP2" s="29" t="s">
        <v>16</v>
      </c>
      <c r="GQ2" s="30"/>
      <c r="GR2" s="30"/>
      <c r="GS2" s="30"/>
      <c r="GT2" s="30"/>
      <c r="GU2" s="30"/>
      <c r="GV2" s="29" t="s">
        <v>17</v>
      </c>
      <c r="GW2" s="30"/>
      <c r="GX2" s="30"/>
      <c r="GY2" s="30"/>
      <c r="GZ2" s="30"/>
      <c r="HA2" s="31"/>
      <c r="HB2" s="30" t="s">
        <v>18</v>
      </c>
      <c r="HC2" s="30"/>
      <c r="HD2" s="30"/>
      <c r="HE2" s="30"/>
      <c r="HF2" s="30"/>
      <c r="HG2" s="30"/>
      <c r="HH2" s="29" t="s">
        <v>19</v>
      </c>
      <c r="HI2" s="30"/>
      <c r="HJ2" s="30"/>
      <c r="HK2" s="30"/>
      <c r="HL2" s="30"/>
      <c r="HM2" s="31"/>
      <c r="HN2" s="30" t="s">
        <v>20</v>
      </c>
      <c r="HO2" s="30"/>
      <c r="HP2" s="30"/>
      <c r="HQ2" s="30"/>
      <c r="HR2" s="30"/>
      <c r="HS2" s="30"/>
      <c r="HT2" s="30" t="s">
        <v>21</v>
      </c>
      <c r="HU2" s="30"/>
      <c r="HV2" s="30"/>
      <c r="HW2" s="30"/>
      <c r="HX2" s="30"/>
      <c r="HY2" s="30"/>
      <c r="HZ2" s="32" t="s">
        <v>22</v>
      </c>
      <c r="IA2" s="33"/>
      <c r="IB2" s="33"/>
      <c r="IC2" s="33"/>
      <c r="ID2" s="33"/>
      <c r="IE2" s="34"/>
      <c r="IF2" s="35" t="s">
        <v>23</v>
      </c>
      <c r="IG2" s="36"/>
      <c r="IH2" s="36"/>
    </row>
    <row r="3" ht="5.25" customHeight="1">
      <c r="BF3" s="4"/>
      <c r="BH3" s="4"/>
      <c r="BS3" s="16"/>
      <c r="CP3" s="9"/>
      <c r="CQ3" s="9"/>
      <c r="EZ3" s="37"/>
      <c r="FE3" s="38"/>
      <c r="FL3" s="37"/>
      <c r="FQ3" s="38"/>
      <c r="FX3" s="37"/>
      <c r="GC3" s="38"/>
      <c r="GJ3" s="37"/>
      <c r="GO3" s="38"/>
      <c r="GV3" s="37"/>
      <c r="HA3" s="38"/>
      <c r="HH3" s="37"/>
      <c r="HM3" s="38"/>
      <c r="HT3" s="37"/>
      <c r="HZ3" s="39"/>
      <c r="IE3" s="40"/>
      <c r="IF3" s="39"/>
    </row>
    <row r="4" ht="3.75" customHeight="1">
      <c r="AP4" s="19"/>
      <c r="BB4" s="20"/>
      <c r="BC4" s="21"/>
      <c r="BD4" s="22"/>
      <c r="BE4" s="22"/>
      <c r="BF4" s="23"/>
      <c r="BG4" s="23"/>
      <c r="BH4" s="23"/>
      <c r="BI4" s="23"/>
      <c r="BJ4" s="23"/>
      <c r="CP4" s="9"/>
      <c r="CQ4" s="9"/>
      <c r="EZ4" s="37"/>
      <c r="FE4" s="38"/>
      <c r="FL4" s="37"/>
      <c r="FQ4" s="38"/>
      <c r="FX4" s="37"/>
      <c r="GC4" s="38"/>
      <c r="GJ4" s="37"/>
      <c r="GO4" s="38"/>
      <c r="GV4" s="37"/>
      <c r="HA4" s="38"/>
      <c r="HH4" s="37"/>
      <c r="HM4" s="38"/>
      <c r="HT4" s="37"/>
      <c r="HZ4" s="39"/>
      <c r="IE4" s="40"/>
      <c r="IF4" s="39"/>
    </row>
    <row r="5" ht="13.15" customHeight="1">
      <c r="A5" s="41" t="s">
        <v>24</v>
      </c>
      <c r="B5" s="42"/>
      <c r="C5" s="43" t="s">
        <v>25</v>
      </c>
      <c r="D5" s="44"/>
      <c r="E5" s="44"/>
      <c r="F5" s="45"/>
      <c r="G5" s="46"/>
      <c r="H5" s="47"/>
      <c r="I5" s="46"/>
      <c r="J5" s="47"/>
      <c r="K5" s="48"/>
      <c r="L5" s="49"/>
      <c r="M5" s="47"/>
      <c r="N5" s="49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8"/>
      <c r="AD5" s="47"/>
      <c r="AE5" s="48"/>
      <c r="AF5" s="47"/>
      <c r="AG5" s="46"/>
      <c r="AH5" s="47"/>
      <c r="AI5" s="47"/>
      <c r="AJ5" s="47"/>
      <c r="AK5" s="48"/>
      <c r="AL5" s="47"/>
      <c r="AM5" s="48"/>
      <c r="AN5" s="47"/>
      <c r="AO5" s="46"/>
      <c r="AP5" s="47"/>
      <c r="AQ5" s="46"/>
      <c r="AR5" s="47"/>
      <c r="AS5" s="46"/>
      <c r="AT5" s="47"/>
      <c r="AU5" s="50" t="s">
        <v>26</v>
      </c>
      <c r="AV5" s="50"/>
      <c r="AW5" s="51"/>
      <c r="AX5" s="52" t="s">
        <v>27</v>
      </c>
      <c r="AY5" s="52"/>
      <c r="AZ5" s="52" t="s">
        <v>27</v>
      </c>
      <c r="BA5" s="52" t="s">
        <v>27</v>
      </c>
      <c r="BB5" s="53" t="s">
        <v>28</v>
      </c>
      <c r="BC5" s="54" t="s">
        <v>29</v>
      </c>
      <c r="BD5" s="55" t="s">
        <v>30</v>
      </c>
      <c r="BE5" s="56"/>
      <c r="BF5" s="57" t="s">
        <v>31</v>
      </c>
      <c r="BG5" s="58"/>
      <c r="BH5" s="57" t="s">
        <v>32</v>
      </c>
      <c r="BI5" s="58"/>
      <c r="BJ5" s="50" t="s">
        <v>33</v>
      </c>
      <c r="BK5" s="53" t="s">
        <v>34</v>
      </c>
      <c r="BL5" s="59" t="s">
        <v>35</v>
      </c>
      <c r="BM5" s="60" t="s">
        <v>36</v>
      </c>
      <c r="BN5" s="60" t="s">
        <v>37</v>
      </c>
      <c r="BO5" s="61" t="s">
        <v>38</v>
      </c>
      <c r="BP5" s="62" t="s">
        <v>39</v>
      </c>
      <c r="BQ5" s="63"/>
      <c r="BW5" s="64" t="s">
        <v>40</v>
      </c>
      <c r="BX5" s="65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7"/>
      <c r="CT5" s="68" t="s">
        <v>41</v>
      </c>
      <c r="CU5" s="69" t="s">
        <v>42</v>
      </c>
      <c r="CV5" s="70"/>
      <c r="CW5" s="71"/>
      <c r="DA5" s="72" t="s">
        <v>43</v>
      </c>
      <c r="DB5" s="73" t="s">
        <v>44</v>
      </c>
      <c r="DC5" s="73" t="s">
        <v>45</v>
      </c>
      <c r="DD5" s="74" t="s">
        <v>46</v>
      </c>
      <c r="DE5" s="75" t="s">
        <v>46</v>
      </c>
      <c r="DF5" s="75" t="s">
        <v>46</v>
      </c>
      <c r="DJ5" s="76" t="s">
        <v>47</v>
      </c>
      <c r="EH5" s="57" t="s">
        <v>31</v>
      </c>
      <c r="EI5" s="77"/>
      <c r="EJ5" s="58"/>
      <c r="EK5" s="57" t="s">
        <v>32</v>
      </c>
      <c r="EL5" s="77"/>
      <c r="EM5" s="58"/>
      <c r="EN5" s="78" t="s">
        <v>31</v>
      </c>
      <c r="EO5" s="79"/>
      <c r="EP5" s="80"/>
      <c r="EQ5" s="78" t="s">
        <v>32</v>
      </c>
      <c r="ER5" s="79"/>
      <c r="ES5" s="80"/>
      <c r="ET5" s="77" t="s">
        <v>31</v>
      </c>
      <c r="EU5" s="77"/>
      <c r="EV5" s="58"/>
      <c r="EW5" s="57" t="s">
        <v>32</v>
      </c>
      <c r="EX5" s="77"/>
      <c r="EY5" s="77"/>
      <c r="EZ5" s="57" t="s">
        <v>31</v>
      </c>
      <c r="FA5" s="77"/>
      <c r="FB5" s="58"/>
      <c r="FC5" s="57" t="s">
        <v>32</v>
      </c>
      <c r="FD5" s="77"/>
      <c r="FE5" s="58"/>
      <c r="FF5" s="77" t="s">
        <v>31</v>
      </c>
      <c r="FG5" s="77"/>
      <c r="FH5" s="58"/>
      <c r="FI5" s="57" t="s">
        <v>32</v>
      </c>
      <c r="FJ5" s="77"/>
      <c r="FK5" s="77"/>
      <c r="FL5" s="57" t="s">
        <v>31</v>
      </c>
      <c r="FM5" s="77"/>
      <c r="FN5" s="58"/>
      <c r="FO5" s="57" t="s">
        <v>32</v>
      </c>
      <c r="FP5" s="77"/>
      <c r="FQ5" s="58"/>
      <c r="FR5" s="77" t="s">
        <v>31</v>
      </c>
      <c r="FS5" s="77"/>
      <c r="FT5" s="58"/>
      <c r="FU5" s="57" t="s">
        <v>32</v>
      </c>
      <c r="FV5" s="77"/>
      <c r="FW5" s="77"/>
      <c r="FX5" s="57" t="s">
        <v>31</v>
      </c>
      <c r="FY5" s="77"/>
      <c r="FZ5" s="58"/>
      <c r="GA5" s="57" t="s">
        <v>32</v>
      </c>
      <c r="GB5" s="77"/>
      <c r="GC5" s="58"/>
      <c r="GD5" s="77" t="s">
        <v>31</v>
      </c>
      <c r="GE5" s="77"/>
      <c r="GF5" s="58"/>
      <c r="GG5" s="57" t="s">
        <v>32</v>
      </c>
      <c r="GH5" s="77"/>
      <c r="GI5" s="77"/>
      <c r="GJ5" s="57" t="s">
        <v>31</v>
      </c>
      <c r="GK5" s="77"/>
      <c r="GL5" s="58"/>
      <c r="GM5" s="57" t="s">
        <v>32</v>
      </c>
      <c r="GN5" s="77"/>
      <c r="GO5" s="58"/>
      <c r="GP5" s="77" t="s">
        <v>31</v>
      </c>
      <c r="GQ5" s="77"/>
      <c r="GR5" s="58"/>
      <c r="GS5" s="57" t="s">
        <v>32</v>
      </c>
      <c r="GT5" s="77"/>
      <c r="GU5" s="77"/>
      <c r="GV5" s="57" t="s">
        <v>31</v>
      </c>
      <c r="GW5" s="77"/>
      <c r="GX5" s="58"/>
      <c r="GY5" s="57" t="s">
        <v>32</v>
      </c>
      <c r="GZ5" s="77"/>
      <c r="HA5" s="58"/>
      <c r="HB5" s="77" t="s">
        <v>31</v>
      </c>
      <c r="HC5" s="77"/>
      <c r="HD5" s="58"/>
      <c r="HE5" s="57" t="s">
        <v>32</v>
      </c>
      <c r="HF5" s="77"/>
      <c r="HG5" s="77"/>
      <c r="HH5" s="57" t="s">
        <v>31</v>
      </c>
      <c r="HI5" s="77"/>
      <c r="HJ5" s="58"/>
      <c r="HK5" s="57" t="s">
        <v>32</v>
      </c>
      <c r="HL5" s="77"/>
      <c r="HM5" s="58"/>
      <c r="HN5" s="77" t="s">
        <v>31</v>
      </c>
      <c r="HO5" s="77"/>
      <c r="HP5" s="58"/>
      <c r="HQ5" s="57" t="s">
        <v>32</v>
      </c>
      <c r="HR5" s="77"/>
      <c r="HS5" s="77"/>
      <c r="HT5" s="57" t="s">
        <v>31</v>
      </c>
      <c r="HU5" s="77"/>
      <c r="HV5" s="58"/>
      <c r="HW5" s="57" t="s">
        <v>32</v>
      </c>
      <c r="HX5" s="77"/>
      <c r="HY5" s="77"/>
      <c r="HZ5" s="81" t="s">
        <v>31</v>
      </c>
      <c r="IA5" s="77"/>
      <c r="IB5" s="58"/>
      <c r="IC5" s="57" t="s">
        <v>32</v>
      </c>
      <c r="ID5" s="77"/>
      <c r="IE5" s="82"/>
      <c r="IF5" s="77" t="s">
        <v>48</v>
      </c>
      <c r="IG5" s="77"/>
      <c r="IH5" s="58"/>
    </row>
    <row r="6" ht="15.75" customHeight="1">
      <c r="A6" s="83"/>
      <c r="B6" s="84"/>
      <c r="C6" s="85"/>
      <c r="D6" s="86"/>
      <c r="E6" s="87"/>
      <c r="F6" s="88"/>
      <c r="G6" s="89"/>
      <c r="H6" s="90"/>
      <c r="I6" s="89"/>
      <c r="J6" s="90"/>
      <c r="K6" s="91"/>
      <c r="L6" s="90"/>
      <c r="M6" s="92"/>
      <c r="N6" s="90"/>
      <c r="O6" s="91"/>
      <c r="P6" s="90"/>
      <c r="Q6" s="93" t="s">
        <v>49</v>
      </c>
      <c r="R6" s="90"/>
      <c r="S6" s="93"/>
      <c r="T6" s="90"/>
      <c r="U6" s="93"/>
      <c r="V6" s="90"/>
      <c r="W6" s="93"/>
      <c r="X6" s="90"/>
      <c r="Y6" s="94"/>
      <c r="Z6" s="90"/>
      <c r="AA6" s="93"/>
      <c r="AB6" s="90"/>
      <c r="AC6" s="93"/>
      <c r="AD6" s="90"/>
      <c r="AE6" s="91"/>
      <c r="AF6" s="90"/>
      <c r="AG6" s="89" t="s">
        <v>50</v>
      </c>
      <c r="AH6" s="90"/>
      <c r="AI6" s="92"/>
      <c r="AJ6" s="95"/>
      <c r="AK6" s="93" t="s">
        <v>51</v>
      </c>
      <c r="AL6" s="90"/>
      <c r="AM6" s="91"/>
      <c r="AN6" s="96"/>
      <c r="AO6" s="97" t="s">
        <v>52</v>
      </c>
      <c r="AP6" s="96"/>
      <c r="AQ6" s="98"/>
      <c r="AR6" s="96"/>
      <c r="AS6" s="99" t="s">
        <v>53</v>
      </c>
      <c r="AT6" s="90"/>
      <c r="AU6" s="94" t="s">
        <v>54</v>
      </c>
      <c r="AV6" s="94"/>
      <c r="AW6" s="100"/>
      <c r="AX6" s="101" t="s">
        <v>55</v>
      </c>
      <c r="AY6" s="102" t="s">
        <v>55</v>
      </c>
      <c r="AZ6" s="102" t="s">
        <v>55</v>
      </c>
      <c r="BA6" s="102" t="s">
        <v>55</v>
      </c>
      <c r="BB6" s="103"/>
      <c r="BC6" s="104"/>
      <c r="BD6" s="105" t="s">
        <v>56</v>
      </c>
      <c r="BE6" s="106" t="s">
        <v>57</v>
      </c>
      <c r="BF6" s="107"/>
      <c r="BG6" s="108"/>
      <c r="BH6" s="107"/>
      <c r="BI6" s="108"/>
      <c r="BJ6" s="94" t="s">
        <v>58</v>
      </c>
      <c r="BK6" s="103"/>
      <c r="BL6" s="109"/>
      <c r="BM6" s="110"/>
      <c r="BN6" s="110"/>
      <c r="BO6" s="88" t="s">
        <v>59</v>
      </c>
      <c r="BP6" s="86" t="s">
        <v>60</v>
      </c>
      <c r="BQ6" s="111" t="s">
        <v>61</v>
      </c>
      <c r="BW6" s="112"/>
      <c r="BX6" s="113"/>
      <c r="BY6" s="114"/>
      <c r="BZ6" s="114"/>
      <c r="CA6" s="114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  <c r="CM6" s="114"/>
      <c r="CN6" s="114" t="s">
        <v>62</v>
      </c>
      <c r="CO6" s="115" t="s">
        <v>62</v>
      </c>
      <c r="CP6" s="116"/>
      <c r="CQ6" s="117" t="s">
        <v>52</v>
      </c>
      <c r="CR6" s="113" t="s">
        <v>63</v>
      </c>
      <c r="CS6" s="118" t="s">
        <v>53</v>
      </c>
      <c r="CT6" s="119"/>
      <c r="CU6" s="120"/>
      <c r="CV6" s="121"/>
      <c r="CW6" s="122"/>
      <c r="DA6" s="123"/>
      <c r="DB6" s="124"/>
      <c r="DC6" s="124"/>
      <c r="DD6" s="125"/>
      <c r="DE6" s="126"/>
      <c r="DF6" s="126"/>
      <c r="DJ6" s="127"/>
      <c r="EF6" s="128" t="s">
        <v>64</v>
      </c>
      <c r="EG6" s="129"/>
      <c r="EH6" s="107"/>
      <c r="EI6" s="130"/>
      <c r="EJ6" s="108"/>
      <c r="EK6" s="107"/>
      <c r="EL6" s="130"/>
      <c r="EM6" s="108"/>
      <c r="EN6" s="107"/>
      <c r="EO6" s="130"/>
      <c r="EP6" s="108"/>
      <c r="EQ6" s="107"/>
      <c r="ER6" s="130"/>
      <c r="ES6" s="108"/>
      <c r="ET6" s="130"/>
      <c r="EU6" s="130"/>
      <c r="EV6" s="108"/>
      <c r="EW6" s="107"/>
      <c r="EX6" s="130"/>
      <c r="EY6" s="130"/>
      <c r="EZ6" s="107"/>
      <c r="FA6" s="130"/>
      <c r="FB6" s="108"/>
      <c r="FC6" s="107"/>
      <c r="FD6" s="130"/>
      <c r="FE6" s="108"/>
      <c r="FF6" s="130"/>
      <c r="FG6" s="130"/>
      <c r="FH6" s="108"/>
      <c r="FI6" s="107"/>
      <c r="FJ6" s="130"/>
      <c r="FK6" s="130"/>
      <c r="FL6" s="107"/>
      <c r="FM6" s="130"/>
      <c r="FN6" s="108"/>
      <c r="FO6" s="107"/>
      <c r="FP6" s="130"/>
      <c r="FQ6" s="108"/>
      <c r="FR6" s="130"/>
      <c r="FS6" s="130"/>
      <c r="FT6" s="108"/>
      <c r="FU6" s="107"/>
      <c r="FV6" s="130"/>
      <c r="FW6" s="130"/>
      <c r="FX6" s="107"/>
      <c r="FY6" s="130"/>
      <c r="FZ6" s="108"/>
      <c r="GA6" s="107"/>
      <c r="GB6" s="130"/>
      <c r="GC6" s="108"/>
      <c r="GD6" s="130"/>
      <c r="GE6" s="130"/>
      <c r="GF6" s="108"/>
      <c r="GG6" s="107"/>
      <c r="GH6" s="130"/>
      <c r="GI6" s="130"/>
      <c r="GJ6" s="107"/>
      <c r="GK6" s="130"/>
      <c r="GL6" s="108"/>
      <c r="GM6" s="107"/>
      <c r="GN6" s="130"/>
      <c r="GO6" s="108"/>
      <c r="GP6" s="130"/>
      <c r="GQ6" s="130"/>
      <c r="GR6" s="108"/>
      <c r="GS6" s="107"/>
      <c r="GT6" s="130"/>
      <c r="GU6" s="130"/>
      <c r="GV6" s="107"/>
      <c r="GW6" s="130"/>
      <c r="GX6" s="108"/>
      <c r="GY6" s="107"/>
      <c r="GZ6" s="130"/>
      <c r="HA6" s="108"/>
      <c r="HB6" s="130"/>
      <c r="HC6" s="130"/>
      <c r="HD6" s="108"/>
      <c r="HE6" s="107"/>
      <c r="HF6" s="130"/>
      <c r="HG6" s="130"/>
      <c r="HH6" s="107"/>
      <c r="HI6" s="130"/>
      <c r="HJ6" s="108"/>
      <c r="HK6" s="107"/>
      <c r="HL6" s="130"/>
      <c r="HM6" s="108"/>
      <c r="HN6" s="130"/>
      <c r="HO6" s="130"/>
      <c r="HP6" s="108"/>
      <c r="HQ6" s="107"/>
      <c r="HR6" s="130"/>
      <c r="HS6" s="130"/>
      <c r="HT6" s="107"/>
      <c r="HU6" s="130"/>
      <c r="HV6" s="108"/>
      <c r="HW6" s="107"/>
      <c r="HX6" s="130"/>
      <c r="HY6" s="130"/>
      <c r="HZ6" s="131"/>
      <c r="IA6" s="130"/>
      <c r="IB6" s="108"/>
      <c r="IC6" s="107"/>
      <c r="ID6" s="130"/>
      <c r="IE6" s="132"/>
      <c r="IF6" s="130"/>
      <c r="IG6" s="130"/>
      <c r="IH6" s="108"/>
    </row>
    <row r="7" ht="24" customHeight="1">
      <c r="A7" s="83"/>
      <c r="B7" s="133"/>
      <c r="C7" s="134" t="s">
        <v>65</v>
      </c>
      <c r="D7" s="135" t="s">
        <v>66</v>
      </c>
      <c r="E7" s="136"/>
      <c r="F7" s="88"/>
      <c r="G7" s="98" t="s">
        <v>67</v>
      </c>
      <c r="H7" s="137"/>
      <c r="I7" s="138" t="s">
        <v>68</v>
      </c>
      <c r="J7" s="90"/>
      <c r="K7" s="93" t="s">
        <v>69</v>
      </c>
      <c r="L7" s="90"/>
      <c r="M7" s="139" t="s">
        <v>70</v>
      </c>
      <c r="N7" s="90"/>
      <c r="O7" s="93" t="s">
        <v>71</v>
      </c>
      <c r="P7" s="90"/>
      <c r="Q7" s="98" t="s">
        <v>72</v>
      </c>
      <c r="R7" s="90"/>
      <c r="S7" s="93" t="s">
        <v>73</v>
      </c>
      <c r="T7" s="90"/>
      <c r="U7" s="93" t="s">
        <v>74</v>
      </c>
      <c r="V7" s="90"/>
      <c r="W7" s="93" t="s">
        <v>75</v>
      </c>
      <c r="X7" s="90"/>
      <c r="Y7" s="94" t="s">
        <v>76</v>
      </c>
      <c r="Z7" s="90"/>
      <c r="AA7" s="93" t="s">
        <v>77</v>
      </c>
      <c r="AB7" s="90"/>
      <c r="AC7" s="93" t="s">
        <v>78</v>
      </c>
      <c r="AD7" s="90"/>
      <c r="AE7" s="93" t="s">
        <v>79</v>
      </c>
      <c r="AF7" s="90"/>
      <c r="AG7" s="98" t="s">
        <v>80</v>
      </c>
      <c r="AH7" s="90"/>
      <c r="AI7" s="94" t="s">
        <v>81</v>
      </c>
      <c r="AJ7" s="137"/>
      <c r="AK7" s="93" t="s">
        <v>82</v>
      </c>
      <c r="AL7" s="90"/>
      <c r="AM7" s="93" t="s">
        <v>62</v>
      </c>
      <c r="AN7" s="88"/>
      <c r="AO7" s="97" t="s">
        <v>83</v>
      </c>
      <c r="AP7" s="88"/>
      <c r="AQ7" s="98" t="s">
        <v>84</v>
      </c>
      <c r="AR7" s="88"/>
      <c r="AS7" s="98"/>
      <c r="AT7" s="88"/>
      <c r="AU7" s="110" t="s">
        <v>85</v>
      </c>
      <c r="AV7" s="94"/>
      <c r="AW7" s="140" t="s">
        <v>86</v>
      </c>
      <c r="AX7" s="141" t="s">
        <v>87</v>
      </c>
      <c r="AY7" s="142" t="s">
        <v>88</v>
      </c>
      <c r="AZ7" s="142" t="s">
        <v>88</v>
      </c>
      <c r="BA7" s="142" t="s">
        <v>88</v>
      </c>
      <c r="BB7" s="103"/>
      <c r="BC7" s="104"/>
      <c r="BD7" s="105"/>
      <c r="BE7" s="106" t="s">
        <v>89</v>
      </c>
      <c r="BF7" s="143" t="s">
        <v>90</v>
      </c>
      <c r="BG7" s="143" t="s">
        <v>91</v>
      </c>
      <c r="BH7" s="94" t="s">
        <v>92</v>
      </c>
      <c r="BI7" s="144" t="s">
        <v>93</v>
      </c>
      <c r="BJ7" s="94"/>
      <c r="BK7" s="103"/>
      <c r="BL7" s="109"/>
      <c r="BM7" s="110"/>
      <c r="BN7" s="110"/>
      <c r="BO7" s="145" t="s">
        <v>94</v>
      </c>
      <c r="BP7" s="146" t="s">
        <v>95</v>
      </c>
      <c r="BQ7" s="147"/>
      <c r="BW7" s="112" t="s">
        <v>96</v>
      </c>
      <c r="BX7" s="113" t="s">
        <v>67</v>
      </c>
      <c r="BY7" s="148" t="s">
        <v>68</v>
      </c>
      <c r="BZ7" s="114" t="s">
        <v>69</v>
      </c>
      <c r="CA7" s="114" t="s">
        <v>70</v>
      </c>
      <c r="CB7" s="114" t="s">
        <v>97</v>
      </c>
      <c r="CC7" s="114" t="s">
        <v>98</v>
      </c>
      <c r="CD7" s="114" t="s">
        <v>99</v>
      </c>
      <c r="CE7" s="114" t="s">
        <v>73</v>
      </c>
      <c r="CF7" s="114" t="s">
        <v>74</v>
      </c>
      <c r="CG7" s="114" t="s">
        <v>75</v>
      </c>
      <c r="CH7" s="114" t="s">
        <v>76</v>
      </c>
      <c r="CI7" s="114" t="s">
        <v>77</v>
      </c>
      <c r="CJ7" s="114" t="s">
        <v>78</v>
      </c>
      <c r="CK7" s="114" t="s">
        <v>79</v>
      </c>
      <c r="CL7" s="114" t="s">
        <v>50</v>
      </c>
      <c r="CM7" s="114" t="s">
        <v>81</v>
      </c>
      <c r="CN7" s="114" t="s">
        <v>82</v>
      </c>
      <c r="CO7" s="115" t="s">
        <v>100</v>
      </c>
      <c r="CP7" s="114"/>
      <c r="CQ7" s="113" t="s">
        <v>83</v>
      </c>
      <c r="CR7" s="113" t="s">
        <v>101</v>
      </c>
      <c r="CS7" s="118"/>
      <c r="CT7" s="119"/>
      <c r="CU7" s="120"/>
      <c r="CV7" s="149" t="s">
        <v>65</v>
      </c>
      <c r="CW7" s="122"/>
      <c r="DA7" s="123"/>
      <c r="DB7" s="124"/>
      <c r="DC7" s="124"/>
      <c r="DD7" s="125"/>
      <c r="DE7" s="126"/>
      <c r="DF7" s="126"/>
      <c r="DJ7" s="127"/>
      <c r="EF7" s="128"/>
      <c r="EG7" s="129"/>
      <c r="EH7" s="150" t="s">
        <v>102</v>
      </c>
      <c r="EI7" s="151" t="s">
        <v>103</v>
      </c>
      <c r="EJ7" s="151" t="s">
        <v>104</v>
      </c>
      <c r="EK7" s="150" t="s">
        <v>102</v>
      </c>
      <c r="EL7" s="151" t="s">
        <v>103</v>
      </c>
      <c r="EM7" s="151" t="s">
        <v>104</v>
      </c>
      <c r="EN7" s="150" t="s">
        <v>102</v>
      </c>
      <c r="EO7" s="151" t="s">
        <v>103</v>
      </c>
      <c r="EP7" s="151" t="s">
        <v>104</v>
      </c>
      <c r="EQ7" s="150" t="s">
        <v>102</v>
      </c>
      <c r="ER7" s="151" t="s">
        <v>103</v>
      </c>
      <c r="ES7" s="151" t="s">
        <v>104</v>
      </c>
      <c r="ET7" s="150" t="s">
        <v>102</v>
      </c>
      <c r="EU7" s="151" t="s">
        <v>103</v>
      </c>
      <c r="EV7" s="151" t="s">
        <v>104</v>
      </c>
      <c r="EW7" s="150" t="s">
        <v>102</v>
      </c>
      <c r="EX7" s="151" t="s">
        <v>103</v>
      </c>
      <c r="EY7" s="151" t="s">
        <v>104</v>
      </c>
      <c r="EZ7" s="151" t="s">
        <v>102</v>
      </c>
      <c r="FA7" s="151" t="s">
        <v>103</v>
      </c>
      <c r="FB7" s="151" t="s">
        <v>104</v>
      </c>
      <c r="FC7" s="151" t="s">
        <v>102</v>
      </c>
      <c r="FD7" s="151" t="s">
        <v>103</v>
      </c>
      <c r="FE7" s="151" t="s">
        <v>104</v>
      </c>
      <c r="FF7" s="150" t="s">
        <v>102</v>
      </c>
      <c r="FG7" s="151" t="s">
        <v>103</v>
      </c>
      <c r="FH7" s="151" t="s">
        <v>104</v>
      </c>
      <c r="FI7" s="150" t="s">
        <v>102</v>
      </c>
      <c r="FJ7" s="151" t="s">
        <v>103</v>
      </c>
      <c r="FK7" s="151" t="s">
        <v>104</v>
      </c>
      <c r="FL7" s="150" t="s">
        <v>102</v>
      </c>
      <c r="FM7" s="151" t="s">
        <v>103</v>
      </c>
      <c r="FN7" s="151" t="s">
        <v>104</v>
      </c>
      <c r="FO7" s="150" t="s">
        <v>102</v>
      </c>
      <c r="FP7" s="151" t="s">
        <v>103</v>
      </c>
      <c r="FQ7" s="151" t="s">
        <v>104</v>
      </c>
      <c r="FR7" s="150" t="s">
        <v>102</v>
      </c>
      <c r="FS7" s="151" t="s">
        <v>103</v>
      </c>
      <c r="FT7" s="151" t="s">
        <v>104</v>
      </c>
      <c r="FU7" s="150" t="s">
        <v>102</v>
      </c>
      <c r="FV7" s="151" t="s">
        <v>103</v>
      </c>
      <c r="FW7" s="151" t="s">
        <v>104</v>
      </c>
      <c r="FX7" s="150" t="s">
        <v>102</v>
      </c>
      <c r="FY7" s="151" t="s">
        <v>103</v>
      </c>
      <c r="FZ7" s="151" t="s">
        <v>104</v>
      </c>
      <c r="GA7" s="150" t="s">
        <v>102</v>
      </c>
      <c r="GB7" s="151" t="s">
        <v>103</v>
      </c>
      <c r="GC7" s="151" t="s">
        <v>104</v>
      </c>
      <c r="GD7" s="150" t="s">
        <v>102</v>
      </c>
      <c r="GE7" s="151" t="s">
        <v>103</v>
      </c>
      <c r="GF7" s="151" t="s">
        <v>104</v>
      </c>
      <c r="GG7" s="150" t="s">
        <v>102</v>
      </c>
      <c r="GH7" s="151" t="s">
        <v>103</v>
      </c>
      <c r="GI7" s="151" t="s">
        <v>104</v>
      </c>
      <c r="GJ7" s="150" t="s">
        <v>102</v>
      </c>
      <c r="GK7" s="151" t="s">
        <v>103</v>
      </c>
      <c r="GL7" s="151" t="s">
        <v>104</v>
      </c>
      <c r="GM7" s="150" t="s">
        <v>102</v>
      </c>
      <c r="GN7" s="151" t="s">
        <v>103</v>
      </c>
      <c r="GO7" s="151" t="s">
        <v>104</v>
      </c>
      <c r="GP7" s="150" t="s">
        <v>102</v>
      </c>
      <c r="GQ7" s="151" t="s">
        <v>103</v>
      </c>
      <c r="GR7" s="151" t="s">
        <v>104</v>
      </c>
      <c r="GS7" s="150" t="s">
        <v>102</v>
      </c>
      <c r="GT7" s="151" t="s">
        <v>103</v>
      </c>
      <c r="GU7" s="151" t="s">
        <v>104</v>
      </c>
      <c r="GV7" s="150" t="s">
        <v>102</v>
      </c>
      <c r="GW7" s="151" t="s">
        <v>103</v>
      </c>
      <c r="GX7" s="151" t="s">
        <v>104</v>
      </c>
      <c r="GY7" s="150" t="s">
        <v>102</v>
      </c>
      <c r="GZ7" s="151" t="s">
        <v>103</v>
      </c>
      <c r="HA7" s="151" t="s">
        <v>104</v>
      </c>
      <c r="HB7" s="150" t="s">
        <v>102</v>
      </c>
      <c r="HC7" s="151" t="s">
        <v>103</v>
      </c>
      <c r="HD7" s="151" t="s">
        <v>104</v>
      </c>
      <c r="HE7" s="150" t="s">
        <v>102</v>
      </c>
      <c r="HF7" s="151" t="s">
        <v>103</v>
      </c>
      <c r="HG7" s="151" t="s">
        <v>104</v>
      </c>
      <c r="HH7" s="150" t="s">
        <v>102</v>
      </c>
      <c r="HI7" s="151" t="s">
        <v>103</v>
      </c>
      <c r="HJ7" s="151" t="s">
        <v>104</v>
      </c>
      <c r="HK7" s="150" t="s">
        <v>102</v>
      </c>
      <c r="HL7" s="151" t="s">
        <v>103</v>
      </c>
      <c r="HM7" s="151" t="s">
        <v>104</v>
      </c>
      <c r="HN7" s="150" t="s">
        <v>102</v>
      </c>
      <c r="HO7" s="151" t="s">
        <v>103</v>
      </c>
      <c r="HP7" s="151" t="s">
        <v>104</v>
      </c>
      <c r="HQ7" s="150" t="s">
        <v>102</v>
      </c>
      <c r="HR7" s="151" t="s">
        <v>103</v>
      </c>
      <c r="HS7" s="151" t="s">
        <v>104</v>
      </c>
      <c r="HT7" s="150" t="s">
        <v>102</v>
      </c>
      <c r="HU7" s="151" t="s">
        <v>103</v>
      </c>
      <c r="HV7" s="151" t="s">
        <v>104</v>
      </c>
      <c r="HW7" s="150" t="s">
        <v>102</v>
      </c>
      <c r="HX7" s="151" t="s">
        <v>103</v>
      </c>
      <c r="HY7" s="152" t="s">
        <v>104</v>
      </c>
      <c r="HZ7" s="153" t="s">
        <v>102</v>
      </c>
      <c r="IA7" s="151" t="s">
        <v>103</v>
      </c>
      <c r="IB7" s="151" t="s">
        <v>104</v>
      </c>
      <c r="IC7" s="150" t="s">
        <v>102</v>
      </c>
      <c r="ID7" s="151" t="s">
        <v>103</v>
      </c>
      <c r="IE7" s="154" t="s">
        <v>104</v>
      </c>
      <c r="IF7" s="150" t="s">
        <v>102</v>
      </c>
      <c r="IG7" s="151" t="s">
        <v>103</v>
      </c>
      <c r="IH7" s="151" t="s">
        <v>104</v>
      </c>
    </row>
    <row r="8" ht="45" customHeight="1">
      <c r="A8" s="155"/>
      <c r="B8" s="156"/>
      <c r="C8" s="157"/>
      <c r="D8" s="158" t="s">
        <v>105</v>
      </c>
      <c r="E8" s="159" t="s">
        <v>106</v>
      </c>
      <c r="F8" s="160" t="s">
        <v>107</v>
      </c>
      <c r="G8" s="161" t="s">
        <v>108</v>
      </c>
      <c r="H8" s="162" t="s">
        <v>107</v>
      </c>
      <c r="I8" s="163" t="s">
        <v>108</v>
      </c>
      <c r="J8" s="164" t="s">
        <v>107</v>
      </c>
      <c r="K8" s="158" t="s">
        <v>108</v>
      </c>
      <c r="L8" s="164" t="s">
        <v>107</v>
      </c>
      <c r="M8" s="165" t="s">
        <v>108</v>
      </c>
      <c r="N8" s="164" t="s">
        <v>107</v>
      </c>
      <c r="O8" s="158" t="s">
        <v>108</v>
      </c>
      <c r="P8" s="164" t="s">
        <v>107</v>
      </c>
      <c r="Q8" s="158" t="s">
        <v>108</v>
      </c>
      <c r="R8" s="164" t="s">
        <v>107</v>
      </c>
      <c r="S8" s="158" t="s">
        <v>108</v>
      </c>
      <c r="T8" s="164" t="s">
        <v>107</v>
      </c>
      <c r="U8" s="158" t="s">
        <v>108</v>
      </c>
      <c r="V8" s="164" t="s">
        <v>107</v>
      </c>
      <c r="W8" s="158" t="s">
        <v>108</v>
      </c>
      <c r="X8" s="164" t="s">
        <v>107</v>
      </c>
      <c r="Y8" s="165" t="s">
        <v>108</v>
      </c>
      <c r="Z8" s="164" t="s">
        <v>107</v>
      </c>
      <c r="AA8" s="158" t="s">
        <v>108</v>
      </c>
      <c r="AB8" s="164" t="s">
        <v>107</v>
      </c>
      <c r="AC8" s="158" t="s">
        <v>109</v>
      </c>
      <c r="AD8" s="164" t="s">
        <v>107</v>
      </c>
      <c r="AE8" s="158" t="s">
        <v>110</v>
      </c>
      <c r="AF8" s="164" t="s">
        <v>107</v>
      </c>
      <c r="AG8" s="161" t="s">
        <v>108</v>
      </c>
      <c r="AH8" s="164" t="s">
        <v>107</v>
      </c>
      <c r="AI8" s="165" t="s">
        <v>108</v>
      </c>
      <c r="AJ8" s="166" t="s">
        <v>107</v>
      </c>
      <c r="AK8" s="158" t="s">
        <v>108</v>
      </c>
      <c r="AL8" s="164" t="s">
        <v>107</v>
      </c>
      <c r="AM8" s="158" t="s">
        <v>100</v>
      </c>
      <c r="AN8" s="160" t="s">
        <v>107</v>
      </c>
      <c r="AO8" s="167" t="s">
        <v>108</v>
      </c>
      <c r="AP8" s="160" t="s">
        <v>107</v>
      </c>
      <c r="AQ8" s="161"/>
      <c r="AR8" s="160" t="s">
        <v>107</v>
      </c>
      <c r="AS8" s="163" t="s">
        <v>108</v>
      </c>
      <c r="AT8" s="168" t="s">
        <v>107</v>
      </c>
      <c r="AU8" s="165"/>
      <c r="AV8" s="169" t="s">
        <v>111</v>
      </c>
      <c r="AW8" s="170" t="s">
        <v>112</v>
      </c>
      <c r="AX8" s="171" t="s">
        <v>113</v>
      </c>
      <c r="AY8" s="172"/>
      <c r="AZ8" s="172" t="s">
        <v>114</v>
      </c>
      <c r="BA8" s="172" t="s">
        <v>115</v>
      </c>
      <c r="BB8" s="173" t="s">
        <v>116</v>
      </c>
      <c r="BC8" s="174"/>
      <c r="BD8" s="175"/>
      <c r="BE8" s="176"/>
      <c r="BF8" s="177"/>
      <c r="BG8" s="177"/>
      <c r="BH8" s="178" t="s">
        <v>117</v>
      </c>
      <c r="BI8" s="179"/>
      <c r="BJ8" s="180" t="s">
        <v>118</v>
      </c>
      <c r="BK8" s="173" t="s">
        <v>119</v>
      </c>
      <c r="BL8" s="181" t="s">
        <v>120</v>
      </c>
      <c r="BM8" s="179"/>
      <c r="BN8" s="179"/>
      <c r="BO8" s="182"/>
      <c r="BP8" s="183" t="s">
        <v>121</v>
      </c>
      <c r="BQ8" s="184" t="s">
        <v>122</v>
      </c>
      <c r="BW8" s="185" t="s">
        <v>123</v>
      </c>
      <c r="BX8" s="186" t="s">
        <v>108</v>
      </c>
      <c r="BY8" s="187" t="s">
        <v>108</v>
      </c>
      <c r="BZ8" s="187" t="s">
        <v>108</v>
      </c>
      <c r="CA8" s="187" t="s">
        <v>108</v>
      </c>
      <c r="CB8" s="187" t="s">
        <v>108</v>
      </c>
      <c r="CC8" s="187" t="s">
        <v>108</v>
      </c>
      <c r="CD8" s="187" t="s">
        <v>108</v>
      </c>
      <c r="CE8" s="187" t="s">
        <v>108</v>
      </c>
      <c r="CF8" s="187" t="s">
        <v>108</v>
      </c>
      <c r="CG8" s="187" t="s">
        <v>108</v>
      </c>
      <c r="CH8" s="187" t="s">
        <v>108</v>
      </c>
      <c r="CI8" s="187" t="s">
        <v>108</v>
      </c>
      <c r="CJ8" s="187" t="s">
        <v>109</v>
      </c>
      <c r="CK8" s="187" t="s">
        <v>110</v>
      </c>
      <c r="CL8" s="187" t="s">
        <v>108</v>
      </c>
      <c r="CM8" s="187" t="s">
        <v>108</v>
      </c>
      <c r="CN8" s="187" t="s">
        <v>108</v>
      </c>
      <c r="CO8" s="188" t="s">
        <v>124</v>
      </c>
      <c r="CP8" s="189" t="s">
        <v>107</v>
      </c>
      <c r="CQ8" s="186" t="s">
        <v>108</v>
      </c>
      <c r="CR8" s="186" t="s">
        <v>108</v>
      </c>
      <c r="CS8" s="190" t="s">
        <v>108</v>
      </c>
      <c r="CT8" s="191"/>
      <c r="CU8" s="192"/>
      <c r="CV8" s="193" t="s">
        <v>125</v>
      </c>
      <c r="CW8" s="122"/>
      <c r="DA8" s="194" t="s">
        <v>126</v>
      </c>
      <c r="DB8" s="195" t="s">
        <v>127</v>
      </c>
      <c r="DC8" s="195" t="s">
        <v>128</v>
      </c>
      <c r="DD8" s="196" t="s">
        <v>126</v>
      </c>
      <c r="DE8" s="197" t="s">
        <v>127</v>
      </c>
      <c r="DF8" s="197" t="s">
        <v>128</v>
      </c>
      <c r="DJ8" s="127"/>
      <c r="DK8" s="1" t="s">
        <v>129</v>
      </c>
      <c r="EH8" s="198" t="s">
        <v>130</v>
      </c>
      <c r="EI8" s="199" t="s">
        <v>131</v>
      </c>
      <c r="EJ8" s="199" t="s">
        <v>132</v>
      </c>
      <c r="EK8" s="198" t="s">
        <v>130</v>
      </c>
      <c r="EL8" s="199" t="s">
        <v>131</v>
      </c>
      <c r="EM8" s="199" t="s">
        <v>132</v>
      </c>
      <c r="EN8" s="198" t="s">
        <v>130</v>
      </c>
      <c r="EO8" s="199" t="s">
        <v>131</v>
      </c>
      <c r="EP8" s="199" t="s">
        <v>132</v>
      </c>
      <c r="EQ8" s="198" t="s">
        <v>130</v>
      </c>
      <c r="ER8" s="199" t="s">
        <v>131</v>
      </c>
      <c r="ES8" s="199" t="s">
        <v>132</v>
      </c>
      <c r="ET8" s="198" t="s">
        <v>130</v>
      </c>
      <c r="EU8" s="199" t="s">
        <v>131</v>
      </c>
      <c r="EV8" s="199" t="s">
        <v>132</v>
      </c>
      <c r="EW8" s="198" t="s">
        <v>130</v>
      </c>
      <c r="EX8" s="199" t="s">
        <v>131</v>
      </c>
      <c r="EY8" s="199" t="s">
        <v>132</v>
      </c>
      <c r="EZ8" s="199" t="s">
        <v>130</v>
      </c>
      <c r="FA8" s="199" t="s">
        <v>131</v>
      </c>
      <c r="FB8" s="199" t="s">
        <v>132</v>
      </c>
      <c r="FC8" s="199" t="s">
        <v>130</v>
      </c>
      <c r="FD8" s="199" t="s">
        <v>131</v>
      </c>
      <c r="FE8" s="199" t="s">
        <v>132</v>
      </c>
      <c r="FF8" s="198" t="s">
        <v>130</v>
      </c>
      <c r="FG8" s="199" t="s">
        <v>131</v>
      </c>
      <c r="FH8" s="199" t="s">
        <v>132</v>
      </c>
      <c r="FI8" s="198" t="s">
        <v>130</v>
      </c>
      <c r="FJ8" s="199" t="s">
        <v>131</v>
      </c>
      <c r="FK8" s="199" t="s">
        <v>132</v>
      </c>
      <c r="FL8" s="198" t="s">
        <v>130</v>
      </c>
      <c r="FM8" s="199" t="s">
        <v>131</v>
      </c>
      <c r="FN8" s="199" t="s">
        <v>132</v>
      </c>
      <c r="FO8" s="198" t="s">
        <v>130</v>
      </c>
      <c r="FP8" s="199" t="s">
        <v>131</v>
      </c>
      <c r="FQ8" s="199" t="s">
        <v>132</v>
      </c>
      <c r="FR8" s="198" t="s">
        <v>130</v>
      </c>
      <c r="FS8" s="199" t="s">
        <v>131</v>
      </c>
      <c r="FT8" s="199" t="s">
        <v>132</v>
      </c>
      <c r="FU8" s="198" t="s">
        <v>130</v>
      </c>
      <c r="FV8" s="199" t="s">
        <v>131</v>
      </c>
      <c r="FW8" s="199" t="s">
        <v>132</v>
      </c>
      <c r="FX8" s="198" t="s">
        <v>130</v>
      </c>
      <c r="FY8" s="199" t="s">
        <v>131</v>
      </c>
      <c r="FZ8" s="199" t="s">
        <v>132</v>
      </c>
      <c r="GA8" s="198" t="s">
        <v>130</v>
      </c>
      <c r="GB8" s="199" t="s">
        <v>131</v>
      </c>
      <c r="GC8" s="199" t="s">
        <v>132</v>
      </c>
      <c r="GD8" s="198" t="s">
        <v>130</v>
      </c>
      <c r="GE8" s="199" t="s">
        <v>131</v>
      </c>
      <c r="GF8" s="199" t="s">
        <v>132</v>
      </c>
      <c r="GG8" s="198" t="s">
        <v>130</v>
      </c>
      <c r="GH8" s="199" t="s">
        <v>131</v>
      </c>
      <c r="GI8" s="199" t="s">
        <v>132</v>
      </c>
      <c r="GJ8" s="198" t="s">
        <v>133</v>
      </c>
      <c r="GK8" s="199" t="s">
        <v>131</v>
      </c>
      <c r="GL8" s="199" t="s">
        <v>134</v>
      </c>
      <c r="GM8" s="198" t="s">
        <v>133</v>
      </c>
      <c r="GN8" s="199" t="s">
        <v>131</v>
      </c>
      <c r="GO8" s="199" t="s">
        <v>134</v>
      </c>
      <c r="GP8" s="198" t="s">
        <v>130</v>
      </c>
      <c r="GQ8" s="199" t="s">
        <v>131</v>
      </c>
      <c r="GR8" s="199" t="s">
        <v>132</v>
      </c>
      <c r="GS8" s="198" t="s">
        <v>130</v>
      </c>
      <c r="GT8" s="199" t="s">
        <v>131</v>
      </c>
      <c r="GU8" s="199" t="s">
        <v>132</v>
      </c>
      <c r="GV8" s="198" t="s">
        <v>130</v>
      </c>
      <c r="GW8" s="199" t="s">
        <v>131</v>
      </c>
      <c r="GX8" s="199" t="s">
        <v>132</v>
      </c>
      <c r="GY8" s="198" t="s">
        <v>130</v>
      </c>
      <c r="GZ8" s="199" t="s">
        <v>131</v>
      </c>
      <c r="HA8" s="199" t="s">
        <v>132</v>
      </c>
      <c r="HB8" s="198" t="s">
        <v>130</v>
      </c>
      <c r="HC8" s="199" t="s">
        <v>131</v>
      </c>
      <c r="HD8" s="199" t="s">
        <v>132</v>
      </c>
      <c r="HE8" s="198" t="s">
        <v>130</v>
      </c>
      <c r="HF8" s="199" t="s">
        <v>131</v>
      </c>
      <c r="HG8" s="199" t="s">
        <v>132</v>
      </c>
      <c r="HH8" s="198" t="s">
        <v>130</v>
      </c>
      <c r="HI8" s="199" t="s">
        <v>131</v>
      </c>
      <c r="HJ8" s="199" t="s">
        <v>132</v>
      </c>
      <c r="HK8" s="198" t="s">
        <v>130</v>
      </c>
      <c r="HL8" s="199" t="s">
        <v>131</v>
      </c>
      <c r="HM8" s="199" t="s">
        <v>132</v>
      </c>
      <c r="HN8" s="198" t="s">
        <v>130</v>
      </c>
      <c r="HO8" s="199" t="s">
        <v>131</v>
      </c>
      <c r="HP8" s="199" t="s">
        <v>132</v>
      </c>
      <c r="HQ8" s="198" t="s">
        <v>130</v>
      </c>
      <c r="HR8" s="199" t="s">
        <v>131</v>
      </c>
      <c r="HS8" s="199" t="s">
        <v>132</v>
      </c>
      <c r="HT8" s="198" t="s">
        <v>130</v>
      </c>
      <c r="HU8" s="199" t="s">
        <v>131</v>
      </c>
      <c r="HV8" s="199" t="s">
        <v>132</v>
      </c>
      <c r="HW8" s="198" t="s">
        <v>130</v>
      </c>
      <c r="HX8" s="199" t="s">
        <v>131</v>
      </c>
      <c r="HY8" s="200" t="s">
        <v>132</v>
      </c>
      <c r="HZ8" s="201" t="s">
        <v>130</v>
      </c>
      <c r="IA8" s="202" t="s">
        <v>131</v>
      </c>
      <c r="IB8" s="202" t="s">
        <v>132</v>
      </c>
      <c r="IC8" s="203" t="s">
        <v>130</v>
      </c>
      <c r="ID8" s="202" t="s">
        <v>131</v>
      </c>
      <c r="IE8" s="204" t="s">
        <v>132</v>
      </c>
      <c r="IF8" s="198" t="s">
        <v>130</v>
      </c>
      <c r="IG8" s="199" t="s">
        <v>131</v>
      </c>
      <c r="IH8" s="199" t="s">
        <v>132</v>
      </c>
    </row>
    <row r="9" s="205" customFormat="1" ht="12.75" customHeight="1">
      <c r="A9" s="206" t="s">
        <v>135</v>
      </c>
      <c r="B9" s="207"/>
      <c r="C9" s="208" t="s">
        <v>136</v>
      </c>
      <c r="D9" s="209" t="s">
        <v>137</v>
      </c>
      <c r="E9" s="210" t="s">
        <v>138</v>
      </c>
      <c r="F9" s="211"/>
      <c r="G9" s="212" t="s">
        <v>139</v>
      </c>
      <c r="H9" s="213"/>
      <c r="I9" s="207" t="s">
        <v>140</v>
      </c>
      <c r="J9" s="214"/>
      <c r="K9" s="210" t="s">
        <v>141</v>
      </c>
      <c r="L9" s="214"/>
      <c r="M9" s="215" t="s">
        <v>142</v>
      </c>
      <c r="N9" s="214"/>
      <c r="O9" s="210" t="s">
        <v>143</v>
      </c>
      <c r="P9" s="214"/>
      <c r="Q9" s="210" t="s">
        <v>144</v>
      </c>
      <c r="R9" s="214"/>
      <c r="S9" s="210" t="s">
        <v>145</v>
      </c>
      <c r="T9" s="214"/>
      <c r="U9" s="210" t="s">
        <v>146</v>
      </c>
      <c r="V9" s="214"/>
      <c r="W9" s="210" t="s">
        <v>147</v>
      </c>
      <c r="X9" s="214"/>
      <c r="Y9" s="215" t="s">
        <v>148</v>
      </c>
      <c r="Z9" s="214"/>
      <c r="AA9" s="210" t="s">
        <v>149</v>
      </c>
      <c r="AB9" s="214"/>
      <c r="AC9" s="210" t="s">
        <v>150</v>
      </c>
      <c r="AD9" s="214"/>
      <c r="AE9" s="210" t="s">
        <v>151</v>
      </c>
      <c r="AF9" s="214"/>
      <c r="AG9" s="212" t="s">
        <v>152</v>
      </c>
      <c r="AH9" s="214"/>
      <c r="AI9" s="215" t="s">
        <v>153</v>
      </c>
      <c r="AJ9" s="214"/>
      <c r="AK9" s="210" t="s">
        <v>154</v>
      </c>
      <c r="AL9" s="214"/>
      <c r="AM9" s="210" t="s">
        <v>155</v>
      </c>
      <c r="AN9" s="211"/>
      <c r="AO9" s="216" t="s">
        <v>156</v>
      </c>
      <c r="AP9" s="217"/>
      <c r="AQ9" s="212" t="s">
        <v>157</v>
      </c>
      <c r="AR9" s="211"/>
      <c r="AS9" s="207" t="s">
        <v>158</v>
      </c>
      <c r="AT9" s="214"/>
      <c r="AU9" s="215" t="s">
        <v>159</v>
      </c>
      <c r="AV9" s="215"/>
      <c r="AW9" s="218"/>
      <c r="AX9" s="219" t="s">
        <v>160</v>
      </c>
      <c r="AY9" s="219"/>
      <c r="AZ9" s="219"/>
      <c r="BA9" s="219"/>
      <c r="BB9" s="220" t="s">
        <v>161</v>
      </c>
      <c r="BC9" s="221"/>
      <c r="BD9" s="212"/>
      <c r="BE9" s="212"/>
      <c r="BF9" s="215" t="s">
        <v>162</v>
      </c>
      <c r="BG9" s="215" t="s">
        <v>163</v>
      </c>
      <c r="BH9" s="218" t="s">
        <v>164</v>
      </c>
      <c r="BI9" s="222" t="s">
        <v>165</v>
      </c>
      <c r="BJ9" s="219" t="s">
        <v>166</v>
      </c>
      <c r="BK9" s="211" t="s">
        <v>167</v>
      </c>
      <c r="BL9" s="220" t="s">
        <v>168</v>
      </c>
      <c r="BM9" s="219" t="s">
        <v>169</v>
      </c>
      <c r="BN9" s="219" t="s">
        <v>170</v>
      </c>
      <c r="BO9" s="220" t="s">
        <v>171</v>
      </c>
      <c r="BP9" s="223" t="s">
        <v>172</v>
      </c>
      <c r="BQ9" s="210"/>
      <c r="BW9" s="210"/>
      <c r="BX9" s="224">
        <v>1</v>
      </c>
      <c r="BY9" s="224">
        <v>2</v>
      </c>
      <c r="BZ9" s="224">
        <v>3</v>
      </c>
      <c r="CA9" s="224">
        <v>4</v>
      </c>
      <c r="CB9" s="224">
        <v>5</v>
      </c>
      <c r="CC9" s="224">
        <v>6</v>
      </c>
      <c r="CD9" s="224">
        <v>7</v>
      </c>
      <c r="CE9" s="224">
        <v>8</v>
      </c>
      <c r="CF9" s="224">
        <v>9</v>
      </c>
      <c r="CG9" s="224">
        <v>10</v>
      </c>
      <c r="CH9" s="224">
        <v>11</v>
      </c>
      <c r="CI9" s="224">
        <v>12</v>
      </c>
      <c r="CJ9" s="224">
        <v>13</v>
      </c>
      <c r="CK9" s="224">
        <v>14</v>
      </c>
      <c r="CL9" s="224">
        <v>15</v>
      </c>
      <c r="CM9" s="224">
        <v>16</v>
      </c>
      <c r="CN9" s="224">
        <v>17</v>
      </c>
      <c r="CO9" s="225">
        <v>18</v>
      </c>
      <c r="CP9" s="226"/>
      <c r="CQ9" s="226">
        <v>19</v>
      </c>
      <c r="CR9" s="227">
        <v>20</v>
      </c>
      <c r="CS9" s="225">
        <v>21</v>
      </c>
      <c r="CT9" s="228"/>
      <c r="CU9" s="229">
        <v>4869476.9900000002</v>
      </c>
      <c r="CV9" s="230"/>
      <c r="CW9" s="231"/>
      <c r="CX9" s="11"/>
      <c r="CY9" s="11"/>
      <c r="DA9" s="232"/>
      <c r="DB9" s="233"/>
      <c r="DC9" s="233"/>
      <c r="DD9" s="234"/>
      <c r="DE9" s="234"/>
      <c r="DF9" s="234"/>
      <c r="DJ9" s="210" t="s">
        <v>173</v>
      </c>
      <c r="DK9" s="210" t="s">
        <v>6</v>
      </c>
      <c r="DL9" s="210" t="s">
        <v>7</v>
      </c>
      <c r="DM9" s="235" t="s">
        <v>8</v>
      </c>
      <c r="DN9" s="236" t="s">
        <v>9</v>
      </c>
      <c r="DO9" s="237" t="s">
        <v>10</v>
      </c>
      <c r="DP9" s="210" t="s">
        <v>11</v>
      </c>
      <c r="DQ9" s="235" t="s">
        <v>12</v>
      </c>
      <c r="DR9" s="238" t="s">
        <v>174</v>
      </c>
      <c r="DS9" s="239" t="s">
        <v>175</v>
      </c>
      <c r="DT9" s="237" t="s">
        <v>14</v>
      </c>
      <c r="DU9" s="210" t="s">
        <v>15</v>
      </c>
      <c r="DV9" s="235" t="s">
        <v>16</v>
      </c>
      <c r="DW9" s="238" t="s">
        <v>17</v>
      </c>
      <c r="DX9" s="239" t="s">
        <v>176</v>
      </c>
      <c r="DY9" s="240" t="s">
        <v>18</v>
      </c>
      <c r="DZ9" s="210" t="s">
        <v>19</v>
      </c>
      <c r="EA9" s="235" t="s">
        <v>20</v>
      </c>
      <c r="EB9" s="238" t="s">
        <v>177</v>
      </c>
      <c r="EC9" s="239" t="s">
        <v>22</v>
      </c>
      <c r="EF9" s="206" t="s">
        <v>135</v>
      </c>
      <c r="EG9" s="207"/>
      <c r="EN9" s="241"/>
      <c r="ES9" s="242"/>
      <c r="EZ9" s="241"/>
      <c r="FC9" s="243"/>
      <c r="FD9" s="243"/>
      <c r="FE9" s="242"/>
      <c r="FF9" s="243"/>
      <c r="FG9" s="243"/>
      <c r="FI9" s="243"/>
      <c r="FJ9" s="243"/>
      <c r="FL9" s="244"/>
      <c r="FM9" s="243"/>
      <c r="FO9" s="243"/>
      <c r="FP9" s="243"/>
      <c r="FQ9" s="242"/>
      <c r="FX9" s="241"/>
      <c r="GC9" s="242"/>
      <c r="GJ9" s="241"/>
      <c r="GO9" s="242"/>
      <c r="GV9" s="241"/>
      <c r="HA9" s="242"/>
      <c r="HH9" s="241"/>
      <c r="HM9" s="242"/>
      <c r="HT9" s="241"/>
      <c r="HZ9" s="245"/>
      <c r="IE9" s="246"/>
      <c r="IF9" s="245"/>
    </row>
    <row r="10" ht="6.75" customHeight="1">
      <c r="A10" s="247"/>
      <c r="B10" s="247"/>
      <c r="C10" s="248"/>
      <c r="D10" s="249"/>
      <c r="E10" s="249"/>
      <c r="F10" s="250"/>
      <c r="G10" s="251"/>
      <c r="H10" s="250"/>
      <c r="I10" s="251"/>
      <c r="J10" s="250"/>
      <c r="K10" s="252"/>
      <c r="L10" s="250"/>
      <c r="M10" s="253"/>
      <c r="N10" s="250"/>
      <c r="O10" s="252"/>
      <c r="P10" s="250"/>
      <c r="Q10" s="252"/>
      <c r="R10" s="250"/>
      <c r="S10" s="252"/>
      <c r="T10" s="250"/>
      <c r="U10" s="252"/>
      <c r="V10" s="250"/>
      <c r="W10" s="252"/>
      <c r="X10" s="250"/>
      <c r="Y10" s="252"/>
      <c r="Z10" s="250"/>
      <c r="AA10" s="252"/>
      <c r="AB10" s="250"/>
      <c r="AC10" s="252"/>
      <c r="AD10" s="250"/>
      <c r="AE10" s="252"/>
      <c r="AF10" s="250"/>
      <c r="AG10" s="251"/>
      <c r="AH10" s="250"/>
      <c r="AI10" s="253"/>
      <c r="AJ10" s="250"/>
      <c r="AK10" s="252"/>
      <c r="AL10" s="250"/>
      <c r="AM10" s="252"/>
      <c r="AN10" s="250"/>
      <c r="AO10" s="251"/>
      <c r="AP10" s="217"/>
      <c r="AQ10" s="251"/>
      <c r="AR10" s="250"/>
      <c r="AS10" s="251"/>
      <c r="AT10" s="250"/>
      <c r="AU10" s="253"/>
      <c r="AV10" s="253"/>
      <c r="AW10" s="253"/>
      <c r="AX10" s="254"/>
      <c r="AY10" s="254"/>
      <c r="AZ10" s="254"/>
      <c r="BA10" s="254"/>
      <c r="BB10" s="255"/>
      <c r="BC10" s="256"/>
      <c r="BD10" s="251"/>
      <c r="BE10" s="251"/>
      <c r="BF10" s="253"/>
      <c r="BG10" s="253"/>
      <c r="BH10" s="257"/>
      <c r="BI10" s="257"/>
      <c r="BJ10" s="257"/>
      <c r="BK10" s="258"/>
      <c r="BL10" s="258"/>
      <c r="BM10" s="259"/>
      <c r="BN10" s="259"/>
      <c r="BO10" s="258"/>
      <c r="BP10" s="260"/>
      <c r="BW10" s="261"/>
      <c r="BX10" s="262"/>
      <c r="BY10" s="263"/>
      <c r="BZ10" s="264"/>
      <c r="CA10" s="263"/>
      <c r="CB10" s="265"/>
      <c r="CC10" s="264"/>
      <c r="CD10" s="263"/>
      <c r="CE10" s="264"/>
      <c r="CF10" s="263"/>
      <c r="CG10" s="264"/>
      <c r="CH10" s="263"/>
      <c r="CI10" s="264"/>
      <c r="CJ10" s="263"/>
      <c r="CK10" s="264"/>
      <c r="CL10" s="263"/>
      <c r="CM10" s="264"/>
      <c r="CN10" s="263"/>
      <c r="CO10" s="266"/>
      <c r="CP10" s="264"/>
      <c r="CQ10" s="264"/>
      <c r="CR10" s="263"/>
      <c r="CS10" s="266"/>
      <c r="CT10" s="228"/>
      <c r="CU10" s="267"/>
      <c r="CV10" s="268"/>
      <c r="CW10" s="122"/>
      <c r="DA10" s="269"/>
      <c r="DB10" s="270"/>
      <c r="DC10" s="270"/>
      <c r="DD10" s="271"/>
      <c r="DE10" s="271"/>
      <c r="DF10" s="271"/>
      <c r="DJ10" s="272"/>
      <c r="DK10" s="272"/>
      <c r="DL10" s="273"/>
      <c r="DM10" s="274"/>
      <c r="DN10" s="275"/>
      <c r="DO10" s="276"/>
      <c r="DP10" s="272"/>
      <c r="DQ10" s="274"/>
      <c r="DR10" s="277"/>
      <c r="DS10" s="278"/>
      <c r="DT10" s="276"/>
      <c r="DU10" s="272"/>
      <c r="DV10" s="274"/>
      <c r="DW10" s="277"/>
      <c r="DX10" s="278"/>
      <c r="DY10" s="279"/>
      <c r="DZ10" s="272"/>
      <c r="EA10" s="274"/>
      <c r="EB10" s="277"/>
      <c r="EC10" s="278"/>
      <c r="EF10" s="247"/>
      <c r="EG10" s="247"/>
      <c r="EH10" s="280"/>
      <c r="EI10" s="280"/>
      <c r="EN10" s="37"/>
      <c r="ES10" s="38"/>
      <c r="EZ10" s="37"/>
      <c r="FC10" s="281"/>
      <c r="FD10" s="281"/>
      <c r="FE10" s="38"/>
      <c r="FF10" s="281"/>
      <c r="FG10" s="281"/>
      <c r="FI10" s="281"/>
      <c r="FJ10" s="281"/>
      <c r="FL10" s="282"/>
      <c r="FM10" s="281"/>
      <c r="FO10" s="281"/>
      <c r="FP10" s="281"/>
      <c r="FQ10" s="38"/>
      <c r="FX10" s="37"/>
      <c r="GC10" s="38"/>
      <c r="GJ10" s="37"/>
      <c r="GO10" s="38"/>
      <c r="GV10" s="37"/>
      <c r="HA10" s="38"/>
      <c r="HH10" s="37"/>
      <c r="HM10" s="38"/>
      <c r="HT10" s="37"/>
      <c r="HZ10" s="39"/>
      <c r="IE10" s="40"/>
      <c r="IF10" s="39"/>
    </row>
    <row r="11">
      <c r="A11" s="283" t="s">
        <v>178</v>
      </c>
      <c r="B11" s="283"/>
      <c r="C11" s="284">
        <f>D11+E11</f>
        <v>2479413.8299999996</v>
      </c>
      <c r="D11" s="285">
        <f>'Расход-2026'!I1186</f>
        <v>2440626.8499999996</v>
      </c>
      <c r="E11" s="285">
        <f>'Расход-2026'!J1186</f>
        <v>38786.979999999996</v>
      </c>
      <c r="F11" s="217">
        <f>BX11</f>
        <v>897.52089999999998</v>
      </c>
      <c r="G11" s="286">
        <f>F11*$AX$128/$F$153</f>
        <v>1733.4689988858129</v>
      </c>
      <c r="H11" s="217">
        <f>BY11</f>
        <v>0</v>
      </c>
      <c r="I11" s="286">
        <f>H11*$AX$143/$H$153</f>
        <v>0</v>
      </c>
      <c r="J11" s="217">
        <f>BZ11</f>
        <v>401</v>
      </c>
      <c r="K11" s="285">
        <f>J11*$AX$142/$J$153</f>
        <v>9595.3001914560609</v>
      </c>
      <c r="L11" s="258">
        <f>CA11</f>
        <v>381</v>
      </c>
      <c r="M11" s="287">
        <f>L11*$AX$140/$L$153</f>
        <v>16111.356441230721</v>
      </c>
      <c r="N11" s="258">
        <f>CD11</f>
        <v>9</v>
      </c>
      <c r="O11" s="285">
        <f>N11*$AX$138/$N$153</f>
        <v>147.40360081418561</v>
      </c>
      <c r="P11" s="217">
        <f>CC11+CB11</f>
        <v>5506</v>
      </c>
      <c r="Q11" s="285">
        <f>P11*($AX$139+$AX$137)/$P$153</f>
        <v>134134.75613930711</v>
      </c>
      <c r="R11" s="217">
        <f>CE11</f>
        <v>58</v>
      </c>
      <c r="S11" s="285">
        <f>R11*$AX$136/$R$153</f>
        <v>139.50703374978804</v>
      </c>
      <c r="T11" s="217">
        <f>CF11</f>
        <v>23</v>
      </c>
      <c r="U11" s="285">
        <f>T11*$AX$135/$T$153</f>
        <v>632.98305736188479</v>
      </c>
      <c r="V11" s="217">
        <f>CG11</f>
        <v>0</v>
      </c>
      <c r="W11" s="285">
        <f>V11*$AX$134/$V$153</f>
        <v>0</v>
      </c>
      <c r="X11" s="217">
        <f>CH11</f>
        <v>261.5</v>
      </c>
      <c r="Y11" s="285">
        <f>X11*$AX$148/$X$153</f>
        <v>662.97069409342578</v>
      </c>
      <c r="Z11" s="217">
        <f>CI11</f>
        <v>0</v>
      </c>
      <c r="AA11" s="285"/>
      <c r="AB11" s="217">
        <f>CJ11</f>
        <v>0</v>
      </c>
      <c r="AC11" s="285"/>
      <c r="AD11" s="258">
        <f>CK11</f>
        <v>0</v>
      </c>
      <c r="AE11" s="285"/>
      <c r="AF11" s="217">
        <f>CL11</f>
        <v>0</v>
      </c>
      <c r="AG11" s="286">
        <f>AF11*($AX$113+$AX$114)/$AF$153</f>
        <v>0</v>
      </c>
      <c r="AH11" s="217">
        <f>CM11</f>
        <v>0</v>
      </c>
      <c r="AI11" s="287"/>
      <c r="AJ11" s="217"/>
      <c r="AK11" s="285"/>
      <c r="AL11" s="217">
        <f>CO11</f>
        <v>0</v>
      </c>
      <c r="AM11" s="285"/>
      <c r="AN11" s="217"/>
      <c r="AO11" s="286"/>
      <c r="AP11" s="217">
        <f>'2026'!T1153</f>
        <v>6</v>
      </c>
      <c r="AQ11" s="286">
        <f>AP11*$AX$133/$AP$153</f>
        <v>627.46604445268315</v>
      </c>
      <c r="AR11" s="217">
        <f>CS11</f>
        <v>77</v>
      </c>
      <c r="AS11" s="286">
        <f>$AX$145*AR11/$AR$153</f>
        <v>1628.8635863811028</v>
      </c>
      <c r="AT11" s="217">
        <f>CT11</f>
        <v>104</v>
      </c>
      <c r="AU11" s="287">
        <f>AT11*$AX$125/$AT$153</f>
        <v>40974.517432484739</v>
      </c>
      <c r="AV11" s="287"/>
      <c r="AW11" s="287"/>
      <c r="AX11" s="288">
        <f>C11+G11+I11+K11+M11+O11+Q11+S11+U11+W11+Y11+AA11+AC11+AE11+AG11+AI11+AK11+AO11+AU11+AS11+AW11+AQ11+AM11</f>
        <v>2685802.4232202172</v>
      </c>
      <c r="AY11" s="288">
        <f>AX11-C11</f>
        <v>206388.59322021762</v>
      </c>
      <c r="AZ11" s="288">
        <f>AY11-G11-I11-AG11-AI11-AK11-AM11</f>
        <v>204655.12422133182</v>
      </c>
      <c r="BA11" s="288">
        <f>AZ11+I11</f>
        <v>204655.12422133182</v>
      </c>
      <c r="BB11" s="289">
        <f>BF11+BH11</f>
        <v>0</v>
      </c>
      <c r="BC11" s="290" t="e">
        <f>AX11/BB11</f>
        <v>#DIV/0!</v>
      </c>
      <c r="BD11" s="286">
        <f>зарплата!CH7</f>
        <v>5348835.7747951616</v>
      </c>
      <c r="BE11" s="286" t="e">
        <f>#REF!</f>
        <v>#REF!</v>
      </c>
      <c r="BF11" s="291">
        <f>HZ11</f>
        <v>0</v>
      </c>
      <c r="BG11" s="287">
        <f>IB11</f>
        <v>0</v>
      </c>
      <c r="BH11" s="292">
        <f>IC11</f>
        <v>0</v>
      </c>
      <c r="BI11" s="287">
        <f>IE11</f>
        <v>0</v>
      </c>
      <c r="BJ11" s="287"/>
      <c r="BK11" s="217">
        <f>BI11+BG11</f>
        <v>0</v>
      </c>
      <c r="BL11" s="293">
        <f>(BG11*13%)+(BI11*52%)</f>
        <v>0</v>
      </c>
      <c r="BM11" s="287" t="e">
        <f>AX11/BB11</f>
        <v>#DIV/0!</v>
      </c>
      <c r="BN11" s="287" t="e">
        <f>BL11/BB11</f>
        <v>#DIV/0!</v>
      </c>
      <c r="BO11" s="217" t="e">
        <f>BN11-BM11</f>
        <v>#DIV/0!</v>
      </c>
      <c r="BP11" s="285">
        <f>BL11-AX11</f>
        <v>-2685802.4232202172</v>
      </c>
      <c r="BQ11" s="285" t="e">
        <f>BK11-AX11-BD11-BE11</f>
        <v>#REF!</v>
      </c>
      <c r="BW11" s="261" t="s">
        <v>178</v>
      </c>
      <c r="BX11" s="294">
        <f>'2026'!T5</f>
        <v>897.52089999999998</v>
      </c>
      <c r="BY11" s="295">
        <f>'2026'!T50</f>
        <v>0</v>
      </c>
      <c r="BZ11" s="296">
        <f>'2026'!T102</f>
        <v>401</v>
      </c>
      <c r="CA11" s="295">
        <f>'2026'!T659</f>
        <v>381</v>
      </c>
      <c r="CB11" s="297">
        <f>'2026'!T518</f>
        <v>770</v>
      </c>
      <c r="CC11" s="296">
        <f>'2026'!T446</f>
        <v>4736</v>
      </c>
      <c r="CD11" s="295">
        <f>'2026'!T589</f>
        <v>9</v>
      </c>
      <c r="CE11" s="296">
        <f>'2026'!T318</f>
        <v>58</v>
      </c>
      <c r="CF11" s="295">
        <f>'2026'!T865</f>
        <v>23</v>
      </c>
      <c r="CG11" s="296">
        <f>'2026'!T918</f>
        <v>0</v>
      </c>
      <c r="CH11" s="295">
        <f>'2026'!T800</f>
        <v>261.5</v>
      </c>
      <c r="CI11" s="296"/>
      <c r="CJ11" s="295">
        <f>'2026'!T968</f>
        <v>0</v>
      </c>
      <c r="CK11" s="296"/>
      <c r="CL11" s="295">
        <f>'2026'!T171</f>
        <v>0</v>
      </c>
      <c r="CM11" s="298"/>
      <c r="CN11" s="299"/>
      <c r="CO11" s="266"/>
      <c r="CP11" s="298"/>
      <c r="CQ11" s="298"/>
      <c r="CR11" s="299"/>
      <c r="CS11" s="297">
        <f>'2026'!T1019</f>
        <v>77</v>
      </c>
      <c r="CT11" s="300">
        <f>Приемник!AD10</f>
        <v>104</v>
      </c>
      <c r="CU11" s="301">
        <v>2</v>
      </c>
      <c r="CV11" s="302">
        <f t="shared" ref="CV11:CV20" si="0">CU11+CT11</f>
        <v>106</v>
      </c>
      <c r="CW11" s="303">
        <f>$CU$9/$CU$134*CU11</f>
        <v>1348.5120437551925</v>
      </c>
      <c r="DA11" s="304">
        <f>DB11+DC11</f>
        <v>0</v>
      </c>
      <c r="DB11" s="305"/>
      <c r="DC11" s="305"/>
      <c r="DD11" s="306">
        <f>DE11+DF11</f>
        <v>0</v>
      </c>
      <c r="DE11" s="306"/>
      <c r="DF11" s="306"/>
      <c r="DJ11" s="272" t="s">
        <v>178</v>
      </c>
      <c r="DK11" s="273"/>
      <c r="DL11" s="273"/>
      <c r="DM11" s="307"/>
      <c r="DN11" s="308">
        <f t="shared" ref="DN11:DN48" si="1">DK11+DL11+DM11</f>
        <v>0</v>
      </c>
      <c r="DO11" s="273"/>
      <c r="DP11" s="273"/>
      <c r="DQ11" s="307"/>
      <c r="DR11" s="309">
        <f t="shared" ref="DR11:DR22" si="2">DO11+DP11+DQ11</f>
        <v>0</v>
      </c>
      <c r="DS11" s="310">
        <f t="shared" ref="DS11:DS48" si="3">DN11+DR11</f>
        <v>0</v>
      </c>
      <c r="DT11" s="273"/>
      <c r="DU11" s="311"/>
      <c r="DV11" s="312"/>
      <c r="DW11" s="313">
        <f t="shared" ref="DW11:DW22" si="4">DT11+DU11+DV11</f>
        <v>0</v>
      </c>
      <c r="DX11" s="310">
        <f t="shared" ref="DX11:DX48" si="5">DS11+DW11</f>
        <v>0</v>
      </c>
      <c r="DY11" s="273"/>
      <c r="DZ11" s="273"/>
      <c r="EA11" s="307"/>
      <c r="EB11" s="309">
        <f t="shared" ref="EB11:EB22" si="6">DY11+DZ11+EA11</f>
        <v>0</v>
      </c>
      <c r="EC11" s="314">
        <f t="shared" ref="EC11:EC22" si="7">DX11+EB11</f>
        <v>0</v>
      </c>
      <c r="EF11" s="283" t="s">
        <v>178</v>
      </c>
      <c r="EG11" s="283"/>
      <c r="EH11" s="315"/>
      <c r="EI11" s="316"/>
      <c r="EJ11" s="317"/>
      <c r="EK11" s="316"/>
      <c r="EL11" s="316"/>
      <c r="EM11" s="317"/>
      <c r="EN11" s="318"/>
      <c r="EO11" s="317"/>
      <c r="EP11" s="317"/>
      <c r="EQ11" s="317"/>
      <c r="ER11" s="317"/>
      <c r="ES11" s="319"/>
      <c r="ET11" s="317"/>
      <c r="EU11" s="317"/>
      <c r="EV11" s="317"/>
      <c r="EW11" s="317"/>
      <c r="EX11" s="317"/>
      <c r="EY11" s="317"/>
      <c r="EZ11" s="320">
        <f t="shared" ref="EZ11:FE31" si="8">EH11+EN11+ET11</f>
        <v>0</v>
      </c>
      <c r="FA11" s="321">
        <f t="shared" si="8"/>
        <v>0</v>
      </c>
      <c r="FB11" s="317">
        <f t="shared" si="8"/>
        <v>0</v>
      </c>
      <c r="FC11" s="322">
        <f t="shared" si="8"/>
        <v>0</v>
      </c>
      <c r="FD11" s="322">
        <f t="shared" si="8"/>
        <v>0</v>
      </c>
      <c r="FE11" s="319">
        <f t="shared" si="8"/>
        <v>0</v>
      </c>
      <c r="FF11" s="322"/>
      <c r="FG11" s="322"/>
      <c r="FH11" s="317"/>
      <c r="FI11" s="322"/>
      <c r="FJ11" s="322"/>
      <c r="FK11" s="317"/>
      <c r="FL11" s="323"/>
      <c r="FM11" s="322"/>
      <c r="FN11" s="317"/>
      <c r="FO11" s="322"/>
      <c r="FP11" s="322"/>
      <c r="FQ11" s="319"/>
      <c r="FR11" s="323"/>
      <c r="FS11" s="322"/>
      <c r="FT11" s="317"/>
      <c r="FU11" s="322"/>
      <c r="FV11" s="322"/>
      <c r="FW11" s="317"/>
      <c r="FX11" s="323">
        <f t="shared" ref="FX11:GC31" si="9">EZ11+FF11+FL11+FR11</f>
        <v>0</v>
      </c>
      <c r="FY11" s="322">
        <f t="shared" si="9"/>
        <v>0</v>
      </c>
      <c r="FZ11" s="324">
        <f t="shared" si="9"/>
        <v>0</v>
      </c>
      <c r="GA11" s="322">
        <f t="shared" si="9"/>
        <v>0</v>
      </c>
      <c r="GB11" s="322">
        <f t="shared" si="9"/>
        <v>0</v>
      </c>
      <c r="GC11" s="325">
        <f t="shared" si="9"/>
        <v>0</v>
      </c>
      <c r="GD11" s="322"/>
      <c r="GE11" s="322"/>
      <c r="GF11" s="317"/>
      <c r="GG11" s="322"/>
      <c r="GH11" s="322"/>
      <c r="GI11" s="319"/>
      <c r="GJ11" s="323"/>
      <c r="GK11" s="322"/>
      <c r="GL11" s="317"/>
      <c r="GM11" s="322"/>
      <c r="GN11" s="322"/>
      <c r="GO11" s="319"/>
      <c r="GP11" s="323"/>
      <c r="GQ11" s="322"/>
      <c r="GR11" s="317"/>
      <c r="GS11" s="322"/>
      <c r="GT11" s="322"/>
      <c r="GU11" s="317"/>
      <c r="GV11" s="323">
        <f t="shared" ref="GV11:HA31" si="10">GD11+GJ11+GP11</f>
        <v>0</v>
      </c>
      <c r="GW11" s="322">
        <f t="shared" si="10"/>
        <v>0</v>
      </c>
      <c r="GX11" s="322">
        <f t="shared" si="10"/>
        <v>0</v>
      </c>
      <c r="GY11" s="322">
        <f t="shared" si="10"/>
        <v>0</v>
      </c>
      <c r="GZ11" s="322">
        <f t="shared" si="10"/>
        <v>0</v>
      </c>
      <c r="HA11" s="326">
        <f t="shared" si="10"/>
        <v>0</v>
      </c>
      <c r="HB11" s="322"/>
      <c r="HC11" s="322"/>
      <c r="HD11" s="317"/>
      <c r="HE11" s="322"/>
      <c r="HF11" s="322"/>
      <c r="HG11" s="319"/>
      <c r="HH11" s="323"/>
      <c r="HI11" s="322"/>
      <c r="HJ11" s="317"/>
      <c r="HK11" s="322"/>
      <c r="HL11" s="322"/>
      <c r="HM11" s="319"/>
      <c r="HN11" s="323"/>
      <c r="HO11" s="322"/>
      <c r="HP11" s="317"/>
      <c r="HQ11" s="322"/>
      <c r="HR11" s="322"/>
      <c r="HS11" s="319"/>
      <c r="HT11" s="315">
        <f t="shared" ref="HT11:HY31" si="11">GV11+HB11+HH11+HN11</f>
        <v>0</v>
      </c>
      <c r="HU11" s="316">
        <f t="shared" si="11"/>
        <v>0</v>
      </c>
      <c r="HV11" s="317">
        <f t="shared" si="11"/>
        <v>0</v>
      </c>
      <c r="HW11" s="316">
        <f t="shared" si="11"/>
        <v>0</v>
      </c>
      <c r="HX11" s="316">
        <f t="shared" si="11"/>
        <v>0</v>
      </c>
      <c r="HY11" s="317">
        <f t="shared" si="11"/>
        <v>0</v>
      </c>
      <c r="HZ11" s="327">
        <f t="shared" ref="HZ11:IE31" si="12">FX11+HT11</f>
        <v>0</v>
      </c>
      <c r="IA11" s="316">
        <f t="shared" si="12"/>
        <v>0</v>
      </c>
      <c r="IB11" s="317">
        <f t="shared" si="12"/>
        <v>0</v>
      </c>
      <c r="IC11" s="316">
        <f t="shared" si="12"/>
        <v>0</v>
      </c>
      <c r="ID11" s="316">
        <f t="shared" si="12"/>
        <v>0</v>
      </c>
      <c r="IE11" s="328">
        <f t="shared" si="12"/>
        <v>0</v>
      </c>
      <c r="IF11" s="327">
        <f>HZ11+IC11</f>
        <v>0</v>
      </c>
      <c r="IG11" s="316">
        <f>IA11+ID11</f>
        <v>0</v>
      </c>
      <c r="IH11" s="317">
        <f>IB11+IE11</f>
        <v>0</v>
      </c>
    </row>
    <row r="12">
      <c r="A12" s="329"/>
      <c r="B12" s="329"/>
      <c r="C12" s="330"/>
      <c r="D12" s="331">
        <f>D11*100/$AX11</f>
        <v>90.871421847692815</v>
      </c>
      <c r="E12" s="331">
        <f>E11*100/$AX11</f>
        <v>1.4441486709768945</v>
      </c>
      <c r="F12" s="217"/>
      <c r="G12" s="332">
        <f>G11*100/$AX11</f>
        <v>0.06454194038619647</v>
      </c>
      <c r="H12" s="217"/>
      <c r="I12" s="332">
        <f>I11*100/$AX11</f>
        <v>0</v>
      </c>
      <c r="J12" s="217"/>
      <c r="K12" s="331">
        <f>K11*100/$AX11</f>
        <v>0.35726009137900433</v>
      </c>
      <c r="L12" s="258"/>
      <c r="M12" s="333">
        <f>M11*100/$AX11</f>
        <v>0.59987124525390678</v>
      </c>
      <c r="N12" s="258"/>
      <c r="O12" s="331">
        <f>O11*100/$AX11</f>
        <v>0.0054882518363898111</v>
      </c>
      <c r="P12" s="217"/>
      <c r="Q12" s="331">
        <f>Q11*100/$AX11</f>
        <v>4.994215322007288</v>
      </c>
      <c r="R12" s="217"/>
      <c r="S12" s="331">
        <f>S11*100/$AX11</f>
        <v>0.0051942403709101664</v>
      </c>
      <c r="T12" s="217"/>
      <c r="U12" s="331">
        <f>U11*100/$AX11</f>
        <v>0.023567744666897435</v>
      </c>
      <c r="V12" s="217"/>
      <c r="W12" s="331">
        <f>W11*100/$AX11</f>
        <v>0</v>
      </c>
      <c r="X12" s="217"/>
      <c r="Y12" s="331">
        <f>Y11*100/$AX11</f>
        <v>0.024684268967876601</v>
      </c>
      <c r="Z12" s="217"/>
      <c r="AA12" s="331"/>
      <c r="AB12" s="217"/>
      <c r="AC12" s="331"/>
      <c r="AD12" s="258"/>
      <c r="AE12" s="285"/>
      <c r="AF12" s="217"/>
      <c r="AG12" s="332">
        <f>AG11*100/$AX11</f>
        <v>0</v>
      </c>
      <c r="AH12" s="217"/>
      <c r="AI12" s="287"/>
      <c r="AJ12" s="217"/>
      <c r="AK12" s="285"/>
      <c r="AL12" s="217"/>
      <c r="AM12" s="331"/>
      <c r="AN12" s="217"/>
      <c r="AO12" s="334"/>
      <c r="AP12" s="217"/>
      <c r="AQ12" s="335">
        <f>AQ11*100/$AX11</f>
        <v>0.023362330714571524</v>
      </c>
      <c r="AR12" s="217"/>
      <c r="AS12" s="332">
        <f>AS11*100/$AX11</f>
        <v>0.060647185820471919</v>
      </c>
      <c r="AT12" s="217"/>
      <c r="AU12" s="333">
        <f>AU11*100/$AX11</f>
        <v>1.5255968599267702</v>
      </c>
      <c r="AV12" s="287"/>
      <c r="AW12" s="287"/>
      <c r="AX12" s="336">
        <f>SUM(D12:AW12)</f>
        <v>100</v>
      </c>
      <c r="AY12" s="336"/>
      <c r="AZ12" s="336"/>
      <c r="BA12" s="336"/>
      <c r="BB12" s="337"/>
      <c r="BC12" s="290"/>
      <c r="BD12" s="251"/>
      <c r="BE12" s="286"/>
      <c r="BF12" s="291"/>
      <c r="BG12" s="259"/>
      <c r="BH12" s="292"/>
      <c r="BI12" s="259"/>
      <c r="BJ12" s="259"/>
      <c r="BK12" s="293"/>
      <c r="BL12" s="293"/>
      <c r="BM12" s="259"/>
      <c r="BN12" s="259"/>
      <c r="BO12" s="258"/>
      <c r="BP12" s="272"/>
      <c r="BQ12" s="285"/>
      <c r="BV12" s="38"/>
      <c r="BW12" s="261" t="s">
        <v>179</v>
      </c>
      <c r="BX12" s="294">
        <f>'2026'!T6</f>
        <v>0</v>
      </c>
      <c r="BY12" s="295">
        <f>'2026'!T51</f>
        <v>0</v>
      </c>
      <c r="BZ12" s="296">
        <f>'2026'!T103</f>
        <v>2043</v>
      </c>
      <c r="CA12" s="295">
        <f>'2026'!T660</f>
        <v>2373</v>
      </c>
      <c r="CB12" s="297">
        <f>'2026'!T519</f>
        <v>2534</v>
      </c>
      <c r="CC12" s="296">
        <f>'2026'!T447</f>
        <v>8351</v>
      </c>
      <c r="CD12" s="295">
        <f>'2026'!T590</f>
        <v>1831</v>
      </c>
      <c r="CE12" s="296">
        <f>'2026'!T319</f>
        <v>157</v>
      </c>
      <c r="CF12" s="295">
        <f>'2026'!T866</f>
        <v>815</v>
      </c>
      <c r="CG12" s="296">
        <f>'2026'!T919</f>
        <v>3603.5</v>
      </c>
      <c r="CH12" s="295">
        <f>'2026'!T801</f>
        <v>1018</v>
      </c>
      <c r="CI12" s="296"/>
      <c r="CJ12" s="295">
        <f>'2026'!T969</f>
        <v>0</v>
      </c>
      <c r="CK12" s="296"/>
      <c r="CL12" s="295">
        <f>'2026'!T172</f>
        <v>29</v>
      </c>
      <c r="CM12" s="298"/>
      <c r="CN12" s="299"/>
      <c r="CO12" s="266"/>
      <c r="CP12" s="298"/>
      <c r="CQ12" s="298"/>
      <c r="CR12" s="299"/>
      <c r="CS12" s="297">
        <f>'2026'!T1020</f>
        <v>181</v>
      </c>
      <c r="CT12" s="300">
        <f>Приемник!AD11</f>
        <v>139</v>
      </c>
      <c r="CU12" s="301">
        <v>11</v>
      </c>
      <c r="CV12" s="302">
        <f t="shared" si="0"/>
        <v>150</v>
      </c>
      <c r="CW12" s="338"/>
      <c r="DA12" s="339"/>
      <c r="DB12" s="340"/>
      <c r="DC12" s="340"/>
      <c r="DD12" s="341"/>
      <c r="DE12" s="341"/>
      <c r="DF12" s="341"/>
      <c r="DJ12" s="272" t="s">
        <v>179</v>
      </c>
      <c r="DK12" s="273"/>
      <c r="DL12" s="273"/>
      <c r="DM12" s="307"/>
      <c r="DN12" s="308">
        <f t="shared" si="1"/>
        <v>0</v>
      </c>
      <c r="DO12" s="273"/>
      <c r="DP12" s="273"/>
      <c r="DQ12" s="307"/>
      <c r="DR12" s="309">
        <f t="shared" si="2"/>
        <v>0</v>
      </c>
      <c r="DS12" s="310">
        <f t="shared" si="3"/>
        <v>0</v>
      </c>
      <c r="DT12" s="273"/>
      <c r="DU12" s="311"/>
      <c r="DV12" s="312"/>
      <c r="DW12" s="313">
        <f t="shared" si="4"/>
        <v>0</v>
      </c>
      <c r="DX12" s="310">
        <f t="shared" si="5"/>
        <v>0</v>
      </c>
      <c r="DY12" s="273"/>
      <c r="DZ12" s="273"/>
      <c r="EA12" s="307"/>
      <c r="EB12" s="309">
        <f t="shared" si="6"/>
        <v>0</v>
      </c>
      <c r="EC12" s="314">
        <f t="shared" si="7"/>
        <v>0</v>
      </c>
      <c r="EF12" s="329"/>
      <c r="EG12" s="329"/>
      <c r="EH12" s="342"/>
      <c r="EI12" s="343"/>
      <c r="EJ12" s="344"/>
      <c r="EK12" s="343"/>
      <c r="EL12" s="343"/>
      <c r="EM12" s="344"/>
      <c r="EN12" s="345"/>
      <c r="EO12" s="344"/>
      <c r="EP12" s="346"/>
      <c r="EQ12" s="344"/>
      <c r="ER12" s="344"/>
      <c r="ES12" s="347"/>
      <c r="ET12" s="344"/>
      <c r="EU12" s="344"/>
      <c r="EV12" s="346"/>
      <c r="EW12" s="344"/>
      <c r="EX12" s="344"/>
      <c r="EY12" s="344"/>
      <c r="EZ12" s="348"/>
      <c r="FA12" s="349"/>
      <c r="FB12" s="344"/>
      <c r="FC12" s="350"/>
      <c r="FD12" s="350"/>
      <c r="FE12" s="347"/>
      <c r="FF12" s="350"/>
      <c r="FG12" s="350"/>
      <c r="FH12" s="344"/>
      <c r="FI12" s="350"/>
      <c r="FJ12" s="350"/>
      <c r="FK12" s="344"/>
      <c r="FL12" s="351"/>
      <c r="FM12" s="350"/>
      <c r="FN12" s="346"/>
      <c r="FO12" s="350"/>
      <c r="FP12" s="350"/>
      <c r="FQ12" s="347"/>
      <c r="FR12" s="351"/>
      <c r="FS12" s="350"/>
      <c r="FT12" s="344"/>
      <c r="FU12" s="350"/>
      <c r="FV12" s="350"/>
      <c r="FW12" s="344"/>
      <c r="FX12" s="351"/>
      <c r="FY12" s="352"/>
      <c r="FZ12" s="344"/>
      <c r="GA12" s="350"/>
      <c r="GB12" s="350"/>
      <c r="GC12" s="347"/>
      <c r="GD12" s="350"/>
      <c r="GE12" s="350"/>
      <c r="GF12" s="344"/>
      <c r="GG12" s="350"/>
      <c r="GH12" s="350"/>
      <c r="GI12" s="347"/>
      <c r="GJ12" s="351"/>
      <c r="GK12" s="350"/>
      <c r="GL12" s="344"/>
      <c r="GM12" s="350"/>
      <c r="GN12" s="350"/>
      <c r="GO12" s="347"/>
      <c r="GP12" s="353"/>
      <c r="GQ12" s="350"/>
      <c r="GR12" s="344"/>
      <c r="GS12" s="350"/>
      <c r="GT12" s="350"/>
      <c r="GU12" s="344"/>
      <c r="GV12" s="351"/>
      <c r="GW12" s="350"/>
      <c r="GX12" s="344"/>
      <c r="GY12" s="350"/>
      <c r="GZ12" s="350"/>
      <c r="HA12" s="347"/>
      <c r="HB12" s="350"/>
      <c r="HC12" s="350"/>
      <c r="HD12" s="344"/>
      <c r="HE12" s="350"/>
      <c r="HF12" s="350"/>
      <c r="HG12" s="347"/>
      <c r="HH12" s="351"/>
      <c r="HI12" s="350"/>
      <c r="HJ12" s="344"/>
      <c r="HK12" s="350"/>
      <c r="HL12" s="350"/>
      <c r="HM12" s="347"/>
      <c r="HN12" s="351"/>
      <c r="HO12" s="350"/>
      <c r="HP12" s="344"/>
      <c r="HQ12" s="350"/>
      <c r="HR12" s="350"/>
      <c r="HS12" s="347"/>
      <c r="HT12" s="342"/>
      <c r="HU12" s="343"/>
      <c r="HV12" s="344"/>
      <c r="HW12" s="343"/>
      <c r="HX12" s="343"/>
      <c r="HY12" s="344"/>
      <c r="HZ12" s="354"/>
      <c r="IA12" s="344"/>
      <c r="IB12" s="344"/>
      <c r="IC12" s="343"/>
      <c r="ID12" s="343"/>
      <c r="IE12" s="355"/>
      <c r="IF12" s="327"/>
      <c r="IG12" s="316"/>
      <c r="IH12" s="317"/>
    </row>
    <row r="13">
      <c r="A13" s="283" t="s">
        <v>180</v>
      </c>
      <c r="B13" s="283"/>
      <c r="C13" s="284">
        <f>D13+E13</f>
        <v>555637.98999999999</v>
      </c>
      <c r="D13" s="285">
        <f>'Расход-2026'!I1187</f>
        <v>507404.80000000005</v>
      </c>
      <c r="E13" s="285">
        <f>'Расход-2026'!J1187</f>
        <v>48233.189999999995</v>
      </c>
      <c r="F13" s="217">
        <f>BX12</f>
        <v>0</v>
      </c>
      <c r="G13" s="286">
        <f>F13*$AX$128/$F$153</f>
        <v>0</v>
      </c>
      <c r="H13" s="217">
        <f>BY12</f>
        <v>0</v>
      </c>
      <c r="I13" s="286">
        <f>H13*$AX$143/$H$153</f>
        <v>0</v>
      </c>
      <c r="J13" s="217">
        <f>BZ12</f>
        <v>2043</v>
      </c>
      <c r="K13" s="285">
        <f>J13*$AX$142/$J$153</f>
        <v>48885.781274675144</v>
      </c>
      <c r="L13" s="258">
        <f>CA12</f>
        <v>2373</v>
      </c>
      <c r="M13" s="287">
        <f>L13*$AX$140/$L$153</f>
        <v>100347.10980325591</v>
      </c>
      <c r="N13" s="258">
        <f>CD12</f>
        <v>1831</v>
      </c>
      <c r="O13" s="285">
        <f>N13*$AX$138/$N$153</f>
        <v>29988.443676752653</v>
      </c>
      <c r="P13" s="217">
        <f>CC12+CB12</f>
        <v>10885</v>
      </c>
      <c r="Q13" s="285">
        <f>P13*($AX$139+$AX$137)/$P$153</f>
        <v>265175.59400224441</v>
      </c>
      <c r="R13" s="217">
        <f>CE12</f>
        <v>157</v>
      </c>
      <c r="S13" s="285">
        <f>R13*$AX$136/$R$153</f>
        <v>377.63110859856414</v>
      </c>
      <c r="T13" s="217">
        <f>CF12</f>
        <v>815</v>
      </c>
      <c r="U13" s="285">
        <f>T13*$AX$135/$T$153</f>
        <v>22429.617032605915</v>
      </c>
      <c r="V13" s="217">
        <f>CG12</f>
        <v>3603.5</v>
      </c>
      <c r="W13" s="285">
        <f>V13*$AX$134/$V$153</f>
        <v>715.35612234610892</v>
      </c>
      <c r="X13" s="217">
        <f>CH12</f>
        <v>1018</v>
      </c>
      <c r="Y13" s="285">
        <f>X13*$AX$148/$X$153</f>
        <v>2580.8954745204874</v>
      </c>
      <c r="Z13" s="217">
        <f>CI12</f>
        <v>0</v>
      </c>
      <c r="AA13" s="285"/>
      <c r="AB13" s="217">
        <f>CJ12</f>
        <v>0</v>
      </c>
      <c r="AC13" s="285"/>
      <c r="AD13" s="258">
        <f>CK12</f>
        <v>0</v>
      </c>
      <c r="AE13" s="285"/>
      <c r="AF13" s="217">
        <f>CL12</f>
        <v>29</v>
      </c>
      <c r="AG13" s="286">
        <f>AF13*($AX$113+$AX$114)/$AF$153</f>
        <v>356673.70482192497</v>
      </c>
      <c r="AH13" s="217">
        <f>CM12</f>
        <v>0</v>
      </c>
      <c r="AI13" s="287"/>
      <c r="AJ13" s="217"/>
      <c r="AK13" s="285"/>
      <c r="AL13" s="217">
        <f>CO12</f>
        <v>0</v>
      </c>
      <c r="AM13" s="285"/>
      <c r="AN13" s="217"/>
      <c r="AO13" s="286"/>
      <c r="AP13" s="217">
        <f>'2026'!T1154</f>
        <v>0</v>
      </c>
      <c r="AQ13" s="286">
        <f>AP13*$AX$133/$AP$153</f>
        <v>0</v>
      </c>
      <c r="AR13" s="217">
        <f>CS12</f>
        <v>181</v>
      </c>
      <c r="AS13" s="286">
        <f>$AX$145*AR13/$AR$153</f>
        <v>3828.8871316231116</v>
      </c>
      <c r="AT13" s="217">
        <f>CT12</f>
        <v>139</v>
      </c>
      <c r="AU13" s="287">
        <f>AT13*$AX$125/$AT$153</f>
        <v>54764.018491494018</v>
      </c>
      <c r="AV13" s="287"/>
      <c r="AW13" s="287"/>
      <c r="AX13" s="288">
        <f>C13+G13+I13+K13+M13+O13+Q13+S13+U13+W13+Y13+AA13+AC13+AE13+AG13+AI13+AK13+AO13+AU13+AS13+AW13+AQ13+AM13</f>
        <v>1441405.0289400413</v>
      </c>
      <c r="AY13" s="288">
        <f>AX13-C13</f>
        <v>885767.03894004133</v>
      </c>
      <c r="AZ13" s="288">
        <f>AY13-G13-I13-AG13-AI13-AK13-AM13</f>
        <v>529093.33411811641</v>
      </c>
      <c r="BA13" s="288">
        <f>AZ13+I13</f>
        <v>529093.33411811641</v>
      </c>
      <c r="BB13" s="289">
        <f>BF13+BH13</f>
        <v>0</v>
      </c>
      <c r="BC13" s="290" t="e">
        <f>AX13/BB13</f>
        <v>#DIV/0!</v>
      </c>
      <c r="BD13" s="286">
        <f>зарплата!CH9</f>
        <v>11641266.804200262</v>
      </c>
      <c r="BE13" s="286" t="e">
        <f>#REF!</f>
        <v>#REF!</v>
      </c>
      <c r="BF13" s="291">
        <f>HZ13</f>
        <v>0</v>
      </c>
      <c r="BG13" s="287">
        <f>IB13</f>
        <v>0</v>
      </c>
      <c r="BH13" s="292">
        <f>IC13</f>
        <v>0</v>
      </c>
      <c r="BI13" s="287">
        <f>IE13</f>
        <v>0</v>
      </c>
      <c r="BJ13" s="287"/>
      <c r="BK13" s="217">
        <f>BI13+BG13</f>
        <v>0</v>
      </c>
      <c r="BL13" s="293">
        <f>(BG13*13%)+(BI13*52%)</f>
        <v>0</v>
      </c>
      <c r="BM13" s="287" t="e">
        <f>AX13/BB13</f>
        <v>#DIV/0!</v>
      </c>
      <c r="BN13" s="287" t="e">
        <f>BL13/BB13</f>
        <v>#DIV/0!</v>
      </c>
      <c r="BO13" s="217" t="e">
        <f>BN13-BM13</f>
        <v>#DIV/0!</v>
      </c>
      <c r="BP13" s="285">
        <f>BL13-AX13</f>
        <v>-1441405.0289400413</v>
      </c>
      <c r="BQ13" s="285" t="e">
        <f>BK13-AX13-BD13-BE13</f>
        <v>#REF!</v>
      </c>
      <c r="BW13" s="261" t="s">
        <v>181</v>
      </c>
      <c r="BX13" s="294">
        <f>'2026'!T7</f>
        <v>0</v>
      </c>
      <c r="BY13" s="295">
        <f>'2026'!T52</f>
        <v>13336038.867999999</v>
      </c>
      <c r="BZ13" s="296">
        <f>'2026'!T104</f>
        <v>543.5</v>
      </c>
      <c r="CA13" s="295">
        <f>'2026'!T661</f>
        <v>839</v>
      </c>
      <c r="CB13" s="297">
        <f>'2026'!T520</f>
        <v>2985</v>
      </c>
      <c r="CC13" s="296">
        <f>'2026'!T448</f>
        <v>8999</v>
      </c>
      <c r="CD13" s="295">
        <f>'2026'!T591</f>
        <v>157</v>
      </c>
      <c r="CE13" s="296">
        <f>'2026'!T320</f>
        <v>694</v>
      </c>
      <c r="CF13" s="295">
        <f>'2026'!T867</f>
        <v>302</v>
      </c>
      <c r="CG13" s="296">
        <f>'2026'!T920</f>
        <v>48</v>
      </c>
      <c r="CH13" s="295">
        <f>'2026'!T802</f>
        <v>3108</v>
      </c>
      <c r="CI13" s="296"/>
      <c r="CJ13" s="295">
        <f>'2026'!T970</f>
        <v>0</v>
      </c>
      <c r="CK13" s="296"/>
      <c r="CL13" s="295">
        <f>'2026'!T173</f>
        <v>28</v>
      </c>
      <c r="CM13" s="298"/>
      <c r="CN13" s="299"/>
      <c r="CO13" s="266"/>
      <c r="CP13" s="298"/>
      <c r="CQ13" s="298"/>
      <c r="CR13" s="299"/>
      <c r="CS13" s="297">
        <f>'2026'!T1021</f>
        <v>1</v>
      </c>
      <c r="CT13" s="300">
        <f>Приемник!AD12</f>
        <v>175</v>
      </c>
      <c r="CU13" s="301">
        <v>7</v>
      </c>
      <c r="CV13" s="302">
        <f t="shared" si="0"/>
        <v>182</v>
      </c>
      <c r="CW13" s="303">
        <f>$CU$9/$CU$134*CU13</f>
        <v>4719.7921531431739</v>
      </c>
      <c r="DA13" s="304">
        <f>DB13+DC13</f>
        <v>0</v>
      </c>
      <c r="DB13" s="305"/>
      <c r="DC13" s="305"/>
      <c r="DD13" s="306">
        <f>DE13+DF13</f>
        <v>0</v>
      </c>
      <c r="DE13" s="306"/>
      <c r="DF13" s="306"/>
      <c r="DJ13" s="272" t="s">
        <v>181</v>
      </c>
      <c r="DK13" s="273"/>
      <c r="DL13" s="273"/>
      <c r="DM13" s="307"/>
      <c r="DN13" s="308">
        <f t="shared" si="1"/>
        <v>0</v>
      </c>
      <c r="DO13" s="273"/>
      <c r="DP13" s="273"/>
      <c r="DQ13" s="307"/>
      <c r="DR13" s="309">
        <f t="shared" si="2"/>
        <v>0</v>
      </c>
      <c r="DS13" s="310">
        <f t="shared" si="3"/>
        <v>0</v>
      </c>
      <c r="DT13" s="273"/>
      <c r="DU13" s="311"/>
      <c r="DV13" s="312"/>
      <c r="DW13" s="313">
        <f t="shared" si="4"/>
        <v>0</v>
      </c>
      <c r="DX13" s="310">
        <f t="shared" si="5"/>
        <v>0</v>
      </c>
      <c r="DY13" s="273"/>
      <c r="DZ13" s="273"/>
      <c r="EA13" s="307"/>
      <c r="EB13" s="309">
        <f t="shared" si="6"/>
        <v>0</v>
      </c>
      <c r="EC13" s="314">
        <f t="shared" si="7"/>
        <v>0</v>
      </c>
      <c r="EF13" s="283" t="s">
        <v>179</v>
      </c>
      <c r="EG13" s="283"/>
      <c r="EH13" s="280"/>
      <c r="EI13" s="280"/>
      <c r="EK13" s="280"/>
      <c r="EL13" s="280"/>
      <c r="EN13" s="37"/>
      <c r="ES13" s="38"/>
      <c r="EZ13" s="356">
        <f t="shared" si="8"/>
        <v>0</v>
      </c>
      <c r="FA13" s="357">
        <f t="shared" si="8"/>
        <v>0</v>
      </c>
      <c r="FB13" s="1">
        <f t="shared" si="8"/>
        <v>0</v>
      </c>
      <c r="FC13" s="281">
        <f t="shared" si="8"/>
        <v>0</v>
      </c>
      <c r="FD13" s="281">
        <f t="shared" si="8"/>
        <v>0</v>
      </c>
      <c r="FE13" s="38">
        <f t="shared" si="8"/>
        <v>0</v>
      </c>
      <c r="FF13" s="281"/>
      <c r="FG13" s="281"/>
      <c r="FI13" s="281"/>
      <c r="FJ13" s="281"/>
      <c r="FL13" s="282"/>
      <c r="FM13" s="281"/>
      <c r="FO13" s="281"/>
      <c r="FP13" s="281"/>
      <c r="FQ13" s="38"/>
      <c r="FR13" s="282"/>
      <c r="FS13" s="281"/>
      <c r="FU13" s="281"/>
      <c r="FV13" s="281"/>
      <c r="FW13" s="38"/>
      <c r="FX13" s="282">
        <f t="shared" si="9"/>
        <v>0</v>
      </c>
      <c r="FY13" s="281">
        <f t="shared" si="9"/>
        <v>0</v>
      </c>
      <c r="FZ13" s="358">
        <f t="shared" si="9"/>
        <v>0</v>
      </c>
      <c r="GA13" s="281">
        <f t="shared" si="9"/>
        <v>0</v>
      </c>
      <c r="GB13" s="322">
        <f t="shared" si="9"/>
        <v>0</v>
      </c>
      <c r="GC13" s="359">
        <f t="shared" si="9"/>
        <v>0</v>
      </c>
      <c r="GD13" s="282"/>
      <c r="GE13" s="281"/>
      <c r="GG13" s="281"/>
      <c r="GH13" s="281"/>
      <c r="GI13" s="38"/>
      <c r="GJ13" s="282"/>
      <c r="GK13" s="281"/>
      <c r="GM13" s="281"/>
      <c r="GN13" s="281"/>
      <c r="GO13" s="38"/>
      <c r="GP13" s="282"/>
      <c r="GQ13" s="281"/>
      <c r="GS13" s="281"/>
      <c r="GT13" s="281"/>
      <c r="GU13" s="38"/>
      <c r="GV13" s="323">
        <f t="shared" si="10"/>
        <v>0</v>
      </c>
      <c r="GW13" s="322">
        <f t="shared" si="10"/>
        <v>0</v>
      </c>
      <c r="GX13" s="322">
        <f t="shared" si="10"/>
        <v>0</v>
      </c>
      <c r="GY13" s="322">
        <f t="shared" si="10"/>
        <v>0</v>
      </c>
      <c r="GZ13" s="322">
        <f t="shared" si="10"/>
        <v>0</v>
      </c>
      <c r="HA13" s="326">
        <f t="shared" si="10"/>
        <v>0</v>
      </c>
      <c r="HB13" s="282"/>
      <c r="HC13" s="281"/>
      <c r="HE13" s="281"/>
      <c r="HF13" s="281"/>
      <c r="HG13" s="38"/>
      <c r="HH13" s="282"/>
      <c r="HI13" s="281"/>
      <c r="HK13" s="281"/>
      <c r="HL13" s="281"/>
      <c r="HM13" s="38"/>
      <c r="HN13" s="282"/>
      <c r="HO13" s="281"/>
      <c r="HQ13" s="281"/>
      <c r="HR13" s="281"/>
      <c r="HS13" s="38"/>
      <c r="HT13" s="315">
        <f t="shared" si="11"/>
        <v>0</v>
      </c>
      <c r="HU13" s="316">
        <f t="shared" si="11"/>
        <v>0</v>
      </c>
      <c r="HV13" s="317">
        <f t="shared" si="11"/>
        <v>0</v>
      </c>
      <c r="HW13" s="316">
        <f t="shared" si="11"/>
        <v>0</v>
      </c>
      <c r="HX13" s="316">
        <f t="shared" si="11"/>
        <v>0</v>
      </c>
      <c r="HY13" s="317">
        <f t="shared" si="11"/>
        <v>0</v>
      </c>
      <c r="HZ13" s="327">
        <f t="shared" si="12"/>
        <v>0</v>
      </c>
      <c r="IA13" s="316">
        <f t="shared" si="12"/>
        <v>0</v>
      </c>
      <c r="IB13" s="317">
        <f t="shared" si="12"/>
        <v>0</v>
      </c>
      <c r="IC13" s="316">
        <f t="shared" si="12"/>
        <v>0</v>
      </c>
      <c r="ID13" s="316">
        <f t="shared" si="12"/>
        <v>0</v>
      </c>
      <c r="IE13" s="328">
        <f t="shared" si="12"/>
        <v>0</v>
      </c>
      <c r="IF13" s="327">
        <f>HZ13+IC13</f>
        <v>0</v>
      </c>
      <c r="IG13" s="316">
        <f>IA13+ID13</f>
        <v>0</v>
      </c>
      <c r="IH13" s="317">
        <f>IB13+IE13</f>
        <v>0</v>
      </c>
    </row>
    <row r="14">
      <c r="A14" s="329"/>
      <c r="B14" s="329"/>
      <c r="C14" s="284"/>
      <c r="D14" s="331">
        <f>D13*100/$AX13</f>
        <v>35.202097246263094</v>
      </c>
      <c r="E14" s="331">
        <f>E13*100/$AX13</f>
        <v>3.3462620867549622</v>
      </c>
      <c r="F14" s="217"/>
      <c r="G14" s="332">
        <f>G13*100/$AX13</f>
        <v>0</v>
      </c>
      <c r="H14" s="217"/>
      <c r="I14" s="332">
        <f>I13*100/$AX13</f>
        <v>0</v>
      </c>
      <c r="J14" s="217"/>
      <c r="K14" s="331">
        <f>K13*100/$AX13</f>
        <v>3.3915367501266473</v>
      </c>
      <c r="L14" s="258"/>
      <c r="M14" s="333">
        <f>M13*100/$AX13</f>
        <v>6.9617566047377855</v>
      </c>
      <c r="N14" s="258"/>
      <c r="O14" s="331">
        <f>O13*100/$AX13</f>
        <v>2.0805008359659394</v>
      </c>
      <c r="P14" s="217"/>
      <c r="Q14" s="331">
        <f>Q13*100/$AX13</f>
        <v>18.397021564247297</v>
      </c>
      <c r="R14" s="217"/>
      <c r="S14" s="331">
        <f>S13*100/$AX13</f>
        <v>0.026198819971945071</v>
      </c>
      <c r="T14" s="217"/>
      <c r="U14" s="331">
        <f>U13*100/$AX13</f>
        <v>1.5560939903962918</v>
      </c>
      <c r="V14" s="217"/>
      <c r="W14" s="331">
        <f>W13*100/$AX13</f>
        <v>0.049629084676647527</v>
      </c>
      <c r="X14" s="217"/>
      <c r="Y14" s="331">
        <f>Y13*100/$AX13</f>
        <v>0.17905414666260652</v>
      </c>
      <c r="Z14" s="217"/>
      <c r="AA14" s="331"/>
      <c r="AB14" s="217"/>
      <c r="AC14" s="331"/>
      <c r="AD14" s="258"/>
      <c r="AE14" s="285"/>
      <c r="AF14" s="217"/>
      <c r="AG14" s="332">
        <f>AG13*100/$AX13</f>
        <v>24.744863356291344</v>
      </c>
      <c r="AH14" s="217"/>
      <c r="AI14" s="287"/>
      <c r="AJ14" s="217"/>
      <c r="AK14" s="285"/>
      <c r="AL14" s="217"/>
      <c r="AM14" s="331"/>
      <c r="AN14" s="217"/>
      <c r="AO14" s="334"/>
      <c r="AP14" s="217"/>
      <c r="AQ14" s="335">
        <f>AQ13*100/$AX13</f>
        <v>0</v>
      </c>
      <c r="AR14" s="217"/>
      <c r="AS14" s="332">
        <f>AS13*100/$AX13</f>
        <v>0.26563575502707526</v>
      </c>
      <c r="AT14" s="217"/>
      <c r="AU14" s="333">
        <f>AU13*100/$AX13</f>
        <v>3.7993497588783605</v>
      </c>
      <c r="AV14" s="287"/>
      <c r="AW14" s="287"/>
      <c r="AX14" s="336">
        <f>SUM(D14:AW14)</f>
        <v>100.00000000000001</v>
      </c>
      <c r="AY14" s="336"/>
      <c r="AZ14" s="336"/>
      <c r="BA14" s="336"/>
      <c r="BB14" s="289"/>
      <c r="BC14" s="290"/>
      <c r="BD14" s="251"/>
      <c r="BE14" s="286"/>
      <c r="BF14" s="291"/>
      <c r="BG14" s="259"/>
      <c r="BH14" s="292"/>
      <c r="BI14" s="259"/>
      <c r="BJ14" s="287"/>
      <c r="BK14" s="217"/>
      <c r="BL14" s="217"/>
      <c r="BM14" s="287"/>
      <c r="BN14" s="287"/>
      <c r="BO14" s="217"/>
      <c r="BP14" s="285"/>
      <c r="BQ14" s="285"/>
      <c r="BW14" s="261" t="s">
        <v>182</v>
      </c>
      <c r="BX14" s="294">
        <f>'2026'!T8</f>
        <v>0</v>
      </c>
      <c r="BY14" s="295">
        <f>'2026'!T53</f>
        <v>0</v>
      </c>
      <c r="BZ14" s="296">
        <f>'2026'!T105</f>
        <v>555</v>
      </c>
      <c r="CA14" s="295">
        <f>'2026'!T662</f>
        <v>1272</v>
      </c>
      <c r="CB14" s="297">
        <f>'2026'!T521</f>
        <v>650</v>
      </c>
      <c r="CC14" s="296">
        <f>'2026'!T449</f>
        <v>3525</v>
      </c>
      <c r="CD14" s="295">
        <f>'2026'!T592</f>
        <v>1010</v>
      </c>
      <c r="CE14" s="296">
        <f>'2026'!T321</f>
        <v>138</v>
      </c>
      <c r="CF14" s="295">
        <f>'2026'!T868</f>
        <v>466</v>
      </c>
      <c r="CG14" s="296">
        <f>'2026'!T921</f>
        <v>6852</v>
      </c>
      <c r="CH14" s="295">
        <f>'2026'!T803</f>
        <v>244</v>
      </c>
      <c r="CI14" s="296"/>
      <c r="CJ14" s="295">
        <f>'2026'!T971</f>
        <v>0</v>
      </c>
      <c r="CK14" s="296"/>
      <c r="CL14" s="295">
        <f>'2026'!T174</f>
        <v>28</v>
      </c>
      <c r="CM14" s="298"/>
      <c r="CN14" s="299"/>
      <c r="CO14" s="266"/>
      <c r="CP14" s="298"/>
      <c r="CQ14" s="298"/>
      <c r="CR14" s="299"/>
      <c r="CS14" s="297">
        <f>'2026'!T1022</f>
        <v>1</v>
      </c>
      <c r="CT14" s="300">
        <f>Приемник!AD13</f>
        <v>109</v>
      </c>
      <c r="CU14" s="301">
        <f>1+3</f>
        <v>4</v>
      </c>
      <c r="CV14" s="302">
        <f t="shared" si="0"/>
        <v>113</v>
      </c>
      <c r="CW14" s="338"/>
      <c r="DA14" s="360"/>
      <c r="DB14" s="360"/>
      <c r="DC14" s="360"/>
      <c r="DD14" s="361"/>
      <c r="DE14" s="361"/>
      <c r="DF14" s="361"/>
      <c r="DJ14" s="272" t="s">
        <v>182</v>
      </c>
      <c r="DK14" s="273"/>
      <c r="DL14" s="273"/>
      <c r="DM14" s="307"/>
      <c r="DN14" s="308">
        <f t="shared" si="1"/>
        <v>0</v>
      </c>
      <c r="DO14" s="273"/>
      <c r="DP14" s="273"/>
      <c r="DQ14" s="307"/>
      <c r="DR14" s="309">
        <f t="shared" si="2"/>
        <v>0</v>
      </c>
      <c r="DS14" s="310">
        <f t="shared" si="3"/>
        <v>0</v>
      </c>
      <c r="DT14" s="273"/>
      <c r="DU14" s="311"/>
      <c r="DV14" s="312"/>
      <c r="DW14" s="313">
        <f t="shared" si="4"/>
        <v>0</v>
      </c>
      <c r="DX14" s="310">
        <f t="shared" si="5"/>
        <v>0</v>
      </c>
      <c r="DY14" s="273"/>
      <c r="DZ14" s="273"/>
      <c r="EA14" s="307"/>
      <c r="EB14" s="309">
        <f t="shared" si="6"/>
        <v>0</v>
      </c>
      <c r="EC14" s="314">
        <f t="shared" si="7"/>
        <v>0</v>
      </c>
      <c r="EF14" s="329"/>
      <c r="EG14" s="329"/>
      <c r="EH14" s="280"/>
      <c r="EI14" s="280"/>
      <c r="EK14" s="280"/>
      <c r="EL14" s="280"/>
      <c r="EN14" s="37"/>
      <c r="EP14" s="15"/>
      <c r="ES14" s="38"/>
      <c r="EV14" s="15"/>
      <c r="EZ14" s="356"/>
      <c r="FA14" s="357"/>
      <c r="FC14" s="281"/>
      <c r="FD14" s="281"/>
      <c r="FE14" s="38"/>
      <c r="FF14" s="281"/>
      <c r="FG14" s="281"/>
      <c r="FI14" s="281"/>
      <c r="FJ14" s="281"/>
      <c r="FL14" s="282"/>
      <c r="FM14" s="281"/>
      <c r="FN14" s="15"/>
      <c r="FO14" s="281"/>
      <c r="FP14" s="281"/>
      <c r="FQ14" s="38"/>
      <c r="FR14" s="282"/>
      <c r="FS14" s="281"/>
      <c r="FU14" s="281"/>
      <c r="FV14" s="281"/>
      <c r="FW14" s="38"/>
      <c r="FX14" s="282"/>
      <c r="FY14" s="362"/>
      <c r="GA14" s="281"/>
      <c r="GB14" s="350"/>
      <c r="GC14" s="38"/>
      <c r="GD14" s="282"/>
      <c r="GE14" s="281"/>
      <c r="GG14" s="281"/>
      <c r="GH14" s="281"/>
      <c r="GI14" s="38"/>
      <c r="GJ14" s="282"/>
      <c r="GK14" s="281"/>
      <c r="GM14" s="281"/>
      <c r="GN14" s="281"/>
      <c r="GO14" s="38"/>
      <c r="GP14" s="363"/>
      <c r="GQ14" s="281"/>
      <c r="GS14" s="281"/>
      <c r="GT14" s="281"/>
      <c r="GU14" s="38"/>
      <c r="GV14" s="351"/>
      <c r="GW14" s="350"/>
      <c r="GX14" s="344"/>
      <c r="GY14" s="350"/>
      <c r="GZ14" s="350"/>
      <c r="HA14" s="347"/>
      <c r="HB14" s="282"/>
      <c r="HC14" s="281"/>
      <c r="HE14" s="281"/>
      <c r="HF14" s="281"/>
      <c r="HG14" s="38"/>
      <c r="HH14" s="282"/>
      <c r="HI14" s="281"/>
      <c r="HK14" s="281"/>
      <c r="HL14" s="281"/>
      <c r="HM14" s="38"/>
      <c r="HN14" s="282"/>
      <c r="HO14" s="281"/>
      <c r="HQ14" s="281"/>
      <c r="HR14" s="281"/>
      <c r="HS14" s="38"/>
      <c r="HT14" s="342"/>
      <c r="HU14" s="343"/>
      <c r="HV14" s="344"/>
      <c r="HW14" s="343"/>
      <c r="HX14" s="343"/>
      <c r="HY14" s="344"/>
      <c r="HZ14" s="354"/>
      <c r="IA14" s="344"/>
      <c r="IB14" s="344"/>
      <c r="IC14" s="343"/>
      <c r="ID14" s="343"/>
      <c r="IE14" s="355"/>
      <c r="IF14" s="327"/>
      <c r="IG14" s="316"/>
      <c r="IH14" s="317"/>
    </row>
    <row r="15">
      <c r="A15" s="283" t="s">
        <v>181</v>
      </c>
      <c r="B15" s="283"/>
      <c r="C15" s="284">
        <f>D15+E15</f>
        <v>281460.31</v>
      </c>
      <c r="D15" s="285">
        <f>'Расход-2026'!I1188</f>
        <v>246730.84</v>
      </c>
      <c r="E15" s="285">
        <f>'Расход-2026'!J1188</f>
        <v>34729.470000000001</v>
      </c>
      <c r="F15" s="217">
        <f>BX13</f>
        <v>0</v>
      </c>
      <c r="G15" s="286">
        <f>F15*$AX$128/$F$153</f>
        <v>0</v>
      </c>
      <c r="H15" s="217">
        <f>BY13</f>
        <v>13336038.867999999</v>
      </c>
      <c r="I15" s="286">
        <f>H15*$AX$143/$H$153</f>
        <v>5110149.0046696067</v>
      </c>
      <c r="J15" s="217">
        <f>BZ13</f>
        <v>543.5</v>
      </c>
      <c r="K15" s="285">
        <f>J15*$AX$142/$J$153</f>
        <v>13005.101381686707</v>
      </c>
      <c r="L15" s="258">
        <f>CA13</f>
        <v>839</v>
      </c>
      <c r="M15" s="287">
        <f>L15*$AX$140/$L$153</f>
        <v>35478.813790531691</v>
      </c>
      <c r="N15" s="258">
        <f>CD13</f>
        <v>157</v>
      </c>
      <c r="O15" s="285">
        <f>N15*$AX$138/$N$153</f>
        <v>2571.3739253141271</v>
      </c>
      <c r="P15" s="217">
        <f>CC13+CB13</f>
        <v>11984</v>
      </c>
      <c r="Q15" s="285">
        <f>P15*($AX$139+$AX$137)/$P$153</f>
        <v>291948.94979539711</v>
      </c>
      <c r="R15" s="217">
        <f>CE13</f>
        <v>694</v>
      </c>
      <c r="S15" s="285">
        <f>R15*$AX$136/$R$153</f>
        <v>1669.2738176267737</v>
      </c>
      <c r="T15" s="217">
        <f>CF13</f>
        <v>302</v>
      </c>
      <c r="U15" s="285">
        <f>T15*$AX$135/$T$153</f>
        <v>8311.3427531864872</v>
      </c>
      <c r="V15" s="217">
        <f>CG13</f>
        <v>48</v>
      </c>
      <c r="W15" s="285">
        <f>V15*$AX$134/$V$153</f>
        <v>9.5288175031533875</v>
      </c>
      <c r="X15" s="217">
        <f>CH13</f>
        <v>3108</v>
      </c>
      <c r="Y15" s="285">
        <f>X15*$AX$148/$X$153</f>
        <v>7879.5905057069494</v>
      </c>
      <c r="Z15" s="217">
        <f>CI13</f>
        <v>0</v>
      </c>
      <c r="AA15" s="285"/>
      <c r="AB15" s="217">
        <f>CJ13</f>
        <v>0</v>
      </c>
      <c r="AC15" s="285"/>
      <c r="AD15" s="258">
        <f>CK13</f>
        <v>0</v>
      </c>
      <c r="AE15" s="285"/>
      <c r="AF15" s="217">
        <f>CL13</f>
        <v>28</v>
      </c>
      <c r="AG15" s="286">
        <f>AF15*($AX$113+$AX$114)/$AF$153</f>
        <v>344374.61155220342</v>
      </c>
      <c r="AH15" s="217">
        <f>CM13</f>
        <v>0</v>
      </c>
      <c r="AI15" s="287"/>
      <c r="AJ15" s="217"/>
      <c r="AK15" s="285"/>
      <c r="AL15" s="217">
        <f>CO13</f>
        <v>0</v>
      </c>
      <c r="AM15" s="285"/>
      <c r="AN15" s="217"/>
      <c r="AO15" s="286"/>
      <c r="AP15" s="217">
        <f>'2026'!T1155</f>
        <v>0</v>
      </c>
      <c r="AQ15" s="286">
        <f>AP15*$AX$133/$AP$153</f>
        <v>0</v>
      </c>
      <c r="AR15" s="217">
        <f>CS13</f>
        <v>1</v>
      </c>
      <c r="AS15" s="286">
        <f>$AX$145*AR15/$AR$153</f>
        <v>21.154072550403935</v>
      </c>
      <c r="AT15" s="217">
        <f>CT13</f>
        <v>175</v>
      </c>
      <c r="AU15" s="287">
        <f>AT15*$AX$125/$AT$153</f>
        <v>68947.505295046431</v>
      </c>
      <c r="AV15" s="287"/>
      <c r="AW15" s="287"/>
      <c r="AX15" s="288">
        <f>C15+G15+I15+K15+M15+O15+Q15+S15+U15+W15+Y15+AA15+AC15+AE15+AG15+AI15+AK15+AO15+AU15+AS15+AW15+AQ15+AM15</f>
        <v>6165826.5603763591</v>
      </c>
      <c r="AY15" s="288">
        <f>AX15-C15</f>
        <v>5884366.2503763596</v>
      </c>
      <c r="AZ15" s="288">
        <f>AY15-G15-I15-AG15-AI15-AK15-AM15</f>
        <v>429842.63415454945</v>
      </c>
      <c r="BA15" s="288">
        <f>AZ15+I15</f>
        <v>5539991.6388241565</v>
      </c>
      <c r="BB15" s="289">
        <f>BF15+BH15</f>
        <v>0</v>
      </c>
      <c r="BC15" s="290" t="e">
        <f>AX15/BB15</f>
        <v>#DIV/0!</v>
      </c>
      <c r="BD15" s="286">
        <f>зарплата!CH11</f>
        <v>12704756.295880776</v>
      </c>
      <c r="BE15" s="286" t="e">
        <f>#REF!</f>
        <v>#REF!</v>
      </c>
      <c r="BF15" s="291">
        <f>HZ15</f>
        <v>0</v>
      </c>
      <c r="BG15" s="287">
        <f>IB15</f>
        <v>0</v>
      </c>
      <c r="BH15" s="292">
        <f>IC15</f>
        <v>0</v>
      </c>
      <c r="BI15" s="287">
        <f>IE15</f>
        <v>0</v>
      </c>
      <c r="BJ15" s="287"/>
      <c r="BK15" s="217">
        <f>BI15+BG15</f>
        <v>0</v>
      </c>
      <c r="BL15" s="293">
        <f>(BG15*13%)+(BI15*52%)</f>
        <v>0</v>
      </c>
      <c r="BM15" s="287" t="e">
        <f>AX15/BB15</f>
        <v>#DIV/0!</v>
      </c>
      <c r="BN15" s="287" t="e">
        <f>BL15/BB15</f>
        <v>#DIV/0!</v>
      </c>
      <c r="BO15" s="364" t="e">
        <f>BN15-BM15</f>
        <v>#DIV/0!</v>
      </c>
      <c r="BP15" s="365">
        <f>BL15-AX15</f>
        <v>-6165826.5603763591</v>
      </c>
      <c r="BQ15" s="285" t="e">
        <f>BK15-AX15-BD15-BE15</f>
        <v>#REF!</v>
      </c>
      <c r="BW15" s="261" t="s">
        <v>183</v>
      </c>
      <c r="BX15" s="294">
        <f>'2026'!T9</f>
        <v>17551.617200000001</v>
      </c>
      <c r="BY15" s="295">
        <f>'2026'!T54</f>
        <v>1423.037</v>
      </c>
      <c r="BZ15" s="296">
        <f>'2026'!T106</f>
        <v>325</v>
      </c>
      <c r="CA15" s="295">
        <f>'2026'!T663</f>
        <v>600</v>
      </c>
      <c r="CB15" s="297">
        <f>'2026'!T522</f>
        <v>1631</v>
      </c>
      <c r="CC15" s="296">
        <f>'2026'!T450</f>
        <v>4210</v>
      </c>
      <c r="CD15" s="295">
        <f>'2026'!T593</f>
        <v>714</v>
      </c>
      <c r="CE15" s="296">
        <f>'2026'!T322</f>
        <v>149</v>
      </c>
      <c r="CF15" s="295">
        <f>'2026'!T869</f>
        <v>45</v>
      </c>
      <c r="CG15" s="296">
        <f>'2026'!T922</f>
        <v>98</v>
      </c>
      <c r="CH15" s="295">
        <f>'2026'!T804</f>
        <v>410.5</v>
      </c>
      <c r="CI15" s="296"/>
      <c r="CJ15" s="295">
        <f>'2026'!T972</f>
        <v>0</v>
      </c>
      <c r="CK15" s="296"/>
      <c r="CL15" s="295">
        <f>'2026'!T175</f>
        <v>2</v>
      </c>
      <c r="CM15" s="298"/>
      <c r="CN15" s="299"/>
      <c r="CO15" s="266"/>
      <c r="CP15" s="298"/>
      <c r="CQ15" s="298"/>
      <c r="CR15" s="299"/>
      <c r="CS15" s="297">
        <f>'2026'!T1023</f>
        <v>0</v>
      </c>
      <c r="CT15" s="300">
        <f>Приемник!AD14</f>
        <v>94</v>
      </c>
      <c r="CU15" s="301">
        <v>8</v>
      </c>
      <c r="CV15" s="302">
        <f t="shared" si="0"/>
        <v>102</v>
      </c>
      <c r="CW15" s="303">
        <f>$CU$9/$CU$134*CU15</f>
        <v>5394.04817502077</v>
      </c>
      <c r="DA15" s="304">
        <f>DB15+DC15</f>
        <v>0</v>
      </c>
      <c r="DB15" s="305"/>
      <c r="DC15" s="305"/>
      <c r="DD15" s="306">
        <f>DE15+DF15</f>
        <v>0</v>
      </c>
      <c r="DE15" s="306"/>
      <c r="DF15" s="306"/>
      <c r="DJ15" s="272" t="s">
        <v>183</v>
      </c>
      <c r="DK15" s="273"/>
      <c r="DL15" s="273"/>
      <c r="DM15" s="307"/>
      <c r="DN15" s="308">
        <f t="shared" si="1"/>
        <v>0</v>
      </c>
      <c r="DO15" s="273"/>
      <c r="DP15" s="273"/>
      <c r="DQ15" s="307"/>
      <c r="DR15" s="309">
        <f t="shared" si="2"/>
        <v>0</v>
      </c>
      <c r="DS15" s="310">
        <f t="shared" si="3"/>
        <v>0</v>
      </c>
      <c r="DT15" s="273"/>
      <c r="DU15" s="311"/>
      <c r="DV15" s="312"/>
      <c r="DW15" s="313">
        <f t="shared" si="4"/>
        <v>0</v>
      </c>
      <c r="DX15" s="310">
        <f t="shared" si="5"/>
        <v>0</v>
      </c>
      <c r="DY15" s="273"/>
      <c r="DZ15" s="273"/>
      <c r="EA15" s="307"/>
      <c r="EB15" s="309">
        <f t="shared" si="6"/>
        <v>0</v>
      </c>
      <c r="EC15" s="314">
        <f t="shared" si="7"/>
        <v>0</v>
      </c>
      <c r="EF15" s="283" t="s">
        <v>181</v>
      </c>
      <c r="EG15" s="283"/>
      <c r="EH15" s="315"/>
      <c r="EI15" s="316"/>
      <c r="EJ15" s="317"/>
      <c r="EK15" s="316"/>
      <c r="EL15" s="316"/>
      <c r="EM15" s="317"/>
      <c r="EN15" s="318"/>
      <c r="EO15" s="317"/>
      <c r="EP15" s="317"/>
      <c r="EQ15" s="317"/>
      <c r="ER15" s="317"/>
      <c r="ES15" s="319"/>
      <c r="ET15" s="317"/>
      <c r="EU15" s="317"/>
      <c r="EV15" s="317"/>
      <c r="EW15" s="317"/>
      <c r="EX15" s="317"/>
      <c r="EY15" s="317"/>
      <c r="EZ15" s="320">
        <f t="shared" si="8"/>
        <v>0</v>
      </c>
      <c r="FA15" s="321">
        <f t="shared" si="8"/>
        <v>0</v>
      </c>
      <c r="FB15" s="317">
        <f t="shared" si="8"/>
        <v>0</v>
      </c>
      <c r="FC15" s="322">
        <f t="shared" si="8"/>
        <v>0</v>
      </c>
      <c r="FD15" s="322">
        <f t="shared" si="8"/>
        <v>0</v>
      </c>
      <c r="FE15" s="319">
        <f t="shared" si="8"/>
        <v>0</v>
      </c>
      <c r="FF15" s="322"/>
      <c r="FG15" s="322"/>
      <c r="FH15" s="317"/>
      <c r="FI15" s="322"/>
      <c r="FJ15" s="322"/>
      <c r="FK15" s="317"/>
      <c r="FL15" s="323"/>
      <c r="FM15" s="322"/>
      <c r="FN15" s="317"/>
      <c r="FO15" s="322"/>
      <c r="FP15" s="322"/>
      <c r="FQ15" s="319"/>
      <c r="FR15" s="323"/>
      <c r="FS15" s="322"/>
      <c r="FT15" s="317"/>
      <c r="FU15" s="322"/>
      <c r="FV15" s="322"/>
      <c r="FW15" s="319"/>
      <c r="FX15" s="323">
        <f t="shared" si="9"/>
        <v>0</v>
      </c>
      <c r="FY15" s="322">
        <f t="shared" si="9"/>
        <v>0</v>
      </c>
      <c r="FZ15" s="324">
        <f t="shared" si="9"/>
        <v>0</v>
      </c>
      <c r="GA15" s="322">
        <f t="shared" si="9"/>
        <v>0</v>
      </c>
      <c r="GB15" s="322">
        <f t="shared" si="9"/>
        <v>0</v>
      </c>
      <c r="GC15" s="325">
        <f t="shared" si="9"/>
        <v>0</v>
      </c>
      <c r="GD15" s="323"/>
      <c r="GE15" s="322"/>
      <c r="GF15" s="317"/>
      <c r="GG15" s="322"/>
      <c r="GH15" s="322"/>
      <c r="GI15" s="319"/>
      <c r="GJ15" s="323"/>
      <c r="GK15" s="322"/>
      <c r="GL15" s="317"/>
      <c r="GM15" s="322"/>
      <c r="GN15" s="322"/>
      <c r="GO15" s="319"/>
      <c r="GP15" s="323"/>
      <c r="GQ15" s="322"/>
      <c r="GR15" s="317"/>
      <c r="GS15" s="322"/>
      <c r="GT15" s="322"/>
      <c r="GU15" s="319"/>
      <c r="GV15" s="323">
        <f t="shared" si="10"/>
        <v>0</v>
      </c>
      <c r="GW15" s="322">
        <f t="shared" si="10"/>
        <v>0</v>
      </c>
      <c r="GX15" s="322">
        <f t="shared" si="10"/>
        <v>0</v>
      </c>
      <c r="GY15" s="322">
        <f t="shared" si="10"/>
        <v>0</v>
      </c>
      <c r="GZ15" s="322">
        <f t="shared" si="10"/>
        <v>0</v>
      </c>
      <c r="HA15" s="326">
        <f t="shared" si="10"/>
        <v>0</v>
      </c>
      <c r="HB15" s="323"/>
      <c r="HC15" s="322"/>
      <c r="HD15" s="317"/>
      <c r="HE15" s="322"/>
      <c r="HF15" s="322"/>
      <c r="HG15" s="319"/>
      <c r="HH15" s="323"/>
      <c r="HI15" s="322"/>
      <c r="HJ15" s="317"/>
      <c r="HK15" s="322"/>
      <c r="HL15" s="322"/>
      <c r="HM15" s="319"/>
      <c r="HN15" s="323"/>
      <c r="HO15" s="322"/>
      <c r="HP15" s="317"/>
      <c r="HQ15" s="322"/>
      <c r="HR15" s="322"/>
      <c r="HS15" s="319"/>
      <c r="HT15" s="315">
        <f t="shared" si="11"/>
        <v>0</v>
      </c>
      <c r="HU15" s="316">
        <f t="shared" si="11"/>
        <v>0</v>
      </c>
      <c r="HV15" s="317">
        <f t="shared" si="11"/>
        <v>0</v>
      </c>
      <c r="HW15" s="316">
        <f t="shared" si="11"/>
        <v>0</v>
      </c>
      <c r="HX15" s="316">
        <f t="shared" si="11"/>
        <v>0</v>
      </c>
      <c r="HY15" s="317">
        <f t="shared" si="11"/>
        <v>0</v>
      </c>
      <c r="HZ15" s="327">
        <f t="shared" si="12"/>
        <v>0</v>
      </c>
      <c r="IA15" s="316">
        <f t="shared" si="12"/>
        <v>0</v>
      </c>
      <c r="IB15" s="317">
        <f t="shared" si="12"/>
        <v>0</v>
      </c>
      <c r="IC15" s="316">
        <f t="shared" si="12"/>
        <v>0</v>
      </c>
      <c r="ID15" s="316">
        <f t="shared" si="12"/>
        <v>0</v>
      </c>
      <c r="IE15" s="328">
        <f t="shared" si="12"/>
        <v>0</v>
      </c>
      <c r="IF15" s="327">
        <f>HZ15+IC15</f>
        <v>0</v>
      </c>
      <c r="IG15" s="316">
        <f>IA15+ID15</f>
        <v>0</v>
      </c>
      <c r="IH15" s="317">
        <f>IB15+IE15</f>
        <v>0</v>
      </c>
    </row>
    <row r="16">
      <c r="A16" s="329"/>
      <c r="B16" s="329"/>
      <c r="C16" s="366"/>
      <c r="D16" s="331">
        <f>D15*100/$AX15</f>
        <v>4.0015857984973824</v>
      </c>
      <c r="E16" s="331">
        <f>E15*100/$AX15</f>
        <v>0.56325732908517179</v>
      </c>
      <c r="F16" s="217"/>
      <c r="G16" s="332">
        <f>G15*100/$AX15</f>
        <v>0</v>
      </c>
      <c r="H16" s="367"/>
      <c r="I16" s="332">
        <f>I15*100/$AX15</f>
        <v>82.878571990803536</v>
      </c>
      <c r="J16" s="217"/>
      <c r="K16" s="331">
        <f>K15*100/$AX15</f>
        <v>0.21092227058837157</v>
      </c>
      <c r="L16" s="258"/>
      <c r="M16" s="333">
        <f>M15*100/$AX15</f>
        <v>0.57541050568191909</v>
      </c>
      <c r="N16" s="258"/>
      <c r="O16" s="331">
        <f>O15*100/$AX15</f>
        <v>0.041703636976080816</v>
      </c>
      <c r="P16" s="217"/>
      <c r="Q16" s="331">
        <f>Q15*100/$AX15</f>
        <v>4.7349523528857853</v>
      </c>
      <c r="R16" s="217"/>
      <c r="S16" s="331">
        <f>S15*100/$AX15</f>
        <v>0.027072993398064085</v>
      </c>
      <c r="T16" s="217"/>
      <c r="U16" s="331">
        <f>U15*100/$AX15</f>
        <v>0.13479689497914074</v>
      </c>
      <c r="V16" s="217"/>
      <c r="W16" s="331">
        <f>W15*100/$AX15</f>
        <v>0.00015454241876326397</v>
      </c>
      <c r="X16" s="217"/>
      <c r="Y16" s="331">
        <f>Y15*100/$AX15</f>
        <v>0.1277945532289832</v>
      </c>
      <c r="Z16" s="217"/>
      <c r="AA16" s="331"/>
      <c r="AB16" s="217"/>
      <c r="AC16" s="331"/>
      <c r="AD16" s="258"/>
      <c r="AE16" s="285"/>
      <c r="AF16" s="217"/>
      <c r="AG16" s="332">
        <f>AG15*100/$AX15</f>
        <v>5.5852140532993353</v>
      </c>
      <c r="AH16" s="217"/>
      <c r="AI16" s="287"/>
      <c r="AJ16" s="217"/>
      <c r="AK16" s="285"/>
      <c r="AL16" s="217"/>
      <c r="AM16" s="331"/>
      <c r="AN16" s="217"/>
      <c r="AO16" s="334"/>
      <c r="AP16" s="364"/>
      <c r="AQ16" s="335">
        <f>AQ15*100/$AX15</f>
        <v>0</v>
      </c>
      <c r="AR16" s="217"/>
      <c r="AS16" s="332">
        <f>AS15*100/$AX15</f>
        <v>0.00034308575408765145</v>
      </c>
      <c r="AT16" s="217"/>
      <c r="AU16" s="333">
        <f>AU15*100/$AX15</f>
        <v>1.1182199924033851</v>
      </c>
      <c r="AV16" s="287"/>
      <c r="AW16" s="287"/>
      <c r="AX16" s="336">
        <f>SUM(D16:AW16)</f>
        <v>100</v>
      </c>
      <c r="AY16" s="336"/>
      <c r="AZ16" s="336"/>
      <c r="BA16" s="336"/>
      <c r="BB16" s="289"/>
      <c r="BC16" s="290"/>
      <c r="BD16" s="251"/>
      <c r="BE16" s="286"/>
      <c r="BF16" s="291"/>
      <c r="BG16" s="259"/>
      <c r="BH16" s="292"/>
      <c r="BI16" s="259"/>
      <c r="BJ16" s="287"/>
      <c r="BK16" s="217"/>
      <c r="BL16" s="217"/>
      <c r="BM16" s="287"/>
      <c r="BN16" s="287"/>
      <c r="BO16" s="217"/>
      <c r="BP16" s="285"/>
      <c r="BQ16" s="285"/>
      <c r="BW16" s="261" t="s">
        <v>184</v>
      </c>
      <c r="BX16" s="294">
        <f>'2026'!T10</f>
        <v>0</v>
      </c>
      <c r="BY16" s="295">
        <f>'2026'!T55</f>
        <v>0</v>
      </c>
      <c r="BZ16" s="296">
        <f>'2026'!T107</f>
        <v>1258.5</v>
      </c>
      <c r="CA16" s="295">
        <f>'2026'!T664</f>
        <v>803</v>
      </c>
      <c r="CB16" s="297">
        <f>'2026'!T523</f>
        <v>414</v>
      </c>
      <c r="CC16" s="296">
        <f>'2026'!T451</f>
        <v>1279</v>
      </c>
      <c r="CD16" s="295">
        <f>'2026'!T594</f>
        <v>124</v>
      </c>
      <c r="CE16" s="296">
        <f>'2026'!T323</f>
        <v>68</v>
      </c>
      <c r="CF16" s="295">
        <f>'2026'!T870</f>
        <v>107.5</v>
      </c>
      <c r="CG16" s="296">
        <f>'2026'!T923</f>
        <v>10027</v>
      </c>
      <c r="CH16" s="295">
        <f>'2026'!T805</f>
        <v>308</v>
      </c>
      <c r="CI16" s="296"/>
      <c r="CJ16" s="295">
        <f>'2026'!T973</f>
        <v>0</v>
      </c>
      <c r="CK16" s="296"/>
      <c r="CL16" s="295">
        <f>'2026'!T176</f>
        <v>23</v>
      </c>
      <c r="CM16" s="298"/>
      <c r="CN16" s="299"/>
      <c r="CO16" s="266"/>
      <c r="CP16" s="298"/>
      <c r="CQ16" s="298"/>
      <c r="CR16" s="299"/>
      <c r="CS16" s="297">
        <f>'2026'!T1024</f>
        <v>11</v>
      </c>
      <c r="CT16" s="300">
        <f>Приемник!AD15</f>
        <v>125</v>
      </c>
      <c r="CU16" s="301">
        <v>58</v>
      </c>
      <c r="CV16" s="302">
        <f t="shared" si="0"/>
        <v>183</v>
      </c>
      <c r="CW16" s="338"/>
      <c r="DA16" s="360"/>
      <c r="DB16" s="360"/>
      <c r="DC16" s="360"/>
      <c r="DD16" s="361"/>
      <c r="DE16" s="361"/>
      <c r="DF16" s="361"/>
      <c r="DJ16" s="272" t="s">
        <v>184</v>
      </c>
      <c r="DK16" s="273"/>
      <c r="DL16" s="273"/>
      <c r="DM16" s="307"/>
      <c r="DN16" s="308">
        <f t="shared" si="1"/>
        <v>0</v>
      </c>
      <c r="DO16" s="273"/>
      <c r="DP16" s="273"/>
      <c r="DQ16" s="307"/>
      <c r="DR16" s="309">
        <f t="shared" si="2"/>
        <v>0</v>
      </c>
      <c r="DS16" s="310">
        <f t="shared" si="3"/>
        <v>0</v>
      </c>
      <c r="DT16" s="273"/>
      <c r="DU16" s="311"/>
      <c r="DV16" s="312"/>
      <c r="DW16" s="313">
        <f t="shared" si="4"/>
        <v>0</v>
      </c>
      <c r="DX16" s="310">
        <f t="shared" si="5"/>
        <v>0</v>
      </c>
      <c r="DY16" s="273"/>
      <c r="DZ16" s="273"/>
      <c r="EA16" s="307"/>
      <c r="EB16" s="309">
        <f t="shared" si="6"/>
        <v>0</v>
      </c>
      <c r="EC16" s="314">
        <f t="shared" si="7"/>
        <v>0</v>
      </c>
      <c r="EF16" s="329"/>
      <c r="EG16" s="329"/>
      <c r="EH16" s="342"/>
      <c r="EI16" s="343"/>
      <c r="EJ16" s="344"/>
      <c r="EK16" s="343"/>
      <c r="EL16" s="343"/>
      <c r="EM16" s="344"/>
      <c r="EN16" s="345"/>
      <c r="EO16" s="344"/>
      <c r="EP16" s="346"/>
      <c r="EQ16" s="344"/>
      <c r="ER16" s="344"/>
      <c r="ES16" s="347"/>
      <c r="ET16" s="344"/>
      <c r="EU16" s="344"/>
      <c r="EV16" s="346"/>
      <c r="EW16" s="344"/>
      <c r="EX16" s="344"/>
      <c r="EY16" s="344"/>
      <c r="EZ16" s="348"/>
      <c r="FA16" s="349"/>
      <c r="FB16" s="344"/>
      <c r="FC16" s="350"/>
      <c r="FD16" s="350"/>
      <c r="FE16" s="347"/>
      <c r="FF16" s="350"/>
      <c r="FG16" s="350"/>
      <c r="FH16" s="344"/>
      <c r="FI16" s="350"/>
      <c r="FJ16" s="350"/>
      <c r="FK16" s="344"/>
      <c r="FL16" s="351"/>
      <c r="FM16" s="350"/>
      <c r="FN16" s="344"/>
      <c r="FO16" s="350"/>
      <c r="FP16" s="350"/>
      <c r="FQ16" s="347"/>
      <c r="FR16" s="351"/>
      <c r="FS16" s="350"/>
      <c r="FT16" s="344"/>
      <c r="FU16" s="350"/>
      <c r="FV16" s="350"/>
      <c r="FW16" s="347"/>
      <c r="FX16" s="351"/>
      <c r="FY16" s="352"/>
      <c r="FZ16" s="344"/>
      <c r="GA16" s="350"/>
      <c r="GB16" s="350"/>
      <c r="GC16" s="347"/>
      <c r="GD16" s="351"/>
      <c r="GE16" s="350"/>
      <c r="GF16" s="344"/>
      <c r="GG16" s="350"/>
      <c r="GH16" s="350"/>
      <c r="GI16" s="347"/>
      <c r="GJ16" s="351"/>
      <c r="GK16" s="350"/>
      <c r="GL16" s="344"/>
      <c r="GM16" s="350"/>
      <c r="GN16" s="350"/>
      <c r="GO16" s="347"/>
      <c r="GP16" s="353"/>
      <c r="GQ16" s="350"/>
      <c r="GR16" s="344"/>
      <c r="GS16" s="350"/>
      <c r="GT16" s="350"/>
      <c r="GU16" s="347"/>
      <c r="GV16" s="351"/>
      <c r="GW16" s="350"/>
      <c r="GX16" s="344"/>
      <c r="GY16" s="350"/>
      <c r="GZ16" s="350"/>
      <c r="HA16" s="347"/>
      <c r="HB16" s="351"/>
      <c r="HC16" s="350"/>
      <c r="HD16" s="344"/>
      <c r="HE16" s="350"/>
      <c r="HF16" s="350"/>
      <c r="HG16" s="347"/>
      <c r="HH16" s="351"/>
      <c r="HI16" s="350"/>
      <c r="HJ16" s="344"/>
      <c r="HK16" s="350"/>
      <c r="HL16" s="350"/>
      <c r="HM16" s="347"/>
      <c r="HN16" s="351"/>
      <c r="HO16" s="350"/>
      <c r="HP16" s="344"/>
      <c r="HQ16" s="350"/>
      <c r="HR16" s="350"/>
      <c r="HS16" s="347"/>
      <c r="HT16" s="342"/>
      <c r="HU16" s="343"/>
      <c r="HV16" s="344"/>
      <c r="HW16" s="343"/>
      <c r="HX16" s="343"/>
      <c r="HY16" s="344"/>
      <c r="HZ16" s="354"/>
      <c r="IA16" s="344"/>
      <c r="IB16" s="344"/>
      <c r="IC16" s="343"/>
      <c r="ID16" s="343"/>
      <c r="IE16" s="355"/>
      <c r="IF16" s="327"/>
      <c r="IG16" s="316"/>
      <c r="IH16" s="317"/>
    </row>
    <row r="17">
      <c r="A17" s="283" t="s">
        <v>182</v>
      </c>
      <c r="B17" s="283"/>
      <c r="C17" s="284">
        <f>D17+E17</f>
        <v>1110371.1399999999</v>
      </c>
      <c r="D17" s="285">
        <f>'Расход-2026'!I1189</f>
        <v>1027829.97</v>
      </c>
      <c r="E17" s="285">
        <f>'Расход-2026'!J1189</f>
        <v>82541.169999999998</v>
      </c>
      <c r="F17" s="217">
        <f>BX14</f>
        <v>0</v>
      </c>
      <c r="G17" s="286">
        <f>F17*$AX$128/$F$153</f>
        <v>0</v>
      </c>
      <c r="H17" s="217">
        <f>BY14</f>
        <v>0</v>
      </c>
      <c r="I17" s="286">
        <f>H17*$AX$143/$H$153</f>
        <v>0</v>
      </c>
      <c r="J17" s="217">
        <f>BZ14</f>
        <v>555</v>
      </c>
      <c r="K17" s="285">
        <f>J17*$AX$142/$J$153</f>
        <v>13280.278319845671</v>
      </c>
      <c r="L17" s="258">
        <f>CA14</f>
        <v>1272</v>
      </c>
      <c r="M17" s="287">
        <f>L17*$AX$140/$L$153</f>
        <v>53789.095520329334</v>
      </c>
      <c r="N17" s="258">
        <f>CD14</f>
        <v>1010</v>
      </c>
      <c r="O17" s="285">
        <f>N17*$AX$138/$N$153</f>
        <v>16541.959646925276</v>
      </c>
      <c r="P17" s="217">
        <f>CC14+CB14</f>
        <v>4175</v>
      </c>
      <c r="Q17" s="285">
        <f>P17*($AX$139+$AX$137)/$P$153</f>
        <v>101709.51814050258</v>
      </c>
      <c r="R17" s="217">
        <f>CE14</f>
        <v>138</v>
      </c>
      <c r="S17" s="285">
        <f>R17*$AX$136/$R$153</f>
        <v>331.93052857708187</v>
      </c>
      <c r="T17" s="217">
        <f>CF14</f>
        <v>466</v>
      </c>
      <c r="U17" s="285">
        <f>T17*$AX$135/$T$153</f>
        <v>12824.787162201665</v>
      </c>
      <c r="V17" s="217">
        <f>CG14</f>
        <v>6852</v>
      </c>
      <c r="W17" s="285">
        <f>V17*$AX$134/$V$153</f>
        <v>1360.2386985751459</v>
      </c>
      <c r="X17" s="217">
        <f>CH14</f>
        <v>244</v>
      </c>
      <c r="Y17" s="285">
        <f>X17*$AX$148/$X$153</f>
        <v>618.60363043516588</v>
      </c>
      <c r="Z17" s="217">
        <f>CI14</f>
        <v>0</v>
      </c>
      <c r="AA17" s="285"/>
      <c r="AB17" s="217">
        <f>CJ14</f>
        <v>0</v>
      </c>
      <c r="AC17" s="285"/>
      <c r="AD17" s="258">
        <f>CK14</f>
        <v>0</v>
      </c>
      <c r="AE17" s="285"/>
      <c r="AF17" s="217">
        <f>CL14</f>
        <v>28</v>
      </c>
      <c r="AG17" s="286">
        <f>AF17*($AX$113+$AX$114)/$AF$153</f>
        <v>344374.61155220342</v>
      </c>
      <c r="AH17" s="217">
        <f>CM14</f>
        <v>0</v>
      </c>
      <c r="AI17" s="287"/>
      <c r="AJ17" s="217"/>
      <c r="AK17" s="285"/>
      <c r="AL17" s="217">
        <f>CO14</f>
        <v>0</v>
      </c>
      <c r="AM17" s="285"/>
      <c r="AN17" s="217"/>
      <c r="AO17" s="286"/>
      <c r="AP17" s="217">
        <f>'2026'!T1156</f>
        <v>0</v>
      </c>
      <c r="AQ17" s="286">
        <f>AP17*$AX$133/$AP$153</f>
        <v>0</v>
      </c>
      <c r="AR17" s="217">
        <f>CS14</f>
        <v>1</v>
      </c>
      <c r="AS17" s="286">
        <f>$AX$145*AR17/$AR$153</f>
        <v>21.154072550403935</v>
      </c>
      <c r="AT17" s="217">
        <f>CT14</f>
        <v>109</v>
      </c>
      <c r="AU17" s="287">
        <f>AT17*$AX$125/$AT$153</f>
        <v>42944.446155200349</v>
      </c>
      <c r="AV17" s="287"/>
      <c r="AW17" s="287"/>
      <c r="AX17" s="288">
        <f>C17+G17+I17+K17+M17+O17+Q17+S17+U17+W17+Y17+AA17+AC17+AE17+AG17+AI17+AK17+AO17+AU17+AS17+AW17+AQ17+AM17</f>
        <v>1698167.7634273462</v>
      </c>
      <c r="AY17" s="288">
        <f>AX17-C17</f>
        <v>587796.62342734635</v>
      </c>
      <c r="AZ17" s="288">
        <f>AY17-G17-I17-AG17-AI17-AK17-AM17</f>
        <v>243422.01187514293</v>
      </c>
      <c r="BA17" s="288">
        <f>AZ17+I17</f>
        <v>243422.01187514293</v>
      </c>
      <c r="BB17" s="289">
        <f>BF17+BH17</f>
        <v>0</v>
      </c>
      <c r="BC17" s="290" t="e">
        <f>AX17/BB17</f>
        <v>#DIV/0!</v>
      </c>
      <c r="BD17" s="286">
        <f>зарплата!CH13</f>
        <v>8882030.2775628529</v>
      </c>
      <c r="BE17" s="286" t="e">
        <f>#REF!</f>
        <v>#REF!</v>
      </c>
      <c r="BF17" s="291">
        <f>HZ17</f>
        <v>0</v>
      </c>
      <c r="BG17" s="287">
        <f>IB17</f>
        <v>0</v>
      </c>
      <c r="BH17" s="292">
        <f>IC17</f>
        <v>0</v>
      </c>
      <c r="BI17" s="287">
        <f>IE17</f>
        <v>0</v>
      </c>
      <c r="BJ17" s="287"/>
      <c r="BK17" s="217">
        <f>BI17+BG17</f>
        <v>0</v>
      </c>
      <c r="BL17" s="293">
        <f>(BG17*13%)+(BI17*52%)</f>
        <v>0</v>
      </c>
      <c r="BM17" s="287" t="e">
        <f>AX17/BB17</f>
        <v>#DIV/0!</v>
      </c>
      <c r="BN17" s="287" t="e">
        <f>BL17/BB17</f>
        <v>#DIV/0!</v>
      </c>
      <c r="BO17" s="364" t="e">
        <f>BN17-BM17</f>
        <v>#DIV/0!</v>
      </c>
      <c r="BP17" s="365">
        <f>BL17-AX17</f>
        <v>-1698167.7634273462</v>
      </c>
      <c r="BQ17" s="285" t="e">
        <f>BK17-AX17-BD17-BE17</f>
        <v>#REF!</v>
      </c>
      <c r="BW17" s="261" t="s">
        <v>185</v>
      </c>
      <c r="BX17" s="294">
        <f>'2026'!T12</f>
        <v>0</v>
      </c>
      <c r="BY17" s="295">
        <f>'2026'!T57</f>
        <v>0</v>
      </c>
      <c r="BZ17" s="296">
        <f>'2026'!T109</f>
        <v>503.5</v>
      </c>
      <c r="CA17" s="295">
        <f>'2026'!T666</f>
        <v>493</v>
      </c>
      <c r="CB17" s="297">
        <f>'2026'!T525</f>
        <v>49</v>
      </c>
      <c r="CC17" s="296">
        <f>'2026'!T453</f>
        <v>1345</v>
      </c>
      <c r="CD17" s="295">
        <f>'2026'!T596</f>
        <v>15</v>
      </c>
      <c r="CE17" s="296">
        <f>'2026'!T325</f>
        <v>33</v>
      </c>
      <c r="CF17" s="295">
        <f>'2026'!T872</f>
        <v>25.5</v>
      </c>
      <c r="CG17" s="296">
        <f>'2026'!T925</f>
        <v>4576</v>
      </c>
      <c r="CH17" s="295">
        <f>'2026'!T807</f>
        <v>226.5</v>
      </c>
      <c r="CI17" s="296"/>
      <c r="CJ17" s="295">
        <f>'2026'!T974</f>
        <v>0</v>
      </c>
      <c r="CK17" s="296"/>
      <c r="CL17" s="295">
        <f>'2026'!T178</f>
        <v>3</v>
      </c>
      <c r="CM17" s="298"/>
      <c r="CN17" s="299"/>
      <c r="CO17" s="266"/>
      <c r="CP17" s="298"/>
      <c r="CQ17" s="298"/>
      <c r="CR17" s="299"/>
      <c r="CS17" s="297">
        <f>'2026'!T1026</f>
        <v>0</v>
      </c>
      <c r="CT17" s="300">
        <f>Приемник!AD16</f>
        <v>83</v>
      </c>
      <c r="CU17" s="301">
        <v>2</v>
      </c>
      <c r="CV17" s="302">
        <f t="shared" si="0"/>
        <v>85</v>
      </c>
      <c r="CW17" s="303">
        <f>$CU$9/$CU$134*CU17</f>
        <v>1348.5120437551925</v>
      </c>
      <c r="DA17" s="304">
        <f>DB17+DC17</f>
        <v>0</v>
      </c>
      <c r="DB17" s="305"/>
      <c r="DC17" s="305"/>
      <c r="DD17" s="306">
        <f>DE17+DF17</f>
        <v>0</v>
      </c>
      <c r="DE17" s="306"/>
      <c r="DF17" s="306"/>
      <c r="DJ17" s="272" t="s">
        <v>185</v>
      </c>
      <c r="DK17" s="273"/>
      <c r="DL17" s="273"/>
      <c r="DM17" s="307"/>
      <c r="DN17" s="308">
        <f t="shared" si="1"/>
        <v>0</v>
      </c>
      <c r="DO17" s="273"/>
      <c r="DP17" s="273"/>
      <c r="DQ17" s="307"/>
      <c r="DR17" s="309">
        <f t="shared" si="2"/>
        <v>0</v>
      </c>
      <c r="DS17" s="310">
        <f t="shared" si="3"/>
        <v>0</v>
      </c>
      <c r="DT17" s="273"/>
      <c r="DU17" s="311"/>
      <c r="DV17" s="312"/>
      <c r="DW17" s="313">
        <f t="shared" si="4"/>
        <v>0</v>
      </c>
      <c r="DX17" s="310">
        <f t="shared" si="5"/>
        <v>0</v>
      </c>
      <c r="DY17" s="273"/>
      <c r="DZ17" s="273"/>
      <c r="EA17" s="307"/>
      <c r="EB17" s="309">
        <f t="shared" si="6"/>
        <v>0</v>
      </c>
      <c r="EC17" s="314">
        <f t="shared" si="7"/>
        <v>0</v>
      </c>
      <c r="EF17" s="283" t="s">
        <v>182</v>
      </c>
      <c r="EG17" s="283"/>
      <c r="EH17" s="280"/>
      <c r="EI17" s="280"/>
      <c r="EK17" s="280"/>
      <c r="EL17" s="280"/>
      <c r="EN17" s="37"/>
      <c r="ES17" s="38"/>
      <c r="EZ17" s="356">
        <f t="shared" si="8"/>
        <v>0</v>
      </c>
      <c r="FA17" s="357">
        <f t="shared" si="8"/>
        <v>0</v>
      </c>
      <c r="FB17" s="1">
        <f t="shared" si="8"/>
        <v>0</v>
      </c>
      <c r="FC17" s="281">
        <f t="shared" si="8"/>
        <v>0</v>
      </c>
      <c r="FD17" s="281">
        <f t="shared" si="8"/>
        <v>0</v>
      </c>
      <c r="FE17" s="38">
        <f t="shared" si="8"/>
        <v>0</v>
      </c>
      <c r="FF17" s="281"/>
      <c r="FG17" s="281"/>
      <c r="FI17" s="281"/>
      <c r="FJ17" s="281"/>
      <c r="FL17" s="282"/>
      <c r="FM17" s="281"/>
      <c r="FO17" s="281"/>
      <c r="FP17" s="281"/>
      <c r="FQ17" s="38"/>
      <c r="FR17" s="282"/>
      <c r="FS17" s="281"/>
      <c r="FU17" s="281"/>
      <c r="FV17" s="281"/>
      <c r="FW17" s="38"/>
      <c r="FX17" s="282">
        <f t="shared" si="9"/>
        <v>0</v>
      </c>
      <c r="FY17" s="281">
        <f t="shared" si="9"/>
        <v>0</v>
      </c>
      <c r="FZ17" s="358">
        <f t="shared" si="9"/>
        <v>0</v>
      </c>
      <c r="GA17" s="281">
        <f t="shared" si="9"/>
        <v>0</v>
      </c>
      <c r="GB17" s="322">
        <f t="shared" si="9"/>
        <v>0</v>
      </c>
      <c r="GC17" s="359">
        <f t="shared" si="9"/>
        <v>0</v>
      </c>
      <c r="GD17" s="282"/>
      <c r="GE17" s="281"/>
      <c r="GG17" s="281"/>
      <c r="GH17" s="281"/>
      <c r="GI17" s="38"/>
      <c r="GJ17" s="282"/>
      <c r="GK17" s="281"/>
      <c r="GM17" s="281"/>
      <c r="GN17" s="281"/>
      <c r="GO17" s="38"/>
      <c r="GP17" s="282"/>
      <c r="GQ17" s="281"/>
      <c r="GS17" s="281"/>
      <c r="GT17" s="281"/>
      <c r="GU17" s="38"/>
      <c r="GV17" s="323">
        <f t="shared" si="10"/>
        <v>0</v>
      </c>
      <c r="GW17" s="322">
        <f t="shared" si="10"/>
        <v>0</v>
      </c>
      <c r="GX17" s="322">
        <f t="shared" si="10"/>
        <v>0</v>
      </c>
      <c r="GY17" s="322">
        <f t="shared" si="10"/>
        <v>0</v>
      </c>
      <c r="GZ17" s="322">
        <f t="shared" si="10"/>
        <v>0</v>
      </c>
      <c r="HA17" s="326">
        <f t="shared" si="10"/>
        <v>0</v>
      </c>
      <c r="HB17" s="282"/>
      <c r="HC17" s="281"/>
      <c r="HE17" s="281"/>
      <c r="HF17" s="281"/>
      <c r="HG17" s="38"/>
      <c r="HH17" s="282"/>
      <c r="HI17" s="281"/>
      <c r="HK17" s="281"/>
      <c r="HL17" s="281"/>
      <c r="HM17" s="38"/>
      <c r="HN17" s="282"/>
      <c r="HO17" s="281"/>
      <c r="HQ17" s="281"/>
      <c r="HR17" s="281"/>
      <c r="HS17" s="38"/>
      <c r="HT17" s="315">
        <f t="shared" si="11"/>
        <v>0</v>
      </c>
      <c r="HU17" s="316">
        <f t="shared" si="11"/>
        <v>0</v>
      </c>
      <c r="HV17" s="317">
        <f t="shared" si="11"/>
        <v>0</v>
      </c>
      <c r="HW17" s="316">
        <f t="shared" si="11"/>
        <v>0</v>
      </c>
      <c r="HX17" s="316">
        <f t="shared" si="11"/>
        <v>0</v>
      </c>
      <c r="HY17" s="317">
        <f t="shared" si="11"/>
        <v>0</v>
      </c>
      <c r="HZ17" s="327">
        <f t="shared" si="12"/>
        <v>0</v>
      </c>
      <c r="IA17" s="316">
        <f t="shared" si="12"/>
        <v>0</v>
      </c>
      <c r="IB17" s="317">
        <f t="shared" si="12"/>
        <v>0</v>
      </c>
      <c r="IC17" s="316">
        <f t="shared" si="12"/>
        <v>0</v>
      </c>
      <c r="ID17" s="316">
        <f t="shared" si="12"/>
        <v>0</v>
      </c>
      <c r="IE17" s="328">
        <f t="shared" si="12"/>
        <v>0</v>
      </c>
      <c r="IF17" s="327">
        <f>HZ17+IC17</f>
        <v>0</v>
      </c>
      <c r="IG17" s="316">
        <f>IA17+ID17</f>
        <v>0</v>
      </c>
      <c r="IH17" s="317">
        <f>IB17+IE17</f>
        <v>0</v>
      </c>
    </row>
    <row r="18" ht="13.5">
      <c r="A18" s="329"/>
      <c r="B18" s="329"/>
      <c r="C18" s="368"/>
      <c r="D18" s="331">
        <f>D17*100/$AX17</f>
        <v>60.525820365684638</v>
      </c>
      <c r="E18" s="331">
        <f>E17*100/$AX17</f>
        <v>4.8606016306310247</v>
      </c>
      <c r="F18" s="364"/>
      <c r="G18" s="332">
        <f>G17*100/$AX17</f>
        <v>0</v>
      </c>
      <c r="H18" s="364"/>
      <c r="I18" s="332">
        <f>I17*100/$AX17</f>
        <v>0</v>
      </c>
      <c r="J18" s="364"/>
      <c r="K18" s="331">
        <f>K17*100/$AX17</f>
        <v>0.7820357096546573</v>
      </c>
      <c r="L18" s="258"/>
      <c r="M18" s="333">
        <f>M17*100/$AX17</f>
        <v>3.1674783068410677</v>
      </c>
      <c r="N18" s="258"/>
      <c r="O18" s="331">
        <f>O17*100/$AX17</f>
        <v>0.97410632819570664</v>
      </c>
      <c r="P18" s="364"/>
      <c r="Q18" s="331">
        <f>Q17*100/$AX17</f>
        <v>5.9893680901836337</v>
      </c>
      <c r="R18" s="364"/>
      <c r="S18" s="331">
        <f>S17*100/$AX17</f>
        <v>0.019546392042395111</v>
      </c>
      <c r="T18" s="364"/>
      <c r="U18" s="331">
        <f>U17*100/$AX17</f>
        <v>0.75521320321838481</v>
      </c>
      <c r="V18" s="364"/>
      <c r="W18" s="331">
        <f>W17*100/$AX17</f>
        <v>0.080100372169933834</v>
      </c>
      <c r="X18" s="364"/>
      <c r="Y18" s="331">
        <f>Y17*100/$AX17</f>
        <v>0.036427710133106174</v>
      </c>
      <c r="Z18" s="364"/>
      <c r="AA18" s="331"/>
      <c r="AB18" s="364"/>
      <c r="AC18" s="331"/>
      <c r="AD18" s="258"/>
      <c r="AE18" s="365"/>
      <c r="AF18" s="364"/>
      <c r="AG18" s="332">
        <f>AG17*100/$AX17</f>
        <v>20.279186719288884</v>
      </c>
      <c r="AH18" s="364"/>
      <c r="AI18" s="369"/>
      <c r="AJ18" s="364"/>
      <c r="AK18" s="365"/>
      <c r="AL18" s="364"/>
      <c r="AM18" s="331"/>
      <c r="AN18" s="364"/>
      <c r="AO18" s="334"/>
      <c r="AP18" s="217"/>
      <c r="AQ18" s="335">
        <f>AQ17*100/$AX17</f>
        <v>0</v>
      </c>
      <c r="AR18" s="364"/>
      <c r="AS18" s="332">
        <f>AS17*100/$AX17</f>
        <v>0.0012456998069324723</v>
      </c>
      <c r="AT18" s="364"/>
      <c r="AU18" s="333">
        <f>AU17*100/$AX17</f>
        <v>2.5288694721496325</v>
      </c>
      <c r="AV18" s="287"/>
      <c r="AW18" s="369"/>
      <c r="AX18" s="336">
        <f>SUM(D18:AW18)</f>
        <v>100.00000000000001</v>
      </c>
      <c r="AY18" s="336"/>
      <c r="AZ18" s="336"/>
      <c r="BA18" s="336"/>
      <c r="BB18" s="289"/>
      <c r="BC18" s="290"/>
      <c r="BD18" s="251"/>
      <c r="BE18" s="286"/>
      <c r="BF18" s="291"/>
      <c r="BG18" s="259"/>
      <c r="BH18" s="292"/>
      <c r="BI18" s="259"/>
      <c r="BJ18" s="287"/>
      <c r="BK18" s="217"/>
      <c r="BL18" s="217"/>
      <c r="BM18" s="287"/>
      <c r="BN18" s="287"/>
      <c r="BO18" s="364"/>
      <c r="BP18" s="365"/>
      <c r="BQ18" s="285"/>
      <c r="BW18" s="261" t="s">
        <v>186</v>
      </c>
      <c r="BX18" s="370"/>
      <c r="BY18" s="299"/>
      <c r="BZ18" s="296">
        <f>'2026'!T144</f>
        <v>0</v>
      </c>
      <c r="CA18" s="299">
        <f>'2026'!T702</f>
        <v>0</v>
      </c>
      <c r="CB18" s="297">
        <f>'2026'!T561</f>
        <v>0</v>
      </c>
      <c r="CC18" s="296">
        <f>'2026'!T489</f>
        <v>170</v>
      </c>
      <c r="CD18" s="299">
        <f>'2026'!T632</f>
        <v>13</v>
      </c>
      <c r="CE18" s="298"/>
      <c r="CF18" s="299"/>
      <c r="CG18" s="298"/>
      <c r="CH18" s="299"/>
      <c r="CI18" s="298"/>
      <c r="CJ18" s="299"/>
      <c r="CK18" s="298"/>
      <c r="CL18" s="299"/>
      <c r="CM18" s="298"/>
      <c r="CN18" s="299"/>
      <c r="CO18" s="266"/>
      <c r="CP18" s="371"/>
      <c r="CQ18" s="298"/>
      <c r="CR18" s="299"/>
      <c r="CS18" s="297">
        <f>'2026'!T1060</f>
        <v>213</v>
      </c>
      <c r="CT18" s="300">
        <f>Приемник!AD17</f>
        <v>0</v>
      </c>
      <c r="CU18" s="301"/>
      <c r="CV18" s="302">
        <f t="shared" si="0"/>
        <v>0</v>
      </c>
      <c r="CW18" s="338"/>
      <c r="DA18" s="360"/>
      <c r="DB18" s="360"/>
      <c r="DC18" s="360"/>
      <c r="DD18" s="361"/>
      <c r="DE18" s="361"/>
      <c r="DF18" s="361"/>
      <c r="DJ18" s="272" t="s">
        <v>186</v>
      </c>
      <c r="DK18" s="273"/>
      <c r="DL18" s="273"/>
      <c r="DM18" s="307"/>
      <c r="DN18" s="308">
        <f t="shared" si="1"/>
        <v>0</v>
      </c>
      <c r="DO18" s="273"/>
      <c r="DP18" s="273"/>
      <c r="DQ18" s="307"/>
      <c r="DR18" s="309">
        <f t="shared" si="2"/>
        <v>0</v>
      </c>
      <c r="DS18" s="310">
        <f t="shared" si="3"/>
        <v>0</v>
      </c>
      <c r="DT18" s="273"/>
      <c r="DU18" s="311"/>
      <c r="DV18" s="312"/>
      <c r="DW18" s="313">
        <f t="shared" si="4"/>
        <v>0</v>
      </c>
      <c r="DX18" s="310">
        <f t="shared" si="5"/>
        <v>0</v>
      </c>
      <c r="DY18" s="273"/>
      <c r="DZ18" s="273"/>
      <c r="EA18" s="307"/>
      <c r="EB18" s="309">
        <f t="shared" si="6"/>
        <v>0</v>
      </c>
      <c r="EC18" s="314">
        <f t="shared" si="7"/>
        <v>0</v>
      </c>
      <c r="EF18" s="329"/>
      <c r="EG18" s="329"/>
      <c r="EH18" s="280"/>
      <c r="EI18" s="280"/>
      <c r="EK18" s="280"/>
      <c r="EL18" s="280"/>
      <c r="EN18" s="37"/>
      <c r="EP18" s="15"/>
      <c r="ES18" s="38"/>
      <c r="EZ18" s="356"/>
      <c r="FA18" s="357"/>
      <c r="FC18" s="281"/>
      <c r="FD18" s="281"/>
      <c r="FE18" s="38"/>
      <c r="FF18" s="281"/>
      <c r="FG18" s="281"/>
      <c r="FI18" s="281"/>
      <c r="FJ18" s="281"/>
      <c r="FL18" s="282"/>
      <c r="FM18" s="281"/>
      <c r="FO18" s="281"/>
      <c r="FP18" s="281"/>
      <c r="FQ18" s="38"/>
      <c r="FR18" s="282"/>
      <c r="FS18" s="281"/>
      <c r="FU18" s="281"/>
      <c r="FV18" s="281"/>
      <c r="FW18" s="38"/>
      <c r="FX18" s="282"/>
      <c r="FY18" s="362"/>
      <c r="GA18" s="281"/>
      <c r="GB18" s="350"/>
      <c r="GC18" s="38"/>
      <c r="GD18" s="282"/>
      <c r="GE18" s="281"/>
      <c r="GG18" s="281"/>
      <c r="GH18" s="281"/>
      <c r="GI18" s="38"/>
      <c r="GJ18" s="282"/>
      <c r="GK18" s="281"/>
      <c r="GM18" s="281"/>
      <c r="GN18" s="281"/>
      <c r="GO18" s="38"/>
      <c r="GP18" s="363"/>
      <c r="GQ18" s="281"/>
      <c r="GS18" s="281"/>
      <c r="GT18" s="281"/>
      <c r="GU18" s="38"/>
      <c r="GV18" s="351"/>
      <c r="GW18" s="350"/>
      <c r="GX18" s="344"/>
      <c r="GY18" s="350"/>
      <c r="GZ18" s="350"/>
      <c r="HA18" s="347"/>
      <c r="HB18" s="282"/>
      <c r="HC18" s="281"/>
      <c r="HE18" s="281"/>
      <c r="HF18" s="281"/>
      <c r="HG18" s="38"/>
      <c r="HH18" s="282"/>
      <c r="HI18" s="281"/>
      <c r="HK18" s="281"/>
      <c r="HL18" s="281"/>
      <c r="HM18" s="38"/>
      <c r="HN18" s="282"/>
      <c r="HO18" s="281"/>
      <c r="HQ18" s="281"/>
      <c r="HR18" s="281"/>
      <c r="HS18" s="38"/>
      <c r="HT18" s="342"/>
      <c r="HU18" s="343"/>
      <c r="HV18" s="344"/>
      <c r="HW18" s="343"/>
      <c r="HX18" s="343"/>
      <c r="HY18" s="344"/>
      <c r="HZ18" s="354"/>
      <c r="IA18" s="344"/>
      <c r="IB18" s="344"/>
      <c r="IC18" s="343"/>
      <c r="ID18" s="343"/>
      <c r="IE18" s="355"/>
      <c r="IF18" s="327"/>
      <c r="IG18" s="316"/>
      <c r="IH18" s="317"/>
    </row>
    <row r="19">
      <c r="A19" s="283" t="s">
        <v>183</v>
      </c>
      <c r="B19" s="283"/>
      <c r="C19" s="284">
        <f>D19+E19</f>
        <v>400813.97999999998</v>
      </c>
      <c r="D19" s="285">
        <f>'Расход-2026'!I1190</f>
        <v>372457.88</v>
      </c>
      <c r="E19" s="285">
        <f>'Расход-2026'!J1190</f>
        <v>28356.099999999999</v>
      </c>
      <c r="F19" s="217">
        <f>BX15</f>
        <v>17551.617200000001</v>
      </c>
      <c r="G19" s="286">
        <f>F19*$AX$128/$F$153</f>
        <v>33899.13738667369</v>
      </c>
      <c r="H19" s="217">
        <f>BY15</f>
        <v>1423.037</v>
      </c>
      <c r="I19" s="286">
        <f>H19*$AX$143/$H$153</f>
        <v>545.2841867915605</v>
      </c>
      <c r="J19" s="217">
        <f>BZ15</f>
        <v>325</v>
      </c>
      <c r="K19" s="285">
        <f>J19*$AX$142/$J$153</f>
        <v>7776.7395566663836</v>
      </c>
      <c r="L19" s="258">
        <f>CA15</f>
        <v>600</v>
      </c>
      <c r="M19" s="287">
        <f>L19*$AX$140/$L$153</f>
        <v>25372.214868079875</v>
      </c>
      <c r="N19" s="258">
        <f>CD15</f>
        <v>714</v>
      </c>
      <c r="O19" s="285">
        <f>N19*$AX$138/$N$153</f>
        <v>11694.018997925392</v>
      </c>
      <c r="P19" s="217">
        <f>CC15+CB15</f>
        <v>5841</v>
      </c>
      <c r="Q19" s="285">
        <f>P19*($AX$139+$AX$137)/$P$153</f>
        <v>142295.87915177859</v>
      </c>
      <c r="R19" s="217">
        <f>CE15</f>
        <v>149</v>
      </c>
      <c r="S19" s="285">
        <f>J19*$AX$136/$J$153</f>
        <v>335.54198565899475</v>
      </c>
      <c r="T19" s="217">
        <f>CF15</f>
        <v>45</v>
      </c>
      <c r="U19" s="285">
        <f>T19*$AX$135/$T$153</f>
        <v>1238.4451122297746</v>
      </c>
      <c r="V19" s="217">
        <f>CG15</f>
        <v>98</v>
      </c>
      <c r="W19" s="285">
        <f>V19*$AX$134/$V$153</f>
        <v>19.454669068938163</v>
      </c>
      <c r="X19" s="217">
        <f>CH15</f>
        <v>410.5</v>
      </c>
      <c r="Y19" s="285">
        <f>X19*$AX$148/$X$153</f>
        <v>1040.7245503837526</v>
      </c>
      <c r="Z19" s="217">
        <f>CI15</f>
        <v>0</v>
      </c>
      <c r="AA19" s="285"/>
      <c r="AB19" s="217">
        <f>CJ15</f>
        <v>0</v>
      </c>
      <c r="AC19" s="285"/>
      <c r="AD19" s="258">
        <f>CK15</f>
        <v>0</v>
      </c>
      <c r="AE19" s="285"/>
      <c r="AF19" s="217">
        <f>CL15</f>
        <v>2</v>
      </c>
      <c r="AG19" s="286">
        <f>AF19*($AX$113+$AX$114)/$AF$153</f>
        <v>24598.186539443101</v>
      </c>
      <c r="AH19" s="217">
        <f>CM15</f>
        <v>0</v>
      </c>
      <c r="AI19" s="287"/>
      <c r="AJ19" s="217"/>
      <c r="AK19" s="285"/>
      <c r="AL19" s="217">
        <f>CO15</f>
        <v>0</v>
      </c>
      <c r="AM19" s="285"/>
      <c r="AN19" s="217"/>
      <c r="AO19" s="286"/>
      <c r="AP19" s="217">
        <f>'2026'!T1157</f>
        <v>0</v>
      </c>
      <c r="AQ19" s="286">
        <f>AP19*$AX$133/$AP$153</f>
        <v>0</v>
      </c>
      <c r="AR19" s="217">
        <f>CS15</f>
        <v>0</v>
      </c>
      <c r="AS19" s="286">
        <f>$AX$145*AR19/$AR$153</f>
        <v>0</v>
      </c>
      <c r="AT19" s="217">
        <f>CT15</f>
        <v>94</v>
      </c>
      <c r="AU19" s="287">
        <f>AT19*$AX$125/$AT$153</f>
        <v>37034.659987053514</v>
      </c>
      <c r="AV19" s="287"/>
      <c r="AW19" s="287"/>
      <c r="AX19" s="288">
        <f>C19+G19+I19+K19+M19+O19+Q19+S19+U19+W19+Y19+AA19+AC19+AE19+AG19+AI19+AK19+AO19+AU19+AS19+AW19+AQ19+AM19</f>
        <v>686664.2669917536</v>
      </c>
      <c r="AY19" s="288">
        <f>AX19-C19</f>
        <v>285850.28699175362</v>
      </c>
      <c r="AZ19" s="288">
        <f>AY19-G19-I19-AG19-AI19-AK19-AM19</f>
        <v>226807.67887884527</v>
      </c>
      <c r="BA19" s="288">
        <f>AZ19+I19</f>
        <v>227352.96306563684</v>
      </c>
      <c r="BB19" s="289">
        <f>BF19+BH19</f>
        <v>0</v>
      </c>
      <c r="BC19" s="290" t="e">
        <f>AX19/BB19</f>
        <v>#DIV/0!</v>
      </c>
      <c r="BD19" s="286">
        <f>зарплата!CH15</f>
        <v>5052651.2458147276</v>
      </c>
      <c r="BE19" s="286" t="e">
        <f>#REF!</f>
        <v>#REF!</v>
      </c>
      <c r="BF19" s="291">
        <f>HZ19</f>
        <v>0</v>
      </c>
      <c r="BG19" s="287">
        <f>IB19</f>
        <v>0</v>
      </c>
      <c r="BH19" s="292">
        <f>IC19</f>
        <v>0</v>
      </c>
      <c r="BI19" s="287">
        <f>IE19</f>
        <v>0</v>
      </c>
      <c r="BJ19" s="287"/>
      <c r="BK19" s="217">
        <f>BI19+BG19</f>
        <v>0</v>
      </c>
      <c r="BL19" s="293">
        <f>(BG19*13%)+(BI19*52%)</f>
        <v>0</v>
      </c>
      <c r="BM19" s="287" t="e">
        <f>AX19/BB19</f>
        <v>#DIV/0!</v>
      </c>
      <c r="BN19" s="287" t="e">
        <f>BL19/BB19</f>
        <v>#DIV/0!</v>
      </c>
      <c r="BO19" s="217" t="e">
        <f>BN19-BM19</f>
        <v>#DIV/0!</v>
      </c>
      <c r="BP19" s="285">
        <f>BL19-AX19</f>
        <v>-686664.2669917536</v>
      </c>
      <c r="BQ19" s="285" t="e">
        <f>BK19-AX19-BD19-BE19</f>
        <v>#REF!</v>
      </c>
      <c r="BW19" s="261" t="s">
        <v>187</v>
      </c>
      <c r="BX19" s="294">
        <f>'2026'!T32</f>
        <v>5238.5157999999992</v>
      </c>
      <c r="BY19" s="295">
        <f>'2026'!T77</f>
        <v>40340564.8125</v>
      </c>
      <c r="BZ19" s="296">
        <f>'2026'!T129</f>
        <v>1070.5</v>
      </c>
      <c r="CA19" s="295">
        <f>'2026'!T687</f>
        <v>2016</v>
      </c>
      <c r="CB19" s="297">
        <f>'2026'!T546</f>
        <v>21894</v>
      </c>
      <c r="CC19" s="372">
        <f>'2026'!T474</f>
        <v>9735</v>
      </c>
      <c r="CD19" s="373">
        <f>'2026'!T617</f>
        <v>299</v>
      </c>
      <c r="CE19" s="296">
        <f>'2026'!T346</f>
        <v>2497</v>
      </c>
      <c r="CF19" s="295">
        <f>'2026'!T892</f>
        <v>132</v>
      </c>
      <c r="CG19" s="296">
        <f>'2026'!T946</f>
        <v>3089</v>
      </c>
      <c r="CH19" s="295">
        <f>'2026'!T827</f>
        <v>2332</v>
      </c>
      <c r="CI19" s="298"/>
      <c r="CJ19" s="299"/>
      <c r="CK19" s="298"/>
      <c r="CL19" s="295">
        <f>'2026'!T198</f>
        <v>0</v>
      </c>
      <c r="CM19" s="298"/>
      <c r="CN19" s="299"/>
      <c r="CO19" s="266">
        <f>'2026'!T250</f>
        <v>0</v>
      </c>
      <c r="CP19" s="371"/>
      <c r="CQ19" s="371"/>
      <c r="CR19" s="299"/>
      <c r="CS19" s="297">
        <f>'2026'!T1047</f>
        <v>99</v>
      </c>
      <c r="CT19" s="300">
        <f>Приемник!AD18</f>
        <v>275</v>
      </c>
      <c r="CU19" s="301">
        <v>12</v>
      </c>
      <c r="CV19" s="302">
        <f t="shared" si="0"/>
        <v>287</v>
      </c>
      <c r="CW19" s="303">
        <f>$CU$9/$CU$134*CU19</f>
        <v>8091.0722625311555</v>
      </c>
      <c r="DA19" s="304">
        <f>DB19+DC19</f>
        <v>0</v>
      </c>
      <c r="DB19" s="305"/>
      <c r="DC19" s="305"/>
      <c r="DD19" s="306">
        <f>DE19+DF19</f>
        <v>0</v>
      </c>
      <c r="DE19" s="306"/>
      <c r="DF19" s="306"/>
      <c r="DJ19" s="272" t="s">
        <v>187</v>
      </c>
      <c r="DK19" s="273"/>
      <c r="DL19" s="273"/>
      <c r="DM19" s="307"/>
      <c r="DN19" s="308">
        <f t="shared" si="1"/>
        <v>0</v>
      </c>
      <c r="DO19" s="273"/>
      <c r="DP19" s="273"/>
      <c r="DQ19" s="307"/>
      <c r="DR19" s="309">
        <f t="shared" si="2"/>
        <v>0</v>
      </c>
      <c r="DS19" s="310">
        <f t="shared" si="3"/>
        <v>0</v>
      </c>
      <c r="DT19" s="273"/>
      <c r="DU19" s="311"/>
      <c r="DV19" s="312"/>
      <c r="DW19" s="313">
        <f t="shared" si="4"/>
        <v>0</v>
      </c>
      <c r="DX19" s="310">
        <f t="shared" si="5"/>
        <v>0</v>
      </c>
      <c r="DY19" s="273"/>
      <c r="DZ19" s="273"/>
      <c r="EA19" s="307"/>
      <c r="EB19" s="309">
        <f t="shared" si="6"/>
        <v>0</v>
      </c>
      <c r="EC19" s="314">
        <f t="shared" si="7"/>
        <v>0</v>
      </c>
      <c r="EF19" s="283" t="s">
        <v>183</v>
      </c>
      <c r="EG19" s="283"/>
      <c r="EH19" s="315"/>
      <c r="EI19" s="316"/>
      <c r="EJ19" s="317"/>
      <c r="EK19" s="316"/>
      <c r="EL19" s="316"/>
      <c r="EM19" s="317"/>
      <c r="EN19" s="318"/>
      <c r="EO19" s="317"/>
      <c r="EP19" s="317"/>
      <c r="EQ19" s="317"/>
      <c r="ER19" s="317"/>
      <c r="ES19" s="319"/>
      <c r="ET19" s="317"/>
      <c r="EU19" s="317"/>
      <c r="EV19" s="317"/>
      <c r="EW19" s="317"/>
      <c r="EX19" s="317"/>
      <c r="EY19" s="317"/>
      <c r="EZ19" s="320">
        <f t="shared" si="8"/>
        <v>0</v>
      </c>
      <c r="FA19" s="321">
        <f t="shared" si="8"/>
        <v>0</v>
      </c>
      <c r="FB19" s="317">
        <f t="shared" si="8"/>
        <v>0</v>
      </c>
      <c r="FC19" s="322">
        <f t="shared" si="8"/>
        <v>0</v>
      </c>
      <c r="FD19" s="322">
        <f t="shared" si="8"/>
        <v>0</v>
      </c>
      <c r="FE19" s="319">
        <f t="shared" si="8"/>
        <v>0</v>
      </c>
      <c r="FF19" s="322"/>
      <c r="FG19" s="322"/>
      <c r="FH19" s="317"/>
      <c r="FI19" s="322"/>
      <c r="FJ19" s="322"/>
      <c r="FK19" s="317"/>
      <c r="FL19" s="323"/>
      <c r="FM19" s="322"/>
      <c r="FN19" s="317"/>
      <c r="FO19" s="322"/>
      <c r="FP19" s="322"/>
      <c r="FQ19" s="319"/>
      <c r="FR19" s="323"/>
      <c r="FS19" s="322"/>
      <c r="FT19" s="317"/>
      <c r="FU19" s="322"/>
      <c r="FV19" s="322"/>
      <c r="FW19" s="319"/>
      <c r="FX19" s="323">
        <f t="shared" si="9"/>
        <v>0</v>
      </c>
      <c r="FY19" s="322">
        <f t="shared" si="9"/>
        <v>0</v>
      </c>
      <c r="FZ19" s="324">
        <f t="shared" si="9"/>
        <v>0</v>
      </c>
      <c r="GA19" s="322">
        <f t="shared" si="9"/>
        <v>0</v>
      </c>
      <c r="GB19" s="322">
        <f t="shared" si="9"/>
        <v>0</v>
      </c>
      <c r="GC19" s="325">
        <f t="shared" si="9"/>
        <v>0</v>
      </c>
      <c r="GD19" s="323"/>
      <c r="GE19" s="322"/>
      <c r="GF19" s="317"/>
      <c r="GG19" s="322"/>
      <c r="GH19" s="322"/>
      <c r="GI19" s="319"/>
      <c r="GJ19" s="323"/>
      <c r="GK19" s="322"/>
      <c r="GL19" s="317"/>
      <c r="GM19" s="322"/>
      <c r="GN19" s="322"/>
      <c r="GO19" s="319"/>
      <c r="GP19" s="374"/>
      <c r="GQ19" s="322"/>
      <c r="GR19" s="317"/>
      <c r="GS19" s="322"/>
      <c r="GT19" s="322"/>
      <c r="GU19" s="319"/>
      <c r="GV19" s="323">
        <f t="shared" si="10"/>
        <v>0</v>
      </c>
      <c r="GW19" s="322">
        <f t="shared" si="10"/>
        <v>0</v>
      </c>
      <c r="GX19" s="322">
        <f t="shared" si="10"/>
        <v>0</v>
      </c>
      <c r="GY19" s="322">
        <f t="shared" si="10"/>
        <v>0</v>
      </c>
      <c r="GZ19" s="322">
        <f t="shared" si="10"/>
        <v>0</v>
      </c>
      <c r="HA19" s="326">
        <f t="shared" si="10"/>
        <v>0</v>
      </c>
      <c r="HB19" s="323"/>
      <c r="HC19" s="322"/>
      <c r="HD19" s="317"/>
      <c r="HE19" s="322"/>
      <c r="HF19" s="322"/>
      <c r="HG19" s="319"/>
      <c r="HH19" s="323"/>
      <c r="HI19" s="322"/>
      <c r="HJ19" s="317"/>
      <c r="HK19" s="322"/>
      <c r="HL19" s="322"/>
      <c r="HM19" s="319"/>
      <c r="HN19" s="323"/>
      <c r="HO19" s="322"/>
      <c r="HP19" s="317"/>
      <c r="HQ19" s="322"/>
      <c r="HR19" s="322"/>
      <c r="HS19" s="319"/>
      <c r="HT19" s="315">
        <f t="shared" si="11"/>
        <v>0</v>
      </c>
      <c r="HU19" s="316">
        <f t="shared" si="11"/>
        <v>0</v>
      </c>
      <c r="HV19" s="317">
        <f t="shared" si="11"/>
        <v>0</v>
      </c>
      <c r="HW19" s="316">
        <f t="shared" si="11"/>
        <v>0</v>
      </c>
      <c r="HX19" s="316">
        <f t="shared" si="11"/>
        <v>0</v>
      </c>
      <c r="HY19" s="317">
        <f t="shared" si="11"/>
        <v>0</v>
      </c>
      <c r="HZ19" s="327">
        <f t="shared" si="12"/>
        <v>0</v>
      </c>
      <c r="IA19" s="316">
        <f t="shared" si="12"/>
        <v>0</v>
      </c>
      <c r="IB19" s="317">
        <f t="shared" si="12"/>
        <v>0</v>
      </c>
      <c r="IC19" s="316">
        <f t="shared" si="12"/>
        <v>0</v>
      </c>
      <c r="ID19" s="316">
        <f t="shared" si="12"/>
        <v>0</v>
      </c>
      <c r="IE19" s="328">
        <f t="shared" si="12"/>
        <v>0</v>
      </c>
      <c r="IF19" s="327">
        <f>HZ19+IC19</f>
        <v>0</v>
      </c>
      <c r="IG19" s="316">
        <f>IA19+ID19</f>
        <v>0</v>
      </c>
      <c r="IH19" s="317">
        <f>IB19+IE19</f>
        <v>0</v>
      </c>
    </row>
    <row r="20">
      <c r="A20" s="375"/>
      <c r="B20" s="375"/>
      <c r="C20" s="376"/>
      <c r="D20" s="377">
        <f>D19*100/$AX19</f>
        <v>54.241628391662466</v>
      </c>
      <c r="E20" s="377">
        <f>E19*100/$AX19</f>
        <v>4.1295435576146762</v>
      </c>
      <c r="F20" s="378"/>
      <c r="G20" s="379">
        <f>G19*100/$AX19</f>
        <v>4.9367848330282778</v>
      </c>
      <c r="H20" s="380"/>
      <c r="I20" s="379">
        <f>I19*100/$AX19</f>
        <v>0.079410595978792797</v>
      </c>
      <c r="J20" s="378"/>
      <c r="K20" s="377">
        <f>K19*100/$AX19</f>
        <v>1.1325388447451827</v>
      </c>
      <c r="L20" s="381"/>
      <c r="M20" s="382">
        <f>M19*100/$AX19</f>
        <v>3.6949956605772498</v>
      </c>
      <c r="N20" s="381"/>
      <c r="O20" s="377">
        <f>O19*100/$AX19</f>
        <v>1.7030184269171866</v>
      </c>
      <c r="P20" s="378"/>
      <c r="Q20" s="377">
        <f>Q19*100/$AX19</f>
        <v>20.722773266646112</v>
      </c>
      <c r="R20" s="378"/>
      <c r="S20" s="377">
        <f>S19*100/$AX19</f>
        <v>0.048865508486263545</v>
      </c>
      <c r="T20" s="378"/>
      <c r="U20" s="377">
        <f>U19*100/$AX19</f>
        <v>0.1803567145929042</v>
      </c>
      <c r="V20" s="378"/>
      <c r="W20" s="377">
        <f>W19*100/$AX19</f>
        <v>0.0028332141344951916</v>
      </c>
      <c r="X20" s="378"/>
      <c r="Y20" s="377">
        <f>Y19*100/$AX19</f>
        <v>0.15156235738654666</v>
      </c>
      <c r="Z20" s="378"/>
      <c r="AA20" s="377"/>
      <c r="AB20" s="378"/>
      <c r="AC20" s="377"/>
      <c r="AD20" s="381"/>
      <c r="AE20" s="383"/>
      <c r="AF20" s="378"/>
      <c r="AG20" s="379">
        <f>AG19*100/$AX19</f>
        <v>3.5822726945158645</v>
      </c>
      <c r="AH20" s="378"/>
      <c r="AI20" s="384"/>
      <c r="AJ20" s="378"/>
      <c r="AK20" s="383"/>
      <c r="AL20" s="378"/>
      <c r="AM20" s="383"/>
      <c r="AN20" s="378"/>
      <c r="AO20" s="385"/>
      <c r="AP20" s="378"/>
      <c r="AQ20" s="386">
        <f>AQ19*100/$AX19</f>
        <v>0</v>
      </c>
      <c r="AR20" s="378"/>
      <c r="AS20" s="379">
        <f>AS19*100/$AX19</f>
        <v>0</v>
      </c>
      <c r="AT20" s="378"/>
      <c r="AU20" s="382">
        <f>AU19*100/$AX19</f>
        <v>5.3934159337139755</v>
      </c>
      <c r="AV20" s="384"/>
      <c r="AW20" s="384"/>
      <c r="AX20" s="387">
        <f>SUM(D20:AW20)</f>
        <v>100</v>
      </c>
      <c r="AY20" s="336"/>
      <c r="AZ20" s="387"/>
      <c r="BA20" s="387"/>
      <c r="BB20" s="388"/>
      <c r="BC20" s="389"/>
      <c r="BD20" s="390"/>
      <c r="BE20" s="390"/>
      <c r="BF20" s="391"/>
      <c r="BG20" s="392"/>
      <c r="BH20" s="393"/>
      <c r="BI20" s="392"/>
      <c r="BJ20" s="384"/>
      <c r="BK20" s="378"/>
      <c r="BL20" s="378"/>
      <c r="BM20" s="384"/>
      <c r="BN20" s="384"/>
      <c r="BO20" s="378"/>
      <c r="BP20" s="383"/>
      <c r="BQ20" s="383"/>
      <c r="BW20" s="261" t="s">
        <v>188</v>
      </c>
      <c r="BX20" s="294">
        <f>'2026'!T33</f>
        <v>37730.234099999994</v>
      </c>
      <c r="BY20" s="295">
        <f>'2026'!T78</f>
        <v>1939561.4205</v>
      </c>
      <c r="BZ20" s="296">
        <f>'2026'!T130</f>
        <v>2026.5</v>
      </c>
      <c r="CA20" s="295">
        <f>'2026'!T688</f>
        <v>1368</v>
      </c>
      <c r="CB20" s="297">
        <f>'2026'!T547</f>
        <v>4709</v>
      </c>
      <c r="CC20" s="372">
        <f>'2026'!T475</f>
        <v>5188</v>
      </c>
      <c r="CD20" s="373">
        <f>'2026'!T618</f>
        <v>506</v>
      </c>
      <c r="CE20" s="296">
        <f>'2026'!T347+'2026'!T349</f>
        <v>2184</v>
      </c>
      <c r="CF20" s="295">
        <f>'2026'!T893</f>
        <v>1266</v>
      </c>
      <c r="CG20" s="296">
        <f>'2026'!T947</f>
        <v>0</v>
      </c>
      <c r="CH20" s="295">
        <f>'2026'!T828+'2026'!T830</f>
        <v>3248.5</v>
      </c>
      <c r="CI20" s="298"/>
      <c r="CJ20" s="299"/>
      <c r="CK20" s="298"/>
      <c r="CL20" s="295">
        <f>'2026'!T199</f>
        <v>0</v>
      </c>
      <c r="CM20" s="298"/>
      <c r="CN20" s="299"/>
      <c r="CO20" s="266">
        <f>'2026'!T251</f>
        <v>760</v>
      </c>
      <c r="CP20" s="371"/>
      <c r="CQ20" s="371"/>
      <c r="CR20" s="299"/>
      <c r="CS20" s="297">
        <f>'2026'!T1048</f>
        <v>103</v>
      </c>
      <c r="CT20" s="300">
        <f>Приемник!AD19</f>
        <v>143</v>
      </c>
      <c r="CU20" s="301">
        <v>120</v>
      </c>
      <c r="CV20" s="302">
        <f t="shared" si="0"/>
        <v>263</v>
      </c>
      <c r="CW20" s="338"/>
      <c r="DA20" s="360"/>
      <c r="DB20" s="360"/>
      <c r="DC20" s="360"/>
      <c r="DD20" s="361"/>
      <c r="DE20" s="361"/>
      <c r="DF20" s="361"/>
      <c r="DJ20" s="272" t="s">
        <v>188</v>
      </c>
      <c r="DK20" s="273"/>
      <c r="DL20" s="273"/>
      <c r="DM20" s="307"/>
      <c r="DN20" s="308">
        <f t="shared" si="1"/>
        <v>0</v>
      </c>
      <c r="DO20" s="273"/>
      <c r="DP20" s="273"/>
      <c r="DQ20" s="307"/>
      <c r="DR20" s="309">
        <f t="shared" si="2"/>
        <v>0</v>
      </c>
      <c r="DS20" s="310">
        <f t="shared" si="3"/>
        <v>0</v>
      </c>
      <c r="DT20" s="273"/>
      <c r="DU20" s="311"/>
      <c r="DV20" s="312"/>
      <c r="DW20" s="313">
        <f t="shared" si="4"/>
        <v>0</v>
      </c>
      <c r="DX20" s="310">
        <f t="shared" si="5"/>
        <v>0</v>
      </c>
      <c r="DY20" s="273"/>
      <c r="DZ20" s="273"/>
      <c r="EA20" s="307"/>
      <c r="EB20" s="309">
        <f t="shared" si="6"/>
        <v>0</v>
      </c>
      <c r="EC20" s="314">
        <f t="shared" si="7"/>
        <v>0</v>
      </c>
      <c r="EF20" s="329"/>
      <c r="EG20" s="329"/>
      <c r="EH20" s="342"/>
      <c r="EI20" s="343"/>
      <c r="EJ20" s="344"/>
      <c r="EK20" s="343"/>
      <c r="EL20" s="343"/>
      <c r="EM20" s="344"/>
      <c r="EN20" s="345"/>
      <c r="EO20" s="344"/>
      <c r="EP20" s="346"/>
      <c r="EQ20" s="344"/>
      <c r="ER20" s="344"/>
      <c r="ES20" s="347"/>
      <c r="ET20" s="344"/>
      <c r="EU20" s="344"/>
      <c r="EV20" s="344"/>
      <c r="EW20" s="344"/>
      <c r="EX20" s="344"/>
      <c r="EY20" s="344"/>
      <c r="EZ20" s="348"/>
      <c r="FA20" s="349"/>
      <c r="FB20" s="344"/>
      <c r="FC20" s="350"/>
      <c r="FD20" s="350"/>
      <c r="FE20" s="347"/>
      <c r="FF20" s="350"/>
      <c r="FG20" s="350"/>
      <c r="FH20" s="344"/>
      <c r="FI20" s="350"/>
      <c r="FJ20" s="350"/>
      <c r="FK20" s="344"/>
      <c r="FL20" s="351"/>
      <c r="FM20" s="350"/>
      <c r="FN20" s="344"/>
      <c r="FO20" s="350"/>
      <c r="FP20" s="350"/>
      <c r="FQ20" s="347"/>
      <c r="FR20" s="351"/>
      <c r="FS20" s="350"/>
      <c r="FT20" s="344"/>
      <c r="FU20" s="350"/>
      <c r="FV20" s="350"/>
      <c r="FW20" s="347"/>
      <c r="FX20" s="351"/>
      <c r="FY20" s="350"/>
      <c r="FZ20" s="344"/>
      <c r="GA20" s="350"/>
      <c r="GB20" s="350"/>
      <c r="GC20" s="347"/>
      <c r="GD20" s="351"/>
      <c r="GE20" s="350"/>
      <c r="GF20" s="344"/>
      <c r="GG20" s="350"/>
      <c r="GH20" s="350"/>
      <c r="GI20" s="347"/>
      <c r="GJ20" s="351"/>
      <c r="GK20" s="350"/>
      <c r="GL20" s="344"/>
      <c r="GM20" s="350"/>
      <c r="GN20" s="350"/>
      <c r="GO20" s="347"/>
      <c r="GP20" s="353"/>
      <c r="GQ20" s="350"/>
      <c r="GR20" s="344"/>
      <c r="GS20" s="350"/>
      <c r="GT20" s="350"/>
      <c r="GU20" s="347"/>
      <c r="GV20" s="351"/>
      <c r="GW20" s="350"/>
      <c r="GX20" s="344"/>
      <c r="GY20" s="350"/>
      <c r="GZ20" s="350"/>
      <c r="HA20" s="347"/>
      <c r="HB20" s="351"/>
      <c r="HC20" s="350"/>
      <c r="HD20" s="344"/>
      <c r="HE20" s="350"/>
      <c r="HF20" s="350"/>
      <c r="HG20" s="347"/>
      <c r="HH20" s="351"/>
      <c r="HI20" s="350"/>
      <c r="HJ20" s="344"/>
      <c r="HK20" s="350"/>
      <c r="HL20" s="350"/>
      <c r="HM20" s="347"/>
      <c r="HN20" s="351"/>
      <c r="HO20" s="350"/>
      <c r="HP20" s="344"/>
      <c r="HQ20" s="350"/>
      <c r="HR20" s="350"/>
      <c r="HS20" s="347"/>
      <c r="HT20" s="342"/>
      <c r="HU20" s="343"/>
      <c r="HV20" s="344"/>
      <c r="HW20" s="343"/>
      <c r="HX20" s="343"/>
      <c r="HY20" s="344"/>
      <c r="HZ20" s="354"/>
      <c r="IA20" s="344"/>
      <c r="IB20" s="344"/>
      <c r="IC20" s="343"/>
      <c r="ID20" s="343"/>
      <c r="IE20" s="355"/>
      <c r="IF20" s="327"/>
      <c r="IG20" s="316"/>
      <c r="IH20" s="317"/>
    </row>
    <row r="21">
      <c r="A21" s="394" t="s">
        <v>189</v>
      </c>
      <c r="B21" s="395" t="s">
        <v>190</v>
      </c>
      <c r="C21" s="396">
        <f>D21+E21</f>
        <v>6246832.4300000006</v>
      </c>
      <c r="D21" s="397">
        <f>'Расход-2026'!I1255</f>
        <v>79163.440000000002</v>
      </c>
      <c r="E21" s="397">
        <f>'Расход-2026'!J1255</f>
        <v>6167668.9900000002</v>
      </c>
      <c r="F21" s="398">
        <f>BX18</f>
        <v>0</v>
      </c>
      <c r="G21" s="399">
        <f>F21*$AX$128/$F$153</f>
        <v>0</v>
      </c>
      <c r="H21" s="398">
        <f>BY18</f>
        <v>0</v>
      </c>
      <c r="I21" s="399">
        <f>H21*$AX$143/$H$153</f>
        <v>0</v>
      </c>
      <c r="J21" s="398">
        <f>BZ18</f>
        <v>0</v>
      </c>
      <c r="K21" s="397">
        <f>J21*$AX$142/$J$153</f>
        <v>0</v>
      </c>
      <c r="L21" s="400">
        <f>CA18</f>
        <v>0</v>
      </c>
      <c r="M21" s="401">
        <f>L21*$AX$140/$L$153</f>
        <v>0</v>
      </c>
      <c r="N21" s="400">
        <f>CD18</f>
        <v>13</v>
      </c>
      <c r="O21" s="397">
        <f>N21*$AX$138/$N$153</f>
        <v>212.91631228715701</v>
      </c>
      <c r="P21" s="398">
        <f>CC18+CB18</f>
        <v>170</v>
      </c>
      <c r="Q21" s="397">
        <f>P21*($AX$139+$AX$137)/$P$153</f>
        <v>4141.4654093138779</v>
      </c>
      <c r="R21" s="398">
        <f>CE18</f>
        <v>0</v>
      </c>
      <c r="S21" s="397">
        <f>R21*$AX$136/$R$153</f>
        <v>0</v>
      </c>
      <c r="T21" s="398">
        <f>CF18</f>
        <v>0</v>
      </c>
      <c r="U21" s="397">
        <f>T21*$AX$135/$T$153</f>
        <v>0</v>
      </c>
      <c r="V21" s="398">
        <f>CG18</f>
        <v>0</v>
      </c>
      <c r="W21" s="397">
        <f>V21*$AX$134/$V$153</f>
        <v>0</v>
      </c>
      <c r="X21" s="398">
        <f>CH18</f>
        <v>0</v>
      </c>
      <c r="Y21" s="397">
        <f>X21*$AX$148/$X$153</f>
        <v>0</v>
      </c>
      <c r="Z21" s="398">
        <f>CI18</f>
        <v>0</v>
      </c>
      <c r="AA21" s="397"/>
      <c r="AB21" s="398">
        <f>CJ18</f>
        <v>0</v>
      </c>
      <c r="AC21" s="397"/>
      <c r="AD21" s="400">
        <f>CK18</f>
        <v>0</v>
      </c>
      <c r="AE21" s="397"/>
      <c r="AF21" s="398">
        <f>CL18</f>
        <v>0</v>
      </c>
      <c r="AG21" s="399">
        <f>AF21*($AX$113+$AX$114)/$AF$153</f>
        <v>0</v>
      </c>
      <c r="AH21" s="398">
        <f>CM18</f>
        <v>0</v>
      </c>
      <c r="AI21" s="401"/>
      <c r="AJ21" s="398"/>
      <c r="AK21" s="397"/>
      <c r="AL21" s="398">
        <f>CO18</f>
        <v>0</v>
      </c>
      <c r="AM21" s="397"/>
      <c r="AN21" s="400"/>
      <c r="AO21" s="402"/>
      <c r="AP21" s="398">
        <f>'2026'!T1196</f>
        <v>0</v>
      </c>
      <c r="AQ21" s="399">
        <f>AP21*$AX$133/$AP$153</f>
        <v>0</v>
      </c>
      <c r="AR21" s="398">
        <f>CS18</f>
        <v>213</v>
      </c>
      <c r="AS21" s="399">
        <f>$AX$145*AR21/$AR$153</f>
        <v>4505.8174532360381</v>
      </c>
      <c r="AT21" s="398"/>
      <c r="AU21" s="401"/>
      <c r="AV21" s="401"/>
      <c r="AW21" s="401"/>
      <c r="AX21" s="403">
        <f>C21+G21+I21+K21+M21+O21+Q21+S21+U21+W21+Y21+AA21+AC21+AE21+AG21+AI21+AK21+AO21+AU21+AS21+AW21+AQ21+AM21</f>
        <v>6255692.6291748388</v>
      </c>
      <c r="AY21" s="288">
        <f>AX21-C21</f>
        <v>8860.1991748381406</v>
      </c>
      <c r="AZ21" s="404">
        <f>AY21-G21-I21-AG21-AI21-AK21-AM21</f>
        <v>8860.1991748381406</v>
      </c>
      <c r="BA21" s="404">
        <f>AZ21+I21</f>
        <v>8860.1991748381406</v>
      </c>
      <c r="BB21" s="405">
        <f t="shared" ref="BB21:BB22" si="13">BF21+BH21+BJ21</f>
        <v>0</v>
      </c>
      <c r="BC21" s="406" t="e">
        <f>AX21/(BB21+BB22)</f>
        <v>#DIV/0!</v>
      </c>
      <c r="BD21" s="399">
        <f>зарплата!CH17</f>
        <v>2389991.8339854176</v>
      </c>
      <c r="BE21" s="399" t="e">
        <f>#REF!</f>
        <v>#REF!</v>
      </c>
      <c r="BF21" s="407">
        <f t="shared" ref="BF21:BF31" si="14">HZ21</f>
        <v>0</v>
      </c>
      <c r="BG21" s="401">
        <f t="shared" ref="BG21:BH31" si="15">IB21</f>
        <v>0</v>
      </c>
      <c r="BH21" s="408">
        <f t="shared" si="15"/>
        <v>0</v>
      </c>
      <c r="BI21" s="401">
        <f t="shared" ref="BI21:BI31" si="16">IE21</f>
        <v>0</v>
      </c>
      <c r="BJ21" s="397"/>
      <c r="BK21" s="397">
        <f t="shared" ref="BK21:BK31" si="17">BI21+BG21</f>
        <v>0</v>
      </c>
      <c r="BL21" s="409">
        <f t="shared" ref="BL21:BL22" si="18">BK21*55%</f>
        <v>0</v>
      </c>
      <c r="BM21" s="397" t="e">
        <f>AX21/BB21</f>
        <v>#DIV/0!</v>
      </c>
      <c r="BN21" s="397" t="e">
        <f t="shared" ref="BN21:BN31" si="19">BL21/BB21</f>
        <v>#DIV/0!</v>
      </c>
      <c r="BO21" s="397" t="e">
        <f t="shared" ref="BO21:BO31" si="20">BN21-BM21</f>
        <v>#DIV/0!</v>
      </c>
      <c r="BP21" s="410">
        <f>(BL21+BL22)-AX21</f>
        <v>-6255692.6291748388</v>
      </c>
      <c r="BQ21" s="411" t="e">
        <f>BK21+BK22-AX21-(BD21+BD22)-(BE21+BE22)</f>
        <v>#REF!</v>
      </c>
      <c r="BW21" s="261" t="s">
        <v>191</v>
      </c>
      <c r="BX21" s="294">
        <f>'2026'!T11</f>
        <v>0</v>
      </c>
      <c r="BY21" s="295">
        <f>'2026'!T56</f>
        <v>0</v>
      </c>
      <c r="BZ21" s="294">
        <f>'2026'!T108</f>
        <v>98.5</v>
      </c>
      <c r="CA21" s="295">
        <f>'2026'!T665</f>
        <v>47</v>
      </c>
      <c r="CB21" s="295">
        <f>'2026'!T524</f>
        <v>471</v>
      </c>
      <c r="CC21" s="412">
        <f>'2026'!T452</f>
        <v>1173</v>
      </c>
      <c r="CD21" s="373">
        <f>'2026'!T595</f>
        <v>0</v>
      </c>
      <c r="CE21" s="294">
        <f>'2026'!T324</f>
        <v>87</v>
      </c>
      <c r="CF21" s="295"/>
      <c r="CG21" s="294"/>
      <c r="CH21" s="295"/>
      <c r="CI21" s="370"/>
      <c r="CJ21" s="299"/>
      <c r="CK21" s="370"/>
      <c r="CL21" s="295"/>
      <c r="CM21" s="370"/>
      <c r="CN21" s="299"/>
      <c r="CO21" s="266"/>
      <c r="CP21" s="371"/>
      <c r="CQ21" s="371"/>
      <c r="CR21" s="299"/>
      <c r="CS21" s="297">
        <f>'2026'!T1025</f>
        <v>0</v>
      </c>
      <c r="CT21" s="300">
        <f>Приемник!AD21</f>
        <v>26</v>
      </c>
      <c r="CU21" s="301"/>
      <c r="CV21" s="413"/>
      <c r="CW21" s="338"/>
      <c r="DA21" s="360"/>
      <c r="DB21" s="360"/>
      <c r="DC21" s="360"/>
      <c r="DD21" s="361"/>
      <c r="DE21" s="361"/>
      <c r="DF21" s="361"/>
      <c r="DJ21" s="272" t="s">
        <v>192</v>
      </c>
      <c r="DK21" s="273"/>
      <c r="DL21" s="273"/>
      <c r="DM21" s="307"/>
      <c r="DN21" s="308">
        <f t="shared" si="1"/>
        <v>0</v>
      </c>
      <c r="DO21" s="273"/>
      <c r="DP21" s="273"/>
      <c r="DQ21" s="307"/>
      <c r="DR21" s="309">
        <f t="shared" si="2"/>
        <v>0</v>
      </c>
      <c r="DS21" s="310">
        <f t="shared" si="3"/>
        <v>0</v>
      </c>
      <c r="DT21" s="273"/>
      <c r="DU21" s="311"/>
      <c r="DV21" s="312"/>
      <c r="DW21" s="313">
        <f t="shared" si="4"/>
        <v>0</v>
      </c>
      <c r="DX21" s="310">
        <f t="shared" si="5"/>
        <v>0</v>
      </c>
      <c r="DY21" s="273"/>
      <c r="DZ21" s="273"/>
      <c r="EA21" s="307"/>
      <c r="EB21" s="309">
        <f t="shared" si="6"/>
        <v>0</v>
      </c>
      <c r="EC21" s="314">
        <f t="shared" si="7"/>
        <v>0</v>
      </c>
      <c r="EF21" s="283" t="s">
        <v>186</v>
      </c>
      <c r="EG21" s="414" t="s">
        <v>190</v>
      </c>
      <c r="EH21" s="280"/>
      <c r="EI21" s="280"/>
      <c r="EK21" s="280"/>
      <c r="EL21" s="280"/>
      <c r="EN21" s="37"/>
      <c r="ES21" s="38"/>
      <c r="EZ21" s="356">
        <f t="shared" si="8"/>
        <v>0</v>
      </c>
      <c r="FA21" s="357">
        <f t="shared" si="8"/>
        <v>0</v>
      </c>
      <c r="FB21" s="1">
        <f t="shared" si="8"/>
        <v>0</v>
      </c>
      <c r="FC21" s="281">
        <f t="shared" si="8"/>
        <v>0</v>
      </c>
      <c r="FD21" s="281">
        <f t="shared" si="8"/>
        <v>0</v>
      </c>
      <c r="FE21" s="38">
        <f t="shared" si="8"/>
        <v>0</v>
      </c>
      <c r="FF21" s="281"/>
      <c r="FG21" s="281"/>
      <c r="FI21" s="281"/>
      <c r="FJ21" s="281"/>
      <c r="FL21" s="282"/>
      <c r="FM21" s="281"/>
      <c r="FO21" s="281"/>
      <c r="FP21" s="281"/>
      <c r="FQ21" s="38"/>
      <c r="FR21" s="282"/>
      <c r="FS21" s="281"/>
      <c r="FU21" s="281"/>
      <c r="FV21" s="281"/>
      <c r="FW21" s="38"/>
      <c r="FX21" s="282">
        <f t="shared" si="9"/>
        <v>0</v>
      </c>
      <c r="FY21" s="281">
        <f t="shared" si="9"/>
        <v>0</v>
      </c>
      <c r="FZ21" s="358">
        <f t="shared" si="9"/>
        <v>0</v>
      </c>
      <c r="GA21" s="281">
        <f t="shared" si="9"/>
        <v>0</v>
      </c>
      <c r="GB21" s="322">
        <f t="shared" si="9"/>
        <v>0</v>
      </c>
      <c r="GC21" s="359">
        <f t="shared" si="9"/>
        <v>0</v>
      </c>
      <c r="GD21" s="282"/>
      <c r="GE21" s="281"/>
      <c r="GG21" s="281"/>
      <c r="GH21" s="281"/>
      <c r="GI21" s="38"/>
      <c r="GJ21" s="282"/>
      <c r="GK21" s="281"/>
      <c r="GM21" s="281"/>
      <c r="GN21" s="281"/>
      <c r="GO21" s="38"/>
      <c r="GP21" s="363"/>
      <c r="GQ21" s="281"/>
      <c r="GS21" s="281"/>
      <c r="GT21" s="281"/>
      <c r="GU21" s="38"/>
      <c r="GV21" s="323">
        <f t="shared" si="10"/>
        <v>0</v>
      </c>
      <c r="GW21" s="322">
        <f t="shared" si="10"/>
        <v>0</v>
      </c>
      <c r="GX21" s="322">
        <f t="shared" si="10"/>
        <v>0</v>
      </c>
      <c r="GY21" s="322">
        <f t="shared" si="10"/>
        <v>0</v>
      </c>
      <c r="GZ21" s="322">
        <f t="shared" si="10"/>
        <v>0</v>
      </c>
      <c r="HA21" s="326">
        <f t="shared" si="10"/>
        <v>0</v>
      </c>
      <c r="HB21" s="282"/>
      <c r="HC21" s="281"/>
      <c r="HE21" s="281"/>
      <c r="HF21" s="281"/>
      <c r="HG21" s="38"/>
      <c r="HH21" s="282"/>
      <c r="HI21" s="281"/>
      <c r="HK21" s="281"/>
      <c r="HL21" s="281"/>
      <c r="HM21" s="38"/>
      <c r="HN21" s="282"/>
      <c r="HO21" s="281"/>
      <c r="HQ21" s="281"/>
      <c r="HR21" s="281"/>
      <c r="HS21" s="38"/>
      <c r="HT21" s="315">
        <f t="shared" si="11"/>
        <v>0</v>
      </c>
      <c r="HU21" s="316">
        <f t="shared" si="11"/>
        <v>0</v>
      </c>
      <c r="HV21" s="317">
        <f t="shared" si="11"/>
        <v>0</v>
      </c>
      <c r="HW21" s="316">
        <f t="shared" si="11"/>
        <v>0</v>
      </c>
      <c r="HX21" s="316">
        <f t="shared" si="11"/>
        <v>0</v>
      </c>
      <c r="HY21" s="317">
        <f t="shared" si="11"/>
        <v>0</v>
      </c>
      <c r="HZ21" s="327">
        <f t="shared" si="12"/>
        <v>0</v>
      </c>
      <c r="IA21" s="316">
        <f t="shared" si="12"/>
        <v>0</v>
      </c>
      <c r="IB21" s="317">
        <f t="shared" si="12"/>
        <v>0</v>
      </c>
      <c r="IC21" s="316">
        <f t="shared" si="12"/>
        <v>0</v>
      </c>
      <c r="ID21" s="316">
        <f t="shared" si="12"/>
        <v>0</v>
      </c>
      <c r="IE21" s="328">
        <f t="shared" si="12"/>
        <v>0</v>
      </c>
      <c r="IF21" s="327">
        <f t="shared" ref="IF21:IH31" si="21">HZ21+IC21</f>
        <v>0</v>
      </c>
      <c r="IG21" s="316">
        <f t="shared" si="21"/>
        <v>0</v>
      </c>
      <c r="IH21" s="317">
        <f t="shared" si="21"/>
        <v>0</v>
      </c>
    </row>
    <row r="22">
      <c r="A22" s="415"/>
      <c r="B22" s="416" t="s">
        <v>193</v>
      </c>
      <c r="C22" s="417"/>
      <c r="D22" s="418">
        <f>D21*100/$AX21</f>
        <v>1.2654624306636066</v>
      </c>
      <c r="E22" s="418">
        <f>E21*100/$AX21</f>
        <v>98.592903385880561</v>
      </c>
      <c r="F22" s="419"/>
      <c r="G22" s="420">
        <f>G21*100/$AX21</f>
        <v>0</v>
      </c>
      <c r="H22" s="419"/>
      <c r="I22" s="421">
        <f>I21*100/$AX21</f>
        <v>0</v>
      </c>
      <c r="J22" s="419"/>
      <c r="K22" s="418">
        <f>K21*100/$AX21</f>
        <v>0</v>
      </c>
      <c r="L22" s="419"/>
      <c r="M22" s="422">
        <f>M21*100/$AX21</f>
        <v>0</v>
      </c>
      <c r="N22" s="419"/>
      <c r="O22" s="418">
        <f>O21*100/$AX21</f>
        <v>0.0034035609629247702</v>
      </c>
      <c r="P22" s="419"/>
      <c r="Q22" s="418">
        <f>Q21*100/$AX21</f>
        <v>0.066203147354126968</v>
      </c>
      <c r="R22" s="419"/>
      <c r="S22" s="423">
        <f>S21*100/$AX21</f>
        <v>0</v>
      </c>
      <c r="T22" s="419"/>
      <c r="U22" s="423">
        <f>U21*100/$AX21</f>
        <v>0</v>
      </c>
      <c r="V22" s="419"/>
      <c r="W22" s="423">
        <f>W21*100/$AX21</f>
        <v>0</v>
      </c>
      <c r="X22" s="419"/>
      <c r="Y22" s="418">
        <f>Y21*100/$AX21</f>
        <v>0</v>
      </c>
      <c r="Z22" s="419"/>
      <c r="AA22" s="423"/>
      <c r="AB22" s="419"/>
      <c r="AC22" s="423"/>
      <c r="AD22" s="419"/>
      <c r="AE22" s="423"/>
      <c r="AF22" s="419"/>
      <c r="AG22" s="421">
        <f>AG21*100/$AX21</f>
        <v>0</v>
      </c>
      <c r="AH22" s="419"/>
      <c r="AI22" s="423"/>
      <c r="AJ22" s="419"/>
      <c r="AK22" s="423"/>
      <c r="AL22" s="419"/>
      <c r="AM22" s="423"/>
      <c r="AN22" s="419"/>
      <c r="AO22" s="420"/>
      <c r="AP22" s="424"/>
      <c r="AQ22" s="425">
        <f>AQ21*100/$AX21</f>
        <v>0</v>
      </c>
      <c r="AR22" s="419"/>
      <c r="AS22" s="421">
        <f>AS21*100/$AX21</f>
        <v>0.072027475138758235</v>
      </c>
      <c r="AT22" s="419"/>
      <c r="AU22" s="423"/>
      <c r="AV22" s="426"/>
      <c r="AW22" s="426"/>
      <c r="AX22" s="427">
        <f>SUM(D22:AW22)</f>
        <v>99.999999999999972</v>
      </c>
      <c r="AY22" s="336"/>
      <c r="AZ22" s="387"/>
      <c r="BA22" s="387"/>
      <c r="BB22" s="428">
        <f t="shared" si="13"/>
        <v>0</v>
      </c>
      <c r="BC22" s="429"/>
      <c r="BD22" s="430">
        <f>'зарплата'!CH18</f>
        <v>0</v>
      </c>
      <c r="BE22" s="430" t="e">
        <f>#REF!</f>
        <v>#REF!</v>
      </c>
      <c r="BF22" s="431">
        <f t="shared" si="14"/>
        <v>0</v>
      </c>
      <c r="BG22" s="426">
        <f t="shared" si="15"/>
        <v>0</v>
      </c>
      <c r="BH22" s="432">
        <f t="shared" si="15"/>
        <v>0</v>
      </c>
      <c r="BI22" s="426">
        <f t="shared" si="16"/>
        <v>0</v>
      </c>
      <c r="BJ22" s="433"/>
      <c r="BK22" s="433">
        <f t="shared" si="17"/>
        <v>0</v>
      </c>
      <c r="BL22" s="434">
        <f t="shared" si="18"/>
        <v>0</v>
      </c>
      <c r="BM22" s="433" t="e">
        <f>AX21/BB22</f>
        <v>#DIV/0!</v>
      </c>
      <c r="BN22" s="433" t="e">
        <f t="shared" si="19"/>
        <v>#DIV/0!</v>
      </c>
      <c r="BO22" s="433" t="e">
        <f t="shared" si="20"/>
        <v>#DIV/0!</v>
      </c>
      <c r="BP22" s="435"/>
      <c r="BQ22" s="436"/>
      <c r="BW22" s="261"/>
      <c r="BX22" s="294"/>
      <c r="BY22" s="295"/>
      <c r="BZ22" s="294"/>
      <c r="CA22" s="295"/>
      <c r="CB22" s="295"/>
      <c r="CC22" s="412"/>
      <c r="CD22" s="373"/>
      <c r="CE22" s="294"/>
      <c r="CF22" s="295"/>
      <c r="CG22" s="294"/>
      <c r="CH22" s="295"/>
      <c r="CI22" s="370"/>
      <c r="CJ22" s="299"/>
      <c r="CK22" s="370"/>
      <c r="CL22" s="295"/>
      <c r="CM22" s="370"/>
      <c r="CN22" s="299"/>
      <c r="CO22" s="266"/>
      <c r="CP22" s="371"/>
      <c r="CQ22" s="371"/>
      <c r="CR22" s="299"/>
      <c r="CS22" s="295"/>
      <c r="CT22" s="300"/>
      <c r="CU22" s="301"/>
      <c r="CV22" s="413"/>
      <c r="CW22" s="338"/>
      <c r="DA22" s="360"/>
      <c r="DB22" s="360"/>
      <c r="DC22" s="360"/>
      <c r="DD22" s="361"/>
      <c r="DE22" s="361"/>
      <c r="DF22" s="361"/>
      <c r="DJ22" s="272"/>
      <c r="DK22" s="273"/>
      <c r="DL22" s="273"/>
      <c r="DM22" s="307"/>
      <c r="DN22" s="308">
        <f t="shared" si="1"/>
        <v>0</v>
      </c>
      <c r="DO22" s="273"/>
      <c r="DP22" s="273"/>
      <c r="DQ22" s="307"/>
      <c r="DR22" s="309">
        <f t="shared" si="2"/>
        <v>0</v>
      </c>
      <c r="DS22" s="310">
        <f t="shared" si="3"/>
        <v>0</v>
      </c>
      <c r="DT22" s="273"/>
      <c r="DU22" s="311"/>
      <c r="DV22" s="312"/>
      <c r="DW22" s="313">
        <f t="shared" si="4"/>
        <v>0</v>
      </c>
      <c r="DX22" s="310">
        <f t="shared" si="5"/>
        <v>0</v>
      </c>
      <c r="DY22" s="273"/>
      <c r="DZ22" s="273"/>
      <c r="EA22" s="307"/>
      <c r="EB22" s="309">
        <f t="shared" si="6"/>
        <v>0</v>
      </c>
      <c r="EC22" s="314">
        <f t="shared" si="7"/>
        <v>0</v>
      </c>
      <c r="EF22" s="437"/>
      <c r="EG22" s="438" t="s">
        <v>193</v>
      </c>
      <c r="EH22" s="307"/>
      <c r="EI22" s="439"/>
      <c r="EJ22" s="440"/>
      <c r="EK22" s="439"/>
      <c r="EL22" s="439"/>
      <c r="EM22" s="440"/>
      <c r="EN22" s="274"/>
      <c r="EO22" s="440"/>
      <c r="EP22" s="440"/>
      <c r="EQ22" s="440"/>
      <c r="ER22" s="440"/>
      <c r="ES22" s="276"/>
      <c r="ET22" s="440"/>
      <c r="EU22" s="440"/>
      <c r="EV22" s="440"/>
      <c r="EW22" s="440"/>
      <c r="EX22" s="440"/>
      <c r="EY22" s="440"/>
      <c r="EZ22" s="312">
        <f t="shared" si="8"/>
        <v>0</v>
      </c>
      <c r="FA22" s="441">
        <f t="shared" si="8"/>
        <v>0</v>
      </c>
      <c r="FB22" s="440">
        <f t="shared" si="8"/>
        <v>0</v>
      </c>
      <c r="FC22" s="442">
        <f t="shared" si="8"/>
        <v>0</v>
      </c>
      <c r="FD22" s="442">
        <f t="shared" si="8"/>
        <v>0</v>
      </c>
      <c r="FE22" s="276">
        <f t="shared" si="8"/>
        <v>0</v>
      </c>
      <c r="FF22" s="442"/>
      <c r="FG22" s="442"/>
      <c r="FH22" s="440"/>
      <c r="FI22" s="442"/>
      <c r="FJ22" s="442"/>
      <c r="FK22" s="440"/>
      <c r="FL22" s="443"/>
      <c r="FM22" s="442"/>
      <c r="FN22" s="440"/>
      <c r="FO22" s="442"/>
      <c r="FP22" s="442"/>
      <c r="FQ22" s="276"/>
      <c r="FR22" s="443"/>
      <c r="FS22" s="442"/>
      <c r="FT22" s="440"/>
      <c r="FU22" s="442"/>
      <c r="FV22" s="442"/>
      <c r="FW22" s="276"/>
      <c r="FX22" s="443">
        <f t="shared" si="9"/>
        <v>0</v>
      </c>
      <c r="FY22" s="442">
        <f t="shared" si="9"/>
        <v>0</v>
      </c>
      <c r="FZ22" s="440">
        <f t="shared" si="9"/>
        <v>0</v>
      </c>
      <c r="GA22" s="442">
        <f t="shared" si="9"/>
        <v>0</v>
      </c>
      <c r="GB22" s="442">
        <f t="shared" si="9"/>
        <v>0</v>
      </c>
      <c r="GC22" s="276">
        <f t="shared" si="9"/>
        <v>0</v>
      </c>
      <c r="GD22" s="443"/>
      <c r="GE22" s="442"/>
      <c r="GF22" s="440"/>
      <c r="GG22" s="442"/>
      <c r="GH22" s="442"/>
      <c r="GI22" s="276"/>
      <c r="GJ22" s="443"/>
      <c r="GK22" s="442"/>
      <c r="GL22" s="440"/>
      <c r="GM22" s="442"/>
      <c r="GN22" s="442"/>
      <c r="GO22" s="276"/>
      <c r="GP22" s="444"/>
      <c r="GQ22" s="442"/>
      <c r="GR22" s="440"/>
      <c r="GS22" s="442"/>
      <c r="GT22" s="442"/>
      <c r="GU22" s="276"/>
      <c r="GV22" s="443">
        <f t="shared" si="10"/>
        <v>0</v>
      </c>
      <c r="GW22" s="322">
        <f t="shared" si="10"/>
        <v>0</v>
      </c>
      <c r="GX22" s="322">
        <f t="shared" si="10"/>
        <v>0</v>
      </c>
      <c r="GY22" s="442">
        <f t="shared" si="10"/>
        <v>0</v>
      </c>
      <c r="GZ22" s="322">
        <f t="shared" si="10"/>
        <v>0</v>
      </c>
      <c r="HA22" s="326">
        <f t="shared" si="10"/>
        <v>0</v>
      </c>
      <c r="HB22" s="443"/>
      <c r="HC22" s="442"/>
      <c r="HD22" s="440"/>
      <c r="HE22" s="442"/>
      <c r="HF22" s="442"/>
      <c r="HG22" s="276"/>
      <c r="HH22" s="443"/>
      <c r="HI22" s="442"/>
      <c r="HJ22" s="440"/>
      <c r="HK22" s="442"/>
      <c r="HL22" s="442"/>
      <c r="HM22" s="276"/>
      <c r="HN22" s="443"/>
      <c r="HO22" s="442"/>
      <c r="HP22" s="440"/>
      <c r="HQ22" s="442"/>
      <c r="HR22" s="442"/>
      <c r="HS22" s="276"/>
      <c r="HT22" s="307">
        <f t="shared" si="11"/>
        <v>0</v>
      </c>
      <c r="HU22" s="439">
        <f t="shared" si="11"/>
        <v>0</v>
      </c>
      <c r="HV22" s="440">
        <f t="shared" si="11"/>
        <v>0</v>
      </c>
      <c r="HW22" s="439">
        <f t="shared" si="11"/>
        <v>0</v>
      </c>
      <c r="HX22" s="439">
        <f t="shared" si="11"/>
        <v>0</v>
      </c>
      <c r="HY22" s="440">
        <f t="shared" si="11"/>
        <v>0</v>
      </c>
      <c r="HZ22" s="445">
        <f t="shared" si="12"/>
        <v>0</v>
      </c>
      <c r="IA22" s="439">
        <f t="shared" si="12"/>
        <v>0</v>
      </c>
      <c r="IB22" s="440">
        <f t="shared" si="12"/>
        <v>0</v>
      </c>
      <c r="IC22" s="439">
        <f t="shared" si="12"/>
        <v>0</v>
      </c>
      <c r="ID22" s="439">
        <f t="shared" si="12"/>
        <v>0</v>
      </c>
      <c r="IE22" s="446">
        <f t="shared" si="12"/>
        <v>0</v>
      </c>
      <c r="IF22" s="327">
        <f t="shared" si="21"/>
        <v>0</v>
      </c>
      <c r="IG22" s="316">
        <f t="shared" si="21"/>
        <v>0</v>
      </c>
      <c r="IH22" s="317">
        <f t="shared" si="21"/>
        <v>0</v>
      </c>
    </row>
    <row r="23">
      <c r="A23" s="447" t="s">
        <v>184</v>
      </c>
      <c r="B23" s="447"/>
      <c r="C23" s="448">
        <f>D23+E23</f>
        <v>1565980.6099999999</v>
      </c>
      <c r="D23" s="449">
        <f>'Расход-2026'!I1191</f>
        <v>1507679.6599999999</v>
      </c>
      <c r="E23" s="449">
        <f>'Расход-2026'!J1191</f>
        <v>58300.950000000004</v>
      </c>
      <c r="F23" s="450">
        <f>BX16</f>
        <v>0</v>
      </c>
      <c r="G23" s="451">
        <f>F23*$AX$128/$F$153</f>
        <v>0</v>
      </c>
      <c r="H23" s="450">
        <f>BY16</f>
        <v>0</v>
      </c>
      <c r="I23" s="451">
        <f>H23*$AX$143/$H$153</f>
        <v>0</v>
      </c>
      <c r="J23" s="450">
        <f>BZ16</f>
        <v>1258.5</v>
      </c>
      <c r="K23" s="449">
        <f>J23*$AX$142/$J$153</f>
        <v>30113.928406352752</v>
      </c>
      <c r="L23" s="452">
        <f>CA16</f>
        <v>803</v>
      </c>
      <c r="M23" s="453">
        <f>L23*$AX$140/$L$153</f>
        <v>33956.480898446898</v>
      </c>
      <c r="N23" s="452">
        <f>CD16</f>
        <v>124</v>
      </c>
      <c r="O23" s="449">
        <f>N23*$AX$138/$N$153</f>
        <v>2030.8940556621128</v>
      </c>
      <c r="P23" s="450">
        <f>CC16+CB16</f>
        <v>1693</v>
      </c>
      <c r="Q23" s="449">
        <f>P23*($AX$139+$AX$137)/$P$153</f>
        <v>41244.123164519966</v>
      </c>
      <c r="R23" s="450">
        <f>CE16</f>
        <v>68</v>
      </c>
      <c r="S23" s="449">
        <f>R23*$AX$136/$R$153</f>
        <v>163.55997060319976</v>
      </c>
      <c r="T23" s="450">
        <f>CF16</f>
        <v>107.5</v>
      </c>
      <c r="U23" s="449">
        <f>T23*$AX$135/$T$153</f>
        <v>2958.5077681044613</v>
      </c>
      <c r="V23" s="450">
        <f>CG16</f>
        <v>10027</v>
      </c>
      <c r="W23" s="449">
        <f>V23*$AX$134/$V$153</f>
        <v>1990.5302730024796</v>
      </c>
      <c r="X23" s="450">
        <f>CH16</f>
        <v>308</v>
      </c>
      <c r="Y23" s="449">
        <f>X23*$AX$148/$X$153</f>
        <v>780.86032038537337</v>
      </c>
      <c r="Z23" s="450">
        <f>CI16</f>
        <v>0</v>
      </c>
      <c r="AA23" s="449"/>
      <c r="AB23" s="450">
        <f>CJ16</f>
        <v>0</v>
      </c>
      <c r="AC23" s="449"/>
      <c r="AD23" s="452">
        <f>CK16</f>
        <v>0</v>
      </c>
      <c r="AE23" s="449"/>
      <c r="AF23" s="450">
        <f>CL16</f>
        <v>23</v>
      </c>
      <c r="AG23" s="451">
        <f>AF23*($AX$113+$AX$114)/$AF$153</f>
        <v>282879.14520359563</v>
      </c>
      <c r="AH23" s="450">
        <f>CM16</f>
        <v>0</v>
      </c>
      <c r="AI23" s="453"/>
      <c r="AJ23" s="450"/>
      <c r="AK23" s="449"/>
      <c r="AL23" s="450">
        <f>CO16</f>
        <v>0</v>
      </c>
      <c r="AM23" s="449"/>
      <c r="AN23" s="450"/>
      <c r="AO23" s="451"/>
      <c r="AP23" s="450">
        <f>'2026'!T1158</f>
        <v>3</v>
      </c>
      <c r="AQ23" s="451">
        <f>AP23*$AX$133/$AP$153</f>
        <v>313.73302222634157</v>
      </c>
      <c r="AR23" s="450">
        <f>CS16</f>
        <v>11</v>
      </c>
      <c r="AS23" s="451">
        <f>$AX$145*AR23/$AR$153</f>
        <v>232.69479805444328</v>
      </c>
      <c r="AT23" s="450">
        <f>CT16</f>
        <v>125</v>
      </c>
      <c r="AU23" s="453">
        <f>AT23*$AX$125/$AT$153</f>
        <v>49248.21806789031</v>
      </c>
      <c r="AV23" s="453"/>
      <c r="AW23" s="453"/>
      <c r="AX23" s="404">
        <f>C23+G23+I23+K23+M23+O23+Q23+S23+U23+W23+Y23+AA23+AC23+AE23+AG23+AI23+AK23+AO23+AU23+AS23+AW23+AQ23+AM23</f>
        <v>2011893.2859488435</v>
      </c>
      <c r="AY23" s="288">
        <f>AX23-C23</f>
        <v>445912.67594884359</v>
      </c>
      <c r="AZ23" s="404">
        <f>AY23-G23-I23-AG23-AI23-AK23-AM23</f>
        <v>163033.53074524796</v>
      </c>
      <c r="BA23" s="404">
        <f>AZ23+I23</f>
        <v>163033.53074524796</v>
      </c>
      <c r="BB23" s="454">
        <f>BF23+BH23</f>
        <v>0</v>
      </c>
      <c r="BC23" s="455" t="e">
        <f>AX23/BB23</f>
        <v>#DIV/0!</v>
      </c>
      <c r="BD23" s="451">
        <f>'зарплата'!CH19</f>
        <v>8580118.3171588685</v>
      </c>
      <c r="BE23" s="451" t="e">
        <f>#REF!</f>
        <v>#REF!</v>
      </c>
      <c r="BF23" s="456">
        <f t="shared" si="14"/>
        <v>0</v>
      </c>
      <c r="BG23" s="453">
        <f t="shared" si="15"/>
        <v>0</v>
      </c>
      <c r="BH23" s="457">
        <f t="shared" si="15"/>
        <v>0</v>
      </c>
      <c r="BI23" s="453">
        <f t="shared" si="16"/>
        <v>0</v>
      </c>
      <c r="BJ23" s="453"/>
      <c r="BK23" s="450">
        <f t="shared" si="17"/>
        <v>0</v>
      </c>
      <c r="BL23" s="458">
        <f>(BG23*13%)+(BI23*52%)</f>
        <v>0</v>
      </c>
      <c r="BM23" s="453" t="e">
        <f>AX23/BB23</f>
        <v>#DIV/0!</v>
      </c>
      <c r="BN23" s="453" t="e">
        <f t="shared" si="19"/>
        <v>#DIV/0!</v>
      </c>
      <c r="BO23" s="450" t="e">
        <f t="shared" si="20"/>
        <v>#DIV/0!</v>
      </c>
      <c r="BP23" s="449">
        <f>BL23-AX23</f>
        <v>-2011893.2859488435</v>
      </c>
      <c r="BQ23" s="449" t="e">
        <f>BK23-AX23-BD23-BE23</f>
        <v>#REF!</v>
      </c>
      <c r="BW23" s="459" t="s">
        <v>22</v>
      </c>
      <c r="BX23" s="460">
        <f>SUM(BX11:BX21)</f>
        <v>61417.887999999992</v>
      </c>
      <c r="BY23" s="460">
        <f>SUM(BY11:BY21)</f>
        <v>55617588.138000004</v>
      </c>
      <c r="BZ23" s="460">
        <f>SUM(BZ11:BZ21)</f>
        <v>8825</v>
      </c>
      <c r="CA23" s="460">
        <f>SUM(CA11:CA21)</f>
        <v>10192</v>
      </c>
      <c r="CB23" s="460">
        <f t="shared" ref="CB23:CT23" si="22">SUM(CB11:CB21)</f>
        <v>36107</v>
      </c>
      <c r="CC23" s="460">
        <f t="shared" si="22"/>
        <v>48711</v>
      </c>
      <c r="CD23" s="460">
        <f t="shared" si="22"/>
        <v>4678</v>
      </c>
      <c r="CE23" s="460">
        <f t="shared" si="22"/>
        <v>6065</v>
      </c>
      <c r="CF23" s="460">
        <f t="shared" si="22"/>
        <v>3182</v>
      </c>
      <c r="CG23" s="460">
        <f t="shared" si="22"/>
        <v>28293.5</v>
      </c>
      <c r="CH23" s="460">
        <f t="shared" si="22"/>
        <v>11157</v>
      </c>
      <c r="CI23" s="460">
        <f t="shared" si="22"/>
        <v>0</v>
      </c>
      <c r="CJ23" s="460">
        <f t="shared" si="22"/>
        <v>0</v>
      </c>
      <c r="CK23" s="460">
        <f t="shared" si="22"/>
        <v>0</v>
      </c>
      <c r="CL23" s="460">
        <f t="shared" si="22"/>
        <v>113</v>
      </c>
      <c r="CM23" s="460">
        <f t="shared" si="22"/>
        <v>0</v>
      </c>
      <c r="CN23" s="460">
        <f t="shared" si="22"/>
        <v>0</v>
      </c>
      <c r="CO23" s="460">
        <f t="shared" si="22"/>
        <v>760</v>
      </c>
      <c r="CP23" s="460">
        <f t="shared" si="22"/>
        <v>0</v>
      </c>
      <c r="CQ23" s="460">
        <f t="shared" si="22"/>
        <v>0</v>
      </c>
      <c r="CR23" s="460">
        <f t="shared" si="22"/>
        <v>0</v>
      </c>
      <c r="CS23" s="460">
        <f t="shared" si="22"/>
        <v>686</v>
      </c>
      <c r="CT23" s="460">
        <f t="shared" si="22"/>
        <v>1273</v>
      </c>
      <c r="CU23" s="461">
        <f>SUM(CU10:CU20)</f>
        <v>224</v>
      </c>
      <c r="CV23" s="461">
        <f>SUM(CV10:CV20)</f>
        <v>1471</v>
      </c>
      <c r="CW23" s="461">
        <f>SUM(CW10:CW20)</f>
        <v>20901.936678205486</v>
      </c>
      <c r="DA23" s="304">
        <f>DB23+DC23</f>
        <v>0</v>
      </c>
      <c r="DB23" s="305"/>
      <c r="DC23" s="305"/>
      <c r="DD23" s="306">
        <f>DE23+DF23</f>
        <v>0</v>
      </c>
      <c r="DE23" s="306"/>
      <c r="DF23" s="306"/>
      <c r="DJ23" s="462" t="s">
        <v>22</v>
      </c>
      <c r="DK23" s="463">
        <f>SUM(DK11:DK22)</f>
        <v>0</v>
      </c>
      <c r="DL23" s="463">
        <f>SUM(DL11:DL22)</f>
        <v>0</v>
      </c>
      <c r="DM23" s="463">
        <f>SUM(DM11:DM22)</f>
        <v>0</v>
      </c>
      <c r="DN23" s="464">
        <f t="shared" si="1"/>
        <v>0</v>
      </c>
      <c r="DO23" s="463">
        <f t="shared" ref="DO23:EC23" si="23">SUM(DO11:DO22)</f>
        <v>0</v>
      </c>
      <c r="DP23" s="463">
        <f t="shared" si="23"/>
        <v>0</v>
      </c>
      <c r="DQ23" s="463">
        <f t="shared" si="23"/>
        <v>0</v>
      </c>
      <c r="DR23" s="464">
        <f t="shared" si="23"/>
        <v>0</v>
      </c>
      <c r="DS23" s="464">
        <f t="shared" si="3"/>
        <v>0</v>
      </c>
      <c r="DT23" s="463">
        <f t="shared" si="23"/>
        <v>0</v>
      </c>
      <c r="DU23" s="463">
        <f t="shared" si="23"/>
        <v>0</v>
      </c>
      <c r="DV23" s="463">
        <f t="shared" si="23"/>
        <v>0</v>
      </c>
      <c r="DW23" s="465">
        <f t="shared" si="23"/>
        <v>0</v>
      </c>
      <c r="DX23" s="464">
        <f t="shared" si="5"/>
        <v>0</v>
      </c>
      <c r="DY23" s="463">
        <f t="shared" si="23"/>
        <v>0</v>
      </c>
      <c r="DZ23" s="463">
        <f t="shared" si="23"/>
        <v>0</v>
      </c>
      <c r="EA23" s="463">
        <f t="shared" si="23"/>
        <v>0</v>
      </c>
      <c r="EB23" s="464">
        <f t="shared" si="23"/>
        <v>0</v>
      </c>
      <c r="EC23" s="464">
        <f t="shared" si="23"/>
        <v>0</v>
      </c>
      <c r="EF23" s="283" t="s">
        <v>184</v>
      </c>
      <c r="EG23" s="283"/>
      <c r="EH23" s="280"/>
      <c r="EI23" s="280"/>
      <c r="EK23" s="280"/>
      <c r="EL23" s="280"/>
      <c r="EN23" s="37"/>
      <c r="ES23" s="38"/>
      <c r="EZ23" s="356">
        <f t="shared" si="8"/>
        <v>0</v>
      </c>
      <c r="FA23" s="357">
        <f t="shared" si="8"/>
        <v>0</v>
      </c>
      <c r="FB23" s="1">
        <f t="shared" si="8"/>
        <v>0</v>
      </c>
      <c r="FC23" s="281">
        <f t="shared" si="8"/>
        <v>0</v>
      </c>
      <c r="FD23" s="281">
        <f t="shared" si="8"/>
        <v>0</v>
      </c>
      <c r="FE23" s="38">
        <f t="shared" si="8"/>
        <v>0</v>
      </c>
      <c r="FF23" s="281"/>
      <c r="FG23" s="281"/>
      <c r="FI23" s="281"/>
      <c r="FJ23" s="281"/>
      <c r="FL23" s="282"/>
      <c r="FM23" s="281"/>
      <c r="FO23" s="281"/>
      <c r="FP23" s="281"/>
      <c r="FQ23" s="38"/>
      <c r="FR23" s="282"/>
      <c r="FS23" s="281"/>
      <c r="FU23" s="281"/>
      <c r="FV23" s="281"/>
      <c r="FW23" s="38"/>
      <c r="FX23" s="282">
        <f t="shared" si="9"/>
        <v>0</v>
      </c>
      <c r="FY23" s="281">
        <f t="shared" si="9"/>
        <v>0</v>
      </c>
      <c r="FZ23" s="358">
        <f t="shared" si="9"/>
        <v>0</v>
      </c>
      <c r="GA23" s="281">
        <f t="shared" si="9"/>
        <v>0</v>
      </c>
      <c r="GB23" s="281">
        <f t="shared" si="9"/>
        <v>0</v>
      </c>
      <c r="GC23" s="359">
        <f t="shared" si="9"/>
        <v>0</v>
      </c>
      <c r="GD23" s="282"/>
      <c r="GE23" s="281"/>
      <c r="GG23" s="281"/>
      <c r="GH23" s="281"/>
      <c r="GI23" s="38"/>
      <c r="GJ23" s="282"/>
      <c r="GK23" s="281"/>
      <c r="GM23" s="281"/>
      <c r="GN23" s="281"/>
      <c r="GO23" s="38"/>
      <c r="GP23" s="363"/>
      <c r="GQ23" s="281"/>
      <c r="GS23" s="281"/>
      <c r="GT23" s="281"/>
      <c r="GU23" s="38"/>
      <c r="GV23" s="323">
        <f t="shared" si="10"/>
        <v>0</v>
      </c>
      <c r="GW23" s="322">
        <f t="shared" si="10"/>
        <v>0</v>
      </c>
      <c r="GX23" s="322">
        <f t="shared" si="10"/>
        <v>0</v>
      </c>
      <c r="GY23" s="322">
        <f t="shared" si="10"/>
        <v>0</v>
      </c>
      <c r="GZ23" s="322">
        <f t="shared" si="10"/>
        <v>0</v>
      </c>
      <c r="HA23" s="326">
        <f t="shared" si="10"/>
        <v>0</v>
      </c>
      <c r="HB23" s="282"/>
      <c r="HC23" s="281"/>
      <c r="HE23" s="281"/>
      <c r="HF23" s="281"/>
      <c r="HG23" s="38"/>
      <c r="HH23" s="282"/>
      <c r="HI23" s="281"/>
      <c r="HK23" s="281"/>
      <c r="HL23" s="281"/>
      <c r="HM23" s="38"/>
      <c r="HN23" s="282"/>
      <c r="HO23" s="281"/>
      <c r="HQ23" s="281"/>
      <c r="HR23" s="281"/>
      <c r="HS23" s="38"/>
      <c r="HT23" s="315">
        <f t="shared" si="11"/>
        <v>0</v>
      </c>
      <c r="HU23" s="316">
        <f t="shared" si="11"/>
        <v>0</v>
      </c>
      <c r="HV23" s="317">
        <f t="shared" si="11"/>
        <v>0</v>
      </c>
      <c r="HW23" s="316">
        <f t="shared" si="11"/>
        <v>0</v>
      </c>
      <c r="HX23" s="316">
        <f t="shared" si="11"/>
        <v>0</v>
      </c>
      <c r="HY23" s="317">
        <f t="shared" si="11"/>
        <v>0</v>
      </c>
      <c r="HZ23" s="327">
        <f t="shared" si="12"/>
        <v>0</v>
      </c>
      <c r="IA23" s="316">
        <f t="shared" si="12"/>
        <v>0</v>
      </c>
      <c r="IB23" s="317">
        <f t="shared" si="12"/>
        <v>0</v>
      </c>
      <c r="IC23" s="316">
        <f t="shared" si="12"/>
        <v>0</v>
      </c>
      <c r="ID23" s="316">
        <f t="shared" si="12"/>
        <v>0</v>
      </c>
      <c r="IE23" s="328">
        <f t="shared" si="12"/>
        <v>0</v>
      </c>
      <c r="IF23" s="327">
        <f t="shared" si="21"/>
        <v>0</v>
      </c>
      <c r="IG23" s="316">
        <f t="shared" si="21"/>
        <v>0</v>
      </c>
      <c r="IH23" s="317">
        <f t="shared" si="21"/>
        <v>0</v>
      </c>
    </row>
    <row r="24">
      <c r="A24" s="329"/>
      <c r="B24" s="329"/>
      <c r="C24" s="284"/>
      <c r="D24" s="331">
        <f>D23*100/$AX23</f>
        <v>74.938351379255806</v>
      </c>
      <c r="E24" s="331">
        <f>E23*100/$AX23</f>
        <v>2.8978152274365918</v>
      </c>
      <c r="F24" s="217"/>
      <c r="G24" s="332">
        <f>G23*100/$AX23</f>
        <v>0</v>
      </c>
      <c r="H24" s="217"/>
      <c r="I24" s="332">
        <f>I23*100/$AX23</f>
        <v>0</v>
      </c>
      <c r="J24" s="217"/>
      <c r="K24" s="331">
        <f>K23*100/$AX23</f>
        <v>1.4967955118032268</v>
      </c>
      <c r="L24" s="258"/>
      <c r="M24" s="333">
        <f>M23*100/$AX23</f>
        <v>1.6877873759806519</v>
      </c>
      <c r="N24" s="258"/>
      <c r="O24" s="331">
        <f>O23*100/$AX23</f>
        <v>0.10094442234317155</v>
      </c>
      <c r="P24" s="217"/>
      <c r="Q24" s="331">
        <f>Q23*100/$AX23</f>
        <v>2.0500154482631285</v>
      </c>
      <c r="R24" s="217"/>
      <c r="S24" s="331">
        <f>S23*100/$AX23</f>
        <v>0.0081296543780681723</v>
      </c>
      <c r="T24" s="217"/>
      <c r="U24" s="331">
        <f>U23*100/$AX23</f>
        <v>0.14705092903121739</v>
      </c>
      <c r="V24" s="217"/>
      <c r="W24" s="331">
        <f>W23*100/$AX23</f>
        <v>0.098938163713972099</v>
      </c>
      <c r="X24" s="217"/>
      <c r="Y24" s="331">
        <f>Y23*100/$AX23</f>
        <v>0.038812213641694529</v>
      </c>
      <c r="Z24" s="217"/>
      <c r="AA24" s="331"/>
      <c r="AB24" s="217"/>
      <c r="AC24" s="331"/>
      <c r="AD24" s="258"/>
      <c r="AE24" s="285"/>
      <c r="AF24" s="217"/>
      <c r="AG24" s="332">
        <f>AG23*100/$AX23</f>
        <v>14.060345405953527</v>
      </c>
      <c r="AH24" s="217"/>
      <c r="AI24" s="287"/>
      <c r="AJ24" s="217"/>
      <c r="AK24" s="285"/>
      <c r="AL24" s="217"/>
      <c r="AM24" s="331"/>
      <c r="AN24" s="217"/>
      <c r="AO24" s="334"/>
      <c r="AP24" s="217"/>
      <c r="AQ24" s="335">
        <f>AQ23*100/$AX23</f>
        <v>0.015593919638654178</v>
      </c>
      <c r="AR24" s="217"/>
      <c r="AS24" s="332">
        <f>AS23*100/$AX23</f>
        <v>0.011565961260450274</v>
      </c>
      <c r="AT24" s="217"/>
      <c r="AU24" s="333">
        <f>AU23*100/$AX23</f>
        <v>2.4478543872998713</v>
      </c>
      <c r="AV24" s="287"/>
      <c r="AW24" s="287"/>
      <c r="AX24" s="336">
        <f>SUM(D24:AW24)</f>
        <v>100.00000000000003</v>
      </c>
      <c r="AY24" s="336"/>
      <c r="AZ24" s="336"/>
      <c r="BA24" s="336"/>
      <c r="BB24" s="289"/>
      <c r="BC24" s="290"/>
      <c r="BD24" s="251"/>
      <c r="BE24" s="286"/>
      <c r="BF24" s="291"/>
      <c r="BG24" s="287"/>
      <c r="BH24" s="292"/>
      <c r="BI24" s="287"/>
      <c r="BJ24" s="287"/>
      <c r="BK24" s="217"/>
      <c r="BL24" s="217"/>
      <c r="BM24" s="287"/>
      <c r="BN24" s="287"/>
      <c r="BO24" s="217"/>
      <c r="BP24" s="285"/>
      <c r="BQ24" s="285"/>
      <c r="BW24" s="261" t="s">
        <v>194</v>
      </c>
      <c r="BX24" s="294">
        <f>'2026'!T14</f>
        <v>0</v>
      </c>
      <c r="BY24" s="295">
        <f>'2026'!T59</f>
        <v>0</v>
      </c>
      <c r="BZ24" s="296">
        <f>'2026'!T111</f>
        <v>0</v>
      </c>
      <c r="CA24" s="295">
        <f>'2026'!T668</f>
        <v>0</v>
      </c>
      <c r="CB24" s="297">
        <f>'2026'!T527</f>
        <v>0</v>
      </c>
      <c r="CC24" s="296">
        <v>0</v>
      </c>
      <c r="CD24" s="295">
        <f>'2026'!T598</f>
        <v>0</v>
      </c>
      <c r="CE24" s="296">
        <f>'2026'!T327</f>
        <v>0</v>
      </c>
      <c r="CF24" s="295">
        <f>'2026'!T874</f>
        <v>0</v>
      </c>
      <c r="CG24" s="296">
        <f>'2026'!T927</f>
        <v>0</v>
      </c>
      <c r="CH24" s="295">
        <f>'2026'!T809</f>
        <v>0</v>
      </c>
      <c r="CI24" s="298"/>
      <c r="CJ24" s="295">
        <f>'2026'!T976</f>
        <v>0</v>
      </c>
      <c r="CK24" s="298"/>
      <c r="CL24" s="295">
        <f>'2026'!T180</f>
        <v>0</v>
      </c>
      <c r="CM24" s="298"/>
      <c r="CN24" s="299"/>
      <c r="CO24" s="266"/>
      <c r="CP24" s="298">
        <f>AN35</f>
        <v>0</v>
      </c>
      <c r="CQ24" s="298">
        <f>AO35</f>
        <v>0</v>
      </c>
      <c r="CR24" s="299"/>
      <c r="CS24" s="297">
        <f>'2026'!T1028</f>
        <v>0</v>
      </c>
      <c r="CT24" s="466">
        <f>Приемник!AD23</f>
        <v>0</v>
      </c>
      <c r="CU24" s="301">
        <v>975</v>
      </c>
      <c r="CV24" s="302">
        <f t="shared" ref="CV24:CV38" si="24">CT24+CU24</f>
        <v>975</v>
      </c>
      <c r="CW24" s="338"/>
      <c r="DA24" s="360"/>
      <c r="DB24" s="360"/>
      <c r="DC24" s="360"/>
      <c r="DD24" s="361"/>
      <c r="DE24" s="361"/>
      <c r="DF24" s="361"/>
      <c r="DJ24" s="272" t="s">
        <v>194</v>
      </c>
      <c r="DK24" s="273"/>
      <c r="DL24" s="273"/>
      <c r="DM24" s="307"/>
      <c r="DN24" s="467"/>
      <c r="DO24" s="273"/>
      <c r="DP24" s="273"/>
      <c r="DQ24" s="307"/>
      <c r="DR24" s="309">
        <f t="shared" ref="DR24:DR38" si="25">DO24+DP24+DQ24</f>
        <v>0</v>
      </c>
      <c r="DS24" s="310">
        <f t="shared" si="3"/>
        <v>0</v>
      </c>
      <c r="DT24" s="273"/>
      <c r="DU24" s="311"/>
      <c r="DV24" s="312"/>
      <c r="DW24" s="313">
        <f t="shared" ref="DW24:DW38" si="26">DT24+DU24+DV24</f>
        <v>0</v>
      </c>
      <c r="DX24" s="310">
        <f t="shared" si="5"/>
        <v>0</v>
      </c>
      <c r="DY24" s="273"/>
      <c r="DZ24" s="273"/>
      <c r="EA24" s="307"/>
      <c r="EB24" s="309">
        <f t="shared" ref="EB24:EB45" si="27">DY24+DZ24+EA24</f>
        <v>0</v>
      </c>
      <c r="EC24" s="314">
        <f t="shared" ref="EC24:EC48" si="28">DX24+EB24</f>
        <v>0</v>
      </c>
      <c r="EF24" s="329"/>
      <c r="EG24" s="329"/>
      <c r="EH24" s="280"/>
      <c r="EI24" s="280"/>
      <c r="EK24" s="280"/>
      <c r="EL24" s="280"/>
      <c r="EN24" s="37"/>
      <c r="EP24" s="15"/>
      <c r="ES24" s="38"/>
      <c r="EZ24" s="356"/>
      <c r="FA24" s="357"/>
      <c r="FC24" s="281"/>
      <c r="FD24" s="281"/>
      <c r="FE24" s="38"/>
      <c r="FF24" s="281"/>
      <c r="FG24" s="281"/>
      <c r="FI24" s="281"/>
      <c r="FJ24" s="281"/>
      <c r="FL24" s="282"/>
      <c r="FM24" s="281"/>
      <c r="FO24" s="281"/>
      <c r="FP24" s="281"/>
      <c r="FQ24" s="38"/>
      <c r="FR24" s="282"/>
      <c r="FS24" s="281"/>
      <c r="FU24" s="281"/>
      <c r="FV24" s="281"/>
      <c r="FW24" s="38"/>
      <c r="FX24" s="282"/>
      <c r="FY24" s="362"/>
      <c r="GA24" s="281"/>
      <c r="GB24" s="281"/>
      <c r="GC24" s="38"/>
      <c r="GD24" s="282"/>
      <c r="GE24" s="281"/>
      <c r="GG24" s="281"/>
      <c r="GH24" s="281"/>
      <c r="GI24" s="38"/>
      <c r="GJ24" s="282"/>
      <c r="GK24" s="281"/>
      <c r="GM24" s="281"/>
      <c r="GN24" s="281"/>
      <c r="GO24" s="38"/>
      <c r="GP24" s="363"/>
      <c r="GQ24" s="281"/>
      <c r="GS24" s="281"/>
      <c r="GT24" s="281"/>
      <c r="GU24" s="38"/>
      <c r="GV24" s="351"/>
      <c r="GW24" s="350"/>
      <c r="GX24" s="344"/>
      <c r="GY24" s="350"/>
      <c r="GZ24" s="350"/>
      <c r="HA24" s="347"/>
      <c r="HB24" s="282"/>
      <c r="HC24" s="281"/>
      <c r="HE24" s="281"/>
      <c r="HF24" s="281"/>
      <c r="HG24" s="38"/>
      <c r="HH24" s="282"/>
      <c r="HI24" s="281"/>
      <c r="HK24" s="281"/>
      <c r="HL24" s="281"/>
      <c r="HM24" s="38"/>
      <c r="HN24" s="282"/>
      <c r="HO24" s="281"/>
      <c r="HQ24" s="281"/>
      <c r="HR24" s="281"/>
      <c r="HS24" s="38"/>
      <c r="HT24" s="342"/>
      <c r="HU24" s="343"/>
      <c r="HV24" s="344"/>
      <c r="HW24" s="343"/>
      <c r="HX24" s="343"/>
      <c r="HY24" s="344"/>
      <c r="HZ24" s="354"/>
      <c r="IA24" s="344"/>
      <c r="IB24" s="344"/>
      <c r="IC24" s="343"/>
      <c r="ID24" s="343"/>
      <c r="IE24" s="355"/>
      <c r="IF24" s="327"/>
      <c r="IG24" s="316"/>
      <c r="IH24" s="317"/>
    </row>
    <row r="25">
      <c r="A25" s="283" t="s">
        <v>185</v>
      </c>
      <c r="B25" s="283"/>
      <c r="C25" s="284">
        <f>D25+E25</f>
        <v>284940.16999999998</v>
      </c>
      <c r="D25" s="285">
        <f>'Расход-2026'!I1193</f>
        <v>271238.12</v>
      </c>
      <c r="E25" s="285">
        <f>'Расход-2026'!J1193</f>
        <v>13702.049999999999</v>
      </c>
      <c r="F25" s="217">
        <f>BX17</f>
        <v>0</v>
      </c>
      <c r="G25" s="286">
        <f>F25*$AX$128/$F$153</f>
        <v>0</v>
      </c>
      <c r="H25" s="217">
        <f>BY17</f>
        <v>0</v>
      </c>
      <c r="I25" s="286">
        <f>H25*$AX$143/$H$153</f>
        <v>0</v>
      </c>
      <c r="J25" s="217">
        <f>BZ17</f>
        <v>503.5</v>
      </c>
      <c r="K25" s="285">
        <f>J25*$AX$142/$J$153</f>
        <v>12047.964205481614</v>
      </c>
      <c r="L25" s="258">
        <f>CA17</f>
        <v>493</v>
      </c>
      <c r="M25" s="287">
        <f>L25*$AX$140/$L$153</f>
        <v>20847.50321660563</v>
      </c>
      <c r="N25" s="258">
        <f>CD17</f>
        <v>15</v>
      </c>
      <c r="O25" s="285">
        <f>N25*$AX$138/$N$153</f>
        <v>245.6726680236427</v>
      </c>
      <c r="P25" s="217">
        <f>CC17+CB17</f>
        <v>1394</v>
      </c>
      <c r="Q25" s="285">
        <f>P25*($AX$139+$AX$137)/$P$153</f>
        <v>33960.016356373795</v>
      </c>
      <c r="R25" s="217">
        <f>CE17</f>
        <v>33</v>
      </c>
      <c r="S25" s="285">
        <f>R25*$AX$136/$R$153</f>
        <v>79.374691616258701</v>
      </c>
      <c r="T25" s="217">
        <f>CF17</f>
        <v>25.5</v>
      </c>
      <c r="U25" s="285">
        <f>T25*$AX$135/$T$153</f>
        <v>701.78556359687229</v>
      </c>
      <c r="V25" s="217">
        <f>CG17</f>
        <v>4576</v>
      </c>
      <c r="W25" s="285">
        <f>V25*$AX$134/$V$153</f>
        <v>908.41393530062294</v>
      </c>
      <c r="X25" s="217">
        <f>CH17</f>
        <v>226.5</v>
      </c>
      <c r="Y25" s="285">
        <f>X25*$AX$148/$X$153</f>
        <v>574.2365667769061</v>
      </c>
      <c r="Z25" s="217">
        <f>CI17</f>
        <v>0</v>
      </c>
      <c r="AA25" s="285"/>
      <c r="AB25" s="217">
        <f>CJ17</f>
        <v>0</v>
      </c>
      <c r="AC25" s="285"/>
      <c r="AD25" s="258">
        <f>CK17</f>
        <v>0</v>
      </c>
      <c r="AE25" s="285"/>
      <c r="AF25" s="217">
        <f>CL17</f>
        <v>3</v>
      </c>
      <c r="AG25" s="286">
        <f>AF25*($AX$113+$AX$114)/$AF$153</f>
        <v>36897.279809164647</v>
      </c>
      <c r="AH25" s="217">
        <f>CM17</f>
        <v>0</v>
      </c>
      <c r="AI25" s="287"/>
      <c r="AJ25" s="217"/>
      <c r="AK25" s="285"/>
      <c r="AL25" s="217">
        <f>CO17</f>
        <v>0</v>
      </c>
      <c r="AM25" s="285"/>
      <c r="AN25" s="217"/>
      <c r="AO25" s="286"/>
      <c r="AP25" s="217">
        <f>'2026'!T1160</f>
        <v>0</v>
      </c>
      <c r="AQ25" s="286">
        <f>AP25*$AX$133/$AP$153</f>
        <v>0</v>
      </c>
      <c r="AR25" s="217">
        <f>CS17</f>
        <v>0</v>
      </c>
      <c r="AS25" s="286">
        <f>$AX$145*AR25/$AR$153</f>
        <v>0</v>
      </c>
      <c r="AT25" s="217">
        <f>CT17</f>
        <v>83</v>
      </c>
      <c r="AU25" s="287">
        <f>AT25*$AX$125/$AT$153</f>
        <v>32700.816797079166</v>
      </c>
      <c r="AV25" s="287"/>
      <c r="AW25" s="287"/>
      <c r="AX25" s="288">
        <f>C25+G25+I25+K25+M25+O25+Q25+S25+U25+W25+Y25+AA25+AC25+AE25+AG25+AI25+AK25+AO25+AU25+AS25+AW25+AQ25+AM25</f>
        <v>423903.23381001916</v>
      </c>
      <c r="AY25" s="288">
        <f>AX25-C25</f>
        <v>138963.06381001917</v>
      </c>
      <c r="AZ25" s="288">
        <f>AY25-G25-I25-AG25-AI25-AK25-AM25</f>
        <v>102065.78400085453</v>
      </c>
      <c r="BA25" s="288">
        <f>AZ25+I25</f>
        <v>102065.78400085453</v>
      </c>
      <c r="BB25" s="289">
        <f>BF25+BH25</f>
        <v>0</v>
      </c>
      <c r="BC25" s="290" t="e">
        <f>AX25/BB25</f>
        <v>#DIV/0!</v>
      </c>
      <c r="BD25" s="286">
        <f>'зарплата'!CH21</f>
        <v>4179456.3214752893</v>
      </c>
      <c r="BE25" s="286" t="e">
        <f>#REF!</f>
        <v>#REF!</v>
      </c>
      <c r="BF25" s="291">
        <f t="shared" si="14"/>
        <v>0</v>
      </c>
      <c r="BG25" s="287">
        <f t="shared" si="15"/>
        <v>0</v>
      </c>
      <c r="BH25" s="292">
        <f>IC25</f>
        <v>0</v>
      </c>
      <c r="BI25" s="287">
        <f t="shared" si="16"/>
        <v>0</v>
      </c>
      <c r="BJ25" s="287"/>
      <c r="BK25" s="217">
        <f t="shared" si="17"/>
        <v>0</v>
      </c>
      <c r="BL25" s="293">
        <f>(BG25*13%)+(BI25*52%)</f>
        <v>0</v>
      </c>
      <c r="BM25" s="287" t="e">
        <f>AX25/BB25</f>
        <v>#DIV/0!</v>
      </c>
      <c r="BN25" s="287" t="e">
        <f t="shared" si="19"/>
        <v>#DIV/0!</v>
      </c>
      <c r="BO25" s="217" t="e">
        <f t="shared" si="20"/>
        <v>#DIV/0!</v>
      </c>
      <c r="BP25" s="285">
        <f>BL25-AX25</f>
        <v>-423903.23381001916</v>
      </c>
      <c r="BQ25" s="285" t="e">
        <f>BK25-AX25-BD25-BE25</f>
        <v>#REF!</v>
      </c>
      <c r="BW25" s="261" t="s">
        <v>195</v>
      </c>
      <c r="BX25" s="294">
        <f>'2026'!T15</f>
        <v>1529659.6332999999</v>
      </c>
      <c r="BY25" s="295">
        <f>'2026'!T60</f>
        <v>140493.53460000001</v>
      </c>
      <c r="BZ25" s="296">
        <f>'2026'!T112</f>
        <v>965</v>
      </c>
      <c r="CA25" s="295">
        <f>'2026'!T669</f>
        <v>551</v>
      </c>
      <c r="CB25" s="297">
        <f>'2026'!T528</f>
        <v>2251</v>
      </c>
      <c r="CC25" s="296">
        <f>'2026'!T456</f>
        <v>6669</v>
      </c>
      <c r="CD25" s="295">
        <f>'2026'!T599</f>
        <v>680</v>
      </c>
      <c r="CE25" s="296">
        <f>'2026'!T328</f>
        <v>79</v>
      </c>
      <c r="CF25" s="295">
        <f>'2026'!T875</f>
        <v>1398.5</v>
      </c>
      <c r="CG25" s="296">
        <f>'2026'!T928</f>
        <v>1094</v>
      </c>
      <c r="CH25" s="295">
        <f>'2026'!T810</f>
        <v>269</v>
      </c>
      <c r="CI25" s="298"/>
      <c r="CJ25" s="295">
        <f>'2026'!T977</f>
        <v>0</v>
      </c>
      <c r="CK25" s="298"/>
      <c r="CL25" s="295">
        <f>'2026'!T181</f>
        <v>184</v>
      </c>
      <c r="CM25" s="298"/>
      <c r="CN25" s="299"/>
      <c r="CO25" s="266"/>
      <c r="CP25" s="298">
        <f>AN37</f>
        <v>0.59999999999999998</v>
      </c>
      <c r="CQ25" s="298">
        <f>AO37</f>
        <v>2322.0589799999998</v>
      </c>
      <c r="CR25" s="299"/>
      <c r="CS25" s="297">
        <f>'2026'!T1029</f>
        <v>598</v>
      </c>
      <c r="CT25" s="466">
        <f>Приемник!AD24</f>
        <v>198</v>
      </c>
      <c r="CU25" s="468">
        <v>1198</v>
      </c>
      <c r="CV25" s="302">
        <f t="shared" si="24"/>
        <v>1396</v>
      </c>
      <c r="CW25" s="303">
        <f>$CU$9/$CU$134*CU25</f>
        <v>807758.7142093603</v>
      </c>
      <c r="DA25" s="304">
        <f>DB25+DC25</f>
        <v>0</v>
      </c>
      <c r="DB25" s="305"/>
      <c r="DC25" s="305"/>
      <c r="DD25" s="306">
        <f>DE25+DF25</f>
        <v>0</v>
      </c>
      <c r="DE25" s="306"/>
      <c r="DF25" s="306"/>
      <c r="DJ25" s="272" t="s">
        <v>195</v>
      </c>
      <c r="DK25" s="273"/>
      <c r="DL25" s="273"/>
      <c r="DM25" s="307"/>
      <c r="DN25" s="308">
        <f t="shared" si="1"/>
        <v>0</v>
      </c>
      <c r="DO25" s="273"/>
      <c r="DP25" s="273"/>
      <c r="DQ25" s="307"/>
      <c r="DR25" s="309">
        <f t="shared" si="25"/>
        <v>0</v>
      </c>
      <c r="DS25" s="310">
        <f t="shared" si="3"/>
        <v>0</v>
      </c>
      <c r="DT25" s="273"/>
      <c r="DU25" s="311"/>
      <c r="DV25" s="312"/>
      <c r="DW25" s="313">
        <f t="shared" si="26"/>
        <v>0</v>
      </c>
      <c r="DX25" s="310">
        <f t="shared" si="5"/>
        <v>0</v>
      </c>
      <c r="DY25" s="273"/>
      <c r="DZ25" s="273"/>
      <c r="EA25" s="307"/>
      <c r="EB25" s="309">
        <f t="shared" si="27"/>
        <v>0</v>
      </c>
      <c r="EC25" s="314">
        <f t="shared" si="28"/>
        <v>0</v>
      </c>
      <c r="EF25" s="283" t="s">
        <v>185</v>
      </c>
      <c r="EG25" s="283"/>
      <c r="EH25" s="315"/>
      <c r="EI25" s="316"/>
      <c r="EJ25" s="317"/>
      <c r="EK25" s="316"/>
      <c r="EL25" s="316"/>
      <c r="EM25" s="317"/>
      <c r="EN25" s="318"/>
      <c r="EO25" s="317"/>
      <c r="EP25" s="317"/>
      <c r="EQ25" s="317"/>
      <c r="ER25" s="317"/>
      <c r="ES25" s="319"/>
      <c r="ET25" s="317"/>
      <c r="EU25" s="317"/>
      <c r="EV25" s="317"/>
      <c r="EW25" s="317"/>
      <c r="EX25" s="317"/>
      <c r="EY25" s="317"/>
      <c r="EZ25" s="320">
        <f t="shared" si="8"/>
        <v>0</v>
      </c>
      <c r="FA25" s="321">
        <f t="shared" si="8"/>
        <v>0</v>
      </c>
      <c r="FB25" s="317">
        <f t="shared" si="8"/>
        <v>0</v>
      </c>
      <c r="FC25" s="322">
        <f t="shared" si="8"/>
        <v>0</v>
      </c>
      <c r="FD25" s="322">
        <f t="shared" si="8"/>
        <v>0</v>
      </c>
      <c r="FE25" s="319">
        <f t="shared" si="8"/>
        <v>0</v>
      </c>
      <c r="FF25" s="322"/>
      <c r="FG25" s="322"/>
      <c r="FH25" s="317"/>
      <c r="FI25" s="322"/>
      <c r="FJ25" s="322"/>
      <c r="FK25" s="317"/>
      <c r="FL25" s="323"/>
      <c r="FM25" s="322"/>
      <c r="FN25" s="317"/>
      <c r="FO25" s="322"/>
      <c r="FP25" s="322"/>
      <c r="FQ25" s="319"/>
      <c r="FR25" s="323"/>
      <c r="FS25" s="322"/>
      <c r="FT25" s="317"/>
      <c r="FU25" s="322"/>
      <c r="FV25" s="322"/>
      <c r="FW25" s="319"/>
      <c r="FX25" s="323">
        <f t="shared" si="9"/>
        <v>0</v>
      </c>
      <c r="FY25" s="322">
        <f t="shared" si="9"/>
        <v>0</v>
      </c>
      <c r="FZ25" s="324">
        <f t="shared" si="9"/>
        <v>0</v>
      </c>
      <c r="GA25" s="322">
        <f t="shared" si="9"/>
        <v>0</v>
      </c>
      <c r="GB25" s="322">
        <f t="shared" si="9"/>
        <v>0</v>
      </c>
      <c r="GC25" s="325">
        <f t="shared" si="9"/>
        <v>0</v>
      </c>
      <c r="GD25" s="323"/>
      <c r="GE25" s="322"/>
      <c r="GF25" s="317"/>
      <c r="GG25" s="322"/>
      <c r="GH25" s="322"/>
      <c r="GI25" s="319"/>
      <c r="GJ25" s="323"/>
      <c r="GK25" s="322"/>
      <c r="GL25" s="317"/>
      <c r="GM25" s="322"/>
      <c r="GN25" s="322"/>
      <c r="GO25" s="319"/>
      <c r="GP25" s="374"/>
      <c r="GQ25" s="322"/>
      <c r="GR25" s="317"/>
      <c r="GS25" s="322"/>
      <c r="GT25" s="322"/>
      <c r="GU25" s="319"/>
      <c r="GV25" s="323">
        <f t="shared" si="10"/>
        <v>0</v>
      </c>
      <c r="GW25" s="322">
        <f t="shared" si="10"/>
        <v>0</v>
      </c>
      <c r="GX25" s="322">
        <f t="shared" si="10"/>
        <v>0</v>
      </c>
      <c r="GY25" s="322">
        <f t="shared" si="10"/>
        <v>0</v>
      </c>
      <c r="GZ25" s="322">
        <f t="shared" si="10"/>
        <v>0</v>
      </c>
      <c r="HA25" s="326">
        <f t="shared" si="10"/>
        <v>0</v>
      </c>
      <c r="HB25" s="323"/>
      <c r="HC25" s="322"/>
      <c r="HD25" s="317"/>
      <c r="HE25" s="322"/>
      <c r="HF25" s="322"/>
      <c r="HG25" s="319"/>
      <c r="HH25" s="323"/>
      <c r="HI25" s="322"/>
      <c r="HJ25" s="317"/>
      <c r="HK25" s="322"/>
      <c r="HL25" s="322"/>
      <c r="HM25" s="319"/>
      <c r="HN25" s="323"/>
      <c r="HO25" s="322"/>
      <c r="HP25" s="317"/>
      <c r="HQ25" s="322"/>
      <c r="HR25" s="322"/>
      <c r="HS25" s="319"/>
      <c r="HT25" s="315">
        <f t="shared" si="11"/>
        <v>0</v>
      </c>
      <c r="HU25" s="316">
        <f t="shared" si="11"/>
        <v>0</v>
      </c>
      <c r="HV25" s="317">
        <f t="shared" si="11"/>
        <v>0</v>
      </c>
      <c r="HW25" s="316">
        <f t="shared" si="11"/>
        <v>0</v>
      </c>
      <c r="HX25" s="316">
        <f t="shared" si="11"/>
        <v>0</v>
      </c>
      <c r="HY25" s="317">
        <f t="shared" si="11"/>
        <v>0</v>
      </c>
      <c r="HZ25" s="327">
        <f t="shared" si="12"/>
        <v>0</v>
      </c>
      <c r="IA25" s="316">
        <f t="shared" si="12"/>
        <v>0</v>
      </c>
      <c r="IB25" s="317">
        <f t="shared" si="12"/>
        <v>0</v>
      </c>
      <c r="IC25" s="316">
        <f t="shared" si="12"/>
        <v>0</v>
      </c>
      <c r="ID25" s="316">
        <f t="shared" si="12"/>
        <v>0</v>
      </c>
      <c r="IE25" s="328">
        <f t="shared" si="12"/>
        <v>0</v>
      </c>
      <c r="IF25" s="327">
        <f t="shared" si="21"/>
        <v>0</v>
      </c>
      <c r="IG25" s="316">
        <f>IA25+ID25</f>
        <v>0</v>
      </c>
      <c r="IH25" s="317">
        <f>IB25+IE25</f>
        <v>0</v>
      </c>
    </row>
    <row r="26">
      <c r="A26" s="329"/>
      <c r="B26" s="329"/>
      <c r="C26" s="469"/>
      <c r="D26" s="331">
        <f>D25*100/$AX25</f>
        <v>63.985857706752213</v>
      </c>
      <c r="E26" s="331">
        <f>E25*100/$AX25</f>
        <v>3.2323532606360943</v>
      </c>
      <c r="F26" s="217"/>
      <c r="G26" s="332">
        <f>G25*100/$AX25</f>
        <v>0</v>
      </c>
      <c r="H26" s="217"/>
      <c r="I26" s="332">
        <f>I25*100/$AX25</f>
        <v>0</v>
      </c>
      <c r="J26" s="217"/>
      <c r="K26" s="331">
        <f>K25*100/$AX25</f>
        <v>2.8421496333479621</v>
      </c>
      <c r="L26" s="258"/>
      <c r="M26" s="333">
        <f>M25*100/$AX25</f>
        <v>4.9179863595824465</v>
      </c>
      <c r="N26" s="258"/>
      <c r="O26" s="331">
        <f>O25*100/$AX25</f>
        <v>0.057954893576902006</v>
      </c>
      <c r="P26" s="217"/>
      <c r="Q26" s="331">
        <f>Q25*100/$AX25</f>
        <v>8.0112661682580288</v>
      </c>
      <c r="R26" s="217"/>
      <c r="S26" s="331">
        <f>S25*100/$AX25</f>
        <v>0.018724719531588212</v>
      </c>
      <c r="T26" s="217"/>
      <c r="U26" s="331">
        <f>U25*100/$AX25</f>
        <v>0.16555324602958602</v>
      </c>
      <c r="V26" s="217"/>
      <c r="W26" s="331">
        <f>W25*100/$AX25</f>
        <v>0.21429747707651298</v>
      </c>
      <c r="X26" s="217"/>
      <c r="Y26" s="331">
        <f>Y25*100/$AX25</f>
        <v>0.13546406844215345</v>
      </c>
      <c r="Z26" s="217"/>
      <c r="AA26" s="331"/>
      <c r="AB26" s="217"/>
      <c r="AC26" s="331"/>
      <c r="AD26" s="258"/>
      <c r="AE26" s="285"/>
      <c r="AF26" s="217"/>
      <c r="AG26" s="332">
        <f>AG25*100/$AX25</f>
        <v>8.704175119763514</v>
      </c>
      <c r="AH26" s="217"/>
      <c r="AI26" s="287"/>
      <c r="AJ26" s="217"/>
      <c r="AK26" s="285"/>
      <c r="AL26" s="217"/>
      <c r="AM26" s="285"/>
      <c r="AN26" s="217"/>
      <c r="AO26" s="334"/>
      <c r="AP26" s="217"/>
      <c r="AQ26" s="335">
        <f>AQ25*100/$AX25</f>
        <v>0</v>
      </c>
      <c r="AR26" s="217"/>
      <c r="AS26" s="332">
        <f>AS25*100/$AX25</f>
        <v>0</v>
      </c>
      <c r="AT26" s="217"/>
      <c r="AU26" s="333">
        <f>AU25*100/$AX25</f>
        <v>7.7142173470029958</v>
      </c>
      <c r="AV26" s="287"/>
      <c r="AW26" s="287"/>
      <c r="AX26" s="336">
        <f>SUM(D26:AW26)</f>
        <v>100</v>
      </c>
      <c r="AY26" s="336"/>
      <c r="AZ26" s="336"/>
      <c r="BA26" s="336"/>
      <c r="BB26" s="289"/>
      <c r="BC26" s="290"/>
      <c r="BD26" s="251"/>
      <c r="BE26" s="286"/>
      <c r="BF26" s="291"/>
      <c r="BG26" s="287"/>
      <c r="BH26" s="292"/>
      <c r="BI26" s="287"/>
      <c r="BJ26" s="287"/>
      <c r="BK26" s="217"/>
      <c r="BL26" s="217"/>
      <c r="BM26" s="287"/>
      <c r="BN26" s="287"/>
      <c r="BO26" s="217"/>
      <c r="BP26" s="285"/>
      <c r="BQ26" s="285"/>
      <c r="BW26" s="261" t="s">
        <v>196</v>
      </c>
      <c r="BX26" s="294">
        <f>'2026'!T16</f>
        <v>211698.48789999995</v>
      </c>
      <c r="BY26" s="295">
        <f>'2026'!T61</f>
        <v>0</v>
      </c>
      <c r="BZ26" s="296">
        <f>'2026'!T113</f>
        <v>794.5</v>
      </c>
      <c r="CA26" s="295">
        <f>'2026'!T670</f>
        <v>688</v>
      </c>
      <c r="CB26" s="297">
        <f>'2026'!T529</f>
        <v>1475</v>
      </c>
      <c r="CC26" s="296">
        <f>'2026'!T457</f>
        <v>3529</v>
      </c>
      <c r="CD26" s="295">
        <f>'2026'!T600</f>
        <v>123</v>
      </c>
      <c r="CE26" s="296">
        <f>'2026'!T329</f>
        <v>82</v>
      </c>
      <c r="CF26" s="295">
        <f>'2026'!T876</f>
        <v>28.5</v>
      </c>
      <c r="CG26" s="296">
        <f>'2026'!T929</f>
        <v>3111</v>
      </c>
      <c r="CH26" s="295">
        <f>'2026'!T811</f>
        <v>467</v>
      </c>
      <c r="CI26" s="298"/>
      <c r="CJ26" s="295">
        <f>'2026'!T978</f>
        <v>0</v>
      </c>
      <c r="CK26" s="298"/>
      <c r="CL26" s="295">
        <f>'2026'!T182</f>
        <v>57</v>
      </c>
      <c r="CM26" s="298"/>
      <c r="CN26" s="299"/>
      <c r="CO26" s="266"/>
      <c r="CP26" s="298">
        <f>AN39</f>
        <v>0.80000000000000004</v>
      </c>
      <c r="CQ26" s="298">
        <f>AO39</f>
        <v>3096.0786400000002</v>
      </c>
      <c r="CR26" s="299"/>
      <c r="CS26" s="297">
        <f>'2026'!T1030</f>
        <v>69</v>
      </c>
      <c r="CT26" s="466">
        <f>Приемник!AD25</f>
        <v>205</v>
      </c>
      <c r="CU26" s="301">
        <v>337</v>
      </c>
      <c r="CV26" s="302">
        <f t="shared" si="24"/>
        <v>542</v>
      </c>
      <c r="CW26" s="338"/>
      <c r="DA26" s="360"/>
      <c r="DB26" s="360"/>
      <c r="DC26" s="360"/>
      <c r="DD26" s="361"/>
      <c r="DE26" s="361"/>
      <c r="DF26" s="361"/>
      <c r="DJ26" s="272" t="s">
        <v>196</v>
      </c>
      <c r="DK26" s="273"/>
      <c r="DL26" s="273"/>
      <c r="DM26" s="307"/>
      <c r="DN26" s="308">
        <f t="shared" si="1"/>
        <v>0</v>
      </c>
      <c r="DO26" s="273"/>
      <c r="DP26" s="273"/>
      <c r="DQ26" s="307"/>
      <c r="DR26" s="309">
        <f t="shared" si="25"/>
        <v>0</v>
      </c>
      <c r="DS26" s="310">
        <f t="shared" si="3"/>
        <v>0</v>
      </c>
      <c r="DT26" s="273"/>
      <c r="DU26" s="311"/>
      <c r="DV26" s="312"/>
      <c r="DW26" s="313">
        <f t="shared" si="26"/>
        <v>0</v>
      </c>
      <c r="DX26" s="310">
        <f t="shared" si="5"/>
        <v>0</v>
      </c>
      <c r="DY26" s="273"/>
      <c r="DZ26" s="273"/>
      <c r="EA26" s="307"/>
      <c r="EB26" s="309">
        <f t="shared" si="27"/>
        <v>0</v>
      </c>
      <c r="EC26" s="314">
        <f t="shared" si="28"/>
        <v>0</v>
      </c>
      <c r="EF26" s="329"/>
      <c r="EG26" s="329"/>
      <c r="EH26" s="342"/>
      <c r="EI26" s="343"/>
      <c r="EJ26" s="344"/>
      <c r="EK26" s="343"/>
      <c r="EL26" s="343"/>
      <c r="EM26" s="344"/>
      <c r="EN26" s="345"/>
      <c r="EO26" s="344"/>
      <c r="EP26" s="346"/>
      <c r="EQ26" s="344"/>
      <c r="ER26" s="344"/>
      <c r="ES26" s="347"/>
      <c r="ET26" s="344"/>
      <c r="EU26" s="344"/>
      <c r="EV26" s="344"/>
      <c r="EW26" s="344"/>
      <c r="EX26" s="344"/>
      <c r="EY26" s="344"/>
      <c r="EZ26" s="348"/>
      <c r="FA26" s="349"/>
      <c r="FB26" s="344"/>
      <c r="FC26" s="350"/>
      <c r="FD26" s="350"/>
      <c r="FE26" s="347"/>
      <c r="FF26" s="350"/>
      <c r="FG26" s="350"/>
      <c r="FH26" s="344"/>
      <c r="FI26" s="350"/>
      <c r="FJ26" s="350"/>
      <c r="FK26" s="344"/>
      <c r="FL26" s="351"/>
      <c r="FM26" s="350"/>
      <c r="FN26" s="344"/>
      <c r="FO26" s="350"/>
      <c r="FP26" s="350"/>
      <c r="FQ26" s="347"/>
      <c r="FR26" s="351"/>
      <c r="FS26" s="350"/>
      <c r="FT26" s="344"/>
      <c r="FU26" s="350"/>
      <c r="FV26" s="350"/>
      <c r="FW26" s="347"/>
      <c r="FX26" s="351"/>
      <c r="FY26" s="352"/>
      <c r="FZ26" s="344"/>
      <c r="GA26" s="350"/>
      <c r="GB26" s="350"/>
      <c r="GC26" s="347"/>
      <c r="GD26" s="351"/>
      <c r="GE26" s="350"/>
      <c r="GF26" s="344"/>
      <c r="GG26" s="350"/>
      <c r="GH26" s="350"/>
      <c r="GI26" s="347"/>
      <c r="GJ26" s="351"/>
      <c r="GK26" s="350"/>
      <c r="GL26" s="344"/>
      <c r="GM26" s="350"/>
      <c r="GN26" s="350"/>
      <c r="GO26" s="347"/>
      <c r="GP26" s="353"/>
      <c r="GQ26" s="350"/>
      <c r="GR26" s="344"/>
      <c r="GS26" s="350"/>
      <c r="GT26" s="350"/>
      <c r="GU26" s="347"/>
      <c r="GV26" s="351"/>
      <c r="GW26" s="350"/>
      <c r="GX26" s="344"/>
      <c r="GY26" s="350"/>
      <c r="GZ26" s="350"/>
      <c r="HA26" s="347"/>
      <c r="HB26" s="351"/>
      <c r="HC26" s="350"/>
      <c r="HD26" s="344"/>
      <c r="HE26" s="350"/>
      <c r="HF26" s="350"/>
      <c r="HG26" s="347"/>
      <c r="HH26" s="351"/>
      <c r="HI26" s="350"/>
      <c r="HJ26" s="344"/>
      <c r="HK26" s="350"/>
      <c r="HL26" s="350"/>
      <c r="HM26" s="347"/>
      <c r="HN26" s="351"/>
      <c r="HO26" s="350"/>
      <c r="HP26" s="344"/>
      <c r="HQ26" s="350"/>
      <c r="HR26" s="350"/>
      <c r="HS26" s="347"/>
      <c r="HT26" s="342"/>
      <c r="HU26" s="343"/>
      <c r="HV26" s="344"/>
      <c r="HW26" s="343"/>
      <c r="HX26" s="343"/>
      <c r="HY26" s="344"/>
      <c r="HZ26" s="354"/>
      <c r="IA26" s="344"/>
      <c r="IB26" s="344"/>
      <c r="IC26" s="343"/>
      <c r="ID26" s="343"/>
      <c r="IE26" s="355"/>
      <c r="IF26" s="327"/>
      <c r="IG26" s="316"/>
      <c r="IH26" s="317"/>
    </row>
    <row r="27">
      <c r="A27" s="375" t="s">
        <v>197</v>
      </c>
      <c r="B27" s="375"/>
      <c r="C27" s="284">
        <f>D27+E27</f>
        <v>179462.53999999998</v>
      </c>
      <c r="D27" s="285">
        <f>'Расход-2026'!I1192</f>
        <v>134309.31</v>
      </c>
      <c r="E27" s="285">
        <f>'Расход-2026'!J1192</f>
        <v>45153.229999999996</v>
      </c>
      <c r="F27" s="217">
        <f>BX21</f>
        <v>0</v>
      </c>
      <c r="G27" s="286">
        <f>F27*$AX$128/$F$153</f>
        <v>0</v>
      </c>
      <c r="H27" s="217">
        <f>BY21</f>
        <v>0</v>
      </c>
      <c r="I27" s="286">
        <f>H27*$AX$143/$H$153</f>
        <v>0</v>
      </c>
      <c r="J27" s="217">
        <f>BZ21</f>
        <v>98.5</v>
      </c>
      <c r="K27" s="285">
        <f>J27*$AX$142/$J$153</f>
        <v>2356.9502964050425</v>
      </c>
      <c r="L27" s="258">
        <f>CA21</f>
        <v>47</v>
      </c>
      <c r="M27" s="287">
        <f>L27*$AX$140/$L$153</f>
        <v>1987.490164666257</v>
      </c>
      <c r="N27" s="258">
        <f>CD21</f>
        <v>0</v>
      </c>
      <c r="O27" s="285">
        <f>N27*$AX$138/$N$153</f>
        <v>0</v>
      </c>
      <c r="P27" s="217">
        <f>CC21+CB21</f>
        <v>1644</v>
      </c>
      <c r="Q27" s="285">
        <f>P27*($AX$139+$AX$137)/$P$153</f>
        <v>40050.406664188318</v>
      </c>
      <c r="R27" s="217">
        <f>CE21</f>
        <v>87</v>
      </c>
      <c r="S27" s="285">
        <f>R27*$AX$136/$R$153</f>
        <v>209.26055062468203</v>
      </c>
      <c r="T27" s="217">
        <f>CF21</f>
        <v>0</v>
      </c>
      <c r="U27" s="285">
        <f>T27*$AX$135/$T$153</f>
        <v>0</v>
      </c>
      <c r="V27" s="217">
        <f>CG21</f>
        <v>0</v>
      </c>
      <c r="W27" s="285">
        <f>V27*$AX$134/$V$153</f>
        <v>0</v>
      </c>
      <c r="X27" s="217">
        <f>CH21</f>
        <v>0</v>
      </c>
      <c r="Y27" s="285">
        <f>X27*$AX$148/$X$153</f>
        <v>0</v>
      </c>
      <c r="Z27" s="217">
        <f>CI21</f>
        <v>0</v>
      </c>
      <c r="AA27" s="331"/>
      <c r="AB27" s="217">
        <f>CJ21</f>
        <v>0</v>
      </c>
      <c r="AC27" s="331"/>
      <c r="AD27" s="258">
        <f>CK21</f>
        <v>0</v>
      </c>
      <c r="AE27" s="285"/>
      <c r="AF27" s="217">
        <f>CL21</f>
        <v>0</v>
      </c>
      <c r="AG27" s="286">
        <f t="shared" ref="AG27:AG29" si="29">AF27*($AX$113+$AX$114)/$AF$153</f>
        <v>0</v>
      </c>
      <c r="AH27" s="217">
        <f>CM21</f>
        <v>0</v>
      </c>
      <c r="AI27" s="287"/>
      <c r="AJ27" s="217"/>
      <c r="AK27" s="285"/>
      <c r="AL27" s="217">
        <f>CO21</f>
        <v>0</v>
      </c>
      <c r="AM27" s="285"/>
      <c r="AN27" s="217"/>
      <c r="AO27" s="334"/>
      <c r="AP27" s="217">
        <f>'2026'!T1159</f>
        <v>0</v>
      </c>
      <c r="AQ27" s="286">
        <f>AP27*$AX$133/$AP$153</f>
        <v>0</v>
      </c>
      <c r="AR27" s="217">
        <f>CS21</f>
        <v>0</v>
      </c>
      <c r="AS27" s="286">
        <f>$AX$145*AR27/$AR$153</f>
        <v>0</v>
      </c>
      <c r="AT27" s="217">
        <f>CT21</f>
        <v>26</v>
      </c>
      <c r="AU27" s="287">
        <f>AT27*$AX$125/$AT$153</f>
        <v>10243.629358121185</v>
      </c>
      <c r="AV27" s="287"/>
      <c r="AW27" s="287"/>
      <c r="AX27" s="288">
        <f>C27+G27+I27+K27+M27+O27+Q27+S27+U27+W27+Y27+AA27+AC27+AE27+AG27+AI27+AK27+AO27+AU27+AS27+AW27+AQ27+AM27</f>
        <v>234310.27703400547</v>
      </c>
      <c r="AY27" s="288">
        <f>AX27-C27</f>
        <v>54847.737034005491</v>
      </c>
      <c r="AZ27" s="288">
        <f>AY27-G27-I27-AG27-AI27-AK27-AM27</f>
        <v>54847.737034005491</v>
      </c>
      <c r="BA27" s="288">
        <f>AZ27+I27</f>
        <v>54847.737034005491</v>
      </c>
      <c r="BB27" s="289">
        <f>BF27+BH27</f>
        <v>0</v>
      </c>
      <c r="BC27" s="290" t="e">
        <f>AX27/BB27</f>
        <v>#DIV/0!</v>
      </c>
      <c r="BD27" s="251"/>
      <c r="BE27" s="286"/>
      <c r="BF27" s="291">
        <f t="shared" si="14"/>
        <v>0</v>
      </c>
      <c r="BG27" s="287">
        <f t="shared" si="15"/>
        <v>0</v>
      </c>
      <c r="BH27" s="292">
        <f>IC27</f>
        <v>0</v>
      </c>
      <c r="BI27" s="287">
        <f t="shared" si="16"/>
        <v>0</v>
      </c>
      <c r="BJ27" s="287"/>
      <c r="BK27" s="217">
        <f t="shared" si="17"/>
        <v>0</v>
      </c>
      <c r="BL27" s="293">
        <f>(BG27*13%)+(BI27*52%)</f>
        <v>0</v>
      </c>
      <c r="BM27" s="287" t="e">
        <f>AX27/BB27</f>
        <v>#DIV/0!</v>
      </c>
      <c r="BN27" s="287" t="e">
        <f t="shared" si="19"/>
        <v>#DIV/0!</v>
      </c>
      <c r="BO27" s="217" t="e">
        <f t="shared" si="20"/>
        <v>#DIV/0!</v>
      </c>
      <c r="BP27" s="285">
        <f>BL27-AX27</f>
        <v>-234310.27703400547</v>
      </c>
      <c r="BQ27" s="285"/>
      <c r="BW27" s="261"/>
      <c r="BX27" s="294"/>
      <c r="BY27" s="295"/>
      <c r="BZ27" s="296"/>
      <c r="CA27" s="295"/>
      <c r="CB27" s="297"/>
      <c r="CC27" s="296"/>
      <c r="CD27" s="295"/>
      <c r="CE27" s="296"/>
      <c r="CF27" s="295"/>
      <c r="CG27" s="296"/>
      <c r="CH27" s="295"/>
      <c r="CI27" s="298"/>
      <c r="CJ27" s="295"/>
      <c r="CK27" s="298"/>
      <c r="CL27" s="295"/>
      <c r="CM27" s="298"/>
      <c r="CN27" s="299"/>
      <c r="CO27" s="266"/>
      <c r="CP27" s="298"/>
      <c r="CQ27" s="298"/>
      <c r="CR27" s="299"/>
      <c r="CS27" s="297"/>
      <c r="CT27" s="466">
        <f>Приемник!AD26</f>
        <v>0</v>
      </c>
      <c r="CU27" s="301"/>
      <c r="CV27" s="302"/>
      <c r="CW27" s="338"/>
      <c r="DA27" s="360"/>
      <c r="DB27" s="360"/>
      <c r="DC27" s="360"/>
      <c r="DD27" s="361"/>
      <c r="DE27" s="361"/>
      <c r="DF27" s="361"/>
      <c r="DJ27" s="272"/>
      <c r="DK27" s="273"/>
      <c r="DL27" s="273"/>
      <c r="DM27" s="307"/>
      <c r="DN27" s="308"/>
      <c r="DO27" s="273"/>
      <c r="DP27" s="273"/>
      <c r="DQ27" s="307"/>
      <c r="DR27" s="309"/>
      <c r="DS27" s="310"/>
      <c r="DT27" s="273"/>
      <c r="DU27" s="311"/>
      <c r="DV27" s="312"/>
      <c r="DW27" s="313"/>
      <c r="DX27" s="310"/>
      <c r="DY27" s="273"/>
      <c r="DZ27" s="273"/>
      <c r="EA27" s="307"/>
      <c r="EB27" s="309"/>
      <c r="EC27" s="314"/>
      <c r="EF27" s="375" t="s">
        <v>198</v>
      </c>
      <c r="EG27" s="375"/>
      <c r="EH27" s="280"/>
      <c r="EI27" s="280"/>
      <c r="EK27" s="280"/>
      <c r="EL27" s="280"/>
      <c r="EN27" s="37"/>
      <c r="EP27" s="15"/>
      <c r="ES27" s="38"/>
      <c r="EZ27" s="356">
        <f t="shared" si="8"/>
        <v>0</v>
      </c>
      <c r="FA27" s="357">
        <f t="shared" si="8"/>
        <v>0</v>
      </c>
      <c r="FB27" s="1">
        <f t="shared" si="8"/>
        <v>0</v>
      </c>
      <c r="FC27" s="281">
        <f t="shared" si="8"/>
        <v>0</v>
      </c>
      <c r="FD27" s="281">
        <f t="shared" si="8"/>
        <v>0</v>
      </c>
      <c r="FE27" s="38">
        <f t="shared" si="8"/>
        <v>0</v>
      </c>
      <c r="FF27" s="281"/>
      <c r="FG27" s="281"/>
      <c r="FI27" s="281"/>
      <c r="FJ27" s="281"/>
      <c r="FL27" s="282"/>
      <c r="FM27" s="281"/>
      <c r="FO27" s="281"/>
      <c r="FP27" s="281"/>
      <c r="FQ27" s="38"/>
      <c r="FR27" s="323"/>
      <c r="FS27" s="322"/>
      <c r="FT27" s="317"/>
      <c r="FU27" s="322"/>
      <c r="FV27" s="322"/>
      <c r="FW27" s="319"/>
      <c r="FX27" s="282">
        <f t="shared" si="9"/>
        <v>0</v>
      </c>
      <c r="FY27" s="281">
        <f t="shared" si="9"/>
        <v>0</v>
      </c>
      <c r="FZ27" s="358">
        <f t="shared" si="9"/>
        <v>0</v>
      </c>
      <c r="GA27" s="281">
        <f t="shared" si="9"/>
        <v>0</v>
      </c>
      <c r="GB27" s="281">
        <f t="shared" si="9"/>
        <v>0</v>
      </c>
      <c r="GC27" s="359">
        <f t="shared" si="9"/>
        <v>0</v>
      </c>
      <c r="GD27" s="282"/>
      <c r="GE27" s="281"/>
      <c r="GG27" s="281"/>
      <c r="GH27" s="281"/>
      <c r="GI27" s="38"/>
      <c r="GJ27" s="282"/>
      <c r="GK27" s="281"/>
      <c r="GM27" s="281"/>
      <c r="GN27" s="281"/>
      <c r="GO27" s="38"/>
      <c r="GP27" s="363"/>
      <c r="GQ27" s="281"/>
      <c r="GS27" s="281"/>
      <c r="GT27" s="281"/>
      <c r="GU27" s="38"/>
      <c r="GV27" s="282"/>
      <c r="GW27" s="281"/>
      <c r="GY27" s="281"/>
      <c r="GZ27" s="281"/>
      <c r="HA27" s="38"/>
      <c r="HB27" s="282"/>
      <c r="HC27" s="281"/>
      <c r="HE27" s="281"/>
      <c r="HF27" s="281"/>
      <c r="HG27" s="38"/>
      <c r="HH27" s="282"/>
      <c r="HI27" s="281"/>
      <c r="HK27" s="281"/>
      <c r="HL27" s="281"/>
      <c r="HM27" s="38"/>
      <c r="HN27" s="282"/>
      <c r="HO27" s="281"/>
      <c r="HQ27" s="281"/>
      <c r="HR27" s="281"/>
      <c r="HS27" s="38"/>
      <c r="HT27" s="470"/>
      <c r="HU27" s="280"/>
      <c r="HW27" s="280"/>
      <c r="HX27" s="280"/>
      <c r="HZ27" s="327">
        <f t="shared" si="12"/>
        <v>0</v>
      </c>
      <c r="IA27" s="316">
        <f t="shared" si="12"/>
        <v>0</v>
      </c>
      <c r="IB27" s="317">
        <f t="shared" si="12"/>
        <v>0</v>
      </c>
      <c r="IC27" s="316">
        <f t="shared" si="12"/>
        <v>0</v>
      </c>
      <c r="ID27" s="316">
        <f t="shared" si="12"/>
        <v>0</v>
      </c>
      <c r="IE27" s="328">
        <f t="shared" si="12"/>
        <v>0</v>
      </c>
      <c r="IF27" s="327">
        <f t="shared" si="21"/>
        <v>0</v>
      </c>
      <c r="IG27" s="316">
        <f>IA27+ID27</f>
        <v>0</v>
      </c>
      <c r="IH27" s="317">
        <f>IB27+IE27</f>
        <v>0</v>
      </c>
    </row>
    <row r="28">
      <c r="A28" s="375"/>
      <c r="B28" s="375"/>
      <c r="C28" s="469"/>
      <c r="D28" s="331">
        <f>D27*100/$AX27</f>
        <v>57.321134907158886</v>
      </c>
      <c r="E28" s="331">
        <f>E27*100/$AX27</f>
        <v>19.270699762540467</v>
      </c>
      <c r="F28" s="217"/>
      <c r="G28" s="332">
        <f>G27*100/$AX27</f>
        <v>0</v>
      </c>
      <c r="H28" s="367"/>
      <c r="I28" s="332">
        <f>I27*100/$AX27</f>
        <v>0</v>
      </c>
      <c r="J28" s="217"/>
      <c r="K28" s="331">
        <f>K27*100/$AX27</f>
        <v>1.0059099098171345</v>
      </c>
      <c r="L28" s="258"/>
      <c r="M28" s="333">
        <f>M27*100/$AX27</f>
        <v>0.84823004343843289</v>
      </c>
      <c r="N28" s="258"/>
      <c r="O28" s="331">
        <f>O27*100/$AX27</f>
        <v>0</v>
      </c>
      <c r="P28" s="217"/>
      <c r="Q28" s="331">
        <f>Q27*100/$AX27</f>
        <v>17.092893735248239</v>
      </c>
      <c r="R28" s="217"/>
      <c r="S28" s="331">
        <f>S27*100/$AX27</f>
        <v>0.08930916444365436</v>
      </c>
      <c r="T28" s="217"/>
      <c r="U28" s="331">
        <f>U27*100/$AX27</f>
        <v>0</v>
      </c>
      <c r="V28" s="217"/>
      <c r="W28" s="331">
        <f>W27*100/$AX27</f>
        <v>0</v>
      </c>
      <c r="X28" s="217"/>
      <c r="Y28" s="331">
        <f>Y27*100/$AX27</f>
        <v>0</v>
      </c>
      <c r="Z28" s="217"/>
      <c r="AA28" s="331"/>
      <c r="AB28" s="217"/>
      <c r="AC28" s="331"/>
      <c r="AD28" s="258"/>
      <c r="AE28" s="285"/>
      <c r="AF28" s="217"/>
      <c r="AG28" s="286">
        <f t="shared" si="29"/>
        <v>0</v>
      </c>
      <c r="AH28" s="217"/>
      <c r="AI28" s="287"/>
      <c r="AJ28" s="217"/>
      <c r="AK28" s="285"/>
      <c r="AL28" s="217"/>
      <c r="AM28" s="285"/>
      <c r="AN28" s="217"/>
      <c r="AO28" s="334"/>
      <c r="AP28" s="258"/>
      <c r="AQ28" s="335">
        <f>AQ27*100/$AX27</f>
        <v>0</v>
      </c>
      <c r="AR28" s="217"/>
      <c r="AS28" s="332">
        <f>AS27*100/$AX27</f>
        <v>0</v>
      </c>
      <c r="AT28" s="217"/>
      <c r="AU28" s="333">
        <f>AU27*100/$AX27</f>
        <v>4.3718224773531915</v>
      </c>
      <c r="AV28" s="287"/>
      <c r="AW28" s="287"/>
      <c r="AX28" s="336">
        <f>SUM(D28:AW28)</f>
        <v>100</v>
      </c>
      <c r="AY28" s="336"/>
      <c r="AZ28" s="336"/>
      <c r="BA28" s="336"/>
      <c r="BB28" s="289"/>
      <c r="BC28" s="290"/>
      <c r="BD28" s="251"/>
      <c r="BE28" s="286"/>
      <c r="BF28" s="291"/>
      <c r="BG28" s="287"/>
      <c r="BH28" s="292"/>
      <c r="BI28" s="287"/>
      <c r="BJ28" s="287"/>
      <c r="BK28" s="217"/>
      <c r="BL28" s="217"/>
      <c r="BM28" s="287"/>
      <c r="BN28" s="287"/>
      <c r="BO28" s="217"/>
      <c r="BP28" s="285"/>
      <c r="BQ28" s="285"/>
      <c r="BW28" s="261"/>
      <c r="BX28" s="294"/>
      <c r="BY28" s="295"/>
      <c r="BZ28" s="296"/>
      <c r="CA28" s="295"/>
      <c r="CB28" s="297"/>
      <c r="CC28" s="296"/>
      <c r="CD28" s="295"/>
      <c r="CE28" s="296"/>
      <c r="CF28" s="295"/>
      <c r="CG28" s="296"/>
      <c r="CH28" s="295"/>
      <c r="CI28" s="298"/>
      <c r="CJ28" s="295"/>
      <c r="CK28" s="298"/>
      <c r="CL28" s="295"/>
      <c r="CM28" s="298"/>
      <c r="CN28" s="299"/>
      <c r="CO28" s="266"/>
      <c r="CP28" s="298"/>
      <c r="CQ28" s="298"/>
      <c r="CR28" s="299"/>
      <c r="CS28" s="297"/>
      <c r="CT28" s="466"/>
      <c r="CU28" s="301"/>
      <c r="CV28" s="302"/>
      <c r="CW28" s="338"/>
      <c r="DA28" s="360"/>
      <c r="DB28" s="360"/>
      <c r="DC28" s="360"/>
      <c r="DD28" s="361"/>
      <c r="DE28" s="361"/>
      <c r="DF28" s="361"/>
      <c r="DJ28" s="272"/>
      <c r="DK28" s="273"/>
      <c r="DL28" s="273"/>
      <c r="DM28" s="307"/>
      <c r="DN28" s="308"/>
      <c r="DO28" s="273"/>
      <c r="DP28" s="273"/>
      <c r="DQ28" s="307"/>
      <c r="DR28" s="309"/>
      <c r="DS28" s="310"/>
      <c r="DT28" s="273"/>
      <c r="DU28" s="311"/>
      <c r="DV28" s="312"/>
      <c r="DW28" s="313"/>
      <c r="DX28" s="310"/>
      <c r="DY28" s="273"/>
      <c r="DZ28" s="273"/>
      <c r="EA28" s="307"/>
      <c r="EB28" s="309"/>
      <c r="EC28" s="314"/>
      <c r="EF28" s="375"/>
      <c r="EG28" s="375"/>
      <c r="EH28" s="280"/>
      <c r="EI28" s="280"/>
      <c r="EK28" s="280"/>
      <c r="EL28" s="280"/>
      <c r="EN28" s="37"/>
      <c r="EP28" s="15"/>
      <c r="ES28" s="38"/>
      <c r="EZ28" s="356"/>
      <c r="FA28" s="357"/>
      <c r="FC28" s="281"/>
      <c r="FD28" s="281"/>
      <c r="FE28" s="38"/>
      <c r="FF28" s="281"/>
      <c r="FG28" s="281"/>
      <c r="FI28" s="281"/>
      <c r="FJ28" s="281"/>
      <c r="FL28" s="282"/>
      <c r="FM28" s="281"/>
      <c r="FO28" s="281"/>
      <c r="FP28" s="350"/>
      <c r="FQ28" s="347"/>
      <c r="FR28" s="351"/>
      <c r="FS28" s="350"/>
      <c r="FT28" s="344"/>
      <c r="FU28" s="350"/>
      <c r="FV28" s="350"/>
      <c r="FW28" s="347"/>
      <c r="FX28" s="351"/>
      <c r="FY28" s="352"/>
      <c r="FZ28" s="344"/>
      <c r="GA28" s="350"/>
      <c r="GB28" s="350"/>
      <c r="GC28" s="347"/>
      <c r="GD28" s="282"/>
      <c r="GE28" s="281"/>
      <c r="GG28" s="281"/>
      <c r="GH28" s="281"/>
      <c r="GI28" s="38"/>
      <c r="GJ28" s="282"/>
      <c r="GK28" s="281"/>
      <c r="GM28" s="281"/>
      <c r="GN28" s="281"/>
      <c r="GO28" s="38"/>
      <c r="GP28" s="363"/>
      <c r="GQ28" s="281"/>
      <c r="GS28" s="281"/>
      <c r="GT28" s="281"/>
      <c r="GU28" s="38"/>
      <c r="GV28" s="282"/>
      <c r="GW28" s="281"/>
      <c r="GY28" s="281"/>
      <c r="GZ28" s="281"/>
      <c r="HA28" s="38"/>
      <c r="HB28" s="282"/>
      <c r="HC28" s="281"/>
      <c r="HE28" s="281"/>
      <c r="HF28" s="281"/>
      <c r="HG28" s="38"/>
      <c r="HH28" s="282"/>
      <c r="HI28" s="281"/>
      <c r="HK28" s="281"/>
      <c r="HL28" s="281"/>
      <c r="HM28" s="38"/>
      <c r="HN28" s="282"/>
      <c r="HO28" s="281"/>
      <c r="HQ28" s="281"/>
      <c r="HR28" s="281"/>
      <c r="HS28" s="38"/>
      <c r="HT28" s="470"/>
      <c r="HU28" s="280"/>
      <c r="HW28" s="280"/>
      <c r="HX28" s="280"/>
      <c r="HZ28" s="354"/>
      <c r="IA28" s="344"/>
      <c r="IB28" s="344"/>
      <c r="IC28" s="343"/>
      <c r="ID28" s="343"/>
      <c r="IE28" s="355"/>
      <c r="IF28" s="327"/>
      <c r="IG28" s="316"/>
      <c r="IH28" s="317"/>
    </row>
    <row r="29" ht="28.5" customHeight="1">
      <c r="A29" s="471" t="s">
        <v>199</v>
      </c>
      <c r="B29" s="283"/>
      <c r="C29" s="284">
        <f>D29+E29</f>
        <v>649349.45999999996</v>
      </c>
      <c r="D29" s="285">
        <f>'Расход-2026'!I1215</f>
        <v>624178.42999999993</v>
      </c>
      <c r="E29" s="285">
        <f>'Расход-2026'!J1215</f>
        <v>25171.029999999999</v>
      </c>
      <c r="F29" s="285">
        <f>BX19</f>
        <v>5238.5157999999992</v>
      </c>
      <c r="G29" s="286">
        <f>F29*$AX$128/$F$153</f>
        <v>10117.652680259047</v>
      </c>
      <c r="H29" s="285">
        <f>BY19</f>
        <v>40340564.8125</v>
      </c>
      <c r="I29" s="286">
        <f>H29*$AX$143/$H$153</f>
        <v>15457835.656062566</v>
      </c>
      <c r="J29" s="285">
        <f>BZ19</f>
        <v>1070.5</v>
      </c>
      <c r="K29" s="285">
        <f>J29*$AX$142/$J$153</f>
        <v>25615.383678188813</v>
      </c>
      <c r="L29" s="272">
        <f>CA19</f>
        <v>2016</v>
      </c>
      <c r="M29" s="285">
        <f>L29*$AX$140/$L$153</f>
        <v>85250.641956748383</v>
      </c>
      <c r="N29" s="272">
        <f>CD19</f>
        <v>299</v>
      </c>
      <c r="O29" s="285">
        <f>N29*$AX$138/$N$153</f>
        <v>4897.0751826046107</v>
      </c>
      <c r="P29" s="285">
        <f>CC19+CB19</f>
        <v>31629</v>
      </c>
      <c r="Q29" s="285">
        <f>P29*($AX$139+$AX$137)/$P$153</f>
        <v>770531.82018346246</v>
      </c>
      <c r="R29" s="285">
        <f>CE19</f>
        <v>2497</v>
      </c>
      <c r="S29" s="285">
        <f>R29*$AX$136/$R$153</f>
        <v>6006.0183322969087</v>
      </c>
      <c r="T29" s="285">
        <f>CF19</f>
        <v>132</v>
      </c>
      <c r="U29" s="285">
        <f>T29*$AX$135/$T$153</f>
        <v>3632.7723292073388</v>
      </c>
      <c r="V29" s="285">
        <f>CG19</f>
        <v>3089</v>
      </c>
      <c r="W29" s="285">
        <f>V29*$AX$134/$V$153</f>
        <v>613.21910973418358</v>
      </c>
      <c r="X29" s="285">
        <f>CH19</f>
        <v>2332</v>
      </c>
      <c r="Y29" s="285">
        <f>X29*$AX$148/$X$153</f>
        <v>5912.2281400606844</v>
      </c>
      <c r="Z29" s="285">
        <f>CI19</f>
        <v>0</v>
      </c>
      <c r="AA29" s="285"/>
      <c r="AB29" s="285">
        <f>CJ19</f>
        <v>0</v>
      </c>
      <c r="AC29" s="285"/>
      <c r="AD29" s="272">
        <f>CK19</f>
        <v>0</v>
      </c>
      <c r="AE29" s="285"/>
      <c r="AF29" s="285">
        <f>CL19</f>
        <v>0</v>
      </c>
      <c r="AG29" s="286">
        <f t="shared" si="29"/>
        <v>0</v>
      </c>
      <c r="AH29" s="285">
        <f>CM19</f>
        <v>0</v>
      </c>
      <c r="AI29" s="285"/>
      <c r="AJ29" s="285"/>
      <c r="AK29" s="285"/>
      <c r="AL29" s="285">
        <f>CO19</f>
        <v>0</v>
      </c>
      <c r="AM29" s="285">
        <f>AL29*$AX$115/$AL$153</f>
        <v>0</v>
      </c>
      <c r="AN29" s="272"/>
      <c r="AO29" s="334"/>
      <c r="AP29" s="285">
        <f>'2026'!T1180</f>
        <v>2</v>
      </c>
      <c r="AQ29" s="286">
        <f>AP29*$AX$133/$AP$153</f>
        <v>209.15534815089438</v>
      </c>
      <c r="AR29" s="285">
        <f>CS19</f>
        <v>99</v>
      </c>
      <c r="AS29" s="286">
        <f>$AX$145*AR29/$AR$153</f>
        <v>2094.2531824899893</v>
      </c>
      <c r="AT29" s="285">
        <f>CT19</f>
        <v>275</v>
      </c>
      <c r="AU29" s="285">
        <f>AT29*$AX$125/$AT$153</f>
        <v>108346.07974935869</v>
      </c>
      <c r="AV29" s="285"/>
      <c r="AW29" s="285"/>
      <c r="AX29" s="286">
        <f>C29+G29+I29+K29+M29+O29+Q29+S29+U29+W29+Y29+AA29+AC29+AE29+AG29+AI29+AK29+AO29+AU29+AS29+AW29+AQ29+AM29</f>
        <v>17130411.415935121</v>
      </c>
      <c r="AY29" s="288">
        <f>AX29-C29</f>
        <v>16481061.955935121</v>
      </c>
      <c r="AZ29" s="288">
        <f>AY29-G29-I29-AG29-AI29-AK29-AM29</f>
        <v>1013108.6471922956</v>
      </c>
      <c r="BA29" s="288">
        <f>AZ29+I29</f>
        <v>16470944.303254861</v>
      </c>
      <c r="BB29" s="472">
        <f>BF29+BH29</f>
        <v>0</v>
      </c>
      <c r="BC29" s="290" t="e">
        <f>AX29/BB29</f>
        <v>#DIV/0!</v>
      </c>
      <c r="BD29" s="286" t="e">
        <f>зарплата!CH23</f>
        <v>#REF!</v>
      </c>
      <c r="BE29" s="286" t="e">
        <f>#REF!</f>
        <v>#REF!</v>
      </c>
      <c r="BF29" s="473">
        <f t="shared" si="14"/>
        <v>0</v>
      </c>
      <c r="BG29" s="285">
        <f t="shared" si="15"/>
        <v>0</v>
      </c>
      <c r="BH29" s="474">
        <f>IC29</f>
        <v>0</v>
      </c>
      <c r="BI29" s="285">
        <f t="shared" si="16"/>
        <v>0</v>
      </c>
      <c r="BJ29" s="272"/>
      <c r="BK29" s="285">
        <f t="shared" si="17"/>
        <v>0</v>
      </c>
      <c r="BL29" s="475">
        <f>(BG29*13%)+(BI29*52%)</f>
        <v>0</v>
      </c>
      <c r="BM29" s="285" t="e">
        <f>AX29/BB29</f>
        <v>#DIV/0!</v>
      </c>
      <c r="BN29" s="285" t="e">
        <f t="shared" si="19"/>
        <v>#DIV/0!</v>
      </c>
      <c r="BO29" s="285" t="e">
        <f t="shared" si="20"/>
        <v>#DIV/0!</v>
      </c>
      <c r="BP29" s="285">
        <f>BL29-AX29</f>
        <v>-17130411.415935121</v>
      </c>
      <c r="BQ29" s="285" t="e">
        <f>BK29-AX29-BD29-BE29</f>
        <v>#REF!</v>
      </c>
      <c r="BW29" s="261" t="s">
        <v>200</v>
      </c>
      <c r="BX29" s="294">
        <f>'2026'!T17</f>
        <v>0</v>
      </c>
      <c r="BY29" s="295">
        <f>'2026'!T62</f>
        <v>0</v>
      </c>
      <c r="BZ29" s="296">
        <f>'2026'!T114</f>
        <v>0</v>
      </c>
      <c r="CA29" s="295">
        <f>'2026'!T671</f>
        <v>0</v>
      </c>
      <c r="CB29" s="297">
        <f>'2026'!T530</f>
        <v>0</v>
      </c>
      <c r="CC29" s="296">
        <f>'2026'!T458</f>
        <v>0</v>
      </c>
      <c r="CD29" s="295">
        <f>'2026'!T601</f>
        <v>0</v>
      </c>
      <c r="CE29" s="296">
        <f>'2026'!T330</f>
        <v>0</v>
      </c>
      <c r="CF29" s="295">
        <f>'2026'!T877</f>
        <v>0</v>
      </c>
      <c r="CG29" s="296">
        <f>'2026'!T930</f>
        <v>0</v>
      </c>
      <c r="CH29" s="295">
        <f>'2026'!T812</f>
        <v>0</v>
      </c>
      <c r="CI29" s="298"/>
      <c r="CJ29" s="295">
        <f>'2026'!T979</f>
        <v>0</v>
      </c>
      <c r="CK29" s="298"/>
      <c r="CL29" s="295">
        <f>'2026'!T183</f>
        <v>0</v>
      </c>
      <c r="CM29" s="298"/>
      <c r="CN29" s="299"/>
      <c r="CO29" s="266"/>
      <c r="CP29" s="298">
        <f>AN41</f>
        <v>0</v>
      </c>
      <c r="CQ29" s="298">
        <f>AO41</f>
        <v>0</v>
      </c>
      <c r="CR29" s="299"/>
      <c r="CS29" s="297">
        <f>'2026'!T1031</f>
        <v>0</v>
      </c>
      <c r="CT29" s="466"/>
      <c r="CU29" s="476"/>
      <c r="CV29" s="302">
        <f t="shared" si="24"/>
        <v>0</v>
      </c>
      <c r="CW29" s="338"/>
      <c r="DA29" s="477">
        <f>DB29+DC29</f>
        <v>0</v>
      </c>
      <c r="DB29" s="478"/>
      <c r="DC29" s="478"/>
      <c r="DD29" s="477">
        <f>DE29+DF29</f>
        <v>0</v>
      </c>
      <c r="DE29" s="477"/>
      <c r="DF29" s="477"/>
      <c r="DJ29" s="272" t="s">
        <v>200</v>
      </c>
      <c r="DK29" s="273"/>
      <c r="DL29" s="273"/>
      <c r="DM29" s="307"/>
      <c r="DN29" s="308">
        <f t="shared" si="1"/>
        <v>0</v>
      </c>
      <c r="DO29" s="273"/>
      <c r="DP29" s="273"/>
      <c r="DQ29" s="307"/>
      <c r="DR29" s="309">
        <f t="shared" si="25"/>
        <v>0</v>
      </c>
      <c r="DS29" s="310">
        <f t="shared" si="3"/>
        <v>0</v>
      </c>
      <c r="DT29" s="273"/>
      <c r="DU29" s="311"/>
      <c r="DV29" s="312"/>
      <c r="DW29" s="313">
        <f t="shared" si="26"/>
        <v>0</v>
      </c>
      <c r="DX29" s="310">
        <f t="shared" si="5"/>
        <v>0</v>
      </c>
      <c r="DY29" s="273"/>
      <c r="DZ29" s="273"/>
      <c r="EA29" s="307"/>
      <c r="EB29" s="309">
        <f t="shared" si="27"/>
        <v>0</v>
      </c>
      <c r="EC29" s="314">
        <f t="shared" si="28"/>
        <v>0</v>
      </c>
      <c r="EF29" s="283" t="s">
        <v>187</v>
      </c>
      <c r="EG29" s="283"/>
      <c r="EH29" s="280"/>
      <c r="EI29" s="280"/>
      <c r="EK29" s="280"/>
      <c r="EL29" s="280"/>
      <c r="EN29" s="37"/>
      <c r="ES29" s="38"/>
      <c r="EZ29" s="356">
        <f t="shared" si="8"/>
        <v>0</v>
      </c>
      <c r="FA29" s="357">
        <f t="shared" si="8"/>
        <v>0</v>
      </c>
      <c r="FB29" s="1">
        <f t="shared" si="8"/>
        <v>0</v>
      </c>
      <c r="FC29" s="281">
        <f t="shared" si="8"/>
        <v>0</v>
      </c>
      <c r="FD29" s="281">
        <f t="shared" si="8"/>
        <v>0</v>
      </c>
      <c r="FE29" s="38">
        <f t="shared" si="8"/>
        <v>0</v>
      </c>
      <c r="FF29" s="281"/>
      <c r="FG29" s="281"/>
      <c r="FI29" s="281"/>
      <c r="FJ29" s="281"/>
      <c r="FL29" s="282"/>
      <c r="FM29" s="281"/>
      <c r="FO29" s="281"/>
      <c r="FP29" s="281"/>
      <c r="FQ29" s="38"/>
      <c r="FR29" s="282"/>
      <c r="FS29" s="281"/>
      <c r="FU29" s="281"/>
      <c r="FV29" s="281"/>
      <c r="FW29" s="38"/>
      <c r="FX29" s="282">
        <f t="shared" si="9"/>
        <v>0</v>
      </c>
      <c r="FY29" s="281">
        <f t="shared" si="9"/>
        <v>0</v>
      </c>
      <c r="FZ29" s="358">
        <f t="shared" si="9"/>
        <v>0</v>
      </c>
      <c r="GA29" s="281">
        <f t="shared" si="9"/>
        <v>0</v>
      </c>
      <c r="GB29" s="281">
        <f t="shared" si="9"/>
        <v>0</v>
      </c>
      <c r="GC29" s="359">
        <f t="shared" si="9"/>
        <v>0</v>
      </c>
      <c r="GD29" s="282"/>
      <c r="GE29" s="281"/>
      <c r="GG29" s="281"/>
      <c r="GH29" s="281"/>
      <c r="GI29" s="38"/>
      <c r="GJ29" s="282"/>
      <c r="GK29" s="281"/>
      <c r="GM29" s="281"/>
      <c r="GN29" s="281"/>
      <c r="GO29" s="38"/>
      <c r="GP29" s="363"/>
      <c r="GQ29" s="281"/>
      <c r="GS29" s="281"/>
      <c r="GT29" s="281"/>
      <c r="GU29" s="38"/>
      <c r="GV29" s="323">
        <f t="shared" si="10"/>
        <v>0</v>
      </c>
      <c r="GW29" s="322">
        <f t="shared" si="10"/>
        <v>0</v>
      </c>
      <c r="GX29" s="322">
        <f t="shared" si="10"/>
        <v>0</v>
      </c>
      <c r="GY29" s="322">
        <f t="shared" si="10"/>
        <v>0</v>
      </c>
      <c r="GZ29" s="322">
        <f t="shared" si="10"/>
        <v>0</v>
      </c>
      <c r="HA29" s="326">
        <f t="shared" si="10"/>
        <v>0</v>
      </c>
      <c r="HB29" s="282"/>
      <c r="HC29" s="281"/>
      <c r="HE29" s="281"/>
      <c r="HF29" s="281"/>
      <c r="HG29" s="38"/>
      <c r="HH29" s="282"/>
      <c r="HI29" s="281"/>
      <c r="HK29" s="281"/>
      <c r="HL29" s="281"/>
      <c r="HM29" s="38"/>
      <c r="HN29" s="282"/>
      <c r="HO29" s="281"/>
      <c r="HQ29" s="281"/>
      <c r="HR29" s="281"/>
      <c r="HS29" s="38"/>
      <c r="HT29" s="315">
        <f t="shared" si="11"/>
        <v>0</v>
      </c>
      <c r="HU29" s="316">
        <f t="shared" si="11"/>
        <v>0</v>
      </c>
      <c r="HV29" s="317">
        <f t="shared" si="11"/>
        <v>0</v>
      </c>
      <c r="HW29" s="316">
        <f t="shared" si="11"/>
        <v>0</v>
      </c>
      <c r="HX29" s="316">
        <f t="shared" si="11"/>
        <v>0</v>
      </c>
      <c r="HY29" s="317">
        <f t="shared" si="11"/>
        <v>0</v>
      </c>
      <c r="HZ29" s="327">
        <f t="shared" si="12"/>
        <v>0</v>
      </c>
      <c r="IA29" s="316">
        <f t="shared" si="12"/>
        <v>0</v>
      </c>
      <c r="IB29" s="317">
        <f t="shared" si="12"/>
        <v>0</v>
      </c>
      <c r="IC29" s="316">
        <f t="shared" si="12"/>
        <v>0</v>
      </c>
      <c r="ID29" s="316">
        <f t="shared" si="12"/>
        <v>0</v>
      </c>
      <c r="IE29" s="328">
        <f t="shared" si="12"/>
        <v>0</v>
      </c>
      <c r="IF29" s="327">
        <f t="shared" si="21"/>
        <v>0</v>
      </c>
      <c r="IG29" s="316">
        <f>IA29+ID29</f>
        <v>0</v>
      </c>
      <c r="IH29" s="317">
        <f>IB29+IE29</f>
        <v>0</v>
      </c>
    </row>
    <row r="30">
      <c r="A30" s="479"/>
      <c r="B30" s="437"/>
      <c r="C30" s="284"/>
      <c r="D30" s="331">
        <f>D29*100/$AX29</f>
        <v>3.6436861605050193</v>
      </c>
      <c r="E30" s="331">
        <f>E29*100/$AX29</f>
        <v>0.14693768520109973</v>
      </c>
      <c r="F30" s="285"/>
      <c r="G30" s="332">
        <f>G29*100/$AX29</f>
        <v>0.059062520067949813</v>
      </c>
      <c r="H30" s="285"/>
      <c r="I30" s="332">
        <f>I29*100/$AX29</f>
        <v>90.236219555610404</v>
      </c>
      <c r="J30" s="285"/>
      <c r="K30" s="331">
        <f>K29*100/$AX29</f>
        <v>0.14953163153081522</v>
      </c>
      <c r="L30" s="272"/>
      <c r="M30" s="331">
        <f>M29*100/$AX29</f>
        <v>0.49765671055305877</v>
      </c>
      <c r="N30" s="272"/>
      <c r="O30" s="331">
        <f>O29*100/$AX29</f>
        <v>0.028587026100547901</v>
      </c>
      <c r="P30" s="285"/>
      <c r="Q30" s="331">
        <f>Q29*100/$AX29</f>
        <v>4.4980345274527105</v>
      </c>
      <c r="R30" s="285"/>
      <c r="S30" s="331">
        <f>S29*100/$AX29</f>
        <v>0.035060560931478656</v>
      </c>
      <c r="T30" s="285"/>
      <c r="U30" s="480">
        <f>U29*100/$AX29</f>
        <v>0.02120656790430641</v>
      </c>
      <c r="V30" s="480"/>
      <c r="W30" s="480">
        <f>W29*100/$AX29</f>
        <v>0.0035797103457991231</v>
      </c>
      <c r="X30" s="285"/>
      <c r="Y30" s="331">
        <f>Y29*100/$AX29</f>
        <v>0.034513053986321582</v>
      </c>
      <c r="Z30" s="285"/>
      <c r="AA30" s="285"/>
      <c r="AB30" s="285"/>
      <c r="AC30" s="285"/>
      <c r="AD30" s="285"/>
      <c r="AE30" s="285"/>
      <c r="AF30" s="285"/>
      <c r="AG30" s="332">
        <f>AG29*100/$AX29</f>
        <v>0</v>
      </c>
      <c r="AH30" s="285"/>
      <c r="AI30" s="285"/>
      <c r="AJ30" s="285"/>
      <c r="AK30" s="285"/>
      <c r="AL30" s="285"/>
      <c r="AM30" s="481">
        <f>AM29*100/AX29</f>
        <v>0</v>
      </c>
      <c r="AN30" s="272"/>
      <c r="AO30" s="334"/>
      <c r="AP30" s="285"/>
      <c r="AQ30" s="335">
        <f>AQ29*100/$AX29</f>
        <v>0.0012209592815519482</v>
      </c>
      <c r="AR30" s="285"/>
      <c r="AS30" s="332">
        <f>AS29*100/$AX29</f>
        <v>0.012225352512794085</v>
      </c>
      <c r="AT30" s="285"/>
      <c r="AU30" s="333">
        <f>AU29*100/$AX29</f>
        <v>0.63247797801617622</v>
      </c>
      <c r="AV30" s="285"/>
      <c r="AW30" s="285"/>
      <c r="AX30" s="332">
        <f>SUM(D30:AW30)</f>
        <v>100.00000000000006</v>
      </c>
      <c r="AY30" s="336"/>
      <c r="AZ30" s="336"/>
      <c r="BA30" s="336"/>
      <c r="BB30" s="289"/>
      <c r="BC30" s="290"/>
      <c r="BD30" s="251"/>
      <c r="BE30" s="286"/>
      <c r="BF30" s="291"/>
      <c r="BG30" s="287"/>
      <c r="BH30" s="292"/>
      <c r="BI30" s="287"/>
      <c r="BJ30" s="259"/>
      <c r="BK30" s="293"/>
      <c r="BL30" s="293"/>
      <c r="BM30" s="259"/>
      <c r="BN30" s="259"/>
      <c r="BO30" s="293"/>
      <c r="BP30" s="475"/>
      <c r="BQ30" s="285"/>
      <c r="BW30" s="261" t="s">
        <v>201</v>
      </c>
      <c r="BX30" s="294">
        <f>'2026'!T18</f>
        <v>560399.77880000009</v>
      </c>
      <c r="BY30" s="295">
        <f>'2026'!T63</f>
        <v>2772590.7604999999</v>
      </c>
      <c r="BZ30" s="296">
        <f>'2026'!T115</f>
        <v>360.5</v>
      </c>
      <c r="CA30" s="295">
        <f>'2026'!T672</f>
        <v>343</v>
      </c>
      <c r="CB30" s="297">
        <f>'2026'!T531</f>
        <v>955</v>
      </c>
      <c r="CC30" s="296">
        <f>'2026'!T459</f>
        <v>2134</v>
      </c>
      <c r="CD30" s="295">
        <f>'2026'!T602</f>
        <v>81</v>
      </c>
      <c r="CE30" s="296">
        <f>'2026'!T331</f>
        <v>175</v>
      </c>
      <c r="CF30" s="295">
        <f>'2026'!T878</f>
        <v>136.5</v>
      </c>
      <c r="CG30" s="296">
        <f>'2026'!T931</f>
        <v>925</v>
      </c>
      <c r="CH30" s="295">
        <f>'2026'!T813</f>
        <v>898.5</v>
      </c>
      <c r="CI30" s="298"/>
      <c r="CJ30" s="295">
        <f>'2026'!T980</f>
        <v>0</v>
      </c>
      <c r="CK30" s="298"/>
      <c r="CL30" s="295">
        <f>'2026'!T184</f>
        <v>60</v>
      </c>
      <c r="CM30" s="298"/>
      <c r="CN30" s="299"/>
      <c r="CO30" s="266"/>
      <c r="CP30" s="298">
        <f>AN43</f>
        <v>0.29999999999999999</v>
      </c>
      <c r="CQ30" s="298">
        <f>AO43</f>
        <v>1161.0294899999999</v>
      </c>
      <c r="CR30" s="299"/>
      <c r="CS30" s="297">
        <f>'2026'!T1032</f>
        <v>516</v>
      </c>
      <c r="CT30" s="466">
        <f>Приемник!AD27</f>
        <v>128</v>
      </c>
      <c r="CU30" s="301">
        <v>265</v>
      </c>
      <c r="CV30" s="302">
        <f t="shared" si="24"/>
        <v>393</v>
      </c>
      <c r="CW30" s="338"/>
      <c r="DA30" s="339">
        <f>DB30</f>
        <v>0</v>
      </c>
      <c r="DB30" s="340"/>
      <c r="DC30" s="340"/>
      <c r="DD30" s="341">
        <f>DE30</f>
        <v>0</v>
      </c>
      <c r="DE30" s="341"/>
      <c r="DF30" s="341"/>
      <c r="DJ30" s="272" t="s">
        <v>201</v>
      </c>
      <c r="DK30" s="273"/>
      <c r="DL30" s="273"/>
      <c r="DM30" s="307"/>
      <c r="DN30" s="308">
        <f t="shared" si="1"/>
        <v>0</v>
      </c>
      <c r="DO30" s="273"/>
      <c r="DP30" s="273"/>
      <c r="DQ30" s="307"/>
      <c r="DR30" s="309">
        <f t="shared" si="25"/>
        <v>0</v>
      </c>
      <c r="DS30" s="310">
        <f t="shared" si="3"/>
        <v>0</v>
      </c>
      <c r="DT30" s="273"/>
      <c r="DU30" s="311"/>
      <c r="DV30" s="312"/>
      <c r="DW30" s="313">
        <f t="shared" si="26"/>
        <v>0</v>
      </c>
      <c r="DX30" s="310">
        <f t="shared" si="5"/>
        <v>0</v>
      </c>
      <c r="DY30" s="273"/>
      <c r="DZ30" s="273"/>
      <c r="EA30" s="307"/>
      <c r="EB30" s="309">
        <f t="shared" si="27"/>
        <v>0</v>
      </c>
      <c r="EC30" s="314">
        <f t="shared" si="28"/>
        <v>0</v>
      </c>
      <c r="EF30" s="437"/>
      <c r="EG30" s="437"/>
      <c r="EH30" s="280"/>
      <c r="EI30" s="280"/>
      <c r="EK30" s="280"/>
      <c r="EL30" s="280"/>
      <c r="EN30" s="37"/>
      <c r="EP30" s="15"/>
      <c r="ES30" s="38"/>
      <c r="EZ30" s="356"/>
      <c r="FA30" s="357"/>
      <c r="FC30" s="281"/>
      <c r="FD30" s="281"/>
      <c r="FE30" s="38"/>
      <c r="FF30" s="281"/>
      <c r="FG30" s="281"/>
      <c r="FI30" s="281"/>
      <c r="FJ30" s="281"/>
      <c r="FL30" s="282"/>
      <c r="FM30" s="281"/>
      <c r="FO30" s="281"/>
      <c r="FP30" s="281"/>
      <c r="FQ30" s="38"/>
      <c r="FR30" s="282"/>
      <c r="FS30" s="281"/>
      <c r="FU30" s="281"/>
      <c r="FV30" s="281"/>
      <c r="FW30" s="38"/>
      <c r="FX30" s="282"/>
      <c r="FY30" s="362"/>
      <c r="GA30" s="281"/>
      <c r="GB30" s="281"/>
      <c r="GC30" s="38"/>
      <c r="GD30" s="282"/>
      <c r="GE30" s="281"/>
      <c r="GG30" s="281"/>
      <c r="GH30" s="281"/>
      <c r="GI30" s="38"/>
      <c r="GJ30" s="282"/>
      <c r="GK30" s="281"/>
      <c r="GM30" s="281"/>
      <c r="GN30" s="281"/>
      <c r="GO30" s="38"/>
      <c r="GP30" s="363"/>
      <c r="GQ30" s="281"/>
      <c r="GS30" s="281"/>
      <c r="GT30" s="281"/>
      <c r="GU30" s="38"/>
      <c r="GV30" s="351"/>
      <c r="GW30" s="350"/>
      <c r="GX30" s="344"/>
      <c r="GY30" s="350"/>
      <c r="GZ30" s="350"/>
      <c r="HA30" s="347"/>
      <c r="HB30" s="282"/>
      <c r="HC30" s="281"/>
      <c r="HE30" s="281"/>
      <c r="HF30" s="281"/>
      <c r="HG30" s="38"/>
      <c r="HH30" s="282"/>
      <c r="HI30" s="281"/>
      <c r="HK30" s="281"/>
      <c r="HL30" s="281"/>
      <c r="HM30" s="38"/>
      <c r="HN30" s="282"/>
      <c r="HO30" s="281"/>
      <c r="HQ30" s="281"/>
      <c r="HR30" s="281"/>
      <c r="HS30" s="38"/>
      <c r="HT30" s="342"/>
      <c r="HU30" s="343"/>
      <c r="HV30" s="344"/>
      <c r="HW30" s="343"/>
      <c r="HX30" s="343"/>
      <c r="HY30" s="344"/>
      <c r="HZ30" s="354"/>
      <c r="IA30" s="344"/>
      <c r="IB30" s="344"/>
      <c r="IC30" s="343"/>
      <c r="ID30" s="343"/>
      <c r="IE30" s="355"/>
      <c r="IF30" s="327"/>
      <c r="IG30" s="316"/>
      <c r="IH30" s="317"/>
    </row>
    <row r="31" ht="21.75" customHeight="1">
      <c r="A31" s="482" t="s">
        <v>202</v>
      </c>
      <c r="B31" s="482"/>
      <c r="C31" s="284">
        <f>D31+E31</f>
        <v>2000208.23</v>
      </c>
      <c r="D31" s="285">
        <f>'Расход-2026'!I1216</f>
        <v>1805582.97</v>
      </c>
      <c r="E31" s="285">
        <f>'Расход-2026'!J1216</f>
        <v>194625.26000000001</v>
      </c>
      <c r="F31" s="217">
        <f>BX20</f>
        <v>37730.234099999994</v>
      </c>
      <c r="G31" s="286">
        <f>F31*$AX$128/$F$153</f>
        <v>72872.0536012636</v>
      </c>
      <c r="H31" s="217">
        <f>BY20</f>
        <v>1939561.4205</v>
      </c>
      <c r="I31" s="286">
        <f>H31*$AX$143/$H$153</f>
        <v>743207.78160344856</v>
      </c>
      <c r="J31" s="217">
        <f>BZ20</f>
        <v>2026.5</v>
      </c>
      <c r="K31" s="285">
        <f>J31*$AX$142/$J$153</f>
        <v>48490.96218949055</v>
      </c>
      <c r="L31" s="258">
        <f>CA20</f>
        <v>1368</v>
      </c>
      <c r="M31" s="287">
        <f>L31*$AX$140/$L$153</f>
        <v>57848.64989922211</v>
      </c>
      <c r="N31" s="258">
        <f>CD20</f>
        <v>506</v>
      </c>
      <c r="O31" s="285">
        <f>N31*$AX$138/$N$153</f>
        <v>8287.3580013308801</v>
      </c>
      <c r="P31" s="217">
        <f>CC20+CB20</f>
        <v>9897</v>
      </c>
      <c r="Q31" s="285">
        <f>P31*($AX$139+$AX$137)/$P$153</f>
        <v>241106.37150576143</v>
      </c>
      <c r="R31" s="217">
        <f>CE20</f>
        <v>2184</v>
      </c>
      <c r="S31" s="285">
        <f>R31*$AX$136/$R$153</f>
        <v>5253.1614087851212</v>
      </c>
      <c r="T31" s="217">
        <f>CF20</f>
        <v>1266</v>
      </c>
      <c r="U31" s="285">
        <f>T31*$AX$135/$T$153</f>
        <v>34841.589157397655</v>
      </c>
      <c r="V31" s="217">
        <f>CG20</f>
        <v>0</v>
      </c>
      <c r="W31" s="285">
        <f>V31*$AX$134/$V$153</f>
        <v>0</v>
      </c>
      <c r="X31" s="217">
        <f>CH20</f>
        <v>3248.5</v>
      </c>
      <c r="Y31" s="285">
        <f>X31*$AX$148/$X$153</f>
        <v>8235.794645363263</v>
      </c>
      <c r="Z31" s="217">
        <f>CI20</f>
        <v>0</v>
      </c>
      <c r="AA31" s="285"/>
      <c r="AB31" s="217">
        <f>CJ20</f>
        <v>0</v>
      </c>
      <c r="AC31" s="285"/>
      <c r="AD31" s="258">
        <f>CK20</f>
        <v>0</v>
      </c>
      <c r="AE31" s="285"/>
      <c r="AF31" s="217">
        <f>CL20</f>
        <v>0</v>
      </c>
      <c r="AG31" s="286">
        <f>AF31*($AX$113+$AX$114)/$AF$153</f>
        <v>0</v>
      </c>
      <c r="AH31" s="217">
        <f>CM20</f>
        <v>0</v>
      </c>
      <c r="AI31" s="287"/>
      <c r="AJ31" s="217"/>
      <c r="AK31" s="285"/>
      <c r="AL31" s="217">
        <f>CO20</f>
        <v>760</v>
      </c>
      <c r="AM31" s="285">
        <f>AL31*$AX$115/$AL$153</f>
        <v>1945635.7313555088</v>
      </c>
      <c r="AN31" s="258"/>
      <c r="AO31" s="334"/>
      <c r="AP31" s="217">
        <f>'2026'!T1181</f>
        <v>0</v>
      </c>
      <c r="AQ31" s="286">
        <f>AP31*$AX$133/$AP$153</f>
        <v>0</v>
      </c>
      <c r="AR31" s="217">
        <f>CS20</f>
        <v>103</v>
      </c>
      <c r="AS31" s="286">
        <f>$AX$145*AR31/$AR$153</f>
        <v>2178.8694726916051</v>
      </c>
      <c r="AT31" s="217">
        <f>CT20</f>
        <v>143</v>
      </c>
      <c r="AU31" s="287">
        <f>AT31*$AX$125/$AT$153</f>
        <v>56339.961469666516</v>
      </c>
      <c r="AV31" s="287"/>
      <c r="AW31" s="287"/>
      <c r="AX31" s="288">
        <f>C31+G31+I31+K31+M31+O31+Q31+S31+U31+W31+Y31+AA31+AC31+AE31+AG31+AI31+AK31+AO31+AU31+AS31+AW31+AQ31+AM31</f>
        <v>5224506.5143099306</v>
      </c>
      <c r="AY31" s="288">
        <f>AX31-C31</f>
        <v>3224298.2843099306</v>
      </c>
      <c r="AZ31" s="288">
        <f>AY31-G31-I31-AG31-AI31-AK31-AM31</f>
        <v>462582.71774970973</v>
      </c>
      <c r="BA31" s="288">
        <f>AZ31+I31</f>
        <v>1205790.4993531583</v>
      </c>
      <c r="BB31" s="289">
        <f>BF31+BH31</f>
        <v>0</v>
      </c>
      <c r="BC31" s="290" t="e">
        <f>AX31/BB31</f>
        <v>#DIV/0!</v>
      </c>
      <c r="BD31" s="286">
        <f>зарплата!CH27</f>
        <v>43310350.652847633</v>
      </c>
      <c r="BE31" s="286" t="e">
        <f>#REF!</f>
        <v>#REF!</v>
      </c>
      <c r="BF31" s="291">
        <f t="shared" si="14"/>
        <v>0</v>
      </c>
      <c r="BG31" s="287">
        <f t="shared" si="15"/>
        <v>0</v>
      </c>
      <c r="BH31" s="292">
        <f>IC31</f>
        <v>0</v>
      </c>
      <c r="BI31" s="287">
        <f t="shared" si="16"/>
        <v>0</v>
      </c>
      <c r="BJ31" s="259"/>
      <c r="BK31" s="217">
        <f t="shared" si="17"/>
        <v>0</v>
      </c>
      <c r="BL31" s="293">
        <f>(BG31*13%)+(BI31*52%)</f>
        <v>0</v>
      </c>
      <c r="BM31" s="287" t="e">
        <f>AX31/BB31</f>
        <v>#DIV/0!</v>
      </c>
      <c r="BN31" s="287" t="e">
        <f t="shared" si="19"/>
        <v>#DIV/0!</v>
      </c>
      <c r="BO31" s="217" t="e">
        <f t="shared" si="20"/>
        <v>#DIV/0!</v>
      </c>
      <c r="BP31" s="285">
        <f>BL31-AX31</f>
        <v>-5224506.5143099306</v>
      </c>
      <c r="BQ31" s="285" t="e">
        <f>BK31-AX31-BD31-BE31</f>
        <v>#REF!</v>
      </c>
      <c r="BW31" s="261" t="s">
        <v>203</v>
      </c>
      <c r="BX31" s="294">
        <f>'2026'!T19</f>
        <v>165209.9921</v>
      </c>
      <c r="BY31" s="295">
        <f>'2026'!T64</f>
        <v>0</v>
      </c>
      <c r="BZ31" s="296">
        <f>'2026'!T116</f>
        <v>271.5</v>
      </c>
      <c r="CA31" s="295">
        <f>'2026'!T673</f>
        <v>643</v>
      </c>
      <c r="CB31" s="297">
        <f>'2026'!T532</f>
        <v>231</v>
      </c>
      <c r="CC31" s="296">
        <f>'2026'!T460</f>
        <v>1843</v>
      </c>
      <c r="CD31" s="295">
        <f>'2026'!T603</f>
        <v>399</v>
      </c>
      <c r="CE31" s="296">
        <f>'2026'!T332</f>
        <v>13</v>
      </c>
      <c r="CF31" s="295">
        <f>'2026'!T879</f>
        <v>34</v>
      </c>
      <c r="CG31" s="296">
        <f>'2026'!T932</f>
        <v>1876.5</v>
      </c>
      <c r="CH31" s="295">
        <f>'2026'!T814</f>
        <v>78</v>
      </c>
      <c r="CI31" s="298"/>
      <c r="CJ31" s="295">
        <f>'2026'!T981</f>
        <v>0</v>
      </c>
      <c r="CK31" s="298"/>
      <c r="CL31" s="295">
        <f>'2026'!T185</f>
        <v>0</v>
      </c>
      <c r="CM31" s="298"/>
      <c r="CN31" s="299"/>
      <c r="CO31" s="266"/>
      <c r="CP31" s="298">
        <f>AN45</f>
        <v>0.29999999999999999</v>
      </c>
      <c r="CQ31" s="298">
        <f>AO45</f>
        <v>1161.0294899999999</v>
      </c>
      <c r="CR31" s="299"/>
      <c r="CS31" s="297">
        <f>'2026'!T1033</f>
        <v>111</v>
      </c>
      <c r="CT31" s="466">
        <f>Приемник!AD28</f>
        <v>165</v>
      </c>
      <c r="CU31" s="301">
        <v>980</v>
      </c>
      <c r="CV31" s="302">
        <f t="shared" si="24"/>
        <v>1145</v>
      </c>
      <c r="CW31" s="303">
        <f>$CU$9/$CU$134*CU31</f>
        <v>660770.90144004428</v>
      </c>
      <c r="DA31" s="11">
        <f>DB31+DC31</f>
        <v>0</v>
      </c>
      <c r="DB31" s="11"/>
      <c r="DC31" s="11"/>
      <c r="DD31" s="11">
        <f>DE31+DF31</f>
        <v>0</v>
      </c>
      <c r="DE31" s="11"/>
      <c r="DF31" s="11"/>
      <c r="DJ31" s="272" t="s">
        <v>203</v>
      </c>
      <c r="DK31" s="273"/>
      <c r="DL31" s="273"/>
      <c r="DM31" s="307"/>
      <c r="DN31" s="308">
        <f t="shared" si="1"/>
        <v>0</v>
      </c>
      <c r="DO31" s="273"/>
      <c r="DP31" s="273"/>
      <c r="DQ31" s="307"/>
      <c r="DR31" s="309">
        <f t="shared" si="25"/>
        <v>0</v>
      </c>
      <c r="DS31" s="310">
        <f t="shared" si="3"/>
        <v>0</v>
      </c>
      <c r="DT31" s="273"/>
      <c r="DU31" s="311"/>
      <c r="DV31" s="312"/>
      <c r="DW31" s="313">
        <f t="shared" si="26"/>
        <v>0</v>
      </c>
      <c r="DX31" s="310">
        <f t="shared" si="5"/>
        <v>0</v>
      </c>
      <c r="DY31" s="273"/>
      <c r="DZ31" s="273"/>
      <c r="EA31" s="307"/>
      <c r="EB31" s="309">
        <f t="shared" si="27"/>
        <v>0</v>
      </c>
      <c r="EC31" s="314">
        <f t="shared" si="28"/>
        <v>0</v>
      </c>
      <c r="EF31" s="482" t="s">
        <v>188</v>
      </c>
      <c r="EG31" s="482"/>
      <c r="EH31" s="315"/>
      <c r="EI31" s="316"/>
      <c r="EJ31" s="317"/>
      <c r="EK31" s="316"/>
      <c r="EL31" s="316"/>
      <c r="EM31" s="317"/>
      <c r="EN31" s="318"/>
      <c r="EO31" s="317"/>
      <c r="EP31" s="317"/>
      <c r="EQ31" s="317"/>
      <c r="ER31" s="317"/>
      <c r="ES31" s="319"/>
      <c r="ET31" s="317"/>
      <c r="EU31" s="317"/>
      <c r="EV31" s="317"/>
      <c r="EW31" s="317"/>
      <c r="EX31" s="317"/>
      <c r="EY31" s="317"/>
      <c r="EZ31" s="320">
        <f t="shared" si="8"/>
        <v>0</v>
      </c>
      <c r="FA31" s="321">
        <f t="shared" si="8"/>
        <v>0</v>
      </c>
      <c r="FB31" s="317">
        <f t="shared" si="8"/>
        <v>0</v>
      </c>
      <c r="FC31" s="322">
        <f t="shared" si="8"/>
        <v>0</v>
      </c>
      <c r="FD31" s="322">
        <f t="shared" si="8"/>
        <v>0</v>
      </c>
      <c r="FE31" s="319">
        <f t="shared" si="8"/>
        <v>0</v>
      </c>
      <c r="FF31" s="322"/>
      <c r="FG31" s="322"/>
      <c r="FH31" s="317"/>
      <c r="FI31" s="322"/>
      <c r="FJ31" s="322"/>
      <c r="FK31" s="317"/>
      <c r="FL31" s="323"/>
      <c r="FM31" s="322"/>
      <c r="FN31" s="317"/>
      <c r="FO31" s="322"/>
      <c r="FP31" s="322"/>
      <c r="FQ31" s="319"/>
      <c r="FR31" s="323"/>
      <c r="FS31" s="322"/>
      <c r="FT31" s="317"/>
      <c r="FU31" s="322"/>
      <c r="FV31" s="322"/>
      <c r="FW31" s="319"/>
      <c r="FX31" s="323">
        <f t="shared" si="9"/>
        <v>0</v>
      </c>
      <c r="FY31" s="322">
        <f t="shared" si="9"/>
        <v>0</v>
      </c>
      <c r="FZ31" s="324">
        <f t="shared" si="9"/>
        <v>0</v>
      </c>
      <c r="GA31" s="322">
        <f t="shared" si="9"/>
        <v>0</v>
      </c>
      <c r="GB31" s="322">
        <f t="shared" si="9"/>
        <v>0</v>
      </c>
      <c r="GC31" s="325">
        <f t="shared" si="9"/>
        <v>0</v>
      </c>
      <c r="GD31" s="323"/>
      <c r="GE31" s="322"/>
      <c r="GF31" s="317"/>
      <c r="GG31" s="322"/>
      <c r="GH31" s="322"/>
      <c r="GI31" s="319"/>
      <c r="GJ31" s="323"/>
      <c r="GK31" s="322"/>
      <c r="GL31" s="317"/>
      <c r="GM31" s="322"/>
      <c r="GN31" s="322"/>
      <c r="GO31" s="319"/>
      <c r="GP31" s="374"/>
      <c r="GQ31" s="322"/>
      <c r="GR31" s="317"/>
      <c r="GS31" s="322"/>
      <c r="GT31" s="322"/>
      <c r="GU31" s="319"/>
      <c r="GV31" s="323">
        <f t="shared" si="10"/>
        <v>0</v>
      </c>
      <c r="GW31" s="322">
        <f t="shared" si="10"/>
        <v>0</v>
      </c>
      <c r="GX31" s="322">
        <f t="shared" si="10"/>
        <v>0</v>
      </c>
      <c r="GY31" s="322">
        <f t="shared" si="10"/>
        <v>0</v>
      </c>
      <c r="GZ31" s="322">
        <f t="shared" si="10"/>
        <v>0</v>
      </c>
      <c r="HA31" s="326">
        <f t="shared" si="10"/>
        <v>0</v>
      </c>
      <c r="HB31" s="323"/>
      <c r="HC31" s="322"/>
      <c r="HD31" s="317"/>
      <c r="HE31" s="322"/>
      <c r="HF31" s="322"/>
      <c r="HG31" s="319"/>
      <c r="HH31" s="323"/>
      <c r="HI31" s="322"/>
      <c r="HJ31" s="317"/>
      <c r="HK31" s="322"/>
      <c r="HL31" s="322"/>
      <c r="HM31" s="319"/>
      <c r="HN31" s="323"/>
      <c r="HO31" s="322"/>
      <c r="HP31" s="317"/>
      <c r="HQ31" s="322"/>
      <c r="HR31" s="322"/>
      <c r="HS31" s="319"/>
      <c r="HT31" s="315">
        <f t="shared" si="11"/>
        <v>0</v>
      </c>
      <c r="HU31" s="316">
        <f t="shared" si="11"/>
        <v>0</v>
      </c>
      <c r="HV31" s="317">
        <f t="shared" si="11"/>
        <v>0</v>
      </c>
      <c r="HW31" s="316">
        <f t="shared" si="11"/>
        <v>0</v>
      </c>
      <c r="HX31" s="316">
        <f t="shared" si="11"/>
        <v>0</v>
      </c>
      <c r="HY31" s="317">
        <f t="shared" si="11"/>
        <v>0</v>
      </c>
      <c r="HZ31" s="327">
        <f t="shared" si="12"/>
        <v>0</v>
      </c>
      <c r="IA31" s="316">
        <f t="shared" si="12"/>
        <v>0</v>
      </c>
      <c r="IB31" s="317">
        <f t="shared" si="12"/>
        <v>0</v>
      </c>
      <c r="IC31" s="316">
        <f t="shared" si="12"/>
        <v>0</v>
      </c>
      <c r="ID31" s="316">
        <f t="shared" si="12"/>
        <v>0</v>
      </c>
      <c r="IE31" s="328">
        <f t="shared" si="12"/>
        <v>0</v>
      </c>
      <c r="IF31" s="327">
        <f t="shared" si="21"/>
        <v>0</v>
      </c>
      <c r="IG31" s="316">
        <f>IA31+ID31</f>
        <v>0</v>
      </c>
      <c r="IH31" s="317">
        <f>IB31+IE31</f>
        <v>0</v>
      </c>
    </row>
    <row r="32" ht="30.75" customHeight="1">
      <c r="A32" s="437"/>
      <c r="B32" s="437"/>
      <c r="C32" s="284"/>
      <c r="D32" s="331">
        <f>D31*100/$AX31</f>
        <v>34.559875943393038</v>
      </c>
      <c r="E32" s="331">
        <f>E31*100/$AX31</f>
        <v>3.7252371964112045</v>
      </c>
      <c r="F32" s="217"/>
      <c r="G32" s="332">
        <f>G31*100/$AX31</f>
        <v>1.3948121875562207</v>
      </c>
      <c r="H32" s="258"/>
      <c r="I32" s="332">
        <f>I31*100/$AX31</f>
        <v>14.225415923356616</v>
      </c>
      <c r="J32" s="217"/>
      <c r="K32" s="331">
        <f>K31*100/$AX31</f>
        <v>0.92814435309198562</v>
      </c>
      <c r="L32" s="258"/>
      <c r="M32" s="333">
        <f>M31*100/$AX31</f>
        <v>1.1072557712536979</v>
      </c>
      <c r="N32" s="258"/>
      <c r="O32" s="331">
        <f>O31*100/$AX31</f>
        <v>0.15862470414443536</v>
      </c>
      <c r="P32" s="217"/>
      <c r="Q32" s="331">
        <f>Q31*100/$AX31</f>
        <v>4.6149118743630764</v>
      </c>
      <c r="R32" s="217"/>
      <c r="S32" s="331">
        <f>S31*100/$AX31</f>
        <v>0.10054847083445499</v>
      </c>
      <c r="T32" s="217"/>
      <c r="U32" s="331">
        <f>U31*100/$AX31</f>
        <v>0.66688765842221642</v>
      </c>
      <c r="V32" s="217"/>
      <c r="W32" s="331">
        <f>W31*100/$AX31</f>
        <v>0</v>
      </c>
      <c r="X32" s="217"/>
      <c r="Y32" s="331">
        <f>Y31*100/$AX31</f>
        <v>0.15763775244236772</v>
      </c>
      <c r="Z32" s="217"/>
      <c r="AA32" s="272"/>
      <c r="AB32" s="217"/>
      <c r="AC32" s="272"/>
      <c r="AD32" s="258"/>
      <c r="AE32" s="285"/>
      <c r="AF32" s="217"/>
      <c r="AG32" s="332">
        <f>AG31*100/$AX31</f>
        <v>0</v>
      </c>
      <c r="AH32" s="217"/>
      <c r="AI32" s="287"/>
      <c r="AJ32" s="217"/>
      <c r="AK32" s="285"/>
      <c r="AL32" s="217"/>
      <c r="AM32" s="331">
        <f>AM31*100/AX31</f>
        <v>37.240564750496716</v>
      </c>
      <c r="AN32" s="217"/>
      <c r="AO32" s="334"/>
      <c r="AP32" s="217"/>
      <c r="AQ32" s="335">
        <f>AQ31*100/$AX31</f>
        <v>0</v>
      </c>
      <c r="AR32" s="217"/>
      <c r="AS32" s="332">
        <f>AS31*100/$AX31</f>
        <v>0.041704790045216301</v>
      </c>
      <c r="AT32" s="217"/>
      <c r="AU32" s="333">
        <f>AU31*100/$AX31</f>
        <v>1.0783786241887399</v>
      </c>
      <c r="AV32" s="287"/>
      <c r="AW32" s="287"/>
      <c r="AX32" s="336">
        <f>SUM(D32:AW32)</f>
        <v>100</v>
      </c>
      <c r="AY32" s="336"/>
      <c r="AZ32" s="336"/>
      <c r="BA32" s="336"/>
      <c r="BB32" s="289"/>
      <c r="BC32" s="290"/>
      <c r="BD32" s="251"/>
      <c r="BE32" s="286"/>
      <c r="BF32" s="291"/>
      <c r="BG32" s="287"/>
      <c r="BH32" s="292"/>
      <c r="BI32" s="287"/>
      <c r="BJ32" s="259"/>
      <c r="BK32" s="293"/>
      <c r="BL32" s="293"/>
      <c r="BM32" s="287"/>
      <c r="BN32" s="287"/>
      <c r="BO32" s="217"/>
      <c r="BP32" s="285"/>
      <c r="BQ32" s="285"/>
      <c r="BW32" s="261" t="s">
        <v>204</v>
      </c>
      <c r="BX32" s="294">
        <f>'2026'!T20</f>
        <v>75522.785180000006</v>
      </c>
      <c r="BY32" s="295">
        <f>'2026'!T65</f>
        <v>0</v>
      </c>
      <c r="BZ32" s="296">
        <f>'2026'!T117</f>
        <v>120.5</v>
      </c>
      <c r="CA32" s="295">
        <f>'2026'!T674</f>
        <v>583</v>
      </c>
      <c r="CB32" s="297">
        <f>'2026'!T533</f>
        <v>246</v>
      </c>
      <c r="CC32" s="296">
        <f>'2026'!T461</f>
        <v>462</v>
      </c>
      <c r="CD32" s="295">
        <f>'2026'!T604</f>
        <v>325</v>
      </c>
      <c r="CE32" s="296">
        <f>'2026'!T333</f>
        <v>5</v>
      </c>
      <c r="CF32" s="295">
        <f>'2026'!T880</f>
        <v>27</v>
      </c>
      <c r="CG32" s="296">
        <f>'2026'!T933</f>
        <v>2190</v>
      </c>
      <c r="CH32" s="295">
        <f>'2026'!T815</f>
        <v>11.5</v>
      </c>
      <c r="CI32" s="298"/>
      <c r="CJ32" s="295">
        <f>'2026'!T982</f>
        <v>0</v>
      </c>
      <c r="CK32" s="298"/>
      <c r="CL32" s="295">
        <f>'2026'!T186</f>
        <v>10</v>
      </c>
      <c r="CM32" s="298"/>
      <c r="CN32" s="299"/>
      <c r="CO32" s="266"/>
      <c r="CP32" s="298">
        <f>AN47</f>
        <v>0.29999999999999999</v>
      </c>
      <c r="CQ32" s="298">
        <f>AO47</f>
        <v>1161.0294899999999</v>
      </c>
      <c r="CR32" s="299"/>
      <c r="CS32" s="297">
        <f>'2026'!T1034</f>
        <v>179</v>
      </c>
      <c r="CT32" s="466">
        <f>Приемник!AD29</f>
        <v>124</v>
      </c>
      <c r="CU32" s="301">
        <v>395</v>
      </c>
      <c r="CV32" s="302">
        <f t="shared" si="24"/>
        <v>519</v>
      </c>
      <c r="CW32" s="338"/>
      <c r="DA32" s="339"/>
      <c r="DB32" s="340"/>
      <c r="DC32" s="340"/>
      <c r="DD32" s="341"/>
      <c r="DE32" s="341"/>
      <c r="DF32" s="341"/>
      <c r="DJ32" s="272" t="s">
        <v>204</v>
      </c>
      <c r="DK32" s="273"/>
      <c r="DL32" s="273"/>
      <c r="DM32" s="307"/>
      <c r="DN32" s="308">
        <f t="shared" si="1"/>
        <v>0</v>
      </c>
      <c r="DO32" s="273"/>
      <c r="DP32" s="273"/>
      <c r="DQ32" s="307"/>
      <c r="DR32" s="309">
        <f t="shared" si="25"/>
        <v>0</v>
      </c>
      <c r="DS32" s="310">
        <f t="shared" si="3"/>
        <v>0</v>
      </c>
      <c r="DT32" s="273"/>
      <c r="DU32" s="311"/>
      <c r="DV32" s="312"/>
      <c r="DW32" s="313">
        <f t="shared" si="26"/>
        <v>0</v>
      </c>
      <c r="DX32" s="310">
        <f t="shared" si="5"/>
        <v>0</v>
      </c>
      <c r="DY32" s="273"/>
      <c r="DZ32" s="273"/>
      <c r="EA32" s="307"/>
      <c r="EB32" s="309">
        <f t="shared" si="27"/>
        <v>0</v>
      </c>
      <c r="EC32" s="314">
        <f t="shared" si="28"/>
        <v>0</v>
      </c>
      <c r="EF32" s="437"/>
      <c r="EG32" s="437"/>
      <c r="EH32" s="342"/>
      <c r="EI32" s="343"/>
      <c r="EJ32" s="344"/>
      <c r="EK32" s="343"/>
      <c r="EL32" s="343"/>
      <c r="EM32" s="344"/>
      <c r="EN32" s="345"/>
      <c r="EO32" s="344"/>
      <c r="EP32" s="346"/>
      <c r="EQ32" s="344"/>
      <c r="ER32" s="344"/>
      <c r="ES32" s="347"/>
      <c r="ET32" s="344"/>
      <c r="EU32" s="344"/>
      <c r="EV32" s="344"/>
      <c r="EW32" s="344"/>
      <c r="EX32" s="344"/>
      <c r="EY32" s="344"/>
      <c r="EZ32" s="356"/>
      <c r="FA32" s="357"/>
      <c r="FC32" s="281"/>
      <c r="FD32" s="281"/>
      <c r="FE32" s="38"/>
      <c r="FF32" s="350"/>
      <c r="FG32" s="350"/>
      <c r="FH32" s="344"/>
      <c r="FI32" s="350"/>
      <c r="FJ32" s="350"/>
      <c r="FK32" s="344"/>
      <c r="FL32" s="351"/>
      <c r="FM32" s="350"/>
      <c r="FN32" s="344"/>
      <c r="FO32" s="350"/>
      <c r="FP32" s="350"/>
      <c r="FQ32" s="347"/>
      <c r="FR32" s="351"/>
      <c r="FS32" s="350"/>
      <c r="FT32" s="344"/>
      <c r="FU32" s="350"/>
      <c r="FV32" s="350"/>
      <c r="FW32" s="347"/>
      <c r="FX32" s="351"/>
      <c r="FY32" s="350"/>
      <c r="FZ32" s="344"/>
      <c r="GA32" s="350"/>
      <c r="GB32" s="350"/>
      <c r="GC32" s="347"/>
      <c r="GD32" s="351"/>
      <c r="GE32" s="350"/>
      <c r="GF32" s="344"/>
      <c r="GG32" s="350"/>
      <c r="GH32" s="350"/>
      <c r="GI32" s="347"/>
      <c r="GJ32" s="351"/>
      <c r="GK32" s="350"/>
      <c r="GL32" s="344"/>
      <c r="GM32" s="350"/>
      <c r="GN32" s="350"/>
      <c r="GO32" s="347"/>
      <c r="GP32" s="351"/>
      <c r="GQ32" s="350"/>
      <c r="GR32" s="344"/>
      <c r="GS32" s="350"/>
      <c r="GT32" s="350"/>
      <c r="GU32" s="347"/>
      <c r="GV32" s="351"/>
      <c r="GW32" s="350"/>
      <c r="GX32" s="344"/>
      <c r="GY32" s="350"/>
      <c r="GZ32" s="350"/>
      <c r="HA32" s="347"/>
      <c r="HB32" s="351"/>
      <c r="HC32" s="350"/>
      <c r="HD32" s="344"/>
      <c r="HE32" s="350"/>
      <c r="HF32" s="350"/>
      <c r="HG32" s="347"/>
      <c r="HH32" s="351"/>
      <c r="HI32" s="350"/>
      <c r="HJ32" s="344"/>
      <c r="HK32" s="350"/>
      <c r="HL32" s="350"/>
      <c r="HM32" s="347"/>
      <c r="HN32" s="351"/>
      <c r="HO32" s="350"/>
      <c r="HP32" s="344"/>
      <c r="HQ32" s="350"/>
      <c r="HR32" s="350"/>
      <c r="HS32" s="347"/>
      <c r="HT32" s="342"/>
      <c r="HU32" s="343"/>
      <c r="HV32" s="344"/>
      <c r="HW32" s="343"/>
      <c r="HX32" s="343"/>
      <c r="HY32" s="344"/>
      <c r="HZ32" s="354"/>
      <c r="IA32" s="344"/>
      <c r="IB32" s="344"/>
      <c r="IC32" s="343"/>
      <c r="ID32" s="343"/>
      <c r="IE32" s="355"/>
      <c r="IF32" s="327"/>
      <c r="IG32" s="316"/>
      <c r="IH32" s="317"/>
    </row>
    <row r="33">
      <c r="A33" s="483" t="s">
        <v>22</v>
      </c>
      <c r="B33" s="483"/>
      <c r="C33" s="484">
        <f>C11+C13+C15+C17+C19+C23+C25+C21+C29+C31+C27</f>
        <v>15754470.690000001</v>
      </c>
      <c r="D33" s="484">
        <f>D11+D13+D15+D17+D19+D23+D25+D21+D29+D31+D27</f>
        <v>9017202.2699999996</v>
      </c>
      <c r="E33" s="484">
        <f>E11+E13+E15+E17+E19+E23+E25+E21+E29+E31+E27</f>
        <v>6737268.4200000009</v>
      </c>
      <c r="F33" s="484"/>
      <c r="G33" s="485">
        <f>G11+G13+G15+G17+G19+G23+G25+G21+G29+G31+G27</f>
        <v>118622.31266708215</v>
      </c>
      <c r="H33" s="484"/>
      <c r="I33" s="485">
        <f>I11+I13+I15+I17+I19+I23+I25+I21+I29+I31+I27</f>
        <v>21311737.726522412</v>
      </c>
      <c r="J33" s="484"/>
      <c r="K33" s="484">
        <f>K11+K13+K15+K17+K19+K23+K25+K21+K29+K31+K27</f>
        <v>211168.38950024874</v>
      </c>
      <c r="L33" s="484"/>
      <c r="M33" s="484">
        <f>M11+M13+M15+M17+M19+M23+M25+M21+M29+M31+M27</f>
        <v>430989.3565591168</v>
      </c>
      <c r="N33" s="486"/>
      <c r="O33" s="484">
        <f>O11+O13+O15+O17+O19+O23+O25+O21+O29+O31+O27</f>
        <v>76617.116067640032</v>
      </c>
      <c r="P33" s="487"/>
      <c r="Q33" s="484">
        <f>Q11+Q13+Q15+Q17+Q19+Q23+Q25+Q21+Q29+Q31+Q27</f>
        <v>2066298.9005128497</v>
      </c>
      <c r="R33" s="484"/>
      <c r="S33" s="484">
        <f>S11+S13+S15+S17+S19+S23+S25+S21+S29+S31+S27</f>
        <v>14565.259428137373</v>
      </c>
      <c r="T33" s="484"/>
      <c r="U33" s="484">
        <f>U11+U13+U15+U17+U19+U23+U25+U21+U29+U31+U27</f>
        <v>87571.829935892063</v>
      </c>
      <c r="V33" s="484"/>
      <c r="W33" s="484">
        <f>W11+W13+W15+W17+W19+W23+W25+W21+W29+W31+W27</f>
        <v>5616.7416255306325</v>
      </c>
      <c r="X33" s="484"/>
      <c r="Y33" s="484">
        <f>Y11+Y13+Y15+Y17+Y19+Y23+Y25+Y21+Y29+Y31+Y27</f>
        <v>28285.904527726008</v>
      </c>
      <c r="Z33" s="484"/>
      <c r="AA33" s="484">
        <f>AA11+AA13+AA15+AA17+AA19+AA23+AA25+AA21+AA29+AA31+AA27</f>
        <v>0</v>
      </c>
      <c r="AB33" s="484"/>
      <c r="AC33" s="484">
        <f>AC11+AC13+AC15+AC17+AC19+AC23+AC25+AC21+AC29+AC31+AC27</f>
        <v>0</v>
      </c>
      <c r="AD33" s="484"/>
      <c r="AE33" s="484">
        <f>AE11+AE13+AE15+AE17+AE19+AE23+AE25+AE21+AE29+AE31+AE27</f>
        <v>0</v>
      </c>
      <c r="AF33" s="487"/>
      <c r="AG33" s="485">
        <f>AG11+AG13+AG15+AG17+AG19+AG23+AG25+AG21+AG29+AG31+AG27</f>
        <v>1389797.5394785351</v>
      </c>
      <c r="AH33" s="487"/>
      <c r="AI33" s="484">
        <f>AI11+AI13+AI15+AI17+AI19+AI23+AI25+AI21+AI29+AI31+AI27</f>
        <v>0</v>
      </c>
      <c r="AJ33" s="484"/>
      <c r="AK33" s="484">
        <f>AK11+AK13+AK15+AK17+AK19+AK23+AK25+AK21+AK29+AK31+AK27</f>
        <v>0</v>
      </c>
      <c r="AL33" s="484"/>
      <c r="AM33" s="484">
        <f>AM11+AM13+AM15+AM17+AM19+AM23+AM25+AM21+AM29+AM31+AM27</f>
        <v>1945635.7313555088</v>
      </c>
      <c r="AN33" s="484"/>
      <c r="AO33" s="485">
        <f>AO11+AO13+AO15+AO17+AO19+AO23+AO25+AO21+AO29+AO31+AO27</f>
        <v>0</v>
      </c>
      <c r="AP33" s="487"/>
      <c r="AQ33" s="485">
        <f>AQ11+AQ13+AQ15+AQ17+AQ19+AQ23+AQ25+AQ21+AQ29+AQ31+AQ27</f>
        <v>1150.3544148299193</v>
      </c>
      <c r="AR33" s="484"/>
      <c r="AS33" s="485">
        <f>AS11+AS13+AS15+AS17+AS19+AS23+AS25+AS21+AS29+AS31+AS27</f>
        <v>14511.693769577098</v>
      </c>
      <c r="AT33" s="484"/>
      <c r="AU33" s="485">
        <f>AU11+AU13+AU15+AU17+AU19+AU23+AU25+AU21+AU29+AU31+AU27</f>
        <v>501543.8528033949</v>
      </c>
      <c r="AV33" s="486">
        <f>AV11+AV13+AV15+AV17+AV19+AV23+AV25+AV21+AV29+AV31</f>
        <v>0</v>
      </c>
      <c r="AW33" s="484">
        <f>AW11+AW13+AW15+AW17+AW19+AW23+AW25+AW21+AW29+AW31</f>
        <v>0</v>
      </c>
      <c r="AX33" s="485">
        <f>AX11+AX13+AX15+AX17+AX19+AX23+AX25+AX21+AX29+AX31+AX27</f>
        <v>43958583.399168476</v>
      </c>
      <c r="AY33" s="485">
        <f>AX33-C33</f>
        <v>28204112.709168475</v>
      </c>
      <c r="AZ33" s="485">
        <f>AY33-G33-I33-AG33-AI33-AK33-AM33</f>
        <v>3438319.3991449364</v>
      </c>
      <c r="BA33" s="485">
        <f>AZ33+I33</f>
        <v>24750057.125667349</v>
      </c>
      <c r="BB33" s="488">
        <f>SUM(BB11:BB32)</f>
        <v>0</v>
      </c>
      <c r="BC33" s="485" t="e">
        <f>SUM(BC11:BC32)</f>
        <v>#DIV/0!</v>
      </c>
      <c r="BD33" s="489" t="e">
        <f t="shared" ref="BD33:BI33" si="30">SUM(BD11:BD32)</f>
        <v>#REF!</v>
      </c>
      <c r="BE33" s="489" t="e">
        <f>SUM(BE11:BE32)</f>
        <v>#REF!</v>
      </c>
      <c r="BF33" s="490">
        <f>SUM(BF11:BF32)</f>
        <v>0</v>
      </c>
      <c r="BG33" s="484">
        <f>SUM(BG11:BG32)</f>
        <v>0</v>
      </c>
      <c r="BH33" s="488">
        <f t="shared" si="30"/>
        <v>0</v>
      </c>
      <c r="BI33" s="484">
        <f t="shared" si="30"/>
        <v>0</v>
      </c>
      <c r="BJ33" s="484"/>
      <c r="BK33" s="484">
        <f t="shared" ref="BK33:BQ33" si="31">SUM(BK11:BK32)</f>
        <v>0</v>
      </c>
      <c r="BL33" s="484">
        <f t="shared" si="31"/>
        <v>0</v>
      </c>
      <c r="BM33" s="484" t="e">
        <f t="shared" si="31"/>
        <v>#DIV/0!</v>
      </c>
      <c r="BN33" s="484" t="e">
        <f t="shared" si="31"/>
        <v>#DIV/0!</v>
      </c>
      <c r="BO33" s="484" t="e">
        <f t="shared" si="31"/>
        <v>#DIV/0!</v>
      </c>
      <c r="BP33" s="484">
        <f t="shared" si="31"/>
        <v>-43958583.399168476</v>
      </c>
      <c r="BQ33" s="487" t="e">
        <f t="shared" si="31"/>
        <v>#REF!</v>
      </c>
      <c r="BW33" s="261" t="s">
        <v>205</v>
      </c>
      <c r="BX33" s="294">
        <f>'2026'!T21</f>
        <v>10955.181200000001</v>
      </c>
      <c r="BY33" s="295">
        <f>'2026'!T66</f>
        <v>41384.879000000001</v>
      </c>
      <c r="BZ33" s="296">
        <f>'2026'!T118</f>
        <v>298</v>
      </c>
      <c r="CA33" s="295">
        <f>'2026'!T675</f>
        <v>719</v>
      </c>
      <c r="CB33" s="297">
        <f>'2026'!T534</f>
        <v>2767</v>
      </c>
      <c r="CC33" s="296">
        <f>'2026'!T462</f>
        <v>2245</v>
      </c>
      <c r="CD33" s="295">
        <f>'2026'!T605</f>
        <v>484</v>
      </c>
      <c r="CE33" s="296">
        <f>'2026'!T334</f>
        <v>54</v>
      </c>
      <c r="CF33" s="295">
        <f>'2026'!T881</f>
        <v>200</v>
      </c>
      <c r="CG33" s="296">
        <f>'2026'!T934</f>
        <v>1556</v>
      </c>
      <c r="CH33" s="295">
        <f>'2026'!T816</f>
        <v>176</v>
      </c>
      <c r="CI33" s="298"/>
      <c r="CJ33" s="295">
        <f>'2026'!T983</f>
        <v>0</v>
      </c>
      <c r="CK33" s="298"/>
      <c r="CL33" s="295">
        <f>'2026'!T187</f>
        <v>44</v>
      </c>
      <c r="CM33" s="298"/>
      <c r="CN33" s="299"/>
      <c r="CO33" s="266"/>
      <c r="CP33" s="298">
        <f>AN49</f>
        <v>0.40000000000000002</v>
      </c>
      <c r="CQ33" s="298">
        <f>AO49</f>
        <v>1548.0393200000001</v>
      </c>
      <c r="CR33" s="299"/>
      <c r="CS33" s="297">
        <f>'2026'!T1035</f>
        <v>601</v>
      </c>
      <c r="CT33" s="466">
        <f>Приемник!AD30</f>
        <v>98</v>
      </c>
      <c r="CU33" s="301">
        <v>73</v>
      </c>
      <c r="CV33" s="302">
        <f t="shared" si="24"/>
        <v>171</v>
      </c>
      <c r="CW33" s="303">
        <f>$CU$9/$CU$134*CU33</f>
        <v>49220.689597064527</v>
      </c>
      <c r="DA33" s="11">
        <f>DB33+DC33</f>
        <v>0</v>
      </c>
      <c r="DB33" s="11"/>
      <c r="DC33" s="11"/>
      <c r="DD33" s="11">
        <f>DE33+DF33</f>
        <v>0</v>
      </c>
      <c r="DE33" s="11"/>
      <c r="DF33" s="11"/>
      <c r="DJ33" s="272" t="s">
        <v>205</v>
      </c>
      <c r="DK33" s="273"/>
      <c r="DL33" s="273"/>
      <c r="DM33" s="307"/>
      <c r="DN33" s="308">
        <f t="shared" si="1"/>
        <v>0</v>
      </c>
      <c r="DO33" s="273"/>
      <c r="DP33" s="273"/>
      <c r="DQ33" s="307"/>
      <c r="DR33" s="309">
        <f t="shared" si="25"/>
        <v>0</v>
      </c>
      <c r="DS33" s="310">
        <f t="shared" si="3"/>
        <v>0</v>
      </c>
      <c r="DT33" s="273"/>
      <c r="DU33" s="311"/>
      <c r="DV33" s="312"/>
      <c r="DW33" s="313">
        <f t="shared" si="26"/>
        <v>0</v>
      </c>
      <c r="DX33" s="310">
        <f t="shared" si="5"/>
        <v>0</v>
      </c>
      <c r="DY33" s="273"/>
      <c r="DZ33" s="273"/>
      <c r="EA33" s="307"/>
      <c r="EB33" s="309">
        <f t="shared" si="27"/>
        <v>0</v>
      </c>
      <c r="EC33" s="314">
        <f t="shared" si="28"/>
        <v>0</v>
      </c>
      <c r="EF33" s="483" t="s">
        <v>22</v>
      </c>
      <c r="EG33" s="483"/>
      <c r="EH33" s="491">
        <f t="shared" ref="EH33:EY33" si="32">SUM(EH11:EH32)</f>
        <v>0</v>
      </c>
      <c r="EI33" s="491">
        <f t="shared" si="32"/>
        <v>0</v>
      </c>
      <c r="EJ33" s="12">
        <f t="shared" si="32"/>
        <v>0</v>
      </c>
      <c r="EK33" s="491">
        <f t="shared" si="32"/>
        <v>0</v>
      </c>
      <c r="EL33" s="491">
        <f t="shared" si="32"/>
        <v>0</v>
      </c>
      <c r="EM33" s="12">
        <f t="shared" si="32"/>
        <v>0</v>
      </c>
      <c r="EN33" s="492">
        <f t="shared" si="32"/>
        <v>0</v>
      </c>
      <c r="EO33" s="12">
        <f t="shared" si="32"/>
        <v>0</v>
      </c>
      <c r="EP33" s="12">
        <f t="shared" si="32"/>
        <v>0</v>
      </c>
      <c r="EQ33" s="12">
        <f t="shared" si="32"/>
        <v>0</v>
      </c>
      <c r="ER33" s="12">
        <f t="shared" si="32"/>
        <v>0</v>
      </c>
      <c r="ES33" s="493">
        <f t="shared" si="32"/>
        <v>0</v>
      </c>
      <c r="ET33" s="12">
        <f t="shared" si="32"/>
        <v>0</v>
      </c>
      <c r="EU33" s="12">
        <f t="shared" si="32"/>
        <v>0</v>
      </c>
      <c r="EV33" s="12">
        <f t="shared" si="32"/>
        <v>0</v>
      </c>
      <c r="EW33" s="12">
        <f t="shared" si="32"/>
        <v>0</v>
      </c>
      <c r="EX33" s="12">
        <f t="shared" si="32"/>
        <v>0</v>
      </c>
      <c r="EY33" s="12">
        <f t="shared" si="32"/>
        <v>0</v>
      </c>
      <c r="EZ33" s="494">
        <f t="shared" ref="EZ33:FE33" si="33">SUM(EZ11:EZ32)</f>
        <v>0</v>
      </c>
      <c r="FA33" s="495">
        <f t="shared" si="33"/>
        <v>0</v>
      </c>
      <c r="FB33" s="496">
        <f t="shared" si="33"/>
        <v>0</v>
      </c>
      <c r="FC33" s="495">
        <f t="shared" si="33"/>
        <v>0</v>
      </c>
      <c r="FD33" s="495">
        <f t="shared" si="33"/>
        <v>0</v>
      </c>
      <c r="FE33" s="497">
        <f t="shared" si="33"/>
        <v>0</v>
      </c>
      <c r="FF33" s="494">
        <f t="shared" ref="FF33:HK33" si="34">SUM(FF11:FF32)</f>
        <v>0</v>
      </c>
      <c r="FG33" s="495">
        <f t="shared" si="34"/>
        <v>0</v>
      </c>
      <c r="FH33" s="496">
        <f t="shared" si="34"/>
        <v>0</v>
      </c>
      <c r="FI33" s="495">
        <f t="shared" si="34"/>
        <v>0</v>
      </c>
      <c r="FJ33" s="495">
        <f t="shared" si="34"/>
        <v>0</v>
      </c>
      <c r="FK33" s="497">
        <f t="shared" si="34"/>
        <v>0</v>
      </c>
      <c r="FL33" s="494">
        <f t="shared" si="34"/>
        <v>0</v>
      </c>
      <c r="FM33" s="495">
        <f t="shared" si="34"/>
        <v>0</v>
      </c>
      <c r="FN33" s="496">
        <f t="shared" si="34"/>
        <v>0</v>
      </c>
      <c r="FO33" s="495">
        <f t="shared" si="34"/>
        <v>0</v>
      </c>
      <c r="FP33" s="495">
        <f t="shared" si="34"/>
        <v>0</v>
      </c>
      <c r="FQ33" s="497">
        <f t="shared" si="34"/>
        <v>0</v>
      </c>
      <c r="FR33" s="494">
        <f t="shared" si="34"/>
        <v>0</v>
      </c>
      <c r="FS33" s="495">
        <f t="shared" si="34"/>
        <v>0</v>
      </c>
      <c r="FT33" s="496">
        <f t="shared" si="34"/>
        <v>0</v>
      </c>
      <c r="FU33" s="495">
        <f t="shared" si="34"/>
        <v>0</v>
      </c>
      <c r="FV33" s="495">
        <f t="shared" si="34"/>
        <v>0</v>
      </c>
      <c r="FW33" s="497">
        <f t="shared" si="34"/>
        <v>0</v>
      </c>
      <c r="FX33" s="498">
        <f t="shared" si="34"/>
        <v>0</v>
      </c>
      <c r="FY33" s="499">
        <f t="shared" si="34"/>
        <v>0</v>
      </c>
      <c r="FZ33" s="500">
        <f t="shared" si="34"/>
        <v>0</v>
      </c>
      <c r="GA33" s="499">
        <f t="shared" si="34"/>
        <v>0</v>
      </c>
      <c r="GB33" s="499">
        <f t="shared" si="34"/>
        <v>0</v>
      </c>
      <c r="GC33" s="501">
        <f t="shared" si="34"/>
        <v>0</v>
      </c>
      <c r="GD33" s="494">
        <f t="shared" si="34"/>
        <v>0</v>
      </c>
      <c r="GE33" s="495">
        <f t="shared" si="34"/>
        <v>0</v>
      </c>
      <c r="GF33" s="496">
        <f t="shared" si="34"/>
        <v>0</v>
      </c>
      <c r="GG33" s="495">
        <f t="shared" si="34"/>
        <v>0</v>
      </c>
      <c r="GH33" s="495">
        <f t="shared" si="34"/>
        <v>0</v>
      </c>
      <c r="GI33" s="497">
        <f t="shared" si="34"/>
        <v>0</v>
      </c>
      <c r="GJ33" s="494">
        <f t="shared" si="34"/>
        <v>0</v>
      </c>
      <c r="GK33" s="495">
        <f t="shared" si="34"/>
        <v>0</v>
      </c>
      <c r="GL33" s="496">
        <f t="shared" si="34"/>
        <v>0</v>
      </c>
      <c r="GM33" s="495">
        <f t="shared" si="34"/>
        <v>0</v>
      </c>
      <c r="GN33" s="495">
        <f t="shared" si="34"/>
        <v>0</v>
      </c>
      <c r="GO33" s="497">
        <f t="shared" si="34"/>
        <v>0</v>
      </c>
      <c r="GP33" s="494">
        <f t="shared" si="34"/>
        <v>0</v>
      </c>
      <c r="GQ33" s="495">
        <f t="shared" si="34"/>
        <v>0</v>
      </c>
      <c r="GR33" s="496">
        <f t="shared" si="34"/>
        <v>0</v>
      </c>
      <c r="GS33" s="495">
        <f t="shared" si="34"/>
        <v>0</v>
      </c>
      <c r="GT33" s="495">
        <f t="shared" si="34"/>
        <v>0</v>
      </c>
      <c r="GU33" s="497">
        <f t="shared" si="34"/>
        <v>0</v>
      </c>
      <c r="GV33" s="494">
        <f t="shared" si="34"/>
        <v>0</v>
      </c>
      <c r="GW33" s="495">
        <f t="shared" si="34"/>
        <v>0</v>
      </c>
      <c r="GX33" s="496">
        <f t="shared" si="34"/>
        <v>0</v>
      </c>
      <c r="GY33" s="495">
        <f t="shared" si="34"/>
        <v>0</v>
      </c>
      <c r="GZ33" s="495">
        <f t="shared" si="34"/>
        <v>0</v>
      </c>
      <c r="HA33" s="497">
        <f t="shared" si="34"/>
        <v>0</v>
      </c>
      <c r="HB33" s="494">
        <f t="shared" si="34"/>
        <v>0</v>
      </c>
      <c r="HC33" s="495">
        <f t="shared" si="34"/>
        <v>0</v>
      </c>
      <c r="HD33" s="496">
        <f t="shared" si="34"/>
        <v>0</v>
      </c>
      <c r="HE33" s="495">
        <f t="shared" si="34"/>
        <v>0</v>
      </c>
      <c r="HF33" s="495">
        <f t="shared" si="34"/>
        <v>0</v>
      </c>
      <c r="HG33" s="497">
        <f t="shared" si="34"/>
        <v>0</v>
      </c>
      <c r="HH33" s="494">
        <f t="shared" si="34"/>
        <v>0</v>
      </c>
      <c r="HI33" s="495">
        <f t="shared" si="34"/>
        <v>0</v>
      </c>
      <c r="HJ33" s="496">
        <f t="shared" si="34"/>
        <v>0</v>
      </c>
      <c r="HK33" s="495">
        <f t="shared" si="34"/>
        <v>0</v>
      </c>
      <c r="HL33" s="495">
        <f t="shared" ref="HL33:IH33" si="35">SUM(HL11:HL32)</f>
        <v>0</v>
      </c>
      <c r="HM33" s="497">
        <f t="shared" si="35"/>
        <v>0</v>
      </c>
      <c r="HN33" s="494">
        <f t="shared" si="35"/>
        <v>0</v>
      </c>
      <c r="HO33" s="495">
        <f t="shared" si="35"/>
        <v>0</v>
      </c>
      <c r="HP33" s="496">
        <f t="shared" si="35"/>
        <v>0</v>
      </c>
      <c r="HQ33" s="495">
        <f t="shared" si="35"/>
        <v>0</v>
      </c>
      <c r="HR33" s="495">
        <f t="shared" si="35"/>
        <v>0</v>
      </c>
      <c r="HS33" s="497">
        <f t="shared" si="35"/>
        <v>0</v>
      </c>
      <c r="HT33" s="494">
        <f t="shared" si="35"/>
        <v>0</v>
      </c>
      <c r="HU33" s="495">
        <f t="shared" si="35"/>
        <v>0</v>
      </c>
      <c r="HV33" s="496">
        <f t="shared" si="35"/>
        <v>0</v>
      </c>
      <c r="HW33" s="495">
        <f t="shared" si="35"/>
        <v>0</v>
      </c>
      <c r="HX33" s="495">
        <f t="shared" si="35"/>
        <v>0</v>
      </c>
      <c r="HY33" s="497">
        <f t="shared" si="35"/>
        <v>0</v>
      </c>
      <c r="HZ33" s="494">
        <f t="shared" si="35"/>
        <v>0</v>
      </c>
      <c r="IA33" s="495">
        <f t="shared" si="35"/>
        <v>0</v>
      </c>
      <c r="IB33" s="496">
        <f t="shared" si="35"/>
        <v>0</v>
      </c>
      <c r="IC33" s="495">
        <f t="shared" si="35"/>
        <v>0</v>
      </c>
      <c r="ID33" s="495">
        <f t="shared" si="35"/>
        <v>0</v>
      </c>
      <c r="IE33" s="497">
        <f t="shared" si="35"/>
        <v>0</v>
      </c>
      <c r="IF33" s="494">
        <f t="shared" si="35"/>
        <v>0</v>
      </c>
      <c r="IG33" s="495">
        <f>SUM(IG11:IG32)</f>
        <v>0</v>
      </c>
      <c r="IH33" s="496">
        <f t="shared" si="35"/>
        <v>0</v>
      </c>
    </row>
    <row r="34">
      <c r="A34" s="502"/>
      <c r="B34" s="502"/>
      <c r="C34" s="503"/>
      <c r="D34" s="503">
        <f>D33*100/$AX33</f>
        <v>20.512950083306301</v>
      </c>
      <c r="E34" s="503">
        <f>E33*100/$AX33</f>
        <v>15.326400213632553</v>
      </c>
      <c r="F34" s="487"/>
      <c r="G34" s="504">
        <f>G33*100/$AX33</f>
        <v>0.26985017144416446</v>
      </c>
      <c r="H34" s="486"/>
      <c r="I34" s="504">
        <f>I33*100/$AX33</f>
        <v>48.481402444205123</v>
      </c>
      <c r="J34" s="487"/>
      <c r="K34" s="503">
        <f>K33*100/$AX33</f>
        <v>0.48038033342139774</v>
      </c>
      <c r="L34" s="486"/>
      <c r="M34" s="503">
        <f>M33*100/$AX33</f>
        <v>0.98044414362831667</v>
      </c>
      <c r="N34" s="486"/>
      <c r="O34" s="503">
        <f>O33*100/$AX33</f>
        <v>0.1742938696907356</v>
      </c>
      <c r="P34" s="487"/>
      <c r="Q34" s="503">
        <f>Q33*100/$AX33</f>
        <v>4.7005584364484685</v>
      </c>
      <c r="R34" s="487"/>
      <c r="S34" s="503">
        <f>S33*100/$AX33</f>
        <v>0.033134050967649903</v>
      </c>
      <c r="T34" s="487"/>
      <c r="U34" s="503">
        <f>U33*100/$AX33</f>
        <v>0.19921440402364871</v>
      </c>
      <c r="V34" s="487"/>
      <c r="W34" s="503">
        <f>W33*100/$AX33</f>
        <v>0.012777349020844195</v>
      </c>
      <c r="X34" s="487"/>
      <c r="Y34" s="503">
        <f>Y33*100/$AX33</f>
        <v>0.064346715340833915</v>
      </c>
      <c r="Z34" s="487"/>
      <c r="AA34" s="503">
        <f>AA33*100/$AX33</f>
        <v>0</v>
      </c>
      <c r="AB34" s="487"/>
      <c r="AC34" s="503">
        <f>AC33*100/$AX33</f>
        <v>0</v>
      </c>
      <c r="AD34" s="486"/>
      <c r="AE34" s="503"/>
      <c r="AF34" s="487"/>
      <c r="AG34" s="504">
        <f>AG33*100/$AX33</f>
        <v>3.1616067489218147</v>
      </c>
      <c r="AH34" s="487"/>
      <c r="AI34" s="503"/>
      <c r="AJ34" s="487"/>
      <c r="AK34" s="503"/>
      <c r="AL34" s="487"/>
      <c r="AM34" s="503">
        <f>AM33*100/AX33</f>
        <v>4.4260655847074286</v>
      </c>
      <c r="AN34" s="487"/>
      <c r="AO34" s="504">
        <f>AO33*100/$AX33</f>
        <v>0</v>
      </c>
      <c r="AP34" s="487"/>
      <c r="AQ34" s="505">
        <f>AQ33*100/$AX33</f>
        <v>0.0026169051090296951</v>
      </c>
      <c r="AR34" s="487"/>
      <c r="AS34" s="504">
        <f>AS33*100/$AX33</f>
        <v>0.033012196134263053</v>
      </c>
      <c r="AT34" s="487"/>
      <c r="AU34" s="503">
        <f>AU33*100/$AX33</f>
        <v>1.1409463499974435</v>
      </c>
      <c r="AV34" s="487"/>
      <c r="AW34" s="487"/>
      <c r="AX34" s="504">
        <f>SUM(D34:AW34)</f>
        <v>100.00000000000003</v>
      </c>
      <c r="AY34" s="504"/>
      <c r="AZ34" s="504"/>
      <c r="BA34" s="504"/>
      <c r="BB34" s="506"/>
      <c r="BC34" s="507"/>
      <c r="BD34" s="507"/>
      <c r="BE34" s="507"/>
      <c r="BF34" s="508"/>
      <c r="BG34" s="486"/>
      <c r="BH34" s="509"/>
      <c r="BI34" s="486"/>
      <c r="BJ34" s="487"/>
      <c r="BK34" s="487"/>
      <c r="BL34" s="487"/>
      <c r="BM34" s="487"/>
      <c r="BN34" s="487"/>
      <c r="BO34" s="510"/>
      <c r="BP34" s="510"/>
      <c r="BQ34" s="487"/>
      <c r="BW34" s="261" t="s">
        <v>206</v>
      </c>
      <c r="BX34" s="294">
        <f>'2026'!T22</f>
        <v>106314.79230000003</v>
      </c>
      <c r="BY34" s="295">
        <f>'2026'!T67</f>
        <v>15631.1965</v>
      </c>
      <c r="BZ34" s="296">
        <f>'2026'!T119</f>
        <v>802.5</v>
      </c>
      <c r="CA34" s="295">
        <f>'2026'!T676</f>
        <v>627</v>
      </c>
      <c r="CB34" s="297">
        <f>'2026'!T535</f>
        <v>1399</v>
      </c>
      <c r="CC34" s="296">
        <f>'2026'!T463</f>
        <v>3319</v>
      </c>
      <c r="CD34" s="295">
        <f>'2026'!T606</f>
        <v>737</v>
      </c>
      <c r="CE34" s="296">
        <f>'2026'!T335</f>
        <v>135</v>
      </c>
      <c r="CF34" s="295">
        <f>'2026'!T882</f>
        <v>80.5</v>
      </c>
      <c r="CG34" s="296">
        <f>'2026'!T935</f>
        <v>561.5</v>
      </c>
      <c r="CH34" s="295">
        <f>'2026'!T817</f>
        <v>549</v>
      </c>
      <c r="CI34" s="298"/>
      <c r="CJ34" s="295">
        <f>'2026'!T984</f>
        <v>0</v>
      </c>
      <c r="CK34" s="298"/>
      <c r="CL34" s="295">
        <f>'2026'!T188</f>
        <v>40</v>
      </c>
      <c r="CM34" s="298"/>
      <c r="CN34" s="299"/>
      <c r="CO34" s="266"/>
      <c r="CP34" s="298">
        <f>AN51</f>
        <v>0.59999999999999998</v>
      </c>
      <c r="CQ34" s="298">
        <f>AO51</f>
        <v>2322.0589799999998</v>
      </c>
      <c r="CR34" s="299"/>
      <c r="CS34" s="297">
        <f>'2026'!T1036</f>
        <v>427</v>
      </c>
      <c r="CT34" s="466">
        <f>Приемник!AD31</f>
        <v>168</v>
      </c>
      <c r="CU34" s="301">
        <v>979</v>
      </c>
      <c r="CV34" s="302">
        <f t="shared" si="24"/>
        <v>1147</v>
      </c>
      <c r="CW34" s="338"/>
      <c r="DA34" s="339"/>
      <c r="DB34" s="340"/>
      <c r="DC34" s="340"/>
      <c r="DD34" s="341"/>
      <c r="DE34" s="341"/>
      <c r="DF34" s="341"/>
      <c r="DJ34" s="272" t="s">
        <v>206</v>
      </c>
      <c r="DK34" s="273"/>
      <c r="DL34" s="273"/>
      <c r="DM34" s="307"/>
      <c r="DN34" s="308">
        <f t="shared" si="1"/>
        <v>0</v>
      </c>
      <c r="DO34" s="273"/>
      <c r="DP34" s="273"/>
      <c r="DQ34" s="307"/>
      <c r="DR34" s="309">
        <f t="shared" si="25"/>
        <v>0</v>
      </c>
      <c r="DS34" s="310">
        <f t="shared" si="3"/>
        <v>0</v>
      </c>
      <c r="DT34" s="273"/>
      <c r="DU34" s="311"/>
      <c r="DV34" s="312"/>
      <c r="DW34" s="313">
        <f t="shared" si="26"/>
        <v>0</v>
      </c>
      <c r="DX34" s="310">
        <f t="shared" si="5"/>
        <v>0</v>
      </c>
      <c r="DY34" s="273"/>
      <c r="DZ34" s="273"/>
      <c r="EA34" s="307"/>
      <c r="EB34" s="309">
        <f t="shared" si="27"/>
        <v>0</v>
      </c>
      <c r="EC34" s="314">
        <f t="shared" si="28"/>
        <v>0</v>
      </c>
      <c r="EF34" s="502"/>
      <c r="EG34" s="502"/>
      <c r="EH34" s="491"/>
      <c r="EI34" s="491"/>
      <c r="EJ34" s="12"/>
      <c r="EK34" s="491"/>
      <c r="EL34" s="491"/>
      <c r="EM34" s="12"/>
      <c r="EN34" s="492"/>
      <c r="EO34" s="12"/>
      <c r="EP34" s="511"/>
      <c r="EQ34" s="12"/>
      <c r="ER34" s="12"/>
      <c r="ES34" s="493"/>
      <c r="ET34" s="12"/>
      <c r="EU34" s="12"/>
      <c r="EV34" s="12"/>
      <c r="EW34" s="12"/>
      <c r="EX34" s="12"/>
      <c r="EY34" s="12"/>
      <c r="EZ34" s="512"/>
      <c r="FA34" s="513"/>
      <c r="FB34" s="514"/>
      <c r="FC34" s="515"/>
      <c r="FD34" s="515"/>
      <c r="FE34" s="516"/>
      <c r="FF34" s="517"/>
      <c r="FG34" s="517"/>
      <c r="FH34" s="12"/>
      <c r="FI34" s="517"/>
      <c r="FJ34" s="517"/>
      <c r="FK34" s="12"/>
      <c r="FL34" s="518"/>
      <c r="FM34" s="517"/>
      <c r="FN34" s="12"/>
      <c r="FO34" s="517"/>
      <c r="FP34" s="517"/>
      <c r="FQ34" s="493"/>
      <c r="FR34" s="518"/>
      <c r="FS34" s="517"/>
      <c r="FT34" s="12"/>
      <c r="FU34" s="517"/>
      <c r="FV34" s="517"/>
      <c r="FW34" s="493"/>
      <c r="FX34" s="518"/>
      <c r="FY34" s="517"/>
      <c r="FZ34" s="12"/>
      <c r="GA34" s="517"/>
      <c r="GB34" s="517"/>
      <c r="GC34" s="493"/>
      <c r="GD34" s="518"/>
      <c r="GE34" s="517"/>
      <c r="GF34" s="12"/>
      <c r="GG34" s="517"/>
      <c r="GH34" s="517"/>
      <c r="GI34" s="493"/>
      <c r="GJ34" s="518"/>
      <c r="GK34" s="517"/>
      <c r="GL34" s="12"/>
      <c r="GM34" s="517"/>
      <c r="GN34" s="517"/>
      <c r="GO34" s="493"/>
      <c r="GP34" s="518"/>
      <c r="GQ34" s="517"/>
      <c r="GR34" s="12"/>
      <c r="GS34" s="517"/>
      <c r="GT34" s="517"/>
      <c r="GU34" s="493"/>
      <c r="GV34" s="518"/>
      <c r="GW34" s="517"/>
      <c r="GX34" s="12"/>
      <c r="GY34" s="517"/>
      <c r="GZ34" s="517"/>
      <c r="HA34" s="493"/>
      <c r="HB34" s="518"/>
      <c r="HC34" s="517"/>
      <c r="HD34" s="12"/>
      <c r="HE34" s="517"/>
      <c r="HF34" s="517"/>
      <c r="HG34" s="493"/>
      <c r="HH34" s="518"/>
      <c r="HI34" s="517"/>
      <c r="HJ34" s="12"/>
      <c r="HK34" s="517"/>
      <c r="HL34" s="517"/>
      <c r="HM34" s="493"/>
      <c r="HN34" s="518"/>
      <c r="HO34" s="517"/>
      <c r="HP34" s="12"/>
      <c r="HQ34" s="517"/>
      <c r="HR34" s="517"/>
      <c r="HS34" s="493"/>
      <c r="HT34" s="518"/>
      <c r="HU34" s="517"/>
      <c r="HV34" s="12"/>
      <c r="HW34" s="517"/>
      <c r="HX34" s="517"/>
      <c r="HY34" s="493"/>
      <c r="HZ34" s="519"/>
      <c r="IA34" s="491"/>
      <c r="IB34" s="12"/>
      <c r="IC34" s="491"/>
      <c r="ID34" s="491"/>
      <c r="IE34" s="520"/>
      <c r="IF34" s="519"/>
      <c r="IG34" s="491"/>
      <c r="IH34" s="12"/>
    </row>
    <row r="35" s="521" customFormat="1" ht="13.5">
      <c r="A35" s="283" t="s">
        <v>194</v>
      </c>
      <c r="B35" s="283"/>
      <c r="C35" s="284">
        <f>D35+E35</f>
        <v>0</v>
      </c>
      <c r="D35" s="285"/>
      <c r="E35" s="285"/>
      <c r="F35" s="217">
        <f>BX24</f>
        <v>0</v>
      </c>
      <c r="G35" s="286">
        <f>F35*$AX$128/$F$153</f>
        <v>0</v>
      </c>
      <c r="H35" s="217">
        <f>BY24</f>
        <v>0</v>
      </c>
      <c r="I35" s="286"/>
      <c r="J35" s="217">
        <f>BZ24</f>
        <v>0</v>
      </c>
      <c r="K35" s="285">
        <f>J35*$AX$142/$J$153</f>
        <v>0</v>
      </c>
      <c r="L35" s="258">
        <f>CA24</f>
        <v>0</v>
      </c>
      <c r="M35" s="287">
        <f>L35*$AX$140/$L$153</f>
        <v>0</v>
      </c>
      <c r="N35" s="258">
        <f>CD24</f>
        <v>0</v>
      </c>
      <c r="O35" s="285">
        <f>N35*$AX$138/$N$153</f>
        <v>0</v>
      </c>
      <c r="P35" s="217">
        <f>CC24+CB24</f>
        <v>0</v>
      </c>
      <c r="Q35" s="285">
        <f>P35*($AX$139+$AX$137)/$P$153</f>
        <v>0</v>
      </c>
      <c r="R35" s="217">
        <f>CE24</f>
        <v>0</v>
      </c>
      <c r="S35" s="285">
        <f>R35*$AX$136/$R$153</f>
        <v>0</v>
      </c>
      <c r="T35" s="217">
        <f>CF24</f>
        <v>0</v>
      </c>
      <c r="U35" s="285">
        <f>T35*$AX$135/$T$153</f>
        <v>0</v>
      </c>
      <c r="V35" s="217">
        <f>CG24</f>
        <v>0</v>
      </c>
      <c r="W35" s="285">
        <f>V35*$AX$134/$V$153</f>
        <v>0</v>
      </c>
      <c r="X35" s="217">
        <f>CH24</f>
        <v>0</v>
      </c>
      <c r="Y35" s="285">
        <f>X35*$AX$148/$X$153</f>
        <v>0</v>
      </c>
      <c r="Z35" s="217">
        <f>CI24</f>
        <v>0</v>
      </c>
      <c r="AA35" s="285"/>
      <c r="AB35" s="217">
        <f>CJ24</f>
        <v>0</v>
      </c>
      <c r="AC35" s="285"/>
      <c r="AD35" s="258">
        <f>CK24</f>
        <v>0</v>
      </c>
      <c r="AE35" s="285"/>
      <c r="AF35" s="217">
        <f>CL24</f>
        <v>0</v>
      </c>
      <c r="AG35" s="286"/>
      <c r="AH35" s="217">
        <f>CM24</f>
        <v>0</v>
      </c>
      <c r="AI35" s="287"/>
      <c r="AJ35" s="217"/>
      <c r="AK35" s="285"/>
      <c r="AL35" s="217">
        <f>CO24</f>
        <v>0</v>
      </c>
      <c r="AM35" s="285"/>
      <c r="AN35" s="258"/>
      <c r="AO35" s="286">
        <f>1280339.57*AN35/100</f>
        <v>0</v>
      </c>
      <c r="AP35" s="217">
        <f>'2026'!T1162</f>
        <v>0</v>
      </c>
      <c r="AQ35" s="286"/>
      <c r="AR35" s="217">
        <f>CS24</f>
        <v>0</v>
      </c>
      <c r="AS35" s="286">
        <f>$AX$145*AR35/$AR$153</f>
        <v>0</v>
      </c>
      <c r="AT35" s="217"/>
      <c r="AU35" s="287">
        <f>AT35*$AX$125/$AT$153</f>
        <v>0</v>
      </c>
      <c r="AV35" s="287"/>
      <c r="AW35" s="287"/>
      <c r="AX35" s="288">
        <f>C35+G35+I35+K35+M35+O35+Q35+S35+U35+W35+Y35+AA35+AC35+AE35+AG35+AI35+AK35+AO35+AU35+AS35+AW35+AQ35+AM35</f>
        <v>0</v>
      </c>
      <c r="AY35" s="288"/>
      <c r="AZ35" s="288">
        <f>AY35-G35-I35-AG35-AI35-AK35-AM35</f>
        <v>0</v>
      </c>
      <c r="BA35" s="288">
        <f>AZ35+I35</f>
        <v>0</v>
      </c>
      <c r="BB35" s="289">
        <f>BF35+BH35</f>
        <v>0</v>
      </c>
      <c r="BC35" s="290"/>
      <c r="BD35" s="286">
        <f>зарплата!CH31</f>
        <v>0</v>
      </c>
      <c r="BE35" s="286" t="e">
        <f>#REF!</f>
        <v>#REF!</v>
      </c>
      <c r="BF35" s="522"/>
      <c r="BG35" s="523"/>
      <c r="BH35" s="292"/>
      <c r="BI35" s="287"/>
      <c r="BJ35" s="287"/>
      <c r="BK35" s="217">
        <f>BI35+BG35</f>
        <v>0</v>
      </c>
      <c r="BL35" s="293">
        <f>(BG35*13%)+(BI35*52%)</f>
        <v>0</v>
      </c>
      <c r="BM35" s="287"/>
      <c r="BN35" s="287"/>
      <c r="BO35" s="217">
        <f>BN35-BM35</f>
        <v>0</v>
      </c>
      <c r="BP35" s="285">
        <f>BL35-AX35</f>
        <v>0</v>
      </c>
      <c r="BQ35" s="285"/>
      <c r="BR35" s="1"/>
      <c r="BS35" s="1"/>
      <c r="BT35" s="1"/>
      <c r="BU35" s="1"/>
      <c r="BV35" s="1"/>
      <c r="BW35" s="261" t="s">
        <v>207</v>
      </c>
      <c r="BX35" s="294">
        <f>'2026'!T23</f>
        <v>67320.895019999996</v>
      </c>
      <c r="BY35" s="295">
        <f>'2026'!T68</f>
        <v>489928.38800000004</v>
      </c>
      <c r="BZ35" s="296">
        <f>'2026'!T120</f>
        <v>958.5</v>
      </c>
      <c r="CA35" s="295">
        <f>'2026'!T677</f>
        <v>317</v>
      </c>
      <c r="CB35" s="297">
        <f>'2026'!T536</f>
        <v>917</v>
      </c>
      <c r="CC35" s="296">
        <f>'2026'!T464</f>
        <v>1879</v>
      </c>
      <c r="CD35" s="295">
        <f>'2026'!T607</f>
        <v>341</v>
      </c>
      <c r="CE35" s="296">
        <f>'2026'!T336</f>
        <v>134</v>
      </c>
      <c r="CF35" s="295">
        <f>'2026'!T883</f>
        <v>646.5</v>
      </c>
      <c r="CG35" s="296">
        <f>'2026'!T936</f>
        <v>3053</v>
      </c>
      <c r="CH35" s="295">
        <f>'2026'!T818</f>
        <v>138</v>
      </c>
      <c r="CI35" s="298"/>
      <c r="CJ35" s="295">
        <f>'2026'!T985</f>
        <v>0</v>
      </c>
      <c r="CK35" s="298"/>
      <c r="CL35" s="295">
        <f>'2026'!T189</f>
        <v>95</v>
      </c>
      <c r="CM35" s="298"/>
      <c r="CN35" s="299"/>
      <c r="CO35" s="266"/>
      <c r="CP35" s="298">
        <f>AN53</f>
        <v>0.5</v>
      </c>
      <c r="CQ35" s="298">
        <f>AO53</f>
        <v>1935.0491499999998</v>
      </c>
      <c r="CR35" s="299"/>
      <c r="CS35" s="297">
        <f>'2026'!T1037</f>
        <v>278</v>
      </c>
      <c r="CT35" s="466">
        <f>Приемник!AD32</f>
        <v>111</v>
      </c>
      <c r="CU35" s="301">
        <v>1005</v>
      </c>
      <c r="CV35" s="302">
        <f t="shared" si="24"/>
        <v>1116</v>
      </c>
      <c r="CW35" s="524">
        <f>SUM(CW10:CW34)</f>
        <v>1559554.1786028803</v>
      </c>
      <c r="CX35" s="11"/>
      <c r="CY35" s="11"/>
      <c r="CZ35" s="1"/>
      <c r="DA35" s="525">
        <f t="shared" ref="DA35:DF35" si="36">SUM(DA10:DA34)</f>
        <v>0</v>
      </c>
      <c r="DB35" s="526">
        <f t="shared" si="36"/>
        <v>0</v>
      </c>
      <c r="DC35" s="526">
        <f t="shared" si="36"/>
        <v>0</v>
      </c>
      <c r="DD35" s="525">
        <f t="shared" si="36"/>
        <v>0</v>
      </c>
      <c r="DE35" s="525">
        <f t="shared" si="36"/>
        <v>0</v>
      </c>
      <c r="DF35" s="525">
        <f t="shared" si="36"/>
        <v>0</v>
      </c>
      <c r="DJ35" s="272" t="s">
        <v>207</v>
      </c>
      <c r="DK35" s="273"/>
      <c r="DL35" s="273"/>
      <c r="DM35" s="307"/>
      <c r="DN35" s="308">
        <f t="shared" si="1"/>
        <v>0</v>
      </c>
      <c r="DO35" s="273"/>
      <c r="DP35" s="273"/>
      <c r="DQ35" s="307"/>
      <c r="DR35" s="309">
        <f t="shared" si="25"/>
        <v>0</v>
      </c>
      <c r="DS35" s="310">
        <f t="shared" si="3"/>
        <v>0</v>
      </c>
      <c r="DT35" s="273"/>
      <c r="DU35" s="311"/>
      <c r="DV35" s="312"/>
      <c r="DW35" s="313">
        <f t="shared" si="26"/>
        <v>0</v>
      </c>
      <c r="DX35" s="310">
        <f t="shared" si="5"/>
        <v>0</v>
      </c>
      <c r="DY35" s="273"/>
      <c r="DZ35" s="273"/>
      <c r="EA35" s="307"/>
      <c r="EB35" s="309">
        <f t="shared" si="27"/>
        <v>0</v>
      </c>
      <c r="EC35" s="314">
        <f t="shared" si="28"/>
        <v>0</v>
      </c>
      <c r="ED35" s="1"/>
      <c r="EE35" s="1"/>
      <c r="EF35" s="283" t="s">
        <v>194</v>
      </c>
      <c r="EG35" s="283"/>
      <c r="EH35" s="315"/>
      <c r="EI35" s="316"/>
      <c r="EJ35" s="317"/>
      <c r="EK35" s="316"/>
      <c r="EL35" s="316"/>
      <c r="EM35" s="317"/>
      <c r="EN35" s="318"/>
      <c r="EO35" s="317"/>
      <c r="EP35" s="527"/>
      <c r="EQ35" s="317"/>
      <c r="ER35" s="317"/>
      <c r="ES35" s="319"/>
      <c r="ET35" s="317"/>
      <c r="EU35" s="317"/>
      <c r="EV35" s="317"/>
      <c r="EW35" s="317"/>
      <c r="EX35" s="317"/>
      <c r="EY35" s="317"/>
      <c r="EZ35" s="356"/>
      <c r="FA35" s="357"/>
      <c r="FB35" s="1"/>
      <c r="FC35" s="281"/>
      <c r="FD35" s="281"/>
      <c r="FE35" s="38"/>
      <c r="FF35" s="322"/>
      <c r="FG35" s="322"/>
      <c r="FH35" s="317"/>
      <c r="FI35" s="322"/>
      <c r="FJ35" s="322"/>
      <c r="FK35" s="317"/>
      <c r="FL35" s="323"/>
      <c r="FM35" s="322"/>
      <c r="FN35" s="317"/>
      <c r="FO35" s="322"/>
      <c r="FP35" s="322"/>
      <c r="FQ35" s="319"/>
      <c r="FR35" s="323"/>
      <c r="FS35" s="322"/>
      <c r="FT35" s="317"/>
      <c r="FU35" s="322"/>
      <c r="FV35" s="322"/>
      <c r="FW35" s="319"/>
      <c r="FX35" s="323"/>
      <c r="FY35" s="322"/>
      <c r="FZ35" s="317"/>
      <c r="GA35" s="322"/>
      <c r="GB35" s="322"/>
      <c r="GC35" s="319"/>
      <c r="GD35" s="323"/>
      <c r="GE35" s="322"/>
      <c r="GF35" s="317"/>
      <c r="GG35" s="322"/>
      <c r="GH35" s="322"/>
      <c r="GI35" s="319"/>
      <c r="GJ35" s="323"/>
      <c r="GK35" s="322"/>
      <c r="GL35" s="317"/>
      <c r="GM35" s="322"/>
      <c r="GN35" s="322"/>
      <c r="GO35" s="319"/>
      <c r="GP35" s="323"/>
      <c r="GQ35" s="322"/>
      <c r="GR35" s="317"/>
      <c r="GS35" s="322"/>
      <c r="GT35" s="322"/>
      <c r="GU35" s="319"/>
      <c r="GV35" s="323"/>
      <c r="GW35" s="322"/>
      <c r="GX35" s="317"/>
      <c r="GY35" s="322"/>
      <c r="GZ35" s="322"/>
      <c r="HA35" s="319"/>
      <c r="HB35" s="323"/>
      <c r="HC35" s="322"/>
      <c r="HD35" s="317"/>
      <c r="HE35" s="322"/>
      <c r="HF35" s="322"/>
      <c r="HG35" s="319"/>
      <c r="HH35" s="323"/>
      <c r="HI35" s="322"/>
      <c r="HJ35" s="317"/>
      <c r="HK35" s="322"/>
      <c r="HL35" s="322"/>
      <c r="HM35" s="319"/>
      <c r="HN35" s="323"/>
      <c r="HO35" s="322"/>
      <c r="HP35" s="317"/>
      <c r="HQ35" s="322"/>
      <c r="HR35" s="322"/>
      <c r="HS35" s="319"/>
      <c r="HT35" s="315"/>
      <c r="HU35" s="316"/>
      <c r="HV35" s="317"/>
      <c r="HW35" s="316"/>
      <c r="HX35" s="316"/>
      <c r="HY35" s="317"/>
      <c r="HZ35" s="528"/>
      <c r="IA35" s="317"/>
      <c r="IB35" s="317"/>
      <c r="IC35" s="316"/>
      <c r="ID35" s="316"/>
      <c r="IE35" s="328"/>
      <c r="IF35" s="528"/>
      <c r="IG35" s="317"/>
      <c r="IH35" s="317"/>
    </row>
    <row r="36" ht="15" customHeight="1">
      <c r="A36" s="437"/>
      <c r="B36" s="437"/>
      <c r="C36" s="284"/>
      <c r="D36" s="331" t="e">
        <f>D35*100/$AX35</f>
        <v>#DIV/0!</v>
      </c>
      <c r="E36" s="331" t="e">
        <f>E35*100/$AX35</f>
        <v>#DIV/0!</v>
      </c>
      <c r="F36" s="217"/>
      <c r="G36" s="332" t="e">
        <f>G35*100/$AX35</f>
        <v>#DIV/0!</v>
      </c>
      <c r="H36" s="258"/>
      <c r="I36" s="332"/>
      <c r="J36" s="217"/>
      <c r="K36" s="331" t="e">
        <f>K35*100/$AX35</f>
        <v>#DIV/0!</v>
      </c>
      <c r="L36" s="258"/>
      <c r="M36" s="333" t="e">
        <f>M35*100/$AX35</f>
        <v>#DIV/0!</v>
      </c>
      <c r="N36" s="258"/>
      <c r="O36" s="331" t="e">
        <f>O35*100/$AX35</f>
        <v>#DIV/0!</v>
      </c>
      <c r="P36" s="217"/>
      <c r="Q36" s="331" t="e">
        <f>Q35*100/$AX35</f>
        <v>#DIV/0!</v>
      </c>
      <c r="R36" s="217"/>
      <c r="S36" s="331" t="e">
        <f>S35*100/$AX35</f>
        <v>#DIV/0!</v>
      </c>
      <c r="T36" s="217"/>
      <c r="U36" s="331" t="e">
        <f>U35*100/$AX35</f>
        <v>#DIV/0!</v>
      </c>
      <c r="V36" s="217"/>
      <c r="W36" s="331" t="e">
        <f>W35*100/$AX35</f>
        <v>#DIV/0!</v>
      </c>
      <c r="X36" s="217"/>
      <c r="Y36" s="331" t="e">
        <f>Y35*100/$AX35</f>
        <v>#DIV/0!</v>
      </c>
      <c r="Z36" s="217"/>
      <c r="AA36" s="331"/>
      <c r="AB36" s="217"/>
      <c r="AC36" s="331"/>
      <c r="AD36" s="258"/>
      <c r="AE36" s="285"/>
      <c r="AF36" s="217"/>
      <c r="AG36" s="332"/>
      <c r="AH36" s="217"/>
      <c r="AI36" s="287"/>
      <c r="AJ36" s="217"/>
      <c r="AK36" s="285"/>
      <c r="AL36" s="217"/>
      <c r="AM36" s="285"/>
      <c r="AN36" s="258"/>
      <c r="AO36" s="332" t="e">
        <f>AO35*100/$AX35</f>
        <v>#DIV/0!</v>
      </c>
      <c r="AP36" s="529"/>
      <c r="AQ36" s="332"/>
      <c r="AR36" s="217"/>
      <c r="AS36" s="332" t="e">
        <f>AS35*100/$AX35</f>
        <v>#DIV/0!</v>
      </c>
      <c r="AT36" s="217"/>
      <c r="AU36" s="333" t="e">
        <f>AU35*100/$AX35</f>
        <v>#DIV/0!</v>
      </c>
      <c r="AV36" s="287"/>
      <c r="AW36" s="287"/>
      <c r="AX36" s="336" t="e">
        <f>SUM(D36:AW36)</f>
        <v>#DIV/0!</v>
      </c>
      <c r="AY36" s="336"/>
      <c r="AZ36" s="336"/>
      <c r="BA36" s="336"/>
      <c r="BB36" s="289"/>
      <c r="BC36" s="290"/>
      <c r="BD36" s="286">
        <f>'зарплата'!CH32</f>
        <v>0</v>
      </c>
      <c r="BE36" s="286" t="e">
        <f>#REF!</f>
        <v>#REF!</v>
      </c>
      <c r="BF36" s="522"/>
      <c r="BG36" s="530"/>
      <c r="BH36" s="531"/>
      <c r="BI36" s="530"/>
      <c r="BJ36" s="287"/>
      <c r="BK36" s="217"/>
      <c r="BL36" s="217"/>
      <c r="BM36" s="287"/>
      <c r="BN36" s="287"/>
      <c r="BO36" s="364"/>
      <c r="BP36" s="285"/>
      <c r="BQ36" s="285"/>
      <c r="BW36" s="532" t="s">
        <v>208</v>
      </c>
      <c r="BX36" s="294">
        <f>'2026'!T24</f>
        <v>211106.53830000001</v>
      </c>
      <c r="BY36" s="295">
        <f>'2026'!T69</f>
        <v>0</v>
      </c>
      <c r="BZ36" s="296">
        <f>'2026'!T121</f>
        <v>337</v>
      </c>
      <c r="CA36" s="295">
        <f>'2026'!T678</f>
        <v>243</v>
      </c>
      <c r="CB36" s="297">
        <f>'2026'!T537</f>
        <v>881</v>
      </c>
      <c r="CC36" s="296">
        <f>'2026'!T465</f>
        <v>1108</v>
      </c>
      <c r="CD36" s="295">
        <f>'2026'!T608</f>
        <v>261</v>
      </c>
      <c r="CE36" s="296">
        <f>'2026'!T337</f>
        <v>19</v>
      </c>
      <c r="CF36" s="295">
        <f>'2026'!T884</f>
        <v>2341</v>
      </c>
      <c r="CG36" s="296">
        <f>'2026'!T937</f>
        <v>140</v>
      </c>
      <c r="CH36" s="295">
        <f>'2026'!T819</f>
        <v>77</v>
      </c>
      <c r="CI36" s="298"/>
      <c r="CJ36" s="295">
        <f>'2026'!T986</f>
        <v>0</v>
      </c>
      <c r="CK36" s="298"/>
      <c r="CL36" s="295">
        <f>'2026'!T190</f>
        <v>5</v>
      </c>
      <c r="CM36" s="298"/>
      <c r="CN36" s="299"/>
      <c r="CO36" s="266"/>
      <c r="CP36" s="298">
        <f>AN55</f>
        <v>0.40000000000000002</v>
      </c>
      <c r="CQ36" s="298">
        <f>AO55</f>
        <v>1548.0393200000001</v>
      </c>
      <c r="CR36" s="299"/>
      <c r="CS36" s="297">
        <f>'2026'!T1038</f>
        <v>135</v>
      </c>
      <c r="CT36" s="466">
        <f>Приемник!AD33</f>
        <v>216</v>
      </c>
      <c r="CU36" s="533">
        <v>163</v>
      </c>
      <c r="CV36" s="302">
        <f t="shared" si="24"/>
        <v>379</v>
      </c>
      <c r="CW36" s="338"/>
      <c r="DA36" s="360"/>
      <c r="DB36" s="360"/>
      <c r="DC36" s="360"/>
      <c r="DD36" s="361"/>
      <c r="DE36" s="361"/>
      <c r="DF36" s="361"/>
      <c r="DJ36" s="272" t="s">
        <v>209</v>
      </c>
      <c r="DK36" s="273"/>
      <c r="DL36" s="273"/>
      <c r="DM36" s="307"/>
      <c r="DN36" s="308">
        <f t="shared" si="1"/>
        <v>0</v>
      </c>
      <c r="DO36" s="273"/>
      <c r="DP36" s="273"/>
      <c r="DQ36" s="307"/>
      <c r="DR36" s="309">
        <f t="shared" si="25"/>
        <v>0</v>
      </c>
      <c r="DS36" s="310">
        <f t="shared" si="3"/>
        <v>0</v>
      </c>
      <c r="DT36" s="273"/>
      <c r="DU36" s="311"/>
      <c r="DV36" s="312"/>
      <c r="DW36" s="313">
        <f t="shared" si="26"/>
        <v>0</v>
      </c>
      <c r="DX36" s="310">
        <f t="shared" si="5"/>
        <v>0</v>
      </c>
      <c r="DY36" s="273"/>
      <c r="DZ36" s="273"/>
      <c r="EA36" s="307"/>
      <c r="EB36" s="309">
        <f t="shared" si="27"/>
        <v>0</v>
      </c>
      <c r="EC36" s="314">
        <f t="shared" si="28"/>
        <v>0</v>
      </c>
      <c r="EF36" s="437"/>
      <c r="EG36" s="437"/>
      <c r="EH36" s="342"/>
      <c r="EI36" s="343"/>
      <c r="EJ36" s="344"/>
      <c r="EK36" s="343"/>
      <c r="EL36" s="343"/>
      <c r="EM36" s="344"/>
      <c r="EN36" s="345"/>
      <c r="EO36" s="344"/>
      <c r="EP36" s="346"/>
      <c r="EQ36" s="344"/>
      <c r="ER36" s="344"/>
      <c r="ES36" s="347"/>
      <c r="ET36" s="344"/>
      <c r="EU36" s="344"/>
      <c r="EV36" s="344"/>
      <c r="EW36" s="344"/>
      <c r="EX36" s="344"/>
      <c r="EY36" s="344"/>
      <c r="EZ36" s="348"/>
      <c r="FA36" s="349"/>
      <c r="FB36" s="344"/>
      <c r="FC36" s="350"/>
      <c r="FD36" s="350"/>
      <c r="FE36" s="347"/>
      <c r="FF36" s="350"/>
      <c r="FG36" s="350"/>
      <c r="FH36" s="344"/>
      <c r="FI36" s="350"/>
      <c r="FJ36" s="350"/>
      <c r="FK36" s="344"/>
      <c r="FL36" s="351"/>
      <c r="FM36" s="350"/>
      <c r="FN36" s="344"/>
      <c r="FO36" s="350"/>
      <c r="FP36" s="350"/>
      <c r="FQ36" s="347"/>
      <c r="FR36" s="351"/>
      <c r="FS36" s="350"/>
      <c r="FT36" s="344"/>
      <c r="FU36" s="350"/>
      <c r="FV36" s="350"/>
      <c r="FW36" s="347"/>
      <c r="FX36" s="351"/>
      <c r="FY36" s="352"/>
      <c r="FZ36" s="344"/>
      <c r="GA36" s="350"/>
      <c r="GB36" s="350"/>
      <c r="GC36" s="347"/>
      <c r="GD36" s="351"/>
      <c r="GE36" s="350"/>
      <c r="GF36" s="344"/>
      <c r="GG36" s="350"/>
      <c r="GH36" s="350"/>
      <c r="GI36" s="347"/>
      <c r="GJ36" s="351"/>
      <c r="GK36" s="350"/>
      <c r="GL36" s="344"/>
      <c r="GM36" s="350"/>
      <c r="GN36" s="350"/>
      <c r="GO36" s="347"/>
      <c r="GP36" s="351"/>
      <c r="GQ36" s="350"/>
      <c r="GR36" s="344"/>
      <c r="GS36" s="350"/>
      <c r="GT36" s="350"/>
      <c r="GU36" s="347"/>
      <c r="GV36" s="351"/>
      <c r="GW36" s="350"/>
      <c r="GX36" s="344"/>
      <c r="GY36" s="350"/>
      <c r="GZ36" s="350"/>
      <c r="HA36" s="347"/>
      <c r="HB36" s="351"/>
      <c r="HC36" s="350"/>
      <c r="HD36" s="344"/>
      <c r="HE36" s="350"/>
      <c r="HF36" s="350"/>
      <c r="HG36" s="347"/>
      <c r="HH36" s="351"/>
      <c r="HI36" s="350"/>
      <c r="HJ36" s="344"/>
      <c r="HK36" s="350"/>
      <c r="HL36" s="350"/>
      <c r="HM36" s="347"/>
      <c r="HN36" s="351"/>
      <c r="HO36" s="350"/>
      <c r="HP36" s="344"/>
      <c r="HQ36" s="350"/>
      <c r="HR36" s="350"/>
      <c r="HS36" s="347"/>
      <c r="HT36" s="342"/>
      <c r="HU36" s="343"/>
      <c r="HV36" s="344"/>
      <c r="HW36" s="343"/>
      <c r="HX36" s="343"/>
      <c r="HY36" s="344"/>
      <c r="HZ36" s="534"/>
      <c r="IA36" s="343"/>
      <c r="IB36" s="344"/>
      <c r="IC36" s="343"/>
      <c r="ID36" s="343"/>
      <c r="IE36" s="355"/>
      <c r="IF36" s="534"/>
      <c r="IG36" s="343"/>
      <c r="IH36" s="344"/>
    </row>
    <row r="37" ht="15.75" customHeight="1">
      <c r="A37" s="283" t="s">
        <v>195</v>
      </c>
      <c r="B37" s="283"/>
      <c r="C37" s="284">
        <f>D37+E37</f>
        <v>708992.83999999997</v>
      </c>
      <c r="D37" s="285">
        <f>'Расход-2026'!I1196</f>
        <v>595714.84999999998</v>
      </c>
      <c r="E37" s="285">
        <f>'Расход-2026'!J1196</f>
        <v>113277.98999999999</v>
      </c>
      <c r="F37" s="217">
        <f>BX25</f>
        <v>1529659.6332999999</v>
      </c>
      <c r="G37" s="286">
        <f>F37*$AX$128/$F$153</f>
        <v>2954379.7288426273</v>
      </c>
      <c r="H37" s="217">
        <f>BY25</f>
        <v>140493.53460000001</v>
      </c>
      <c r="I37" s="286">
        <f>H37*$AX$143/$H$153</f>
        <v>53834.79330743543</v>
      </c>
      <c r="J37" s="217">
        <f>BZ25</f>
        <v>965</v>
      </c>
      <c r="K37" s="285">
        <f>J37*$AX$142/$J$153</f>
        <v>23090.93437594788</v>
      </c>
      <c r="L37" s="258">
        <f>CA25</f>
        <v>551</v>
      </c>
      <c r="M37" s="287">
        <f>L37*$AX$140/$L$153</f>
        <v>23300.150653853354</v>
      </c>
      <c r="N37" s="258">
        <f>CD25</f>
        <v>680</v>
      </c>
      <c r="O37" s="285">
        <f>N37*$AX$138/$N$153</f>
        <v>11137.160950405136</v>
      </c>
      <c r="P37" s="217">
        <f>CC25+CB25</f>
        <v>8920</v>
      </c>
      <c r="Q37" s="285">
        <f>P37*($AX$139+$AX$137)/$P$153</f>
        <v>217305.12618282228</v>
      </c>
      <c r="R37" s="217">
        <f>CE25</f>
        <v>79</v>
      </c>
      <c r="S37" s="285">
        <f>R37*$AX$136/$R$153</f>
        <v>190.01820114195266</v>
      </c>
      <c r="T37" s="217">
        <f>CF25</f>
        <v>1398.5</v>
      </c>
      <c r="U37" s="285">
        <f>T37*$AX$135/$T$153</f>
        <v>38488.121987851999</v>
      </c>
      <c r="V37" s="217">
        <f>CG25</f>
        <v>1094</v>
      </c>
      <c r="W37" s="285">
        <f>V37*$AX$134/$V$153</f>
        <v>217.17763225937097</v>
      </c>
      <c r="X37" s="217">
        <f>CH25</f>
        <v>269</v>
      </c>
      <c r="Y37" s="285">
        <f>X37*$AX$148/$X$153</f>
        <v>681.98514994696575</v>
      </c>
      <c r="Z37" s="217">
        <f>CI25</f>
        <v>0</v>
      </c>
      <c r="AA37" s="285"/>
      <c r="AB37" s="217">
        <f>CJ25</f>
        <v>0</v>
      </c>
      <c r="AC37" s="285"/>
      <c r="AD37" s="258">
        <f>CK25</f>
        <v>0</v>
      </c>
      <c r="AE37" s="285"/>
      <c r="AF37" s="217">
        <f>CL25</f>
        <v>184</v>
      </c>
      <c r="AG37" s="286">
        <f>AF37*($AX$113+$AX$114)/$AF$153</f>
        <v>2263033.1616287651</v>
      </c>
      <c r="AH37" s="217">
        <f>CM25</f>
        <v>0</v>
      </c>
      <c r="AI37" s="287"/>
      <c r="AJ37" s="217"/>
      <c r="AK37" s="285"/>
      <c r="AL37" s="217">
        <f>CO25</f>
        <v>0</v>
      </c>
      <c r="AM37" s="285"/>
      <c r="AN37" s="258">
        <v>0.59999999999999998</v>
      </c>
      <c r="AO37" s="286">
        <f>$CQ$142*AN37/100</f>
        <v>2322.0589799999998</v>
      </c>
      <c r="AP37" s="217">
        <f>'2026'!T1163</f>
        <v>509</v>
      </c>
      <c r="AQ37" s="286">
        <f>AP37*$AX$133/$AP$153</f>
        <v>53230.036104402621</v>
      </c>
      <c r="AR37" s="217">
        <f>CS25</f>
        <v>598</v>
      </c>
      <c r="AS37" s="286">
        <f>$AX$145*AR37/$AR$153</f>
        <v>12650.135385141552</v>
      </c>
      <c r="AT37" s="217">
        <f>CT25</f>
        <v>198</v>
      </c>
      <c r="AU37" s="287">
        <f>AT37*$AX$125/$AT$153</f>
        <v>78009.177419538246</v>
      </c>
      <c r="AV37" s="287"/>
      <c r="AW37" s="287"/>
      <c r="AX37" s="288">
        <f>C37+G37+I37+K37+M37+O37+Q37+S37+U37+W37+Y37+AA37+AC37+AE37+AG37+AI37+AK37+AO37+AU37+AS37+AW37+AQ37+AM37</f>
        <v>6440862.6068021394</v>
      </c>
      <c r="AY37" s="288">
        <f t="shared" ref="AY37:AY97" si="37">AX37-C37</f>
        <v>5731869.7668021396</v>
      </c>
      <c r="AZ37" s="288">
        <f>AY37-G37-I37-AG37-AI37-AK37-AM37</f>
        <v>460622.08302331204</v>
      </c>
      <c r="BA37" s="288">
        <f>AZ37+I37</f>
        <v>514456.87633074744</v>
      </c>
      <c r="BB37" s="289">
        <f>BF37+BH37</f>
        <v>0</v>
      </c>
      <c r="BC37" s="290" t="e">
        <f>AX37/BB37</f>
        <v>#DIV/0!</v>
      </c>
      <c r="BD37" s="286">
        <f>'зарплата'!CH33</f>
        <v>38311298.182160974</v>
      </c>
      <c r="BE37" s="286" t="e">
        <f>#REF!</f>
        <v>#REF!</v>
      </c>
      <c r="BF37" s="291">
        <f>HZ37</f>
        <v>0</v>
      </c>
      <c r="BG37" s="287">
        <f>IB37</f>
        <v>0</v>
      </c>
      <c r="BH37" s="292">
        <f>IC37</f>
        <v>0</v>
      </c>
      <c r="BI37" s="287">
        <f>IE37</f>
        <v>0</v>
      </c>
      <c r="BJ37" s="287"/>
      <c r="BK37" s="217">
        <f>BI37+BG37</f>
        <v>0</v>
      </c>
      <c r="BL37" s="293">
        <f>(BG37*13%)+(BI37*52%)</f>
        <v>0</v>
      </c>
      <c r="BM37" s="287" t="e">
        <f>AX37/BB37</f>
        <v>#DIV/0!</v>
      </c>
      <c r="BN37" s="287" t="e">
        <f>BL37/BB37</f>
        <v>#DIV/0!</v>
      </c>
      <c r="BO37" s="217" t="e">
        <f>BN37-BM37</f>
        <v>#DIV/0!</v>
      </c>
      <c r="BP37" s="285">
        <f>BL37-AX37</f>
        <v>-6440862.6068021394</v>
      </c>
      <c r="BQ37" s="285" t="e">
        <f>BK37-AX37-BD37-BE37</f>
        <v>#REF!</v>
      </c>
      <c r="BW37" s="261" t="s">
        <v>210</v>
      </c>
      <c r="BX37" s="294">
        <f>'2026'!T25</f>
        <v>12424.4228</v>
      </c>
      <c r="BY37" s="295">
        <f>'2026'!T70</f>
        <v>7959.0803999999989</v>
      </c>
      <c r="BZ37" s="296">
        <f>'2026'!T122</f>
        <v>952.5</v>
      </c>
      <c r="CA37" s="295">
        <f>'2026'!T679</f>
        <v>331</v>
      </c>
      <c r="CB37" s="297">
        <f>'2026'!T538</f>
        <v>686</v>
      </c>
      <c r="CC37" s="296">
        <f>'2026'!T466</f>
        <v>1516</v>
      </c>
      <c r="CD37" s="295">
        <f>'2026'!T609</f>
        <v>261</v>
      </c>
      <c r="CE37" s="296">
        <f>'2026'!T338</f>
        <v>56</v>
      </c>
      <c r="CF37" s="295">
        <f>'2026'!T885</f>
        <v>633</v>
      </c>
      <c r="CG37" s="296">
        <f>'2026'!T938</f>
        <v>540</v>
      </c>
      <c r="CH37" s="295">
        <f>'2026'!T820</f>
        <v>549</v>
      </c>
      <c r="CI37" s="298"/>
      <c r="CJ37" s="295">
        <f>'2026'!T987</f>
        <v>0</v>
      </c>
      <c r="CK37" s="298"/>
      <c r="CL37" s="295">
        <f>'2026'!T191</f>
        <v>46</v>
      </c>
      <c r="CM37" s="298"/>
      <c r="CN37" s="299"/>
      <c r="CO37" s="266"/>
      <c r="CP37" s="298">
        <f>AN57</f>
        <v>1.7</v>
      </c>
      <c r="CQ37" s="298">
        <f>AO57</f>
        <v>6579.1671099999985</v>
      </c>
      <c r="CR37" s="299"/>
      <c r="CS37" s="297">
        <f>'2026'!T1039</f>
        <v>890</v>
      </c>
      <c r="CT37" s="466">
        <f>Приемник!AD34</f>
        <v>83</v>
      </c>
      <c r="CU37" s="533">
        <v>196</v>
      </c>
      <c r="CV37" s="302">
        <f t="shared" si="24"/>
        <v>279</v>
      </c>
      <c r="CW37" s="303">
        <f>$CU$9/$CU$134*CU37</f>
        <v>132154.18028800888</v>
      </c>
      <c r="DA37" s="304">
        <f>DB37+DC37</f>
        <v>0</v>
      </c>
      <c r="DB37" s="305"/>
      <c r="DC37" s="305"/>
      <c r="DD37" s="306">
        <f>DE37+DF37</f>
        <v>0</v>
      </c>
      <c r="DE37" s="306"/>
      <c r="DF37" s="306"/>
      <c r="DJ37" s="272" t="s">
        <v>210</v>
      </c>
      <c r="DK37" s="273"/>
      <c r="DL37" s="273"/>
      <c r="DM37" s="307"/>
      <c r="DN37" s="308">
        <f t="shared" si="1"/>
        <v>0</v>
      </c>
      <c r="DO37" s="273"/>
      <c r="DP37" s="273"/>
      <c r="DQ37" s="307"/>
      <c r="DR37" s="309">
        <f t="shared" si="25"/>
        <v>0</v>
      </c>
      <c r="DS37" s="310">
        <f t="shared" si="3"/>
        <v>0</v>
      </c>
      <c r="DT37" s="273"/>
      <c r="DU37" s="311"/>
      <c r="DV37" s="312"/>
      <c r="DW37" s="313">
        <f t="shared" si="26"/>
        <v>0</v>
      </c>
      <c r="DX37" s="310">
        <f t="shared" si="5"/>
        <v>0</v>
      </c>
      <c r="DY37" s="273"/>
      <c r="DZ37" s="273"/>
      <c r="EA37" s="307"/>
      <c r="EB37" s="309">
        <f t="shared" si="27"/>
        <v>0</v>
      </c>
      <c r="EC37" s="314">
        <f t="shared" si="28"/>
        <v>0</v>
      </c>
      <c r="EF37" s="283" t="s">
        <v>195</v>
      </c>
      <c r="EG37" s="283"/>
      <c r="EH37" s="280"/>
      <c r="EI37" s="280"/>
      <c r="EK37" s="280"/>
      <c r="EL37" s="280"/>
      <c r="EN37" s="37"/>
      <c r="ES37" s="38"/>
      <c r="EZ37" s="356">
        <f t="shared" ref="EZ37:FE59" si="38">EH37+EN37+ET37</f>
        <v>0</v>
      </c>
      <c r="FA37" s="357">
        <f t="shared" si="38"/>
        <v>0</v>
      </c>
      <c r="FB37" s="1">
        <f t="shared" si="38"/>
        <v>0</v>
      </c>
      <c r="FC37" s="281">
        <f t="shared" si="38"/>
        <v>0</v>
      </c>
      <c r="FD37" s="281">
        <f t="shared" si="38"/>
        <v>0</v>
      </c>
      <c r="FE37" s="38">
        <f t="shared" si="38"/>
        <v>0</v>
      </c>
      <c r="FF37" s="281"/>
      <c r="FG37" s="281"/>
      <c r="FI37" s="281"/>
      <c r="FJ37" s="281"/>
      <c r="FL37" s="282"/>
      <c r="FM37" s="281"/>
      <c r="FO37" s="281"/>
      <c r="FP37" s="281"/>
      <c r="FQ37" s="38"/>
      <c r="FR37" s="282"/>
      <c r="FS37" s="281"/>
      <c r="FU37" s="281"/>
      <c r="FV37" s="281"/>
      <c r="FW37" s="38"/>
      <c r="FX37" s="323">
        <f t="shared" ref="FX37:GC59" si="39">EZ37+FF37+FL37+FR37</f>
        <v>0</v>
      </c>
      <c r="FY37" s="322">
        <f t="shared" si="39"/>
        <v>0</v>
      </c>
      <c r="FZ37" s="324">
        <f t="shared" si="39"/>
        <v>0</v>
      </c>
      <c r="GA37" s="322">
        <f t="shared" si="39"/>
        <v>0</v>
      </c>
      <c r="GB37" s="322">
        <f t="shared" si="39"/>
        <v>0</v>
      </c>
      <c r="GC37" s="325">
        <f t="shared" si="39"/>
        <v>0</v>
      </c>
      <c r="GD37" s="282"/>
      <c r="GE37" s="281"/>
      <c r="GG37" s="281"/>
      <c r="GH37" s="281"/>
      <c r="GI37" s="38"/>
      <c r="GJ37" s="282"/>
      <c r="GK37" s="281"/>
      <c r="GM37" s="281"/>
      <c r="GN37" s="281"/>
      <c r="GO37" s="38"/>
      <c r="GP37" s="282"/>
      <c r="GQ37" s="281"/>
      <c r="GS37" s="281"/>
      <c r="GT37" s="281"/>
      <c r="GU37" s="38"/>
      <c r="GV37" s="323">
        <f t="shared" ref="GV37:HA59" si="40">GD37+GJ37+GP37</f>
        <v>0</v>
      </c>
      <c r="GW37" s="322">
        <f t="shared" si="40"/>
        <v>0</v>
      </c>
      <c r="GX37" s="322">
        <f t="shared" si="40"/>
        <v>0</v>
      </c>
      <c r="GY37" s="322">
        <f t="shared" si="40"/>
        <v>0</v>
      </c>
      <c r="GZ37" s="322">
        <f t="shared" si="40"/>
        <v>0</v>
      </c>
      <c r="HA37" s="326">
        <f t="shared" si="40"/>
        <v>0</v>
      </c>
      <c r="HB37" s="282"/>
      <c r="HC37" s="281"/>
      <c r="HE37" s="281"/>
      <c r="HF37" s="281"/>
      <c r="HG37" s="38"/>
      <c r="HH37" s="282"/>
      <c r="HI37" s="281"/>
      <c r="HK37" s="281"/>
      <c r="HL37" s="281"/>
      <c r="HM37" s="38"/>
      <c r="HN37" s="282"/>
      <c r="HO37" s="281"/>
      <c r="HQ37" s="281"/>
      <c r="HR37" s="281"/>
      <c r="HS37" s="38"/>
      <c r="HT37" s="315">
        <f t="shared" ref="HT37:HY59" si="41">GV37+HB37+HH37+HN37</f>
        <v>0</v>
      </c>
      <c r="HU37" s="316">
        <f t="shared" si="41"/>
        <v>0</v>
      </c>
      <c r="HV37" s="317">
        <f t="shared" si="41"/>
        <v>0</v>
      </c>
      <c r="HW37" s="316">
        <f t="shared" si="41"/>
        <v>0</v>
      </c>
      <c r="HX37" s="316">
        <f t="shared" si="41"/>
        <v>0</v>
      </c>
      <c r="HY37" s="317">
        <f t="shared" si="41"/>
        <v>0</v>
      </c>
      <c r="HZ37" s="535">
        <f t="shared" ref="HZ37:IE59" si="42">FX37+HT37</f>
        <v>0</v>
      </c>
      <c r="IA37" s="280">
        <f t="shared" si="42"/>
        <v>0</v>
      </c>
      <c r="IB37" s="1">
        <f t="shared" si="42"/>
        <v>0</v>
      </c>
      <c r="IC37" s="280">
        <f t="shared" si="42"/>
        <v>0</v>
      </c>
      <c r="ID37" s="280">
        <f t="shared" si="42"/>
        <v>0</v>
      </c>
      <c r="IE37" s="40">
        <f t="shared" si="42"/>
        <v>0</v>
      </c>
      <c r="IF37" s="535">
        <f>HZ37+IC37</f>
        <v>0</v>
      </c>
      <c r="IG37" s="280">
        <f>IA37+ID37</f>
        <v>0</v>
      </c>
      <c r="IH37" s="1">
        <f>IB37+IE37</f>
        <v>0</v>
      </c>
    </row>
    <row r="38">
      <c r="A38" s="437"/>
      <c r="B38" s="437"/>
      <c r="C38" s="536"/>
      <c r="D38" s="331">
        <f>D37*100/$AX37</f>
        <v>9.2489917324252602</v>
      </c>
      <c r="E38" s="331">
        <f>E37*100/$AX37</f>
        <v>1.7587394253739879</v>
      </c>
      <c r="F38" s="364"/>
      <c r="G38" s="332">
        <f>G37*100/$AX37</f>
        <v>45.869317655099991</v>
      </c>
      <c r="H38" s="367"/>
      <c r="I38" s="332">
        <f>I37*100/$AX37</f>
        <v>0.83583203980443499</v>
      </c>
      <c r="J38" s="529"/>
      <c r="K38" s="331">
        <f>K37*100/$AX37</f>
        <v>0.35850686135676524</v>
      </c>
      <c r="L38" s="258"/>
      <c r="M38" s="333">
        <f>M37*100/$AX37</f>
        <v>0.36175512623489697</v>
      </c>
      <c r="N38" s="258"/>
      <c r="O38" s="331">
        <f>O37*100/$AX37</f>
        <v>0.17291412082976707</v>
      </c>
      <c r="P38" s="364"/>
      <c r="Q38" s="331">
        <f>Q37*100/$AX37</f>
        <v>3.3738512905604945</v>
      </c>
      <c r="R38" s="529"/>
      <c r="S38" s="331">
        <f>S37*100/$AX37</f>
        <v>0.0029501980207010795</v>
      </c>
      <c r="T38" s="529"/>
      <c r="U38" s="331">
        <f>U37*100/$AX37</f>
        <v>0.59756160529189095</v>
      </c>
      <c r="V38" s="529"/>
      <c r="W38" s="331">
        <f>W37*100/$AX37</f>
        <v>0.0033718718363905408</v>
      </c>
      <c r="X38" s="364"/>
      <c r="Y38" s="331">
        <f>Y37*100/$AX37</f>
        <v>0.010588413254254594</v>
      </c>
      <c r="Z38" s="364"/>
      <c r="AA38" s="331"/>
      <c r="AB38" s="364"/>
      <c r="AC38" s="331"/>
      <c r="AD38" s="258"/>
      <c r="AE38" s="365"/>
      <c r="AF38" s="529"/>
      <c r="AG38" s="332">
        <f>AG37*100/$AX37</f>
        <v>35.135560246833947</v>
      </c>
      <c r="AH38" s="364"/>
      <c r="AI38" s="369"/>
      <c r="AJ38" s="364"/>
      <c r="AK38" s="365"/>
      <c r="AL38" s="364"/>
      <c r="AM38" s="331"/>
      <c r="AN38" s="258"/>
      <c r="AO38" s="332">
        <f>AO37*100/$AX37</f>
        <v>0.03605198747055547</v>
      </c>
      <c r="AP38" s="217"/>
      <c r="AQ38" s="335">
        <f>AQ37*100/$AX37</f>
        <v>0.82644265766804026</v>
      </c>
      <c r="AR38" s="364"/>
      <c r="AS38" s="332">
        <f>AS37*100/$AX37</f>
        <v>0.19640436626891952</v>
      </c>
      <c r="AT38" s="529"/>
      <c r="AU38" s="333">
        <f>AU37*100/$AX37</f>
        <v>1.2111604016696991</v>
      </c>
      <c r="AV38" s="287"/>
      <c r="AW38" s="537"/>
      <c r="AX38" s="336">
        <f>SUM(D38:AW38)</f>
        <v>100.00000000000001</v>
      </c>
      <c r="AY38" s="336"/>
      <c r="AZ38" s="336"/>
      <c r="BA38" s="336"/>
      <c r="BB38" s="289"/>
      <c r="BC38" s="290"/>
      <c r="BD38" s="286"/>
      <c r="BE38" s="286"/>
      <c r="BF38" s="522"/>
      <c r="BG38" s="530"/>
      <c r="BH38" s="531"/>
      <c r="BI38" s="530"/>
      <c r="BJ38" s="287"/>
      <c r="BK38" s="217"/>
      <c r="BL38" s="217"/>
      <c r="BM38" s="287"/>
      <c r="BN38" s="287"/>
      <c r="BO38" s="217"/>
      <c r="BP38" s="285"/>
      <c r="BQ38" s="285"/>
      <c r="BW38" s="261" t="s">
        <v>211</v>
      </c>
      <c r="BX38" s="294">
        <f>'2026'!T26</f>
        <v>128401.25805</v>
      </c>
      <c r="BY38" s="295">
        <f>'2026'!T71</f>
        <v>6539.1769999999997</v>
      </c>
      <c r="BZ38" s="296">
        <f>'2026'!T123</f>
        <v>94</v>
      </c>
      <c r="CA38" s="295">
        <f>'2026'!T680</f>
        <v>2255</v>
      </c>
      <c r="CB38" s="297">
        <f>'2026'!T539</f>
        <v>3438</v>
      </c>
      <c r="CC38" s="296">
        <f>'2026'!T467</f>
        <v>3690</v>
      </c>
      <c r="CD38" s="295">
        <f>'2026'!T610</f>
        <v>2388</v>
      </c>
      <c r="CE38" s="296">
        <f>'2026'!T339</f>
        <v>27</v>
      </c>
      <c r="CF38" s="295">
        <f>'2026'!T886</f>
        <v>32</v>
      </c>
      <c r="CG38" s="296">
        <f>'2026'!T939</f>
        <v>1364</v>
      </c>
      <c r="CH38" s="295">
        <f>'2026'!T821</f>
        <v>1599</v>
      </c>
      <c r="CI38" s="298"/>
      <c r="CJ38" s="295">
        <f>'2026'!T988</f>
        <v>0</v>
      </c>
      <c r="CK38" s="298"/>
      <c r="CL38" s="295">
        <f>'2026'!T192</f>
        <v>9</v>
      </c>
      <c r="CM38" s="298"/>
      <c r="CN38" s="299"/>
      <c r="CO38" s="266"/>
      <c r="CP38" s="298">
        <f>AN59</f>
        <v>0.5</v>
      </c>
      <c r="CQ38" s="298">
        <f>AO59</f>
        <v>1935.0491499999998</v>
      </c>
      <c r="CR38" s="299"/>
      <c r="CS38" s="297">
        <f>'2026'!T1040</f>
        <v>587</v>
      </c>
      <c r="CT38" s="466">
        <f>Приемник!AD35</f>
        <v>340</v>
      </c>
      <c r="CU38" s="538">
        <v>432</v>
      </c>
      <c r="CV38" s="302">
        <f t="shared" si="24"/>
        <v>772</v>
      </c>
      <c r="CW38" s="338"/>
      <c r="DA38" s="360"/>
      <c r="DB38" s="360"/>
      <c r="DC38" s="360"/>
      <c r="DD38" s="361"/>
      <c r="DE38" s="361"/>
      <c r="DF38" s="361"/>
      <c r="DJ38" s="272" t="s">
        <v>211</v>
      </c>
      <c r="DK38" s="273"/>
      <c r="DL38" s="273"/>
      <c r="DM38" s="307"/>
      <c r="DN38" s="308">
        <f t="shared" si="1"/>
        <v>0</v>
      </c>
      <c r="DO38" s="273"/>
      <c r="DP38" s="273"/>
      <c r="DQ38" s="307"/>
      <c r="DR38" s="309">
        <f t="shared" si="25"/>
        <v>0</v>
      </c>
      <c r="DS38" s="310">
        <f t="shared" si="3"/>
        <v>0</v>
      </c>
      <c r="DT38" s="273"/>
      <c r="DU38" s="311"/>
      <c r="DV38" s="312"/>
      <c r="DW38" s="313">
        <f t="shared" si="26"/>
        <v>0</v>
      </c>
      <c r="DX38" s="310">
        <f t="shared" si="5"/>
        <v>0</v>
      </c>
      <c r="DY38" s="273"/>
      <c r="DZ38" s="273"/>
      <c r="EA38" s="307"/>
      <c r="EB38" s="309">
        <f t="shared" si="27"/>
        <v>0</v>
      </c>
      <c r="EC38" s="314">
        <f t="shared" si="28"/>
        <v>0</v>
      </c>
      <c r="EF38" s="437"/>
      <c r="EG38" s="437"/>
      <c r="EH38" s="280"/>
      <c r="EI38" s="280"/>
      <c r="EK38" s="280"/>
      <c r="EL38" s="280"/>
      <c r="EN38" s="37"/>
      <c r="EP38" s="15"/>
      <c r="ES38" s="38"/>
      <c r="EZ38" s="356"/>
      <c r="FA38" s="357"/>
      <c r="FC38" s="281"/>
      <c r="FD38" s="281"/>
      <c r="FE38" s="38"/>
      <c r="FF38" s="281"/>
      <c r="FG38" s="281"/>
      <c r="FI38" s="281"/>
      <c r="FJ38" s="281"/>
      <c r="FL38" s="282"/>
      <c r="FM38" s="281"/>
      <c r="FO38" s="281"/>
      <c r="FP38" s="281"/>
      <c r="FQ38" s="38"/>
      <c r="FR38" s="282"/>
      <c r="FS38" s="281"/>
      <c r="FU38" s="281"/>
      <c r="FV38" s="281"/>
      <c r="FW38" s="38"/>
      <c r="FX38" s="351"/>
      <c r="FY38" s="352"/>
      <c r="FZ38" s="344"/>
      <c r="GA38" s="350"/>
      <c r="GB38" s="350"/>
      <c r="GC38" s="347"/>
      <c r="GD38" s="282"/>
      <c r="GE38" s="281"/>
      <c r="GG38" s="281"/>
      <c r="GH38" s="281"/>
      <c r="GI38" s="38"/>
      <c r="GJ38" s="282"/>
      <c r="GK38" s="281"/>
      <c r="GM38" s="281"/>
      <c r="GN38" s="281"/>
      <c r="GO38" s="38"/>
      <c r="GP38" s="282"/>
      <c r="GQ38" s="281"/>
      <c r="GS38" s="281"/>
      <c r="GT38" s="281"/>
      <c r="GU38" s="38"/>
      <c r="GV38" s="351"/>
      <c r="GW38" s="350"/>
      <c r="GX38" s="344"/>
      <c r="GY38" s="350"/>
      <c r="GZ38" s="350"/>
      <c r="HA38" s="347"/>
      <c r="HB38" s="282"/>
      <c r="HC38" s="281"/>
      <c r="HE38" s="281"/>
      <c r="HF38" s="281"/>
      <c r="HG38" s="38"/>
      <c r="HH38" s="282"/>
      <c r="HI38" s="281"/>
      <c r="HK38" s="281"/>
      <c r="HL38" s="281"/>
      <c r="HM38" s="38"/>
      <c r="HN38" s="282"/>
      <c r="HO38" s="281"/>
      <c r="HQ38" s="281"/>
      <c r="HR38" s="281"/>
      <c r="HS38" s="38"/>
      <c r="HT38" s="342"/>
      <c r="HU38" s="343"/>
      <c r="HV38" s="344"/>
      <c r="HW38" s="343"/>
      <c r="HX38" s="343"/>
      <c r="HY38" s="344"/>
      <c r="HZ38" s="535"/>
      <c r="IA38" s="280"/>
      <c r="IC38" s="280"/>
      <c r="ID38" s="280"/>
      <c r="IE38" s="40"/>
      <c r="IF38" s="535"/>
      <c r="IG38" s="280"/>
    </row>
    <row r="39">
      <c r="A39" s="283" t="s">
        <v>196</v>
      </c>
      <c r="B39" s="283"/>
      <c r="C39" s="284">
        <f>D39+E39</f>
        <v>351258.14000000001</v>
      </c>
      <c r="D39" s="285">
        <f>'Расход-2026'!I1197</f>
        <v>258158.88</v>
      </c>
      <c r="E39" s="285">
        <f>'Расход-2026'!J1197</f>
        <v>93099.25999999998</v>
      </c>
      <c r="F39" s="217">
        <f>BX26</f>
        <v>211698.48789999995</v>
      </c>
      <c r="G39" s="286">
        <f>F39*$AX$128/$F$153</f>
        <v>408873.78320176527</v>
      </c>
      <c r="H39" s="217">
        <f>BY26</f>
        <v>0</v>
      </c>
      <c r="I39" s="286">
        <f>H39*$AX$143/$H$153</f>
        <v>0</v>
      </c>
      <c r="J39" s="217">
        <f>BZ26</f>
        <v>794.5</v>
      </c>
      <c r="K39" s="285">
        <f>J39*$AX$142/$J$153</f>
        <v>19011.137162373667</v>
      </c>
      <c r="L39" s="258">
        <f>CA26</f>
        <v>688</v>
      </c>
      <c r="M39" s="287">
        <f>L39*$AX$140/$L$153</f>
        <v>29093.473048731586</v>
      </c>
      <c r="N39" s="258">
        <f>CD26</f>
        <v>123</v>
      </c>
      <c r="O39" s="285">
        <f>N39*$AX$138/$N$153</f>
        <v>2014.5158777938702</v>
      </c>
      <c r="P39" s="217">
        <f>CC26+CB26</f>
        <v>5004</v>
      </c>
      <c r="Q39" s="285">
        <f>P39*($AX$139+$AX$137)/$P$153</f>
        <v>121905.25240121555</v>
      </c>
      <c r="R39" s="217">
        <f>CE26</f>
        <v>82</v>
      </c>
      <c r="S39" s="285">
        <f>R39*$AX$136/$R$153</f>
        <v>197.23408219797619</v>
      </c>
      <c r="T39" s="217">
        <f>CF26</f>
        <v>28.5</v>
      </c>
      <c r="U39" s="285">
        <f>T39*$AX$135/$T$153</f>
        <v>784.34857107885728</v>
      </c>
      <c r="V39" s="217">
        <f>CG26</f>
        <v>3111</v>
      </c>
      <c r="W39" s="285">
        <f>V39*$AX$134/$V$153</f>
        <v>617.58648442312892</v>
      </c>
      <c r="X39" s="217">
        <f>CH26</f>
        <v>467</v>
      </c>
      <c r="Y39" s="285">
        <f>X39*$AX$148/$X$153</f>
        <v>1183.9667844804198</v>
      </c>
      <c r="Z39" s="217">
        <f>CI26</f>
        <v>0</v>
      </c>
      <c r="AA39" s="285"/>
      <c r="AB39" s="217">
        <f>CJ26</f>
        <v>0</v>
      </c>
      <c r="AC39" s="285"/>
      <c r="AD39" s="258">
        <f>CK26</f>
        <v>0</v>
      </c>
      <c r="AE39" s="285"/>
      <c r="AF39" s="217">
        <f>CL26</f>
        <v>57</v>
      </c>
      <c r="AG39" s="286">
        <f>AF39*($AX$113+$AX$114)/$AF$153</f>
        <v>701048.31637412845</v>
      </c>
      <c r="AH39" s="217">
        <f>CM26</f>
        <v>0</v>
      </c>
      <c r="AI39" s="287"/>
      <c r="AJ39" s="217"/>
      <c r="AK39" s="285"/>
      <c r="AL39" s="217">
        <f>CO26</f>
        <v>0</v>
      </c>
      <c r="AM39" s="285"/>
      <c r="AN39" s="258">
        <v>0.80000000000000004</v>
      </c>
      <c r="AO39" s="286">
        <f>$CQ$142*AN39/100</f>
        <v>3096.0786400000002</v>
      </c>
      <c r="AP39" s="217">
        <f>'2026'!T1164</f>
        <v>20</v>
      </c>
      <c r="AQ39" s="286">
        <f>AP39*$AX$133/$AP$153</f>
        <v>2091.5534815089441</v>
      </c>
      <c r="AR39" s="217">
        <f>CS26</f>
        <v>69</v>
      </c>
      <c r="AS39" s="286">
        <f>$AX$145*AR39/$AR$153</f>
        <v>1459.6310059778714</v>
      </c>
      <c r="AT39" s="217">
        <f>CT26</f>
        <v>205</v>
      </c>
      <c r="AU39" s="287">
        <f>AT39*$AX$125/$AT$153</f>
        <v>80767.077631340115</v>
      </c>
      <c r="AV39" s="287"/>
      <c r="AW39" s="287"/>
      <c r="AX39" s="286">
        <f>C39+G39+I39+K39+M39+O39+Q39+S39+U39+W39+Y39+AA39+AC39+AE39+AG39+AI39+AK39+AO39+AU39+AS39+AW39+AQ39+AM39</f>
        <v>1723402.0947470157</v>
      </c>
      <c r="AY39" s="288">
        <f t="shared" si="37"/>
        <v>1372143.9547470156</v>
      </c>
      <c r="AZ39" s="288">
        <f>AY39-G39-I39-AG39-AI39-AK39-AM39</f>
        <v>262221.85517112189</v>
      </c>
      <c r="BA39" s="288">
        <f>AZ39+I39</f>
        <v>262221.85517112189</v>
      </c>
      <c r="BB39" s="289">
        <f>BF39+BH39</f>
        <v>0</v>
      </c>
      <c r="BC39" s="290" t="e">
        <f>AX39/BB39</f>
        <v>#DIV/0!</v>
      </c>
      <c r="BD39" s="286">
        <f>'зарплата'!CH35</f>
        <v>15858062.920711912</v>
      </c>
      <c r="BE39" s="286" t="e">
        <f>#REF!</f>
        <v>#REF!</v>
      </c>
      <c r="BF39" s="291">
        <f>HZ39</f>
        <v>0</v>
      </c>
      <c r="BG39" s="287">
        <f>IB39</f>
        <v>0</v>
      </c>
      <c r="BH39" s="292">
        <f>IC39</f>
        <v>0</v>
      </c>
      <c r="BI39" s="287">
        <f>IE39</f>
        <v>0</v>
      </c>
      <c r="BJ39" s="287"/>
      <c r="BK39" s="217">
        <f>BI39+BG39</f>
        <v>0</v>
      </c>
      <c r="BL39" s="293">
        <f>(BG39*13%)+(BI39*52%)</f>
        <v>0</v>
      </c>
      <c r="BM39" s="287" t="e">
        <f>AX39/BB39</f>
        <v>#DIV/0!</v>
      </c>
      <c r="BN39" s="287" t="e">
        <f>BL39/BB39</f>
        <v>#DIV/0!</v>
      </c>
      <c r="BO39" s="217" t="e">
        <f>BN39-BM39</f>
        <v>#DIV/0!</v>
      </c>
      <c r="BP39" s="285">
        <f>BL39-AX39</f>
        <v>-1723402.0947470157</v>
      </c>
      <c r="BQ39" s="285" t="e">
        <f>BK39-AX39-BD39-BE39</f>
        <v>#REF!</v>
      </c>
      <c r="BW39" s="272" t="s">
        <v>22</v>
      </c>
      <c r="BX39" s="460">
        <f>SUM(BX24:BX38)</f>
        <v>3079013.7649499997</v>
      </c>
      <c r="BY39" s="460">
        <f>SUM(BY24:BY38)</f>
        <v>3474527.0160000003</v>
      </c>
      <c r="BZ39" s="460">
        <f t="shared" ref="BZ39:CS39" si="43">SUM(BZ24:BZ38)</f>
        <v>5954.5</v>
      </c>
      <c r="CA39" s="460">
        <f>SUM(CA24:CA38)</f>
        <v>7300</v>
      </c>
      <c r="CB39" s="460">
        <f t="shared" si="43"/>
        <v>15246</v>
      </c>
      <c r="CC39" s="460">
        <f t="shared" si="43"/>
        <v>28394</v>
      </c>
      <c r="CD39" s="460">
        <f t="shared" si="43"/>
        <v>6080</v>
      </c>
      <c r="CE39" s="460">
        <f t="shared" si="43"/>
        <v>779</v>
      </c>
      <c r="CF39" s="460">
        <f t="shared" si="43"/>
        <v>5557.5</v>
      </c>
      <c r="CG39" s="460">
        <f>SUM(CG24:CG38)</f>
        <v>16411</v>
      </c>
      <c r="CH39" s="460">
        <f t="shared" si="43"/>
        <v>4812</v>
      </c>
      <c r="CI39" s="460">
        <f t="shared" si="43"/>
        <v>0</v>
      </c>
      <c r="CJ39" s="460">
        <f t="shared" si="43"/>
        <v>0</v>
      </c>
      <c r="CK39" s="460">
        <f t="shared" si="43"/>
        <v>0</v>
      </c>
      <c r="CL39" s="460">
        <f t="shared" si="43"/>
        <v>550</v>
      </c>
      <c r="CM39" s="460">
        <f t="shared" si="43"/>
        <v>0</v>
      </c>
      <c r="CN39" s="460">
        <f t="shared" si="43"/>
        <v>0</v>
      </c>
      <c r="CO39" s="539">
        <f t="shared" si="43"/>
        <v>0</v>
      </c>
      <c r="CP39" s="540">
        <f t="shared" si="43"/>
        <v>6.4000000000000004</v>
      </c>
      <c r="CQ39" s="540">
        <f t="shared" si="43"/>
        <v>24768.629119999998</v>
      </c>
      <c r="CR39" s="460">
        <f t="shared" si="43"/>
        <v>0</v>
      </c>
      <c r="CS39" s="539">
        <f t="shared" si="43"/>
        <v>4391</v>
      </c>
      <c r="CT39" s="541">
        <f>SUM(CT24:CT38)</f>
        <v>1836</v>
      </c>
      <c r="CU39" s="542">
        <f>SUM(CU24:CU38)</f>
        <v>6998</v>
      </c>
      <c r="CV39" s="543">
        <f>SUM(CV24:CV38)</f>
        <v>8834</v>
      </c>
      <c r="CW39" s="543">
        <f>SUM(CW24:CW38)</f>
        <v>3209458.6641373583</v>
      </c>
      <c r="DA39" s="304">
        <f>DB39+DC39</f>
        <v>0</v>
      </c>
      <c r="DB39" s="305"/>
      <c r="DC39" s="305"/>
      <c r="DD39" s="306">
        <f>DE39+DF39</f>
        <v>0</v>
      </c>
      <c r="DE39" s="306"/>
      <c r="DF39" s="306"/>
      <c r="DJ39" s="462" t="s">
        <v>22</v>
      </c>
      <c r="DK39" s="463">
        <f>SUM(DK24:DK38)</f>
        <v>0</v>
      </c>
      <c r="DL39" s="463">
        <f>SUM(DL24:DL38)</f>
        <v>0</v>
      </c>
      <c r="DM39" s="463">
        <f>SUM(DM24:DM38)</f>
        <v>0</v>
      </c>
      <c r="DN39" s="464">
        <f t="shared" si="1"/>
        <v>0</v>
      </c>
      <c r="DO39" s="463">
        <f t="shared" ref="DO39:EC39" si="44">SUM(DO24:DO38)</f>
        <v>0</v>
      </c>
      <c r="DP39" s="463">
        <f t="shared" si="44"/>
        <v>0</v>
      </c>
      <c r="DQ39" s="463">
        <f t="shared" si="44"/>
        <v>0</v>
      </c>
      <c r="DR39" s="464">
        <f t="shared" si="44"/>
        <v>0</v>
      </c>
      <c r="DS39" s="464">
        <f t="shared" si="3"/>
        <v>0</v>
      </c>
      <c r="DT39" s="463">
        <f t="shared" si="44"/>
        <v>0</v>
      </c>
      <c r="DU39" s="463">
        <f t="shared" si="44"/>
        <v>0</v>
      </c>
      <c r="DV39" s="463">
        <f t="shared" si="44"/>
        <v>0</v>
      </c>
      <c r="DW39" s="465">
        <f>SUM(DW24:DW38)</f>
        <v>0</v>
      </c>
      <c r="DX39" s="464">
        <f t="shared" si="5"/>
        <v>0</v>
      </c>
      <c r="DY39" s="463">
        <f t="shared" si="44"/>
        <v>0</v>
      </c>
      <c r="DZ39" s="463">
        <f t="shared" si="44"/>
        <v>0</v>
      </c>
      <c r="EA39" s="463">
        <f t="shared" si="44"/>
        <v>0</v>
      </c>
      <c r="EB39" s="464">
        <f t="shared" si="44"/>
        <v>0</v>
      </c>
      <c r="EC39" s="464">
        <f t="shared" si="44"/>
        <v>0</v>
      </c>
      <c r="EF39" s="283" t="s">
        <v>196</v>
      </c>
      <c r="EG39" s="283"/>
      <c r="EH39" s="315"/>
      <c r="EI39" s="316"/>
      <c r="EJ39" s="317"/>
      <c r="EK39" s="316"/>
      <c r="EL39" s="316"/>
      <c r="EM39" s="317"/>
      <c r="EN39" s="318"/>
      <c r="EO39" s="317"/>
      <c r="EP39" s="317"/>
      <c r="EQ39" s="317"/>
      <c r="ER39" s="317"/>
      <c r="ES39" s="319"/>
      <c r="ET39" s="317"/>
      <c r="EU39" s="317"/>
      <c r="EV39" s="317"/>
      <c r="EW39" s="317"/>
      <c r="EX39" s="317"/>
      <c r="EY39" s="317"/>
      <c r="EZ39" s="320">
        <f t="shared" si="38"/>
        <v>0</v>
      </c>
      <c r="FA39" s="321">
        <f t="shared" si="38"/>
        <v>0</v>
      </c>
      <c r="FB39" s="317">
        <f t="shared" si="38"/>
        <v>0</v>
      </c>
      <c r="FC39" s="322">
        <f t="shared" si="38"/>
        <v>0</v>
      </c>
      <c r="FD39" s="322">
        <f t="shared" si="38"/>
        <v>0</v>
      </c>
      <c r="FE39" s="319">
        <f t="shared" si="38"/>
        <v>0</v>
      </c>
      <c r="FF39" s="322"/>
      <c r="FG39" s="322"/>
      <c r="FH39" s="317"/>
      <c r="FI39" s="322"/>
      <c r="FJ39" s="322"/>
      <c r="FK39" s="317"/>
      <c r="FL39" s="323"/>
      <c r="FM39" s="322"/>
      <c r="FN39" s="317"/>
      <c r="FO39" s="322"/>
      <c r="FP39" s="322"/>
      <c r="FQ39" s="319"/>
      <c r="FR39" s="323"/>
      <c r="FS39" s="322"/>
      <c r="FT39" s="317"/>
      <c r="FU39" s="322"/>
      <c r="FV39" s="322"/>
      <c r="FW39" s="319"/>
      <c r="FX39" s="323">
        <f t="shared" si="39"/>
        <v>0</v>
      </c>
      <c r="FY39" s="322">
        <f t="shared" si="39"/>
        <v>0</v>
      </c>
      <c r="FZ39" s="324">
        <f t="shared" si="39"/>
        <v>0</v>
      </c>
      <c r="GA39" s="322">
        <f t="shared" si="39"/>
        <v>0</v>
      </c>
      <c r="GB39" s="322">
        <f t="shared" si="39"/>
        <v>0</v>
      </c>
      <c r="GC39" s="325">
        <f t="shared" si="39"/>
        <v>0</v>
      </c>
      <c r="GD39" s="323"/>
      <c r="GE39" s="322"/>
      <c r="GF39" s="317"/>
      <c r="GG39" s="322"/>
      <c r="GH39" s="322"/>
      <c r="GI39" s="319"/>
      <c r="GJ39" s="323"/>
      <c r="GK39" s="322"/>
      <c r="GL39" s="317"/>
      <c r="GM39" s="322"/>
      <c r="GN39" s="322"/>
      <c r="GO39" s="319"/>
      <c r="GP39" s="323"/>
      <c r="GQ39" s="322"/>
      <c r="GR39" s="317"/>
      <c r="GS39" s="322"/>
      <c r="GT39" s="322"/>
      <c r="GU39" s="319"/>
      <c r="GV39" s="323">
        <f t="shared" si="40"/>
        <v>0</v>
      </c>
      <c r="GW39" s="322">
        <f t="shared" si="40"/>
        <v>0</v>
      </c>
      <c r="GX39" s="322">
        <f t="shared" si="40"/>
        <v>0</v>
      </c>
      <c r="GY39" s="322">
        <f t="shared" si="40"/>
        <v>0</v>
      </c>
      <c r="GZ39" s="322">
        <f t="shared" si="40"/>
        <v>0</v>
      </c>
      <c r="HA39" s="326">
        <f t="shared" si="40"/>
        <v>0</v>
      </c>
      <c r="HB39" s="323"/>
      <c r="HC39" s="322"/>
      <c r="HD39" s="317"/>
      <c r="HE39" s="322"/>
      <c r="HF39" s="322"/>
      <c r="HG39" s="319"/>
      <c r="HH39" s="323"/>
      <c r="HI39" s="322"/>
      <c r="HJ39" s="317"/>
      <c r="HK39" s="322"/>
      <c r="HL39" s="322"/>
      <c r="HM39" s="319"/>
      <c r="HN39" s="323"/>
      <c r="HO39" s="322"/>
      <c r="HP39" s="317"/>
      <c r="HQ39" s="322"/>
      <c r="HR39" s="322"/>
      <c r="HS39" s="319"/>
      <c r="HT39" s="315">
        <f t="shared" si="41"/>
        <v>0</v>
      </c>
      <c r="HU39" s="316">
        <f t="shared" si="41"/>
        <v>0</v>
      </c>
      <c r="HV39" s="317">
        <f t="shared" si="41"/>
        <v>0</v>
      </c>
      <c r="HW39" s="316">
        <f t="shared" si="41"/>
        <v>0</v>
      </c>
      <c r="HX39" s="316">
        <f t="shared" si="41"/>
        <v>0</v>
      </c>
      <c r="HY39" s="317">
        <f t="shared" si="41"/>
        <v>0</v>
      </c>
      <c r="HZ39" s="327">
        <f t="shared" si="42"/>
        <v>0</v>
      </c>
      <c r="IA39" s="316">
        <f t="shared" si="42"/>
        <v>0</v>
      </c>
      <c r="IB39" s="317">
        <f t="shared" si="42"/>
        <v>0</v>
      </c>
      <c r="IC39" s="316">
        <f t="shared" si="42"/>
        <v>0</v>
      </c>
      <c r="ID39" s="316">
        <f t="shared" si="42"/>
        <v>0</v>
      </c>
      <c r="IE39" s="328">
        <f t="shared" si="42"/>
        <v>0</v>
      </c>
      <c r="IF39" s="535">
        <f>HZ39+IC39</f>
        <v>0</v>
      </c>
      <c r="IG39" s="280">
        <f>IA39+ID39</f>
        <v>0</v>
      </c>
      <c r="IH39" s="1">
        <f>IB39+IE39</f>
        <v>0</v>
      </c>
    </row>
    <row r="40" ht="13.5">
      <c r="A40" s="437"/>
      <c r="B40" s="437"/>
      <c r="C40" s="284"/>
      <c r="D40" s="331">
        <f>D39*100/$AX39</f>
        <v>14.979608112748409</v>
      </c>
      <c r="E40" s="331">
        <f>E39*100/$AX39</f>
        <v>5.4020625995389864</v>
      </c>
      <c r="F40" s="217"/>
      <c r="G40" s="332">
        <f>G39*100/$AX39</f>
        <v>23.72480481763516</v>
      </c>
      <c r="H40" s="367"/>
      <c r="I40" s="332">
        <f>I39*100/$AX39</f>
        <v>0</v>
      </c>
      <c r="J40" s="217"/>
      <c r="K40" s="331">
        <f>K39*100/$AX39</f>
        <v>1.1031167491510088</v>
      </c>
      <c r="L40" s="258"/>
      <c r="M40" s="333">
        <f>M39*100/$AX39</f>
        <v>1.6881419105506148</v>
      </c>
      <c r="N40" s="258"/>
      <c r="O40" s="331">
        <f>O39*100/$AX39</f>
        <v>0.11689180858803518</v>
      </c>
      <c r="P40" s="217"/>
      <c r="Q40" s="331">
        <f>Q39*100/$AX39</f>
        <v>7.0735235133336918</v>
      </c>
      <c r="R40" s="217"/>
      <c r="S40" s="331">
        <f>S39*100/$AX39</f>
        <v>0.011444461092344725</v>
      </c>
      <c r="T40" s="217"/>
      <c r="U40" s="331">
        <f>U39*100/$AX39</f>
        <v>0.045511640810323759</v>
      </c>
      <c r="V40" s="217"/>
      <c r="W40" s="331">
        <f>W39*100/$AX39</f>
        <v>0.035835310071024758</v>
      </c>
      <c r="X40" s="217"/>
      <c r="Y40" s="331">
        <f>Y39*100/$AX39</f>
        <v>0.068699393373675727</v>
      </c>
      <c r="Z40" s="217"/>
      <c r="AA40" s="331"/>
      <c r="AB40" s="217"/>
      <c r="AC40" s="331"/>
      <c r="AD40" s="258"/>
      <c r="AE40" s="285"/>
      <c r="AF40" s="217"/>
      <c r="AG40" s="332">
        <f>AG39*100/$AX39</f>
        <v>40.678163181473785</v>
      </c>
      <c r="AH40" s="217"/>
      <c r="AI40" s="287"/>
      <c r="AJ40" s="217"/>
      <c r="AK40" s="285"/>
      <c r="AL40" s="217"/>
      <c r="AM40" s="285"/>
      <c r="AN40" s="258"/>
      <c r="AO40" s="332">
        <f>AO39*100/$AX39</f>
        <v>0.17964923272618422</v>
      </c>
      <c r="AP40" s="217"/>
      <c r="AQ40" s="332">
        <f>AQ39*100/AX39</f>
        <v>0.12136189737055939</v>
      </c>
      <c r="AR40" s="217"/>
      <c r="AS40" s="332">
        <f>AS39*100/$AX39</f>
        <v>0.084694744797332716</v>
      </c>
      <c r="AT40" s="217"/>
      <c r="AU40" s="333">
        <f>AU39*100/$AX39</f>
        <v>4.6864906267388626</v>
      </c>
      <c r="AV40" s="287"/>
      <c r="AW40" s="287"/>
      <c r="AX40" s="332">
        <f>SUM(D40:AW40)</f>
        <v>99.999999999999986</v>
      </c>
      <c r="AY40" s="336"/>
      <c r="AZ40" s="336"/>
      <c r="BA40" s="336"/>
      <c r="BB40" s="289"/>
      <c r="BC40" s="290"/>
      <c r="BD40" s="286"/>
      <c r="BE40" s="286"/>
      <c r="BF40" s="522"/>
      <c r="BG40" s="530"/>
      <c r="BH40" s="531"/>
      <c r="BI40" s="530"/>
      <c r="BJ40" s="287"/>
      <c r="BK40" s="217"/>
      <c r="BL40" s="217"/>
      <c r="BM40" s="287"/>
      <c r="BN40" s="287"/>
      <c r="BO40" s="364"/>
      <c r="BP40" s="272"/>
      <c r="BQ40" s="285"/>
      <c r="BS40" s="544"/>
      <c r="BT40" s="544"/>
      <c r="BU40" s="544" t="s">
        <v>212</v>
      </c>
      <c r="BW40" s="261" t="s">
        <v>213</v>
      </c>
      <c r="BX40" s="370"/>
      <c r="BY40" s="299"/>
      <c r="BZ40" s="298"/>
      <c r="CA40" s="295">
        <f>'2026'!T682</f>
        <v>1530</v>
      </c>
      <c r="CB40" s="297">
        <f>'2026'!T541</f>
        <v>148</v>
      </c>
      <c r="CC40" s="296">
        <f>'2026'!T469</f>
        <v>3739</v>
      </c>
      <c r="CD40" s="295">
        <f>'2026'!T612</f>
        <v>0</v>
      </c>
      <c r="CE40" s="296">
        <f>'2026'!T341</f>
        <v>0</v>
      </c>
      <c r="CF40" s="295">
        <f>'2026'!T888</f>
        <v>0</v>
      </c>
      <c r="CG40" s="296">
        <f>'2026'!T941</f>
        <v>3719.5</v>
      </c>
      <c r="CH40" s="296">
        <f>'2026'!T823</f>
        <v>12</v>
      </c>
      <c r="CI40" s="296">
        <f>'2026'!T859</f>
        <v>17766</v>
      </c>
      <c r="CJ40" s="299"/>
      <c r="CK40" s="298">
        <f>'2026'!T304+'2026'!T307</f>
        <v>83</v>
      </c>
      <c r="CL40" s="299"/>
      <c r="CM40" s="296">
        <f>'2026'!T215</f>
        <v>322</v>
      </c>
      <c r="CN40" s="299"/>
      <c r="CO40" s="266"/>
      <c r="CP40" s="298">
        <f>AN64</f>
        <v>4.2000000000000002</v>
      </c>
      <c r="CQ40" s="298">
        <f>AO64</f>
        <v>16254.412859999999</v>
      </c>
      <c r="CR40" s="299"/>
      <c r="CS40" s="297">
        <f>'2026'!T1042</f>
        <v>906</v>
      </c>
      <c r="CT40" s="466">
        <f>Приемник!AD37</f>
        <v>455</v>
      </c>
      <c r="CU40" s="545"/>
      <c r="CV40" s="546">
        <f t="shared" ref="CV40:CV46" si="45">CT40+CU40</f>
        <v>455</v>
      </c>
      <c r="CW40" s="303">
        <f t="shared" ref="CW40:CW45" si="46">$CU$9/$CU$134*CU40</f>
        <v>0</v>
      </c>
      <c r="DA40" s="360"/>
      <c r="DB40" s="360"/>
      <c r="DC40" s="360"/>
      <c r="DD40" s="361"/>
      <c r="DE40" s="361"/>
      <c r="DF40" s="361"/>
      <c r="DJ40" s="272" t="s">
        <v>213</v>
      </c>
      <c r="DK40" s="273"/>
      <c r="DL40" s="273"/>
      <c r="DM40" s="547"/>
      <c r="DN40" s="308">
        <f t="shared" si="1"/>
        <v>0</v>
      </c>
      <c r="DO40" s="273"/>
      <c r="DP40" s="273"/>
      <c r="DQ40" s="307"/>
      <c r="DR40" s="309">
        <f t="shared" ref="DR40:DR45" si="47">DO40+DP40+DQ40</f>
        <v>0</v>
      </c>
      <c r="DS40" s="310">
        <f t="shared" si="3"/>
        <v>0</v>
      </c>
      <c r="DT40" s="273"/>
      <c r="DU40" s="548"/>
      <c r="DV40" s="549"/>
      <c r="DW40" s="313">
        <f t="shared" ref="DW40:DW48" si="48">DT40+DU40+DV40</f>
        <v>0</v>
      </c>
      <c r="DX40" s="310">
        <f t="shared" si="5"/>
        <v>0</v>
      </c>
      <c r="DY40" s="273"/>
      <c r="DZ40" s="273"/>
      <c r="EA40" s="307"/>
      <c r="EB40" s="309">
        <f t="shared" si="27"/>
        <v>0</v>
      </c>
      <c r="EC40" s="314">
        <f t="shared" si="28"/>
        <v>0</v>
      </c>
      <c r="EF40" s="437"/>
      <c r="EG40" s="437"/>
      <c r="EH40" s="342"/>
      <c r="EI40" s="343"/>
      <c r="EJ40" s="344"/>
      <c r="EK40" s="343"/>
      <c r="EL40" s="343"/>
      <c r="EM40" s="344"/>
      <c r="EN40" s="345"/>
      <c r="EO40" s="344"/>
      <c r="EP40" s="346"/>
      <c r="EQ40" s="344"/>
      <c r="ER40" s="344"/>
      <c r="ES40" s="347"/>
      <c r="ET40" s="344"/>
      <c r="EU40" s="344"/>
      <c r="EV40" s="344"/>
      <c r="EW40" s="344"/>
      <c r="EX40" s="344"/>
      <c r="EY40" s="344"/>
      <c r="EZ40" s="348"/>
      <c r="FA40" s="349"/>
      <c r="FB40" s="344"/>
      <c r="FC40" s="350"/>
      <c r="FD40" s="350"/>
      <c r="FE40" s="347"/>
      <c r="FF40" s="350"/>
      <c r="FG40" s="350"/>
      <c r="FH40" s="344"/>
      <c r="FI40" s="350"/>
      <c r="FJ40" s="350"/>
      <c r="FK40" s="344"/>
      <c r="FL40" s="351"/>
      <c r="FM40" s="350"/>
      <c r="FN40" s="344"/>
      <c r="FO40" s="350"/>
      <c r="FP40" s="350"/>
      <c r="FQ40" s="347"/>
      <c r="FR40" s="351"/>
      <c r="FS40" s="350"/>
      <c r="FT40" s="344"/>
      <c r="FU40" s="350"/>
      <c r="FV40" s="350"/>
      <c r="FW40" s="347"/>
      <c r="FX40" s="351"/>
      <c r="FY40" s="352"/>
      <c r="FZ40" s="344"/>
      <c r="GA40" s="350"/>
      <c r="GB40" s="350"/>
      <c r="GC40" s="347"/>
      <c r="GD40" s="351"/>
      <c r="GE40" s="350"/>
      <c r="GF40" s="344"/>
      <c r="GG40" s="350"/>
      <c r="GH40" s="350"/>
      <c r="GI40" s="347"/>
      <c r="GJ40" s="351"/>
      <c r="GK40" s="350"/>
      <c r="GL40" s="344"/>
      <c r="GM40" s="350"/>
      <c r="GN40" s="350"/>
      <c r="GO40" s="347"/>
      <c r="GP40" s="351"/>
      <c r="GQ40" s="350"/>
      <c r="GR40" s="344"/>
      <c r="GS40" s="350"/>
      <c r="GT40" s="350"/>
      <c r="GU40" s="347"/>
      <c r="GV40" s="351"/>
      <c r="GW40" s="350"/>
      <c r="GX40" s="344"/>
      <c r="GY40" s="350"/>
      <c r="GZ40" s="350"/>
      <c r="HA40" s="347"/>
      <c r="HB40" s="351"/>
      <c r="HC40" s="350"/>
      <c r="HD40" s="344"/>
      <c r="HE40" s="350"/>
      <c r="HF40" s="350"/>
      <c r="HG40" s="347"/>
      <c r="HH40" s="351"/>
      <c r="HI40" s="350"/>
      <c r="HJ40" s="344"/>
      <c r="HK40" s="350"/>
      <c r="HL40" s="350"/>
      <c r="HM40" s="347"/>
      <c r="HN40" s="351"/>
      <c r="HO40" s="350"/>
      <c r="HP40" s="344"/>
      <c r="HQ40" s="350"/>
      <c r="HR40" s="350"/>
      <c r="HS40" s="347"/>
      <c r="HT40" s="342"/>
      <c r="HU40" s="343"/>
      <c r="HV40" s="344"/>
      <c r="HW40" s="343"/>
      <c r="HX40" s="343"/>
      <c r="HY40" s="344"/>
      <c r="HZ40" s="534"/>
      <c r="IA40" s="343"/>
      <c r="IB40" s="344"/>
      <c r="IC40" s="343"/>
      <c r="ID40" s="343"/>
      <c r="IE40" s="355"/>
      <c r="IF40" s="535"/>
      <c r="IG40" s="280"/>
    </row>
    <row r="41" ht="13.5">
      <c r="A41" s="283" t="s">
        <v>200</v>
      </c>
      <c r="B41" s="283"/>
      <c r="C41" s="284">
        <f>D41+E41</f>
        <v>0</v>
      </c>
      <c r="D41" s="285"/>
      <c r="E41" s="285"/>
      <c r="F41" s="217">
        <f>BX29</f>
        <v>0</v>
      </c>
      <c r="G41" s="288">
        <f>F41*$AX$128/$F$153</f>
        <v>0</v>
      </c>
      <c r="H41" s="217">
        <f>BY29</f>
        <v>0</v>
      </c>
      <c r="I41" s="288">
        <f>H41*$AX$143/$H$153</f>
        <v>0</v>
      </c>
      <c r="J41" s="217">
        <f>BZ29</f>
        <v>0</v>
      </c>
      <c r="K41" s="287">
        <f>J41*$AX$142/$J$153</f>
        <v>0</v>
      </c>
      <c r="L41" s="258">
        <f>CA29</f>
        <v>0</v>
      </c>
      <c r="M41" s="287">
        <f>L41*$AX$140/$L$153</f>
        <v>0</v>
      </c>
      <c r="N41" s="258">
        <f>CD29</f>
        <v>0</v>
      </c>
      <c r="O41" s="285">
        <f>N41*$AX$138/$N$153</f>
        <v>0</v>
      </c>
      <c r="P41" s="217">
        <f>CC29+CB29</f>
        <v>0</v>
      </c>
      <c r="Q41" s="285">
        <f>P41*($AX$139+$AX$137)/$P$153</f>
        <v>0</v>
      </c>
      <c r="R41" s="217">
        <f>CE29</f>
        <v>0</v>
      </c>
      <c r="S41" s="287">
        <f>R41*$AX$136/$R$153</f>
        <v>0</v>
      </c>
      <c r="T41" s="217">
        <f>CF29</f>
        <v>0</v>
      </c>
      <c r="U41" s="287">
        <f>T41*$AX$135/$T$153</f>
        <v>0</v>
      </c>
      <c r="V41" s="217">
        <f>CG29</f>
        <v>0</v>
      </c>
      <c r="W41" s="287">
        <f>V41*$AX$134/$V$153</f>
        <v>0</v>
      </c>
      <c r="X41" s="217">
        <f>CH29</f>
        <v>0</v>
      </c>
      <c r="Y41" s="287">
        <f>X41*$AX$148/$X$153</f>
        <v>0</v>
      </c>
      <c r="Z41" s="217">
        <f>CI29</f>
        <v>0</v>
      </c>
      <c r="AA41" s="287"/>
      <c r="AB41" s="217">
        <f>CJ29</f>
        <v>0</v>
      </c>
      <c r="AC41" s="285"/>
      <c r="AD41" s="258">
        <f>CK29</f>
        <v>0</v>
      </c>
      <c r="AE41" s="287"/>
      <c r="AF41" s="217">
        <f>CL29</f>
        <v>0</v>
      </c>
      <c r="AG41" s="288">
        <f>AF41*($AX$113+$AX$114)/$AF$153</f>
        <v>0</v>
      </c>
      <c r="AH41" s="217">
        <f>CM29</f>
        <v>0</v>
      </c>
      <c r="AI41" s="287"/>
      <c r="AJ41" s="217"/>
      <c r="AK41" s="287"/>
      <c r="AL41" s="217">
        <f>CO29</f>
        <v>0</v>
      </c>
      <c r="AM41" s="285"/>
      <c r="AN41" s="272"/>
      <c r="AO41" s="286">
        <f>11598657.44*AN41/100</f>
        <v>0</v>
      </c>
      <c r="AP41" s="217">
        <f>'2026'!T1165</f>
        <v>0</v>
      </c>
      <c r="AQ41" s="286">
        <f>AP41*$AX$133/$AP$153</f>
        <v>0</v>
      </c>
      <c r="AR41" s="217">
        <f>CS29</f>
        <v>0</v>
      </c>
      <c r="AS41" s="288">
        <f>$AX$145*AR41/$AR$153</f>
        <v>0</v>
      </c>
      <c r="AT41" s="217"/>
      <c r="AU41" s="287">
        <f>AT41*$AX$125/$AT$153</f>
        <v>0</v>
      </c>
      <c r="AV41" s="287"/>
      <c r="AW41" s="287"/>
      <c r="AX41" s="286">
        <f>C41+G41+I41+K41+M41+O41+Q41+S41+U41+W41+Y41+AA41+AC41+AE41+AG41+AI41+AK41+AO41+AU41+AS41+AW41+AQ41+AM41</f>
        <v>0</v>
      </c>
      <c r="AY41" s="288">
        <f t="shared" si="37"/>
        <v>0</v>
      </c>
      <c r="AZ41" s="288">
        <f>AY41-G41-I41-AG41-AI41-AK41-AM41</f>
        <v>0</v>
      </c>
      <c r="BA41" s="288">
        <f>AZ41+I41</f>
        <v>0</v>
      </c>
      <c r="BB41" s="289">
        <f>BF41+BH41</f>
        <v>0</v>
      </c>
      <c r="BC41" s="290"/>
      <c r="BD41" s="286">
        <f>'зарплата'!CH37</f>
        <v>0</v>
      </c>
      <c r="BE41" s="286" t="e">
        <f>#REF!</f>
        <v>#REF!</v>
      </c>
      <c r="BF41" s="291">
        <f>HZ41</f>
        <v>0</v>
      </c>
      <c r="BG41" s="287">
        <f>IB41</f>
        <v>0</v>
      </c>
      <c r="BH41" s="292">
        <f>IC41</f>
        <v>0</v>
      </c>
      <c r="BI41" s="287">
        <f>IE41</f>
        <v>0</v>
      </c>
      <c r="BJ41" s="287"/>
      <c r="BK41" s="217">
        <f>BI41+BG41</f>
        <v>0</v>
      </c>
      <c r="BL41" s="293">
        <f>(BG41*23%)+(BI41*52%)</f>
        <v>0</v>
      </c>
      <c r="BM41" s="287"/>
      <c r="BN41" s="287"/>
      <c r="BO41" s="217">
        <f>BN41-BM41</f>
        <v>0</v>
      </c>
      <c r="BP41" s="285">
        <f>BL41-AX41</f>
        <v>0</v>
      </c>
      <c r="BQ41" s="285"/>
      <c r="BS41" s="544" t="s">
        <v>214</v>
      </c>
      <c r="BT41" s="544">
        <v>0.25</v>
      </c>
      <c r="BU41" s="544">
        <v>0.34999999999999998</v>
      </c>
      <c r="BW41" s="261" t="s">
        <v>215</v>
      </c>
      <c r="BX41" s="370"/>
      <c r="BY41" s="299"/>
      <c r="BZ41" s="298"/>
      <c r="CA41" s="295">
        <f>'2026'!T683</f>
        <v>0</v>
      </c>
      <c r="CB41" s="297">
        <f>'2026'!T542</f>
        <v>0</v>
      </c>
      <c r="CC41" s="296">
        <f>'2026'!T470</f>
        <v>9320</v>
      </c>
      <c r="CD41" s="295">
        <f>'2026'!T613</f>
        <v>1323</v>
      </c>
      <c r="CE41" s="296">
        <f>'2026'!T342</f>
        <v>3016</v>
      </c>
      <c r="CF41" s="295">
        <f>'2026'!T889</f>
        <v>0</v>
      </c>
      <c r="CG41" s="296">
        <f>'2026'!T942</f>
        <v>906</v>
      </c>
      <c r="CH41" s="298">
        <f>'2026'!T824</f>
        <v>0</v>
      </c>
      <c r="CI41" s="298"/>
      <c r="CJ41" s="299"/>
      <c r="CK41" s="298">
        <f>'2026'!T291</f>
        <v>333</v>
      </c>
      <c r="CL41" s="299"/>
      <c r="CM41" s="296">
        <f>'2026'!T216</f>
        <v>9</v>
      </c>
      <c r="CN41" s="299"/>
      <c r="CO41" s="266"/>
      <c r="CP41" s="298">
        <f>AN66</f>
        <v>4.2000000000000002</v>
      </c>
      <c r="CQ41" s="298">
        <f>AO66</f>
        <v>16254.412859999999</v>
      </c>
      <c r="CR41" s="299"/>
      <c r="CS41" s="297">
        <f>'2026'!T1043</f>
        <v>131</v>
      </c>
      <c r="CT41" s="466">
        <f>Приемник!AD38</f>
        <v>109</v>
      </c>
      <c r="CU41" s="545"/>
      <c r="CV41" s="546">
        <f t="shared" si="45"/>
        <v>109</v>
      </c>
      <c r="CW41" s="303">
        <f t="shared" si="46"/>
        <v>0</v>
      </c>
      <c r="DA41" s="304">
        <f>DB41+DC41</f>
        <v>0</v>
      </c>
      <c r="DB41" s="305"/>
      <c r="DC41" s="305"/>
      <c r="DD41" s="306">
        <f>DE41+DF41</f>
        <v>0</v>
      </c>
      <c r="DE41" s="306"/>
      <c r="DF41" s="306"/>
      <c r="DJ41" s="272"/>
      <c r="DK41" s="550"/>
      <c r="DL41" s="550"/>
      <c r="DM41" s="547"/>
      <c r="DN41" s="308">
        <f t="shared" si="1"/>
        <v>0</v>
      </c>
      <c r="DO41" s="550"/>
      <c r="DP41" s="550"/>
      <c r="DQ41" s="547"/>
      <c r="DR41" s="309">
        <f t="shared" si="47"/>
        <v>0</v>
      </c>
      <c r="DS41" s="310">
        <f t="shared" si="3"/>
        <v>0</v>
      </c>
      <c r="DT41" s="550"/>
      <c r="DU41" s="548"/>
      <c r="DV41" s="549"/>
      <c r="DW41" s="313">
        <f t="shared" si="48"/>
        <v>0</v>
      </c>
      <c r="DX41" s="310">
        <f t="shared" si="5"/>
        <v>0</v>
      </c>
      <c r="DY41" s="550"/>
      <c r="DZ41" s="550"/>
      <c r="EA41" s="547"/>
      <c r="EB41" s="309">
        <f t="shared" si="27"/>
        <v>0</v>
      </c>
      <c r="EC41" s="314">
        <f t="shared" si="28"/>
        <v>0</v>
      </c>
      <c r="EF41" s="283" t="s">
        <v>200</v>
      </c>
      <c r="EG41" s="283"/>
      <c r="EH41" s="280"/>
      <c r="EI41" s="280"/>
      <c r="EK41" s="280"/>
      <c r="EL41" s="280"/>
      <c r="EN41" s="37"/>
      <c r="EP41" s="15"/>
      <c r="ES41" s="38"/>
      <c r="EZ41" s="356">
        <f t="shared" si="38"/>
        <v>0</v>
      </c>
      <c r="FA41" s="357">
        <f t="shared" si="38"/>
        <v>0</v>
      </c>
      <c r="FB41" s="1">
        <f t="shared" si="38"/>
        <v>0</v>
      </c>
      <c r="FC41" s="281">
        <f t="shared" si="38"/>
        <v>0</v>
      </c>
      <c r="FD41" s="281">
        <f t="shared" si="38"/>
        <v>0</v>
      </c>
      <c r="FE41" s="38">
        <f t="shared" si="38"/>
        <v>0</v>
      </c>
      <c r="FF41" s="281"/>
      <c r="FG41" s="281"/>
      <c r="FI41" s="281"/>
      <c r="FJ41" s="281"/>
      <c r="FL41" s="282"/>
      <c r="FM41" s="281"/>
      <c r="FO41" s="281"/>
      <c r="FP41" s="281"/>
      <c r="FQ41" s="38"/>
      <c r="FR41" s="282"/>
      <c r="FS41" s="281"/>
      <c r="FU41" s="281"/>
      <c r="FV41" s="281"/>
      <c r="FW41" s="38"/>
      <c r="FX41" s="323">
        <f t="shared" si="39"/>
        <v>0</v>
      </c>
      <c r="FY41" s="551">
        <f t="shared" si="39"/>
        <v>0</v>
      </c>
      <c r="FZ41" s="324">
        <f t="shared" si="39"/>
        <v>0</v>
      </c>
      <c r="GA41" s="322">
        <f t="shared" si="39"/>
        <v>0</v>
      </c>
      <c r="GB41" s="322">
        <f t="shared" si="39"/>
        <v>0</v>
      </c>
      <c r="GC41" s="325">
        <f t="shared" si="39"/>
        <v>0</v>
      </c>
      <c r="GD41" s="282"/>
      <c r="GE41" s="281"/>
      <c r="GG41" s="281"/>
      <c r="GH41" s="281"/>
      <c r="GI41" s="38"/>
      <c r="GJ41" s="282"/>
      <c r="GK41" s="281"/>
      <c r="GM41" s="281"/>
      <c r="GN41" s="281"/>
      <c r="GO41" s="38"/>
      <c r="GP41" s="282"/>
      <c r="GQ41" s="281"/>
      <c r="GS41" s="281"/>
      <c r="GT41" s="281"/>
      <c r="GU41" s="38"/>
      <c r="GV41" s="323">
        <f t="shared" si="40"/>
        <v>0</v>
      </c>
      <c r="GW41" s="322">
        <f t="shared" si="40"/>
        <v>0</v>
      </c>
      <c r="GX41" s="322">
        <f t="shared" si="40"/>
        <v>0</v>
      </c>
      <c r="GY41" s="322">
        <f t="shared" si="40"/>
        <v>0</v>
      </c>
      <c r="GZ41" s="322">
        <f t="shared" si="40"/>
        <v>0</v>
      </c>
      <c r="HA41" s="326">
        <f t="shared" si="40"/>
        <v>0</v>
      </c>
      <c r="HB41" s="282"/>
      <c r="HC41" s="281"/>
      <c r="HE41" s="281"/>
      <c r="HF41" s="281"/>
      <c r="HG41" s="38"/>
      <c r="HH41" s="282"/>
      <c r="HI41" s="281"/>
      <c r="HK41" s="281"/>
      <c r="HL41" s="281"/>
      <c r="HM41" s="38"/>
      <c r="HN41" s="282"/>
      <c r="HO41" s="281"/>
      <c r="HQ41" s="281"/>
      <c r="HR41" s="281"/>
      <c r="HS41" s="38"/>
      <c r="HT41" s="315">
        <f t="shared" si="41"/>
        <v>0</v>
      </c>
      <c r="HU41" s="316">
        <f t="shared" si="41"/>
        <v>0</v>
      </c>
      <c r="HV41" s="317">
        <f t="shared" si="41"/>
        <v>0</v>
      </c>
      <c r="HW41" s="316">
        <f t="shared" si="41"/>
        <v>0</v>
      </c>
      <c r="HX41" s="316">
        <f t="shared" si="41"/>
        <v>0</v>
      </c>
      <c r="HY41" s="317">
        <f t="shared" si="41"/>
        <v>0</v>
      </c>
      <c r="HZ41" s="535">
        <f t="shared" si="42"/>
        <v>0</v>
      </c>
      <c r="IA41" s="280">
        <f t="shared" si="42"/>
        <v>0</v>
      </c>
      <c r="IB41" s="1">
        <f t="shared" si="42"/>
        <v>0</v>
      </c>
      <c r="IC41" s="280">
        <f t="shared" si="42"/>
        <v>0</v>
      </c>
      <c r="ID41" s="280">
        <f t="shared" si="42"/>
        <v>0</v>
      </c>
      <c r="IE41" s="40">
        <f t="shared" si="42"/>
        <v>0</v>
      </c>
      <c r="IF41" s="535">
        <f>HZ41+IC41</f>
        <v>0</v>
      </c>
      <c r="IG41" s="280">
        <f>IA41+ID41</f>
        <v>0</v>
      </c>
      <c r="IH41" s="1">
        <f>IB41+IE41</f>
        <v>0</v>
      </c>
    </row>
    <row r="42" ht="13.5">
      <c r="A42" s="437"/>
      <c r="B42" s="437"/>
      <c r="C42" s="284"/>
      <c r="D42" s="331" t="e">
        <f>D41*100/$AX41</f>
        <v>#DIV/0!</v>
      </c>
      <c r="E42" s="331" t="e">
        <f>E41*100/$AX41</f>
        <v>#DIV/0!</v>
      </c>
      <c r="F42" s="217"/>
      <c r="G42" s="336" t="e">
        <f>G41*100/$AX41</f>
        <v>#DIV/0!</v>
      </c>
      <c r="H42" s="367"/>
      <c r="I42" s="332" t="e">
        <f>I41*100/$AX41</f>
        <v>#DIV/0!</v>
      </c>
      <c r="J42" s="217"/>
      <c r="K42" s="333" t="e">
        <f>K41*100/$AX41</f>
        <v>#DIV/0!</v>
      </c>
      <c r="L42" s="258"/>
      <c r="M42" s="333" t="e">
        <f>M41*100/$AX41</f>
        <v>#DIV/0!</v>
      </c>
      <c r="N42" s="258"/>
      <c r="O42" s="333" t="e">
        <f>O41*100/$AX41</f>
        <v>#DIV/0!</v>
      </c>
      <c r="P42" s="217"/>
      <c r="Q42" s="333" t="e">
        <f>Q41*100/$AX41</f>
        <v>#DIV/0!</v>
      </c>
      <c r="R42" s="217"/>
      <c r="S42" s="333" t="e">
        <f>S41*100/$AX41</f>
        <v>#DIV/0!</v>
      </c>
      <c r="T42" s="217"/>
      <c r="U42" s="333" t="e">
        <f>U41*100/$AX41</f>
        <v>#DIV/0!</v>
      </c>
      <c r="V42" s="217"/>
      <c r="W42" s="333" t="e">
        <f>W41*100/$AX41</f>
        <v>#DIV/0!</v>
      </c>
      <c r="X42" s="217"/>
      <c r="Y42" s="333" t="e">
        <f>Y41*100/$AX41</f>
        <v>#DIV/0!</v>
      </c>
      <c r="Z42" s="217"/>
      <c r="AA42" s="333"/>
      <c r="AB42" s="217"/>
      <c r="AC42" s="331"/>
      <c r="AD42" s="258"/>
      <c r="AE42" s="287"/>
      <c r="AF42" s="217"/>
      <c r="AG42" s="332" t="e">
        <f>AG41*100/$AX41</f>
        <v>#DIV/0!</v>
      </c>
      <c r="AH42" s="217"/>
      <c r="AI42" s="287"/>
      <c r="AJ42" s="217"/>
      <c r="AK42" s="287"/>
      <c r="AL42" s="217"/>
      <c r="AM42" s="331"/>
      <c r="AN42" s="258"/>
      <c r="AO42" s="332" t="e">
        <f>AO41*100/$AX41</f>
        <v>#DIV/0!</v>
      </c>
      <c r="AP42" s="217"/>
      <c r="AQ42" s="332" t="e">
        <f>AQ41*100/AX41</f>
        <v>#DIV/0!</v>
      </c>
      <c r="AR42" s="217"/>
      <c r="AS42" s="336" t="e">
        <f>AS41*100/$AX41</f>
        <v>#DIV/0!</v>
      </c>
      <c r="AT42" s="217"/>
      <c r="AU42" s="333" t="e">
        <f>AU41*100/$AX41</f>
        <v>#DIV/0!</v>
      </c>
      <c r="AV42" s="287"/>
      <c r="AW42" s="287"/>
      <c r="AX42" s="332" t="e">
        <f>SUM(D42:AW42)</f>
        <v>#DIV/0!</v>
      </c>
      <c r="AY42" s="336"/>
      <c r="AZ42" s="336"/>
      <c r="BA42" s="336"/>
      <c r="BB42" s="289"/>
      <c r="BC42" s="290"/>
      <c r="BD42" s="286">
        <f>'зарплата'!CH38</f>
        <v>0</v>
      </c>
      <c r="BE42" s="286" t="e">
        <f>#REF!</f>
        <v>#REF!</v>
      </c>
      <c r="BF42" s="522"/>
      <c r="BG42" s="530"/>
      <c r="BH42" s="531"/>
      <c r="BI42" s="530"/>
      <c r="BJ42" s="287"/>
      <c r="BK42" s="217"/>
      <c r="BL42" s="217"/>
      <c r="BM42" s="287"/>
      <c r="BN42" s="287"/>
      <c r="BO42" s="364"/>
      <c r="BP42" s="369"/>
      <c r="BQ42" s="285"/>
      <c r="BS42" s="544" t="s">
        <v>216</v>
      </c>
      <c r="BT42" s="544">
        <v>0.75</v>
      </c>
      <c r="BU42" s="544">
        <v>0.65000000000000002</v>
      </c>
      <c r="BW42" s="261"/>
      <c r="BX42" s="370"/>
      <c r="BY42" s="299"/>
      <c r="BZ42" s="298"/>
      <c r="CA42" s="295"/>
      <c r="CB42" s="297"/>
      <c r="CC42" s="296"/>
      <c r="CD42" s="295"/>
      <c r="CE42" s="296"/>
      <c r="CF42" s="295"/>
      <c r="CG42" s="296"/>
      <c r="CH42" s="298"/>
      <c r="CI42" s="298"/>
      <c r="CJ42" s="299"/>
      <c r="CK42" s="298"/>
      <c r="CL42" s="299"/>
      <c r="CM42" s="298"/>
      <c r="CN42" s="299"/>
      <c r="CO42" s="266"/>
      <c r="CP42" s="298"/>
      <c r="CQ42" s="298"/>
      <c r="CR42" s="299"/>
      <c r="CS42" s="297"/>
      <c r="CT42" s="466"/>
      <c r="CU42" s="545"/>
      <c r="CV42" s="546">
        <f t="shared" si="45"/>
        <v>0</v>
      </c>
      <c r="CW42" s="303">
        <f t="shared" si="46"/>
        <v>0</v>
      </c>
      <c r="DA42" s="360"/>
      <c r="DB42" s="360"/>
      <c r="DC42" s="360"/>
      <c r="DD42" s="361"/>
      <c r="DE42" s="361"/>
      <c r="DF42" s="361"/>
      <c r="DJ42" s="272"/>
      <c r="DK42" s="550"/>
      <c r="DL42" s="550"/>
      <c r="DM42" s="547"/>
      <c r="DN42" s="308">
        <f t="shared" si="1"/>
        <v>0</v>
      </c>
      <c r="DO42" s="550"/>
      <c r="DP42" s="550"/>
      <c r="DQ42" s="547"/>
      <c r="DR42" s="309">
        <f t="shared" si="47"/>
        <v>0</v>
      </c>
      <c r="DS42" s="310">
        <f t="shared" si="3"/>
        <v>0</v>
      </c>
      <c r="DT42" s="550"/>
      <c r="DU42" s="548"/>
      <c r="DV42" s="549"/>
      <c r="DW42" s="313">
        <f t="shared" si="48"/>
        <v>0</v>
      </c>
      <c r="DX42" s="310">
        <f t="shared" si="5"/>
        <v>0</v>
      </c>
      <c r="DY42" s="550"/>
      <c r="DZ42" s="550"/>
      <c r="EA42" s="547"/>
      <c r="EB42" s="309">
        <f t="shared" si="27"/>
        <v>0</v>
      </c>
      <c r="EC42" s="314">
        <f t="shared" si="28"/>
        <v>0</v>
      </c>
      <c r="EF42" s="437"/>
      <c r="EG42" s="437"/>
      <c r="EH42" s="280"/>
      <c r="EI42" s="280"/>
      <c r="EK42" s="280"/>
      <c r="EL42" s="280"/>
      <c r="EN42" s="37"/>
      <c r="EP42" s="15"/>
      <c r="ES42" s="38"/>
      <c r="EZ42" s="356"/>
      <c r="FA42" s="357"/>
      <c r="FC42" s="281"/>
      <c r="FD42" s="281"/>
      <c r="FE42" s="38"/>
      <c r="FF42" s="281"/>
      <c r="FG42" s="281"/>
      <c r="FI42" s="281"/>
      <c r="FJ42" s="281"/>
      <c r="FL42" s="282"/>
      <c r="FM42" s="281"/>
      <c r="FO42" s="281"/>
      <c r="FP42" s="281"/>
      <c r="FQ42" s="38"/>
      <c r="FR42" s="282"/>
      <c r="FS42" s="281"/>
      <c r="FU42" s="281"/>
      <c r="FV42" s="281"/>
      <c r="FW42" s="38"/>
      <c r="FX42" s="351"/>
      <c r="FY42" s="352"/>
      <c r="FZ42" s="344"/>
      <c r="GA42" s="350"/>
      <c r="GB42" s="350"/>
      <c r="GC42" s="347"/>
      <c r="GD42" s="282"/>
      <c r="GE42" s="281"/>
      <c r="GG42" s="281"/>
      <c r="GH42" s="281"/>
      <c r="GI42" s="38"/>
      <c r="GJ42" s="282"/>
      <c r="GK42" s="281"/>
      <c r="GM42" s="281"/>
      <c r="GN42" s="281"/>
      <c r="GO42" s="38"/>
      <c r="GP42" s="282"/>
      <c r="GQ42" s="281"/>
      <c r="GS42" s="281"/>
      <c r="GT42" s="281"/>
      <c r="GU42" s="38"/>
      <c r="GV42" s="351"/>
      <c r="GW42" s="350"/>
      <c r="GX42" s="344"/>
      <c r="GY42" s="350"/>
      <c r="GZ42" s="350"/>
      <c r="HA42" s="347"/>
      <c r="HB42" s="282"/>
      <c r="HC42" s="281"/>
      <c r="HE42" s="281"/>
      <c r="HF42" s="281"/>
      <c r="HG42" s="38"/>
      <c r="HH42" s="282"/>
      <c r="HI42" s="281"/>
      <c r="HK42" s="281"/>
      <c r="HL42" s="281"/>
      <c r="HM42" s="38"/>
      <c r="HN42" s="282"/>
      <c r="HO42" s="281"/>
      <c r="HQ42" s="281"/>
      <c r="HR42" s="281"/>
      <c r="HS42" s="38"/>
      <c r="HT42" s="342"/>
      <c r="HU42" s="343"/>
      <c r="HV42" s="344"/>
      <c r="HW42" s="343"/>
      <c r="HX42" s="343"/>
      <c r="HY42" s="344"/>
      <c r="HZ42" s="535"/>
      <c r="IA42" s="280"/>
      <c r="IC42" s="280"/>
      <c r="ID42" s="280"/>
      <c r="IE42" s="40"/>
      <c r="IF42" s="535"/>
      <c r="IG42" s="280"/>
    </row>
    <row r="43" s="4" customFormat="1" ht="14.25" customHeight="1">
      <c r="A43" s="471" t="s">
        <v>217</v>
      </c>
      <c r="B43" s="283"/>
      <c r="C43" s="284">
        <f>D43+E43</f>
        <v>1582809.5600000001</v>
      </c>
      <c r="D43" s="285">
        <f>'Расход-2026'!I1199</f>
        <v>298290.57000000001</v>
      </c>
      <c r="E43" s="285">
        <f>'Расход-2026'!J1199</f>
        <v>1284518.99</v>
      </c>
      <c r="F43" s="285">
        <f>BX30</f>
        <v>560399.77880000009</v>
      </c>
      <c r="G43" s="286">
        <f>F43*$AX$128/$F$153</f>
        <v>1082354.3424250814</v>
      </c>
      <c r="H43" s="285">
        <f>BY30</f>
        <v>2772590.7604999999</v>
      </c>
      <c r="I43" s="286">
        <f>H43*$AX$143/$H$153</f>
        <v>1062410.8144377391</v>
      </c>
      <c r="J43" s="285">
        <f>BZ30</f>
        <v>360.5</v>
      </c>
      <c r="K43" s="285">
        <f>J43*$AX$142/$J$153</f>
        <v>8626.1988005484036</v>
      </c>
      <c r="L43" s="272">
        <f>CA30</f>
        <v>343</v>
      </c>
      <c r="M43" s="285">
        <f>L43*$AX$140/$L$153</f>
        <v>14504.449499585662</v>
      </c>
      <c r="N43" s="272">
        <f>CD30</f>
        <v>81</v>
      </c>
      <c r="O43" s="285">
        <f>N43*$AX$138/$N$153</f>
        <v>1326.6324073276705</v>
      </c>
      <c r="P43" s="285">
        <f>CC30+CB30</f>
        <v>3089</v>
      </c>
      <c r="Q43" s="285">
        <f>P43*($AX$139+$AX$137)/$P$153</f>
        <v>75252.862643356275</v>
      </c>
      <c r="R43" s="285">
        <f>CE30</f>
        <v>175</v>
      </c>
      <c r="S43" s="285">
        <f>R43*$AX$136/$R$153</f>
        <v>420.92639493470523</v>
      </c>
      <c r="T43" s="285">
        <f>CF30</f>
        <v>136.5</v>
      </c>
      <c r="U43" s="285">
        <f>T43*$AX$135/$T$153</f>
        <v>3756.6168404303162</v>
      </c>
      <c r="V43" s="285">
        <f>CG30</f>
        <v>925</v>
      </c>
      <c r="W43" s="285">
        <f>V43*$AX$134/$V$153</f>
        <v>183.6282539670184</v>
      </c>
      <c r="X43" s="285">
        <f>CH30</f>
        <v>898.5</v>
      </c>
      <c r="Y43" s="285">
        <f>X43*$AX$148/$X$153</f>
        <v>2277.9318112540841</v>
      </c>
      <c r="Z43" s="285">
        <f>CI30</f>
        <v>0</v>
      </c>
      <c r="AA43" s="285"/>
      <c r="AB43" s="285">
        <f>CJ30</f>
        <v>0</v>
      </c>
      <c r="AC43" s="285"/>
      <c r="AD43" s="272">
        <f>CK30</f>
        <v>0</v>
      </c>
      <c r="AE43" s="285"/>
      <c r="AF43" s="285">
        <f>CL30</f>
        <v>60</v>
      </c>
      <c r="AG43" s="286">
        <f>AF43*($AX$113+$AX$114)/$AF$153</f>
        <v>737945.59618329303</v>
      </c>
      <c r="AH43" s="285">
        <f>CM30</f>
        <v>0</v>
      </c>
      <c r="AI43" s="285"/>
      <c r="AJ43" s="285"/>
      <c r="AK43" s="285"/>
      <c r="AL43" s="285">
        <f>CO30</f>
        <v>0</v>
      </c>
      <c r="AM43" s="285"/>
      <c r="AN43" s="272">
        <v>0.29999999999999999</v>
      </c>
      <c r="AO43" s="286">
        <f>$CQ$142*AN43/100</f>
        <v>1161.0294899999999</v>
      </c>
      <c r="AP43" s="285">
        <f>'2026'!T1166</f>
        <v>282</v>
      </c>
      <c r="AQ43" s="286">
        <f>AP43*$AX$133/$AP$153</f>
        <v>29490.904089276108</v>
      </c>
      <c r="AR43" s="285">
        <f>CS30</f>
        <v>516</v>
      </c>
      <c r="AS43" s="286">
        <f>$AX$145*AR43/$AR$153</f>
        <v>10915.50143600843</v>
      </c>
      <c r="AT43" s="285">
        <f>CT30</f>
        <v>128</v>
      </c>
      <c r="AU43" s="285">
        <f>AT43*$AX$125/$AT$153</f>
        <v>50430.175301519674</v>
      </c>
      <c r="AV43" s="285"/>
      <c r="AW43" s="285"/>
      <c r="AX43" s="286">
        <f>C43+G43+I43+K43+M43+O43+Q43+S43+U43+W43+Y43+AA43+AC43+AE43+AG43+AI43+AK43+AO43+AU43+AS43+AW43+AQ43+AM43</f>
        <v>4663867.1700143209</v>
      </c>
      <c r="AY43" s="288">
        <f t="shared" si="37"/>
        <v>3081057.6100143208</v>
      </c>
      <c r="AZ43" s="288">
        <f>AY43-G43-I43-AG43-AI43-AK43-AM43</f>
        <v>198346.85696820728</v>
      </c>
      <c r="BA43" s="288">
        <f>AZ43+I43</f>
        <v>1260757.6714059464</v>
      </c>
      <c r="BB43" s="472">
        <f>BF43+BH43</f>
        <v>0</v>
      </c>
      <c r="BC43" s="290" t="e">
        <f>AX43/BB43</f>
        <v>#DIV/0!</v>
      </c>
      <c r="BD43" s="286">
        <f>'зарплата'!CH39</f>
        <v>18388512.626697723</v>
      </c>
      <c r="BE43" s="286" t="e">
        <f>#REF!</f>
        <v>#REF!</v>
      </c>
      <c r="BF43" s="291">
        <f>HZ43</f>
        <v>0</v>
      </c>
      <c r="BG43" s="287">
        <f>IB43</f>
        <v>0</v>
      </c>
      <c r="BH43" s="292">
        <f>IC43</f>
        <v>0</v>
      </c>
      <c r="BI43" s="287">
        <f>IE43</f>
        <v>0</v>
      </c>
      <c r="BJ43" s="285"/>
      <c r="BK43" s="285">
        <f>BI43+BG43</f>
        <v>0</v>
      </c>
      <c r="BL43" s="475">
        <f>(BG43*13%)+(BI43*52%)</f>
        <v>0</v>
      </c>
      <c r="BM43" s="285" t="e">
        <f>AX43/BB43</f>
        <v>#DIV/0!</v>
      </c>
      <c r="BN43" s="285" t="e">
        <f>BL43/BB43</f>
        <v>#DIV/0!</v>
      </c>
      <c r="BO43" s="285" t="e">
        <f>BN43-BM43</f>
        <v>#DIV/0!</v>
      </c>
      <c r="BP43" s="285">
        <f>BL43-AX43</f>
        <v>-4663867.1700143209</v>
      </c>
      <c r="BQ43" s="285" t="e">
        <f>BK43-AX43-BD43-BE43</f>
        <v>#REF!</v>
      </c>
      <c r="BR43" s="1"/>
      <c r="BS43" s="1"/>
      <c r="BT43" s="1"/>
      <c r="BU43" s="1"/>
      <c r="BV43" s="1"/>
      <c r="BW43" s="261" t="s">
        <v>218</v>
      </c>
      <c r="BX43" s="370"/>
      <c r="BY43" s="299"/>
      <c r="BZ43" s="298"/>
      <c r="CA43" s="295">
        <f>'2026'!T685</f>
        <v>186</v>
      </c>
      <c r="CB43" s="297">
        <f>'2026'!T544</f>
        <v>0</v>
      </c>
      <c r="CC43" s="296">
        <f>'2026'!T472</f>
        <v>3940</v>
      </c>
      <c r="CD43" s="295">
        <f>'2026'!T615</f>
        <v>2185</v>
      </c>
      <c r="CE43" s="296">
        <f>'2026'!T344</f>
        <v>54</v>
      </c>
      <c r="CF43" s="295"/>
      <c r="CG43" s="296">
        <f>'2026'!T944</f>
        <v>0</v>
      </c>
      <c r="CH43" s="298">
        <f>'2026'!T825</f>
        <v>0</v>
      </c>
      <c r="CI43" s="298"/>
      <c r="CJ43" s="299"/>
      <c r="CK43" s="298"/>
      <c r="CL43" s="299"/>
      <c r="CM43" s="298"/>
      <c r="CN43" s="299"/>
      <c r="CO43" s="266"/>
      <c r="CP43" s="298">
        <f>AN68</f>
        <v>1.8999999999999999</v>
      </c>
      <c r="CQ43" s="298">
        <f>AO68</f>
        <v>7353.1867699999993</v>
      </c>
      <c r="CR43" s="299"/>
      <c r="CS43" s="297">
        <f>'2026'!T1045</f>
        <v>817</v>
      </c>
      <c r="CT43" s="466">
        <f>Приемник!AD39</f>
        <v>506</v>
      </c>
      <c r="CU43" s="545"/>
      <c r="CV43" s="546">
        <f t="shared" si="45"/>
        <v>506</v>
      </c>
      <c r="CW43" s="303">
        <f t="shared" si="46"/>
        <v>0</v>
      </c>
      <c r="CX43" s="11"/>
      <c r="CY43" s="11"/>
      <c r="DA43" s="304">
        <f>DB43+DC43</f>
        <v>0</v>
      </c>
      <c r="DB43" s="305"/>
      <c r="DC43" s="305"/>
      <c r="DD43" s="306">
        <f>DE43+DF43</f>
        <v>0</v>
      </c>
      <c r="DE43" s="306"/>
      <c r="DF43" s="306"/>
      <c r="DG43" s="1"/>
      <c r="DH43" s="1"/>
      <c r="DI43" s="1"/>
      <c r="DJ43" s="552" t="s">
        <v>219</v>
      </c>
      <c r="DK43" s="273"/>
      <c r="DL43" s="273"/>
      <c r="DM43" s="307"/>
      <c r="DN43" s="308">
        <f t="shared" si="1"/>
        <v>0</v>
      </c>
      <c r="DO43" s="273"/>
      <c r="DP43" s="273"/>
      <c r="DQ43" s="307"/>
      <c r="DR43" s="309">
        <f t="shared" si="47"/>
        <v>0</v>
      </c>
      <c r="DS43" s="310">
        <f t="shared" si="3"/>
        <v>0</v>
      </c>
      <c r="DT43" s="273"/>
      <c r="DU43" s="311"/>
      <c r="DV43" s="312"/>
      <c r="DW43" s="313">
        <f t="shared" si="48"/>
        <v>0</v>
      </c>
      <c r="DX43" s="310">
        <f t="shared" si="5"/>
        <v>0</v>
      </c>
      <c r="DY43" s="273"/>
      <c r="DZ43" s="273"/>
      <c r="EA43" s="307"/>
      <c r="EB43" s="309">
        <f t="shared" si="27"/>
        <v>0</v>
      </c>
      <c r="EC43" s="314">
        <f t="shared" si="28"/>
        <v>0</v>
      </c>
      <c r="ED43" s="1"/>
      <c r="EE43" s="1"/>
      <c r="EF43" s="283" t="s">
        <v>201</v>
      </c>
      <c r="EG43" s="283"/>
      <c r="EH43" s="280"/>
      <c r="EI43" s="280"/>
      <c r="EJ43" s="1"/>
      <c r="EK43" s="280"/>
      <c r="EL43" s="280"/>
      <c r="EM43" s="1"/>
      <c r="EN43" s="37"/>
      <c r="EO43" s="1"/>
      <c r="EP43" s="1"/>
      <c r="EQ43" s="1"/>
      <c r="ER43" s="1"/>
      <c r="ES43" s="38"/>
      <c r="ET43" s="1"/>
      <c r="EU43" s="1"/>
      <c r="EV43" s="1"/>
      <c r="EW43" s="1"/>
      <c r="EX43" s="1"/>
      <c r="EY43" s="1"/>
      <c r="EZ43" s="356">
        <f t="shared" si="38"/>
        <v>0</v>
      </c>
      <c r="FA43" s="357">
        <f t="shared" si="38"/>
        <v>0</v>
      </c>
      <c r="FB43" s="1">
        <f t="shared" si="38"/>
        <v>0</v>
      </c>
      <c r="FC43" s="281">
        <f t="shared" si="38"/>
        <v>0</v>
      </c>
      <c r="FD43" s="281">
        <f t="shared" si="38"/>
        <v>0</v>
      </c>
      <c r="FE43" s="38">
        <f t="shared" si="38"/>
        <v>0</v>
      </c>
      <c r="FF43" s="281"/>
      <c r="FG43" s="281"/>
      <c r="FH43" s="1"/>
      <c r="FI43" s="281"/>
      <c r="FJ43" s="281"/>
      <c r="FK43" s="1"/>
      <c r="FL43" s="282"/>
      <c r="FM43" s="281"/>
      <c r="FN43" s="1"/>
      <c r="FO43" s="281"/>
      <c r="FP43" s="281"/>
      <c r="FQ43" s="38"/>
      <c r="FR43" s="282"/>
      <c r="FS43" s="281"/>
      <c r="FT43" s="1"/>
      <c r="FU43" s="281"/>
      <c r="FV43" s="281"/>
      <c r="FW43" s="38"/>
      <c r="FX43" s="323">
        <f t="shared" si="39"/>
        <v>0</v>
      </c>
      <c r="FY43" s="322">
        <f t="shared" si="39"/>
        <v>0</v>
      </c>
      <c r="FZ43" s="324">
        <f t="shared" si="39"/>
        <v>0</v>
      </c>
      <c r="GA43" s="322">
        <f t="shared" si="39"/>
        <v>0</v>
      </c>
      <c r="GB43" s="322">
        <f t="shared" si="39"/>
        <v>0</v>
      </c>
      <c r="GC43" s="325">
        <f t="shared" si="39"/>
        <v>0</v>
      </c>
      <c r="GD43" s="282"/>
      <c r="GE43" s="281"/>
      <c r="GF43" s="1"/>
      <c r="GG43" s="281"/>
      <c r="GH43" s="281"/>
      <c r="GI43" s="38"/>
      <c r="GJ43" s="282"/>
      <c r="GK43" s="281"/>
      <c r="GL43" s="1"/>
      <c r="GM43" s="281"/>
      <c r="GN43" s="281"/>
      <c r="GO43" s="38"/>
      <c r="GP43" s="282"/>
      <c r="GQ43" s="281"/>
      <c r="GR43" s="1"/>
      <c r="GS43" s="281"/>
      <c r="GT43" s="281"/>
      <c r="GU43" s="38"/>
      <c r="GV43" s="323">
        <f t="shared" si="40"/>
        <v>0</v>
      </c>
      <c r="GW43" s="322">
        <f t="shared" si="40"/>
        <v>0</v>
      </c>
      <c r="GX43" s="322">
        <f t="shared" si="40"/>
        <v>0</v>
      </c>
      <c r="GY43" s="322">
        <f t="shared" si="40"/>
        <v>0</v>
      </c>
      <c r="GZ43" s="322">
        <f t="shared" si="40"/>
        <v>0</v>
      </c>
      <c r="HA43" s="326">
        <f t="shared" si="40"/>
        <v>0</v>
      </c>
      <c r="HB43" s="282"/>
      <c r="HC43" s="281"/>
      <c r="HD43" s="1"/>
      <c r="HE43" s="281"/>
      <c r="HF43" s="281"/>
      <c r="HG43" s="38"/>
      <c r="HH43" s="282"/>
      <c r="HI43" s="281"/>
      <c r="HJ43" s="1"/>
      <c r="HK43" s="281"/>
      <c r="HL43" s="281"/>
      <c r="HM43" s="38"/>
      <c r="HN43" s="282"/>
      <c r="HO43" s="281"/>
      <c r="HP43" s="1"/>
      <c r="HQ43" s="281"/>
      <c r="HR43" s="281"/>
      <c r="HS43" s="38"/>
      <c r="HT43" s="315">
        <f t="shared" si="41"/>
        <v>0</v>
      </c>
      <c r="HU43" s="316">
        <f t="shared" si="41"/>
        <v>0</v>
      </c>
      <c r="HV43" s="317">
        <f t="shared" si="41"/>
        <v>0</v>
      </c>
      <c r="HW43" s="316">
        <f t="shared" si="41"/>
        <v>0</v>
      </c>
      <c r="HX43" s="316">
        <f t="shared" si="41"/>
        <v>0</v>
      </c>
      <c r="HY43" s="317">
        <f t="shared" si="41"/>
        <v>0</v>
      </c>
      <c r="HZ43" s="327">
        <f t="shared" si="42"/>
        <v>0</v>
      </c>
      <c r="IA43" s="316">
        <f t="shared" si="42"/>
        <v>0</v>
      </c>
      <c r="IB43" s="317">
        <f t="shared" si="42"/>
        <v>0</v>
      </c>
      <c r="IC43" s="316">
        <f t="shared" si="42"/>
        <v>0</v>
      </c>
      <c r="ID43" s="316">
        <f t="shared" si="42"/>
        <v>0</v>
      </c>
      <c r="IE43" s="328">
        <f t="shared" si="42"/>
        <v>0</v>
      </c>
      <c r="IF43" s="535">
        <f>HZ43+IC43</f>
        <v>0</v>
      </c>
      <c r="IG43" s="280">
        <f>IA43+ID43</f>
        <v>0</v>
      </c>
      <c r="IH43" s="1">
        <f>IB43+IE43</f>
        <v>0</v>
      </c>
    </row>
    <row r="44" s="4" customFormat="1" ht="13.5">
      <c r="A44" s="479"/>
      <c r="B44" s="437"/>
      <c r="C44" s="284"/>
      <c r="D44" s="331">
        <f>D43*100/$AX43</f>
        <v>6.3957775624018058</v>
      </c>
      <c r="E44" s="331">
        <f>E43*100/$AX43</f>
        <v>27.541929115362343</v>
      </c>
      <c r="F44" s="285"/>
      <c r="G44" s="332">
        <f>G43*100/$AX43</f>
        <v>23.207229172046894</v>
      </c>
      <c r="H44" s="331"/>
      <c r="I44" s="332">
        <f>I43*100/$AX43</f>
        <v>22.779611333452209</v>
      </c>
      <c r="J44" s="285"/>
      <c r="K44" s="331">
        <f>K43*100/$AX43</f>
        <v>0.18495807204822079</v>
      </c>
      <c r="L44" s="272"/>
      <c r="M44" s="331">
        <f>M43*100/$AX43</f>
        <v>0.31099619630764752</v>
      </c>
      <c r="N44" s="272"/>
      <c r="O44" s="331">
        <f>O43*100/$AX43</f>
        <v>0.028444901172509102</v>
      </c>
      <c r="P44" s="285"/>
      <c r="Q44" s="331">
        <f>Q43*100/$AX43</f>
        <v>1.6135292858935604</v>
      </c>
      <c r="R44" s="285"/>
      <c r="S44" s="331">
        <f>S43*100/$AX43</f>
        <v>0.0090252655058658694</v>
      </c>
      <c r="T44" s="285"/>
      <c r="U44" s="331">
        <f>U43*100/$AX43</f>
        <v>0.080547251958266661</v>
      </c>
      <c r="V44" s="285"/>
      <c r="W44" s="331">
        <f>W43*100/$AX43</f>
        <v>0.0039372530836133254</v>
      </c>
      <c r="X44" s="285"/>
      <c r="Y44" s="331">
        <f>Y43*100/$AX43</f>
        <v>0.048842124533471427</v>
      </c>
      <c r="Z44" s="285"/>
      <c r="AA44" s="331"/>
      <c r="AB44" s="285"/>
      <c r="AC44" s="331"/>
      <c r="AD44" s="272"/>
      <c r="AE44" s="285"/>
      <c r="AF44" s="285"/>
      <c r="AG44" s="332">
        <f>AG43*100/$AX43</f>
        <v>15.822611778650357</v>
      </c>
      <c r="AH44" s="285"/>
      <c r="AI44" s="285"/>
      <c r="AJ44" s="285"/>
      <c r="AK44" s="285"/>
      <c r="AL44" s="285"/>
      <c r="AM44" s="331"/>
      <c r="AN44" s="272"/>
      <c r="AO44" s="332">
        <f>AO43*100/$AX43</f>
        <v>0.024894137154348562</v>
      </c>
      <c r="AP44" s="285"/>
      <c r="AQ44" s="332">
        <f>AQ43*100/AX43</f>
        <v>0.63232727293100743</v>
      </c>
      <c r="AR44" s="285"/>
      <c r="AS44" s="332">
        <f>AS43*100/$AX43</f>
        <v>0.23404400335815978</v>
      </c>
      <c r="AT44" s="285"/>
      <c r="AU44" s="331">
        <f>AU43*100/$AX43</f>
        <v>1.0812952741397397</v>
      </c>
      <c r="AV44" s="285"/>
      <c r="AW44" s="285"/>
      <c r="AX44" s="332">
        <f>SUM(D44:AW44)</f>
        <v>100.00000000000001</v>
      </c>
      <c r="AY44" s="336"/>
      <c r="AZ44" s="336"/>
      <c r="BA44" s="336"/>
      <c r="BB44" s="472"/>
      <c r="BC44" s="290"/>
      <c r="BD44" s="286"/>
      <c r="BE44" s="286"/>
      <c r="BF44" s="522"/>
      <c r="BG44" s="530"/>
      <c r="BH44" s="531"/>
      <c r="BI44" s="530"/>
      <c r="BJ44" s="285"/>
      <c r="BK44" s="285"/>
      <c r="BL44" s="285"/>
      <c r="BM44" s="285"/>
      <c r="BN44" s="285"/>
      <c r="BO44" s="285"/>
      <c r="BP44" s="285"/>
      <c r="BQ44" s="285"/>
      <c r="BR44" s="1"/>
      <c r="BS44" s="1"/>
      <c r="BT44" s="1"/>
      <c r="BU44" s="1"/>
      <c r="BV44" s="1"/>
      <c r="BW44" s="261"/>
      <c r="BX44" s="553"/>
      <c r="BY44" s="554"/>
      <c r="BZ44" s="555"/>
      <c r="CA44" s="556"/>
      <c r="CB44" s="557"/>
      <c r="CC44" s="558"/>
      <c r="CD44" s="556"/>
      <c r="CE44" s="558"/>
      <c r="CF44" s="554"/>
      <c r="CG44" s="558"/>
      <c r="CH44" s="556"/>
      <c r="CI44" s="558"/>
      <c r="CJ44" s="554"/>
      <c r="CK44" s="558"/>
      <c r="CL44" s="554"/>
      <c r="CM44" s="558"/>
      <c r="CN44" s="556"/>
      <c r="CO44" s="559"/>
      <c r="CP44" s="298"/>
      <c r="CQ44" s="298"/>
      <c r="CR44" s="556"/>
      <c r="CS44" s="557"/>
      <c r="CT44" s="466"/>
      <c r="CU44" s="545"/>
      <c r="CV44" s="546">
        <f t="shared" si="45"/>
        <v>0</v>
      </c>
      <c r="CW44" s="303">
        <f t="shared" si="46"/>
        <v>0</v>
      </c>
      <c r="CX44" s="11"/>
      <c r="CY44" s="11"/>
      <c r="DA44" s="360"/>
      <c r="DB44" s="360"/>
      <c r="DC44" s="360"/>
      <c r="DD44" s="361"/>
      <c r="DE44" s="361"/>
      <c r="DF44" s="361"/>
      <c r="DG44" s="1"/>
      <c r="DH44" s="1"/>
      <c r="DI44" s="1"/>
      <c r="DJ44" s="272" t="s">
        <v>220</v>
      </c>
      <c r="DK44" s="273"/>
      <c r="DL44" s="273"/>
      <c r="DM44" s="307"/>
      <c r="DN44" s="308">
        <f t="shared" si="1"/>
        <v>0</v>
      </c>
      <c r="DO44" s="273"/>
      <c r="DP44" s="273"/>
      <c r="DQ44" s="307"/>
      <c r="DR44" s="309">
        <f t="shared" si="47"/>
        <v>0</v>
      </c>
      <c r="DS44" s="310">
        <f t="shared" si="3"/>
        <v>0</v>
      </c>
      <c r="DT44" s="273"/>
      <c r="DU44" s="311"/>
      <c r="DV44" s="312"/>
      <c r="DW44" s="313">
        <f t="shared" si="48"/>
        <v>0</v>
      </c>
      <c r="DX44" s="310">
        <f t="shared" si="5"/>
        <v>0</v>
      </c>
      <c r="DY44" s="273"/>
      <c r="DZ44" s="273"/>
      <c r="EA44" s="307"/>
      <c r="EB44" s="309">
        <f t="shared" si="27"/>
        <v>0</v>
      </c>
      <c r="EC44" s="314">
        <f t="shared" si="28"/>
        <v>0</v>
      </c>
      <c r="ED44" s="1"/>
      <c r="EE44" s="1"/>
      <c r="EF44" s="437"/>
      <c r="EG44" s="437"/>
      <c r="EH44" s="280"/>
      <c r="EI44" s="280"/>
      <c r="EJ44" s="1"/>
      <c r="EK44" s="280"/>
      <c r="EL44" s="280"/>
      <c r="EM44" s="1"/>
      <c r="EN44" s="37"/>
      <c r="EO44" s="1"/>
      <c r="EP44" s="15"/>
      <c r="EQ44" s="1"/>
      <c r="ER44" s="1"/>
      <c r="ES44" s="38"/>
      <c r="ET44" s="1"/>
      <c r="EU44" s="1"/>
      <c r="EV44" s="1"/>
      <c r="EW44" s="1"/>
      <c r="EX44" s="1"/>
      <c r="EY44" s="1"/>
      <c r="EZ44" s="356"/>
      <c r="FA44" s="357"/>
      <c r="FB44" s="1"/>
      <c r="FC44" s="281"/>
      <c r="FD44" s="281"/>
      <c r="FE44" s="38"/>
      <c r="FF44" s="281"/>
      <c r="FG44" s="281"/>
      <c r="FH44" s="1"/>
      <c r="FI44" s="281"/>
      <c r="FJ44" s="281"/>
      <c r="FK44" s="1"/>
      <c r="FL44" s="282"/>
      <c r="FM44" s="281"/>
      <c r="FN44" s="1"/>
      <c r="FO44" s="281"/>
      <c r="FP44" s="281"/>
      <c r="FQ44" s="38"/>
      <c r="FR44" s="282"/>
      <c r="FS44" s="281"/>
      <c r="FT44" s="1"/>
      <c r="FU44" s="281"/>
      <c r="FV44" s="281"/>
      <c r="FW44" s="38"/>
      <c r="FX44" s="351"/>
      <c r="FY44" s="352"/>
      <c r="FZ44" s="344"/>
      <c r="GA44" s="350"/>
      <c r="GB44" s="350"/>
      <c r="GC44" s="347"/>
      <c r="GD44" s="282"/>
      <c r="GE44" s="281"/>
      <c r="GF44" s="1"/>
      <c r="GG44" s="281"/>
      <c r="GH44" s="281"/>
      <c r="GI44" s="38"/>
      <c r="GJ44" s="282"/>
      <c r="GK44" s="281"/>
      <c r="GL44" s="1"/>
      <c r="GM44" s="281"/>
      <c r="GN44" s="281"/>
      <c r="GO44" s="38"/>
      <c r="GP44" s="282"/>
      <c r="GQ44" s="281"/>
      <c r="GR44" s="1"/>
      <c r="GS44" s="281"/>
      <c r="GT44" s="281"/>
      <c r="GU44" s="38"/>
      <c r="GV44" s="351"/>
      <c r="GW44" s="350"/>
      <c r="GX44" s="344"/>
      <c r="GY44" s="350"/>
      <c r="GZ44" s="350"/>
      <c r="HA44" s="347"/>
      <c r="HB44" s="282"/>
      <c r="HC44" s="281"/>
      <c r="HD44" s="1"/>
      <c r="HE44" s="281"/>
      <c r="HF44" s="281"/>
      <c r="HG44" s="38"/>
      <c r="HH44" s="282"/>
      <c r="HI44" s="281"/>
      <c r="HJ44" s="1"/>
      <c r="HK44" s="281"/>
      <c r="HL44" s="281"/>
      <c r="HM44" s="38"/>
      <c r="HN44" s="282"/>
      <c r="HO44" s="281"/>
      <c r="HP44" s="1"/>
      <c r="HQ44" s="281"/>
      <c r="HR44" s="281"/>
      <c r="HS44" s="38"/>
      <c r="HT44" s="342"/>
      <c r="HU44" s="343"/>
      <c r="HV44" s="344"/>
      <c r="HW44" s="343"/>
      <c r="HX44" s="343"/>
      <c r="HY44" s="344"/>
      <c r="HZ44" s="534"/>
      <c r="IA44" s="343"/>
      <c r="IB44" s="344"/>
      <c r="IC44" s="343"/>
      <c r="ID44" s="343"/>
      <c r="IE44" s="355"/>
      <c r="IF44" s="535"/>
      <c r="IG44" s="280"/>
      <c r="IH44" s="1"/>
    </row>
    <row r="45" s="14" customFormat="1">
      <c r="A45" s="283" t="s">
        <v>221</v>
      </c>
      <c r="B45" s="283"/>
      <c r="C45" s="284">
        <f>D45+E45</f>
        <v>217437.29999999999</v>
      </c>
      <c r="D45" s="285">
        <f>'Расход-2026'!I1200</f>
        <v>138043.12</v>
      </c>
      <c r="E45" s="285">
        <f>'Расход-2026'!J1200</f>
        <v>79394.179999999993</v>
      </c>
      <c r="F45" s="217">
        <f>BX31</f>
        <v>165209.9921</v>
      </c>
      <c r="G45" s="286">
        <f>F45*$AX$128/$F$153</f>
        <v>319086.05093376659</v>
      </c>
      <c r="H45" s="217">
        <f>BY31</f>
        <v>0</v>
      </c>
      <c r="I45" s="286">
        <f>H45*$AX$143/$H$153</f>
        <v>0</v>
      </c>
      <c r="J45" s="217">
        <f>BZ31</f>
        <v>271.5</v>
      </c>
      <c r="K45" s="285">
        <f>J45*$AX$142/$J$153</f>
        <v>6496.5685834920714</v>
      </c>
      <c r="L45" s="258">
        <f>CA31</f>
        <v>643</v>
      </c>
      <c r="M45" s="287">
        <f>L45*$AX$140/$L$153</f>
        <v>27190.556933625598</v>
      </c>
      <c r="N45" s="258">
        <f>CD31</f>
        <v>399</v>
      </c>
      <c r="O45" s="285">
        <f>N45*$AX$138/$N$153</f>
        <v>6534.8929694288954</v>
      </c>
      <c r="P45" s="217">
        <f>CC31+CB31</f>
        <v>2074</v>
      </c>
      <c r="Q45" s="285">
        <f>P45*($AX$139+$AX$137)/$P$153</f>
        <v>50525.877993629299</v>
      </c>
      <c r="R45" s="217">
        <f>CE31</f>
        <v>13</v>
      </c>
      <c r="S45" s="285">
        <f>R45*$AX$136/$R$153</f>
        <v>31.268817909435249</v>
      </c>
      <c r="T45" s="217">
        <f>CF31</f>
        <v>34</v>
      </c>
      <c r="U45" s="285">
        <f>T45*$AX$135/$T$153</f>
        <v>935.71408479582965</v>
      </c>
      <c r="V45" s="217">
        <f>CG31</f>
        <v>1876.5</v>
      </c>
      <c r="W45" s="285">
        <f>V45*$AX$134/$V$153</f>
        <v>372.51720926390277</v>
      </c>
      <c r="X45" s="217">
        <f>CH31</f>
        <v>78</v>
      </c>
      <c r="Y45" s="285">
        <f>X45*$AX$148/$X$153</f>
        <v>197.75034087681533</v>
      </c>
      <c r="Z45" s="217">
        <f>CI31</f>
        <v>0</v>
      </c>
      <c r="AA45" s="285"/>
      <c r="AB45" s="217">
        <f>CJ31</f>
        <v>0</v>
      </c>
      <c r="AC45" s="285"/>
      <c r="AD45" s="258">
        <f>CK31</f>
        <v>0</v>
      </c>
      <c r="AE45" s="285"/>
      <c r="AF45" s="217">
        <f>CL31</f>
        <v>0</v>
      </c>
      <c r="AG45" s="286">
        <f>AF45*($AX$113+$AX$114)/$AF$153</f>
        <v>0</v>
      </c>
      <c r="AH45" s="217">
        <f>CM31</f>
        <v>0</v>
      </c>
      <c r="AI45" s="287"/>
      <c r="AJ45" s="217"/>
      <c r="AK45" s="285"/>
      <c r="AL45" s="217">
        <f>CO31</f>
        <v>0</v>
      </c>
      <c r="AM45" s="285"/>
      <c r="AN45" s="258">
        <v>0.29999999999999999</v>
      </c>
      <c r="AO45" s="286">
        <f>$CQ$142*AN45/100</f>
        <v>1161.0294899999999</v>
      </c>
      <c r="AP45" s="217">
        <f>'2026'!T1167</f>
        <v>187</v>
      </c>
      <c r="AQ45" s="286">
        <f>AP45*$AX$133/$AP$153</f>
        <v>19556.025052108627</v>
      </c>
      <c r="AR45" s="217">
        <f>CS31</f>
        <v>111</v>
      </c>
      <c r="AS45" s="286">
        <f>$AX$145*AR45/$AR$153</f>
        <v>2348.1020530948367</v>
      </c>
      <c r="AT45" s="217">
        <f>CT31</f>
        <v>165</v>
      </c>
      <c r="AU45" s="287">
        <f>AT45*$AX$125/$AT$153</f>
        <v>65007.647849615205</v>
      </c>
      <c r="AV45" s="287"/>
      <c r="AW45" s="287"/>
      <c r="AX45" s="286">
        <f>C45+G45+I45+K45+M45+O45+Q45+S45+U45+W45+Y45+AA45+AC45+AE45+AG45+AI45+AK45+AO45+AU45+AS45+AW45+AQ45+AM45</f>
        <v>716881.30231160717</v>
      </c>
      <c r="AY45" s="288">
        <f t="shared" si="37"/>
        <v>499444.00231160718</v>
      </c>
      <c r="AZ45" s="288">
        <f>AY45-G45-I45-AG45-AI45-AK45-AM45</f>
        <v>180357.9513778406</v>
      </c>
      <c r="BA45" s="288">
        <f>AZ45+I45</f>
        <v>180357.9513778406</v>
      </c>
      <c r="BB45" s="289">
        <f>BF45+BH45</f>
        <v>0</v>
      </c>
      <c r="BC45" s="290" t="e">
        <f>AX45/BB45</f>
        <v>#DIV/0!</v>
      </c>
      <c r="BD45" s="286">
        <f>'зарплата'!CH41</f>
        <v>8539161.9397432096</v>
      </c>
      <c r="BE45" s="286" t="e">
        <f>#REF!</f>
        <v>#REF!</v>
      </c>
      <c r="BF45" s="291">
        <f>HZ45</f>
        <v>0</v>
      </c>
      <c r="BG45" s="287">
        <f>IB45</f>
        <v>0</v>
      </c>
      <c r="BH45" s="292">
        <f>IC45</f>
        <v>0</v>
      </c>
      <c r="BI45" s="287">
        <f>IE45</f>
        <v>0</v>
      </c>
      <c r="BJ45" s="287"/>
      <c r="BK45" s="217">
        <f>BI45+BG45</f>
        <v>0</v>
      </c>
      <c r="BL45" s="293">
        <f>(BG45*13%)+(BI45*52%)</f>
        <v>0</v>
      </c>
      <c r="BM45" s="287" t="e">
        <f>AX45/BB45</f>
        <v>#DIV/0!</v>
      </c>
      <c r="BN45" s="287" t="e">
        <f>BL45/BB45</f>
        <v>#DIV/0!</v>
      </c>
      <c r="BO45" s="217" t="e">
        <f>BN45-BM45</f>
        <v>#DIV/0!</v>
      </c>
      <c r="BP45" s="285">
        <f>BL45-AX45</f>
        <v>-716881.30231160717</v>
      </c>
      <c r="BQ45" s="285" t="e">
        <f>BK45-AX45-BD45-BE45</f>
        <v>#REF!</v>
      </c>
      <c r="BR45" s="1"/>
      <c r="BS45" s="1"/>
      <c r="BT45" s="1"/>
      <c r="BU45" s="1"/>
      <c r="BV45" s="1"/>
      <c r="BW45" s="37" t="s">
        <v>222</v>
      </c>
      <c r="BX45" s="266"/>
      <c r="BY45" s="266"/>
      <c r="BZ45" s="266"/>
      <c r="CA45" s="266">
        <f>'2026'!T706</f>
        <v>0</v>
      </c>
      <c r="CB45" s="266">
        <f>'2026'!T565</f>
        <v>0</v>
      </c>
      <c r="CC45" s="298">
        <f>'2026'!T493</f>
        <v>0</v>
      </c>
      <c r="CD45" s="299"/>
      <c r="CE45" s="266"/>
      <c r="CF45" s="266"/>
      <c r="CG45" s="266"/>
      <c r="CH45" s="266"/>
      <c r="CI45" s="266"/>
      <c r="CJ45" s="266"/>
      <c r="CK45" s="266"/>
      <c r="CL45" s="266"/>
      <c r="CM45" s="266"/>
      <c r="CN45" s="266"/>
      <c r="CO45" s="266"/>
      <c r="CP45" s="298">
        <f>AN70</f>
        <v>0.29999999999999999</v>
      </c>
      <c r="CQ45" s="298">
        <f>AO70</f>
        <v>1161.0294899999999</v>
      </c>
      <c r="CR45" s="299"/>
      <c r="CS45" s="266">
        <f>'2026'!T1074</f>
        <v>86</v>
      </c>
      <c r="CT45" s="466"/>
      <c r="CU45" s="545"/>
      <c r="CV45" s="546">
        <f t="shared" si="45"/>
        <v>0</v>
      </c>
      <c r="CW45" s="303">
        <f t="shared" si="46"/>
        <v>0</v>
      </c>
      <c r="CX45" s="11"/>
      <c r="CY45" s="11"/>
      <c r="CZ45" s="1"/>
      <c r="DA45" s="477">
        <f>DB45+DC45</f>
        <v>0</v>
      </c>
      <c r="DB45" s="478"/>
      <c r="DC45" s="478"/>
      <c r="DD45" s="477">
        <f>DE45+DF45</f>
        <v>0</v>
      </c>
      <c r="DE45" s="477"/>
      <c r="DF45" s="477"/>
      <c r="DG45" s="1"/>
      <c r="DH45" s="1"/>
      <c r="DI45" s="1"/>
      <c r="DJ45" s="272"/>
      <c r="DK45" s="273"/>
      <c r="DL45" s="273"/>
      <c r="DM45" s="307"/>
      <c r="DN45" s="308">
        <f t="shared" si="1"/>
        <v>0</v>
      </c>
      <c r="DO45" s="273"/>
      <c r="DP45" s="273"/>
      <c r="DQ45" s="307"/>
      <c r="DR45" s="309">
        <f t="shared" si="47"/>
        <v>0</v>
      </c>
      <c r="DS45" s="310">
        <f t="shared" si="3"/>
        <v>0</v>
      </c>
      <c r="DT45" s="273"/>
      <c r="DU45" s="311"/>
      <c r="DV45" s="312"/>
      <c r="DW45" s="313">
        <f t="shared" si="48"/>
        <v>0</v>
      </c>
      <c r="DX45" s="310">
        <f t="shared" si="5"/>
        <v>0</v>
      </c>
      <c r="DY45" s="273"/>
      <c r="DZ45" s="273"/>
      <c r="EA45" s="307"/>
      <c r="EB45" s="309">
        <f t="shared" si="27"/>
        <v>0</v>
      </c>
      <c r="EC45" s="314">
        <f t="shared" si="28"/>
        <v>0</v>
      </c>
      <c r="ED45" s="1"/>
      <c r="EE45" s="1"/>
      <c r="EF45" s="283" t="s">
        <v>203</v>
      </c>
      <c r="EG45" s="283"/>
      <c r="EH45" s="315"/>
      <c r="EI45" s="316"/>
      <c r="EJ45" s="317"/>
      <c r="EK45" s="316"/>
      <c r="EL45" s="316"/>
      <c r="EM45" s="317"/>
      <c r="EN45" s="318"/>
      <c r="EO45" s="317"/>
      <c r="EP45" s="317"/>
      <c r="EQ45" s="317"/>
      <c r="ER45" s="317"/>
      <c r="ES45" s="319"/>
      <c r="ET45" s="317"/>
      <c r="EU45" s="317"/>
      <c r="EV45" s="317"/>
      <c r="EW45" s="317"/>
      <c r="EX45" s="317"/>
      <c r="EY45" s="317"/>
      <c r="EZ45" s="320">
        <f t="shared" si="38"/>
        <v>0</v>
      </c>
      <c r="FA45" s="321">
        <f t="shared" si="38"/>
        <v>0</v>
      </c>
      <c r="FB45" s="317">
        <f t="shared" si="38"/>
        <v>0</v>
      </c>
      <c r="FC45" s="322">
        <f t="shared" si="38"/>
        <v>0</v>
      </c>
      <c r="FD45" s="322">
        <f t="shared" si="38"/>
        <v>0</v>
      </c>
      <c r="FE45" s="319">
        <f t="shared" si="38"/>
        <v>0</v>
      </c>
      <c r="FF45" s="322"/>
      <c r="FG45" s="322"/>
      <c r="FH45" s="317"/>
      <c r="FI45" s="322"/>
      <c r="FJ45" s="322"/>
      <c r="FK45" s="317"/>
      <c r="FL45" s="323"/>
      <c r="FM45" s="322"/>
      <c r="FN45" s="317"/>
      <c r="FO45" s="322"/>
      <c r="FP45" s="322"/>
      <c r="FQ45" s="319"/>
      <c r="FR45" s="323"/>
      <c r="FS45" s="322"/>
      <c r="FT45" s="317"/>
      <c r="FU45" s="322"/>
      <c r="FV45" s="322"/>
      <c r="FW45" s="319"/>
      <c r="FX45" s="323">
        <f t="shared" si="39"/>
        <v>0</v>
      </c>
      <c r="FY45" s="322">
        <f t="shared" si="39"/>
        <v>0</v>
      </c>
      <c r="FZ45" s="324">
        <f t="shared" si="39"/>
        <v>0</v>
      </c>
      <c r="GA45" s="322">
        <f t="shared" si="39"/>
        <v>0</v>
      </c>
      <c r="GB45" s="322">
        <f t="shared" si="39"/>
        <v>0</v>
      </c>
      <c r="GC45" s="325">
        <f t="shared" si="39"/>
        <v>0</v>
      </c>
      <c r="GD45" s="323"/>
      <c r="GE45" s="322"/>
      <c r="GF45" s="317"/>
      <c r="GG45" s="322"/>
      <c r="GH45" s="322"/>
      <c r="GI45" s="319"/>
      <c r="GJ45" s="323"/>
      <c r="GK45" s="322"/>
      <c r="GL45" s="317"/>
      <c r="GM45" s="322"/>
      <c r="GN45" s="322"/>
      <c r="GO45" s="319"/>
      <c r="GP45" s="323"/>
      <c r="GQ45" s="322"/>
      <c r="GR45" s="317"/>
      <c r="GS45" s="322"/>
      <c r="GT45" s="322"/>
      <c r="GU45" s="319"/>
      <c r="GV45" s="323">
        <f t="shared" si="40"/>
        <v>0</v>
      </c>
      <c r="GW45" s="322">
        <f t="shared" si="40"/>
        <v>0</v>
      </c>
      <c r="GX45" s="322">
        <f t="shared" si="40"/>
        <v>0</v>
      </c>
      <c r="GY45" s="322">
        <f t="shared" si="40"/>
        <v>0</v>
      </c>
      <c r="GZ45" s="322">
        <f t="shared" si="40"/>
        <v>0</v>
      </c>
      <c r="HA45" s="326">
        <f t="shared" si="40"/>
        <v>0</v>
      </c>
      <c r="HB45" s="323"/>
      <c r="HC45" s="322"/>
      <c r="HD45" s="317"/>
      <c r="HE45" s="322"/>
      <c r="HF45" s="322"/>
      <c r="HG45" s="319"/>
      <c r="HH45" s="323"/>
      <c r="HI45" s="322"/>
      <c r="HJ45" s="317"/>
      <c r="HK45" s="322"/>
      <c r="HL45" s="322"/>
      <c r="HM45" s="319"/>
      <c r="HN45" s="323"/>
      <c r="HO45" s="322"/>
      <c r="HP45" s="317"/>
      <c r="HQ45" s="322"/>
      <c r="HR45" s="322"/>
      <c r="HS45" s="319"/>
      <c r="HT45" s="315">
        <f t="shared" si="41"/>
        <v>0</v>
      </c>
      <c r="HU45" s="316">
        <f t="shared" si="41"/>
        <v>0</v>
      </c>
      <c r="HV45" s="317">
        <f t="shared" si="41"/>
        <v>0</v>
      </c>
      <c r="HW45" s="316">
        <f t="shared" si="41"/>
        <v>0</v>
      </c>
      <c r="HX45" s="316">
        <f t="shared" si="41"/>
        <v>0</v>
      </c>
      <c r="HY45" s="317">
        <f t="shared" si="41"/>
        <v>0</v>
      </c>
      <c r="HZ45" s="535">
        <f t="shared" si="42"/>
        <v>0</v>
      </c>
      <c r="IA45" s="280">
        <f t="shared" si="42"/>
        <v>0</v>
      </c>
      <c r="IB45" s="1">
        <f t="shared" si="42"/>
        <v>0</v>
      </c>
      <c r="IC45" s="280">
        <f t="shared" si="42"/>
        <v>0</v>
      </c>
      <c r="ID45" s="280">
        <f t="shared" si="42"/>
        <v>0</v>
      </c>
      <c r="IE45" s="40">
        <f t="shared" si="42"/>
        <v>0</v>
      </c>
      <c r="IF45" s="535">
        <f>HZ45+IC45</f>
        <v>0</v>
      </c>
      <c r="IG45" s="280">
        <f>IA45+ID45</f>
        <v>0</v>
      </c>
      <c r="IH45" s="1">
        <f>IB45+IE45</f>
        <v>0</v>
      </c>
    </row>
    <row r="46" s="14" customFormat="1" ht="13.5">
      <c r="A46" s="437"/>
      <c r="B46" s="437"/>
      <c r="C46" s="284"/>
      <c r="D46" s="331">
        <f>D45*100/$AX45</f>
        <v>19.256063668403048</v>
      </c>
      <c r="E46" s="331">
        <f>E45*100/$AX45</f>
        <v>11.074940822698384</v>
      </c>
      <c r="F46" s="217"/>
      <c r="G46" s="332">
        <f>G45*100/$AX45</f>
        <v>44.510304551794448</v>
      </c>
      <c r="H46" s="367"/>
      <c r="I46" s="332">
        <f>I45*100/$AX45</f>
        <v>0</v>
      </c>
      <c r="J46" s="217"/>
      <c r="K46" s="331">
        <f>K45*100/$AX45</f>
        <v>0.90622653464997249</v>
      </c>
      <c r="L46" s="258"/>
      <c r="M46" s="333">
        <f>M45*100/$AX45</f>
        <v>3.7928952597799324</v>
      </c>
      <c r="N46" s="258"/>
      <c r="O46" s="331">
        <f>O45*100/$AX45</f>
        <v>0.91157252230695929</v>
      </c>
      <c r="P46" s="217"/>
      <c r="Q46" s="331">
        <f>Q45*100/$AX45</f>
        <v>7.0480116904579537</v>
      </c>
      <c r="R46" s="217"/>
      <c r="S46" s="331">
        <f>S45*100/$AX45</f>
        <v>0.0043617845532597831</v>
      </c>
      <c r="T46" s="217"/>
      <c r="U46" s="331">
        <f>U45*100/$AX45</f>
        <v>0.13052566467818161</v>
      </c>
      <c r="V46" s="217"/>
      <c r="W46" s="331">
        <f>W45*100/$AX45</f>
        <v>0.051963582822248097</v>
      </c>
      <c r="X46" s="217"/>
      <c r="Y46" s="331">
        <f>Y45*100/$AX45</f>
        <v>0.027584809401383865</v>
      </c>
      <c r="Z46" s="217"/>
      <c r="AA46" s="331"/>
      <c r="AB46" s="217"/>
      <c r="AC46" s="331"/>
      <c r="AD46" s="258"/>
      <c r="AE46" s="285"/>
      <c r="AF46" s="217"/>
      <c r="AG46" s="332">
        <f>AG45*100/$AX45</f>
        <v>0</v>
      </c>
      <c r="AH46" s="217"/>
      <c r="AI46" s="287"/>
      <c r="AJ46" s="217"/>
      <c r="AK46" s="285"/>
      <c r="AL46" s="217"/>
      <c r="AM46" s="285"/>
      <c r="AN46" s="258"/>
      <c r="AO46" s="332">
        <f>AO45*100/$AX45</f>
        <v>0.16195561053918164</v>
      </c>
      <c r="AP46" s="217"/>
      <c r="AQ46" s="332">
        <f>AQ45*100/AX45</f>
        <v>2.7279306893692983</v>
      </c>
      <c r="AR46" s="217"/>
      <c r="AS46" s="332">
        <f>AS45*100/$AX45</f>
        <v>0.32754405025257388</v>
      </c>
      <c r="AT46" s="217"/>
      <c r="AU46" s="333">
        <f>AU45*100/$AX45</f>
        <v>9.0681187582931688</v>
      </c>
      <c r="AV46" s="287"/>
      <c r="AW46" s="287"/>
      <c r="AX46" s="332">
        <f>SUM(D46:AW46)</f>
        <v>100.00000000000001</v>
      </c>
      <c r="AY46" s="336"/>
      <c r="AZ46" s="336"/>
      <c r="BA46" s="336"/>
      <c r="BB46" s="289"/>
      <c r="BC46" s="290"/>
      <c r="BD46" s="286"/>
      <c r="BE46" s="286"/>
      <c r="BF46" s="522"/>
      <c r="BG46" s="530"/>
      <c r="BH46" s="531"/>
      <c r="BI46" s="530"/>
      <c r="BJ46" s="287"/>
      <c r="BK46" s="217"/>
      <c r="BL46" s="217"/>
      <c r="BM46" s="287"/>
      <c r="BN46" s="287"/>
      <c r="BO46" s="217"/>
      <c r="BP46" s="285"/>
      <c r="BQ46" s="285"/>
      <c r="BR46" s="1"/>
      <c r="BS46" s="1"/>
      <c r="BT46" s="1"/>
      <c r="BU46" s="1"/>
      <c r="BV46" s="1"/>
      <c r="BW46" s="261"/>
      <c r="BX46" s="560"/>
      <c r="BY46" s="554"/>
      <c r="BZ46" s="561"/>
      <c r="CA46" s="556"/>
      <c r="CB46" s="562"/>
      <c r="CC46" s="558"/>
      <c r="CD46" s="556"/>
      <c r="CE46" s="563"/>
      <c r="CF46" s="554"/>
      <c r="CG46" s="563"/>
      <c r="CH46" s="556"/>
      <c r="CI46" s="563"/>
      <c r="CJ46" s="554"/>
      <c r="CK46" s="563"/>
      <c r="CL46" s="554"/>
      <c r="CM46" s="563"/>
      <c r="CN46" s="556"/>
      <c r="CO46" s="564"/>
      <c r="CP46" s="371"/>
      <c r="CQ46" s="298"/>
      <c r="CR46" s="556"/>
      <c r="CS46" s="562"/>
      <c r="CT46" s="466"/>
      <c r="CU46" s="545"/>
      <c r="CV46" s="546">
        <f t="shared" si="45"/>
        <v>0</v>
      </c>
      <c r="CW46" s="338"/>
      <c r="CX46" s="11"/>
      <c r="CY46" s="11"/>
      <c r="CZ46" s="1"/>
      <c r="DA46" s="565"/>
      <c r="DB46" s="565"/>
      <c r="DC46" s="565"/>
      <c r="DD46" s="565"/>
      <c r="DE46" s="565"/>
      <c r="DF46" s="565"/>
      <c r="DG46" s="1"/>
      <c r="DH46" s="1"/>
      <c r="DI46" s="1"/>
      <c r="DJ46" s="462" t="s">
        <v>223</v>
      </c>
      <c r="DK46" s="463">
        <f>SUM(DK40:DK45)</f>
        <v>0</v>
      </c>
      <c r="DL46" s="463">
        <f>SUM(DL40:DL45)</f>
        <v>0</v>
      </c>
      <c r="DM46" s="463">
        <f>SUM(DM40:DM45)</f>
        <v>0</v>
      </c>
      <c r="DN46" s="464">
        <f t="shared" si="1"/>
        <v>0</v>
      </c>
      <c r="DO46" s="463">
        <f t="shared" ref="DO46:EC46" si="49">SUM(DO40:DO45)</f>
        <v>0</v>
      </c>
      <c r="DP46" s="463">
        <f t="shared" si="49"/>
        <v>0</v>
      </c>
      <c r="DQ46" s="463">
        <f t="shared" si="49"/>
        <v>0</v>
      </c>
      <c r="DR46" s="464">
        <f>SUM(DR40:DR45)</f>
        <v>0</v>
      </c>
      <c r="DS46" s="464">
        <f t="shared" si="3"/>
        <v>0</v>
      </c>
      <c r="DT46" s="463">
        <f t="shared" si="49"/>
        <v>0</v>
      </c>
      <c r="DU46" s="463">
        <f t="shared" si="49"/>
        <v>0</v>
      </c>
      <c r="DV46" s="463">
        <f t="shared" si="49"/>
        <v>0</v>
      </c>
      <c r="DW46" s="566">
        <f t="shared" si="48"/>
        <v>0</v>
      </c>
      <c r="DX46" s="464">
        <f t="shared" si="5"/>
        <v>0</v>
      </c>
      <c r="DY46" s="463">
        <f t="shared" si="49"/>
        <v>0</v>
      </c>
      <c r="DZ46" s="463">
        <f t="shared" si="49"/>
        <v>0</v>
      </c>
      <c r="EA46" s="463">
        <f t="shared" si="49"/>
        <v>0</v>
      </c>
      <c r="EB46" s="464">
        <f t="shared" si="49"/>
        <v>0</v>
      </c>
      <c r="EC46" s="464">
        <f t="shared" si="49"/>
        <v>0</v>
      </c>
      <c r="ED46" s="1"/>
      <c r="EE46" s="1"/>
      <c r="EF46" s="437"/>
      <c r="EG46" s="437"/>
      <c r="EH46" s="342"/>
      <c r="EI46" s="343"/>
      <c r="EJ46" s="344"/>
      <c r="EK46" s="343"/>
      <c r="EL46" s="343"/>
      <c r="EM46" s="344"/>
      <c r="EN46" s="345"/>
      <c r="EO46" s="344"/>
      <c r="EP46" s="346"/>
      <c r="EQ46" s="344"/>
      <c r="ER46" s="344"/>
      <c r="ES46" s="347"/>
      <c r="ET46" s="344"/>
      <c r="EU46" s="344"/>
      <c r="EV46" s="344"/>
      <c r="EW46" s="344"/>
      <c r="EX46" s="344"/>
      <c r="EY46" s="344"/>
      <c r="EZ46" s="348"/>
      <c r="FA46" s="349"/>
      <c r="FB46" s="344"/>
      <c r="FC46" s="350"/>
      <c r="FD46" s="350"/>
      <c r="FE46" s="347"/>
      <c r="FF46" s="350"/>
      <c r="FG46" s="350"/>
      <c r="FH46" s="344"/>
      <c r="FI46" s="350"/>
      <c r="FJ46" s="350"/>
      <c r="FK46" s="344"/>
      <c r="FL46" s="351"/>
      <c r="FM46" s="350"/>
      <c r="FN46" s="344"/>
      <c r="FO46" s="350"/>
      <c r="FP46" s="350"/>
      <c r="FQ46" s="347"/>
      <c r="FR46" s="351"/>
      <c r="FS46" s="350"/>
      <c r="FT46" s="344"/>
      <c r="FU46" s="350"/>
      <c r="FV46" s="350"/>
      <c r="FW46" s="347"/>
      <c r="FX46" s="351"/>
      <c r="FY46" s="352"/>
      <c r="FZ46" s="344"/>
      <c r="GA46" s="350"/>
      <c r="GB46" s="350"/>
      <c r="GC46" s="347"/>
      <c r="GD46" s="351"/>
      <c r="GE46" s="350"/>
      <c r="GF46" s="344"/>
      <c r="GG46" s="350"/>
      <c r="GH46" s="350"/>
      <c r="GI46" s="347"/>
      <c r="GJ46" s="351"/>
      <c r="GK46" s="350"/>
      <c r="GL46" s="344"/>
      <c r="GM46" s="350"/>
      <c r="GN46" s="350"/>
      <c r="GO46" s="347"/>
      <c r="GP46" s="351"/>
      <c r="GQ46" s="350"/>
      <c r="GR46" s="344"/>
      <c r="GS46" s="350"/>
      <c r="GT46" s="350"/>
      <c r="GU46" s="347"/>
      <c r="GV46" s="351"/>
      <c r="GW46" s="350"/>
      <c r="GX46" s="344"/>
      <c r="GY46" s="350"/>
      <c r="GZ46" s="350"/>
      <c r="HA46" s="347"/>
      <c r="HB46" s="351"/>
      <c r="HC46" s="350"/>
      <c r="HD46" s="344"/>
      <c r="HE46" s="350"/>
      <c r="HF46" s="350"/>
      <c r="HG46" s="347"/>
      <c r="HH46" s="351"/>
      <c r="HI46" s="350"/>
      <c r="HJ46" s="344"/>
      <c r="HK46" s="350"/>
      <c r="HL46" s="350"/>
      <c r="HM46" s="347"/>
      <c r="HN46" s="351"/>
      <c r="HO46" s="350"/>
      <c r="HP46" s="344"/>
      <c r="HQ46" s="350"/>
      <c r="HR46" s="350"/>
      <c r="HS46" s="347"/>
      <c r="HT46" s="342"/>
      <c r="HU46" s="343"/>
      <c r="HV46" s="344"/>
      <c r="HW46" s="343"/>
      <c r="HX46" s="343"/>
      <c r="HY46" s="344"/>
      <c r="HZ46" s="535"/>
      <c r="IA46" s="280"/>
      <c r="IB46" s="1"/>
      <c r="IC46" s="280"/>
      <c r="ID46" s="280"/>
      <c r="IE46" s="40"/>
      <c r="IF46" s="535"/>
      <c r="IG46" s="280"/>
      <c r="IH46" s="1"/>
    </row>
    <row r="47">
      <c r="A47" s="283" t="s">
        <v>224</v>
      </c>
      <c r="B47" s="283"/>
      <c r="C47" s="284">
        <f>D47+E47</f>
        <v>260968.20000000001</v>
      </c>
      <c r="D47" s="285">
        <f>'Расход-2026'!I1201</f>
        <v>50972.199999999997</v>
      </c>
      <c r="E47" s="285">
        <f>'Расход-2026'!J1201</f>
        <v>209996.00000000003</v>
      </c>
      <c r="F47" s="217">
        <f>BX32</f>
        <v>75522.785180000006</v>
      </c>
      <c r="G47" s="286">
        <f>F47*$AX$128/$F$153</f>
        <v>145864.46601861072</v>
      </c>
      <c r="H47" s="217">
        <f>BY32</f>
        <v>0</v>
      </c>
      <c r="I47" s="286">
        <f>H47*$AX$143/$H$153</f>
        <v>0</v>
      </c>
      <c r="J47" s="217">
        <f>BZ32</f>
        <v>120.5</v>
      </c>
      <c r="K47" s="285">
        <f>J47*$AX$142/$J$153</f>
        <v>2883.3757433178439</v>
      </c>
      <c r="L47" s="258">
        <f>CA32</f>
        <v>583</v>
      </c>
      <c r="M47" s="287">
        <f>L47*$AX$140/$L$153</f>
        <v>24653.335446817611</v>
      </c>
      <c r="N47" s="258">
        <f>CD32</f>
        <v>325</v>
      </c>
      <c r="O47" s="285">
        <f>N47*$AX$138/$N$153</f>
        <v>5322.9078071789254</v>
      </c>
      <c r="P47" s="217">
        <f>CC32+CB32</f>
        <v>708</v>
      </c>
      <c r="Q47" s="285">
        <f>P47*($AX$139+$AX$137)/$P$153</f>
        <v>17247.985351730735</v>
      </c>
      <c r="R47" s="217">
        <f>CE32</f>
        <v>5</v>
      </c>
      <c r="S47" s="285">
        <f>R47*$AX$136/$R$153</f>
        <v>12.026468426705863</v>
      </c>
      <c r="T47" s="217">
        <f>CF32</f>
        <v>27</v>
      </c>
      <c r="U47" s="285">
        <f>T47*$AX$135/$T$153</f>
        <v>743.06706733786473</v>
      </c>
      <c r="V47" s="217">
        <f>CG32</f>
        <v>2190</v>
      </c>
      <c r="W47" s="285">
        <f>V47*$AX$134/$V$153</f>
        <v>434.75229858137334</v>
      </c>
      <c r="X47" s="217">
        <f>CH32</f>
        <v>11.5</v>
      </c>
      <c r="Y47" s="285">
        <f>X47*$AX$148/$X$153</f>
        <v>29.1554989754279</v>
      </c>
      <c r="Z47" s="217">
        <f>CI32</f>
        <v>0</v>
      </c>
      <c r="AA47" s="285"/>
      <c r="AB47" s="217">
        <f>CJ32</f>
        <v>0</v>
      </c>
      <c r="AC47" s="285"/>
      <c r="AD47" s="258">
        <f>CK32</f>
        <v>0</v>
      </c>
      <c r="AE47" s="285"/>
      <c r="AF47" s="217">
        <f>CL32</f>
        <v>10</v>
      </c>
      <c r="AG47" s="286">
        <f>AF47*($AX$113+$AX$114)/$AF$153</f>
        <v>122990.9326972155</v>
      </c>
      <c r="AH47" s="217">
        <f>CM32</f>
        <v>0</v>
      </c>
      <c r="AI47" s="287"/>
      <c r="AJ47" s="217"/>
      <c r="AK47" s="285"/>
      <c r="AL47" s="217">
        <f>CO32</f>
        <v>0</v>
      </c>
      <c r="AM47" s="285"/>
      <c r="AN47" s="258">
        <v>0.29999999999999999</v>
      </c>
      <c r="AO47" s="286">
        <f>$CQ$142*AN47/100</f>
        <v>1161.0294899999999</v>
      </c>
      <c r="AP47" s="217">
        <f>'2026'!T1168</f>
        <v>92</v>
      </c>
      <c r="AQ47" s="286">
        <f>AP47*$AX$133/$AP$153</f>
        <v>9621.1460149411414</v>
      </c>
      <c r="AR47" s="217">
        <f>CS32</f>
        <v>179</v>
      </c>
      <c r="AS47" s="286">
        <f>$AX$145*AR47/$AR$153</f>
        <v>3786.5789865223037</v>
      </c>
      <c r="AT47" s="217">
        <f>CT32</f>
        <v>124</v>
      </c>
      <c r="AU47" s="287">
        <f>AT47*$AX$125/$AT$153</f>
        <v>48854.232323347191</v>
      </c>
      <c r="AV47" s="287"/>
      <c r="AW47" s="287"/>
      <c r="AX47" s="286">
        <f>C47+G47+I47+K47+M47+O47+Q47+S47+U47+W47+Y47+AA47+AC47+AE47+AG47+AI47+AK47+AO47+AU47+AS47+AW47+AQ47+AM47</f>
        <v>644573.19121300324</v>
      </c>
      <c r="AY47" s="288">
        <f t="shared" si="37"/>
        <v>383604.99121300323</v>
      </c>
      <c r="AZ47" s="288">
        <f>AY47-G47-I47-AG47-AI47-AK47-AM47</f>
        <v>114749.59249717701</v>
      </c>
      <c r="BA47" s="288">
        <f>AZ47+I47</f>
        <v>114749.59249717701</v>
      </c>
      <c r="BB47" s="289">
        <f>BF47+BH47</f>
        <v>0</v>
      </c>
      <c r="BC47" s="290" t="e">
        <f>AX47/BB47</f>
        <v>#DIV/0!</v>
      </c>
      <c r="BD47" s="286">
        <f>'зарплата'!CH43</f>
        <v>7130882.5322463028</v>
      </c>
      <c r="BE47" s="286" t="e">
        <f>#REF!</f>
        <v>#REF!</v>
      </c>
      <c r="BF47" s="291">
        <f>HZ47</f>
        <v>0</v>
      </c>
      <c r="BG47" s="287">
        <f>IB47</f>
        <v>0</v>
      </c>
      <c r="BH47" s="292">
        <f>IC47</f>
        <v>0</v>
      </c>
      <c r="BI47" s="287">
        <f>IE47</f>
        <v>0</v>
      </c>
      <c r="BJ47" s="287"/>
      <c r="BK47" s="217">
        <f>BI47+BG47</f>
        <v>0</v>
      </c>
      <c r="BL47" s="293">
        <f>(BG47*13%)+(BI47*52%)</f>
        <v>0</v>
      </c>
      <c r="BM47" s="287" t="e">
        <f>AX47/BB47</f>
        <v>#DIV/0!</v>
      </c>
      <c r="BN47" s="287" t="e">
        <f>BL47/BB47</f>
        <v>#DIV/0!</v>
      </c>
      <c r="BO47" s="217" t="e">
        <f>BN47-BM47</f>
        <v>#DIV/0!</v>
      </c>
      <c r="BP47" s="285">
        <f>BL47-AX47</f>
        <v>-644573.19121300324</v>
      </c>
      <c r="BQ47" s="285" t="e">
        <f>BK47-AX47-BD47-BE47</f>
        <v>#REF!</v>
      </c>
      <c r="BW47" s="272" t="s">
        <v>22</v>
      </c>
      <c r="BX47" s="567">
        <f t="shared" ref="BX47:CU47" si="50">SUM(BX40:BX46)</f>
        <v>0</v>
      </c>
      <c r="BY47" s="460">
        <f>SUM(BY40:BY46)</f>
        <v>0</v>
      </c>
      <c r="BZ47" s="567">
        <f t="shared" si="50"/>
        <v>0</v>
      </c>
      <c r="CA47" s="460">
        <f>SUM(CA40:CA46)</f>
        <v>1716</v>
      </c>
      <c r="CB47" s="567">
        <f t="shared" si="50"/>
        <v>148</v>
      </c>
      <c r="CC47" s="460">
        <f t="shared" si="50"/>
        <v>16999</v>
      </c>
      <c r="CD47" s="567">
        <f t="shared" si="50"/>
        <v>3508</v>
      </c>
      <c r="CE47" s="460">
        <f t="shared" si="50"/>
        <v>3070</v>
      </c>
      <c r="CF47" s="567">
        <f>SUM(CF40:CF46)</f>
        <v>0</v>
      </c>
      <c r="CG47" s="460">
        <f t="shared" si="50"/>
        <v>4625.5</v>
      </c>
      <c r="CH47" s="567">
        <f t="shared" si="50"/>
        <v>12</v>
      </c>
      <c r="CI47" s="567">
        <f t="shared" si="50"/>
        <v>17766</v>
      </c>
      <c r="CJ47" s="460">
        <f t="shared" si="50"/>
        <v>0</v>
      </c>
      <c r="CK47" s="567">
        <f t="shared" si="50"/>
        <v>416</v>
      </c>
      <c r="CL47" s="460">
        <f t="shared" si="50"/>
        <v>0</v>
      </c>
      <c r="CM47" s="567">
        <f t="shared" si="50"/>
        <v>331</v>
      </c>
      <c r="CN47" s="460">
        <f t="shared" si="50"/>
        <v>0</v>
      </c>
      <c r="CO47" s="568">
        <f t="shared" si="50"/>
        <v>0</v>
      </c>
      <c r="CP47" s="540">
        <f t="shared" si="50"/>
        <v>10.600000000000001</v>
      </c>
      <c r="CQ47" s="540">
        <f t="shared" si="50"/>
        <v>41023.041979999995</v>
      </c>
      <c r="CR47" s="567">
        <f t="shared" si="50"/>
        <v>0</v>
      </c>
      <c r="CS47" s="568">
        <f>SUM(CS40:CS46)</f>
        <v>1940</v>
      </c>
      <c r="CT47" s="569">
        <f>SUM(CT40:CT46)</f>
        <v>1070</v>
      </c>
      <c r="CU47" s="570">
        <f t="shared" si="50"/>
        <v>0</v>
      </c>
      <c r="CV47" s="571">
        <f>SUM(CV40:CV46)</f>
        <v>1070</v>
      </c>
      <c r="CW47" s="571">
        <f>SUM(CW40:CW46)</f>
        <v>0</v>
      </c>
      <c r="DA47" s="304">
        <f>DB47+DC47</f>
        <v>0</v>
      </c>
      <c r="DB47" s="305"/>
      <c r="DC47" s="305"/>
      <c r="DD47" s="306">
        <f>DE47+DF47</f>
        <v>0</v>
      </c>
      <c r="DE47" s="306"/>
      <c r="DF47" s="306"/>
      <c r="DJ47" s="462" t="s">
        <v>22</v>
      </c>
      <c r="DK47" s="572">
        <f>DK23+DK39+DK46</f>
        <v>0</v>
      </c>
      <c r="DL47" s="572">
        <f>DL23+DL39+DL46</f>
        <v>0</v>
      </c>
      <c r="DM47" s="572">
        <f>DM23+DM39+DM46</f>
        <v>0</v>
      </c>
      <c r="DN47" s="573">
        <f t="shared" si="1"/>
        <v>0</v>
      </c>
      <c r="DO47" s="572">
        <f>DO23+DO39+DO46</f>
        <v>0</v>
      </c>
      <c r="DP47" s="572">
        <f>DP23+DP39+DP46</f>
        <v>0</v>
      </c>
      <c r="DQ47" s="572">
        <f>DQ23+DQ39+DQ46</f>
        <v>0</v>
      </c>
      <c r="DR47" s="574">
        <f t="shared" ref="DR47:DR48" si="51">DO47+DP47+DQ47</f>
        <v>0</v>
      </c>
      <c r="DS47" s="575">
        <f t="shared" si="3"/>
        <v>0</v>
      </c>
      <c r="DT47" s="572">
        <f>DT23+DT39+DT46</f>
        <v>0</v>
      </c>
      <c r="DU47" s="576">
        <f>DU23+DU39+DU46</f>
        <v>0</v>
      </c>
      <c r="DV47" s="576">
        <f>DV23+DV39+DV46</f>
        <v>0</v>
      </c>
      <c r="DW47" s="566">
        <f t="shared" si="48"/>
        <v>0</v>
      </c>
      <c r="DX47" s="575">
        <f t="shared" si="5"/>
        <v>0</v>
      </c>
      <c r="DY47" s="572">
        <f>DY23+DY39+DY46</f>
        <v>0</v>
      </c>
      <c r="DZ47" s="572">
        <f>DZ23+DZ39+DZ46</f>
        <v>0</v>
      </c>
      <c r="EA47" s="572">
        <f>EA23+EA39+EA46</f>
        <v>0</v>
      </c>
      <c r="EB47" s="574">
        <f t="shared" ref="EB47:EB48" si="52">DY47+DZ47+EA47</f>
        <v>0</v>
      </c>
      <c r="EC47" s="577">
        <f t="shared" si="28"/>
        <v>0</v>
      </c>
      <c r="EF47" s="283" t="s">
        <v>204</v>
      </c>
      <c r="EG47" s="283"/>
      <c r="EH47" s="280"/>
      <c r="EI47" s="280"/>
      <c r="EK47" s="280"/>
      <c r="EL47" s="280"/>
      <c r="EN47" s="37"/>
      <c r="ES47" s="38"/>
      <c r="EZ47" s="356">
        <f t="shared" si="38"/>
        <v>0</v>
      </c>
      <c r="FA47" s="357">
        <f t="shared" si="38"/>
        <v>0</v>
      </c>
      <c r="FB47" s="1">
        <f t="shared" si="38"/>
        <v>0</v>
      </c>
      <c r="FC47" s="281">
        <f t="shared" si="38"/>
        <v>0</v>
      </c>
      <c r="FD47" s="281">
        <f t="shared" si="38"/>
        <v>0</v>
      </c>
      <c r="FE47" s="38">
        <f t="shared" si="38"/>
        <v>0</v>
      </c>
      <c r="FF47" s="281"/>
      <c r="FG47" s="281"/>
      <c r="FI47" s="281"/>
      <c r="FJ47" s="281"/>
      <c r="FL47" s="282"/>
      <c r="FM47" s="281"/>
      <c r="FO47" s="281"/>
      <c r="FP47" s="281"/>
      <c r="FQ47" s="38"/>
      <c r="FR47" s="282"/>
      <c r="FS47" s="281"/>
      <c r="FU47" s="281"/>
      <c r="FV47" s="281"/>
      <c r="FW47" s="38"/>
      <c r="FX47" s="323">
        <f t="shared" si="39"/>
        <v>0</v>
      </c>
      <c r="FY47" s="322">
        <f t="shared" si="39"/>
        <v>0</v>
      </c>
      <c r="FZ47" s="324">
        <f t="shared" si="39"/>
        <v>0</v>
      </c>
      <c r="GA47" s="322">
        <f t="shared" si="39"/>
        <v>0</v>
      </c>
      <c r="GB47" s="322">
        <f t="shared" si="39"/>
        <v>0</v>
      </c>
      <c r="GC47" s="325">
        <f t="shared" si="39"/>
        <v>0</v>
      </c>
      <c r="GD47" s="282"/>
      <c r="GE47" s="281"/>
      <c r="GG47" s="281"/>
      <c r="GH47" s="281"/>
      <c r="GI47" s="38"/>
      <c r="GJ47" s="282"/>
      <c r="GK47" s="281"/>
      <c r="GM47" s="281"/>
      <c r="GN47" s="281"/>
      <c r="GO47" s="38"/>
      <c r="GP47" s="282"/>
      <c r="GQ47" s="281"/>
      <c r="GS47" s="281"/>
      <c r="GT47" s="281"/>
      <c r="GU47" s="38"/>
      <c r="GV47" s="323">
        <f t="shared" si="40"/>
        <v>0</v>
      </c>
      <c r="GW47" s="322">
        <f t="shared" si="40"/>
        <v>0</v>
      </c>
      <c r="GX47" s="322">
        <f t="shared" si="40"/>
        <v>0</v>
      </c>
      <c r="GY47" s="322">
        <f t="shared" si="40"/>
        <v>0</v>
      </c>
      <c r="GZ47" s="322">
        <f t="shared" si="40"/>
        <v>0</v>
      </c>
      <c r="HA47" s="326">
        <f t="shared" si="40"/>
        <v>0</v>
      </c>
      <c r="HB47" s="282"/>
      <c r="HC47" s="281"/>
      <c r="HE47" s="281"/>
      <c r="HF47" s="281"/>
      <c r="HG47" s="38"/>
      <c r="HH47" s="282"/>
      <c r="HI47" s="281"/>
      <c r="HK47" s="281"/>
      <c r="HL47" s="281"/>
      <c r="HM47" s="38"/>
      <c r="HN47" s="282"/>
      <c r="HO47" s="281"/>
      <c r="HQ47" s="281"/>
      <c r="HR47" s="281"/>
      <c r="HS47" s="38"/>
      <c r="HT47" s="315">
        <f t="shared" si="41"/>
        <v>0</v>
      </c>
      <c r="HU47" s="316">
        <f t="shared" si="41"/>
        <v>0</v>
      </c>
      <c r="HV47" s="317">
        <f t="shared" si="41"/>
        <v>0</v>
      </c>
      <c r="HW47" s="316">
        <f t="shared" si="41"/>
        <v>0</v>
      </c>
      <c r="HX47" s="316">
        <f t="shared" si="41"/>
        <v>0</v>
      </c>
      <c r="HY47" s="317">
        <f t="shared" si="41"/>
        <v>0</v>
      </c>
      <c r="HZ47" s="327">
        <f t="shared" si="42"/>
        <v>0</v>
      </c>
      <c r="IA47" s="316">
        <f t="shared" si="42"/>
        <v>0</v>
      </c>
      <c r="IB47" s="317">
        <f t="shared" si="42"/>
        <v>0</v>
      </c>
      <c r="IC47" s="316">
        <f t="shared" si="42"/>
        <v>0</v>
      </c>
      <c r="ID47" s="316">
        <f t="shared" si="42"/>
        <v>0</v>
      </c>
      <c r="IE47" s="328">
        <f t="shared" si="42"/>
        <v>0</v>
      </c>
      <c r="IF47" s="535">
        <f>HZ47+IC47</f>
        <v>0</v>
      </c>
      <c r="IG47" s="280">
        <f>IA47+ID47</f>
        <v>0</v>
      </c>
      <c r="IH47" s="1">
        <f>IB47+IE47</f>
        <v>0</v>
      </c>
    </row>
    <row r="48" ht="13.5">
      <c r="A48" s="437"/>
      <c r="B48" s="437"/>
      <c r="C48" s="284"/>
      <c r="D48" s="331">
        <f>D47*100/$AX47</f>
        <v>7.9078994743912512</v>
      </c>
      <c r="E48" s="331">
        <f>E47*100/$AX47</f>
        <v>32.579077576095706</v>
      </c>
      <c r="F48" s="217"/>
      <c r="G48" s="332">
        <f>G47*100/$AX47</f>
        <v>22.629620345226073</v>
      </c>
      <c r="H48" s="367"/>
      <c r="I48" s="332">
        <f>I47*100/$AX47</f>
        <v>0</v>
      </c>
      <c r="J48" s="217"/>
      <c r="K48" s="331">
        <f>K47*100/$AX47</f>
        <v>0.44733100641242995</v>
      </c>
      <c r="L48" s="258"/>
      <c r="M48" s="333">
        <f>M47*100/$AX47</f>
        <v>3.8247534621201398</v>
      </c>
      <c r="N48" s="258"/>
      <c r="O48" s="331">
        <f>O47*100/$AX47</f>
        <v>0.82580347425897482</v>
      </c>
      <c r="P48" s="217"/>
      <c r="Q48" s="331">
        <f>Q47*100/$AX47</f>
        <v>2.6758769348244629</v>
      </c>
      <c r="R48" s="217"/>
      <c r="S48" s="331">
        <f>S47*100/$AX47</f>
        <v>0.0018658033859698085</v>
      </c>
      <c r="T48" s="217"/>
      <c r="U48" s="331">
        <f>U47*100/$AX47</f>
        <v>0.11528047977600632</v>
      </c>
      <c r="V48" s="217"/>
      <c r="W48" s="331">
        <f>W47*100/$AX47</f>
        <v>0.06744808882963714</v>
      </c>
      <c r="X48" s="217"/>
      <c r="Y48" s="331">
        <f>Y47*100/$AX47</f>
        <v>0.0045232255037726639</v>
      </c>
      <c r="Z48" s="217"/>
      <c r="AA48" s="331"/>
      <c r="AB48" s="217"/>
      <c r="AC48" s="331"/>
      <c r="AD48" s="258"/>
      <c r="AE48" s="285"/>
      <c r="AF48" s="217"/>
      <c r="AG48" s="332">
        <f>AG47*100/$AX47</f>
        <v>19.080987911669503</v>
      </c>
      <c r="AH48" s="217"/>
      <c r="AI48" s="287"/>
      <c r="AJ48" s="217"/>
      <c r="AK48" s="285"/>
      <c r="AL48" s="217"/>
      <c r="AM48" s="285"/>
      <c r="AN48" s="258"/>
      <c r="AO48" s="332">
        <f>AO47*100/$AX47</f>
        <v>0.18012376341856429</v>
      </c>
      <c r="AP48" s="217"/>
      <c r="AQ48" s="332">
        <f>AQ47*100/AX47</f>
        <v>1.4926382521177139</v>
      </c>
      <c r="AR48" s="217"/>
      <c r="AS48" s="332">
        <f>AS47*100/$AX47</f>
        <v>0.58745523986134962</v>
      </c>
      <c r="AT48" s="217"/>
      <c r="AU48" s="333">
        <f>AU47*100/$AX47</f>
        <v>7.5793149621084694</v>
      </c>
      <c r="AV48" s="287"/>
      <c r="AW48" s="287"/>
      <c r="AX48" s="332">
        <f>SUM(D48:AW48)</f>
        <v>100.00000000000003</v>
      </c>
      <c r="AY48" s="336"/>
      <c r="AZ48" s="336"/>
      <c r="BA48" s="336"/>
      <c r="BB48" s="289"/>
      <c r="BC48" s="290"/>
      <c r="BD48" s="286"/>
      <c r="BE48" s="286"/>
      <c r="BF48" s="522"/>
      <c r="BG48" s="530"/>
      <c r="BH48" s="531"/>
      <c r="BI48" s="530"/>
      <c r="BJ48" s="287"/>
      <c r="BK48" s="217"/>
      <c r="BL48" s="217"/>
      <c r="BM48" s="287"/>
      <c r="BN48" s="287"/>
      <c r="BO48" s="364"/>
      <c r="BP48" s="365"/>
      <c r="BQ48" s="285"/>
      <c r="BW48" s="37"/>
      <c r="BX48" s="578"/>
      <c r="BY48" s="263"/>
      <c r="BZ48" s="579"/>
      <c r="CA48" s="556"/>
      <c r="CB48" s="579"/>
      <c r="CC48" s="556"/>
      <c r="CD48" s="579"/>
      <c r="CE48" s="556"/>
      <c r="CF48" s="579"/>
      <c r="CG48" s="556"/>
      <c r="CH48" s="579"/>
      <c r="CI48" s="579"/>
      <c r="CJ48" s="263"/>
      <c r="CK48" s="579"/>
      <c r="CL48" s="263"/>
      <c r="CM48" s="579"/>
      <c r="CN48" s="556"/>
      <c r="CO48" s="580"/>
      <c r="CP48" s="371"/>
      <c r="CQ48" s="371"/>
      <c r="CR48" s="581"/>
      <c r="CS48" s="580"/>
      <c r="CT48" s="582"/>
      <c r="CU48" s="545"/>
      <c r="CV48" s="546">
        <f t="shared" ref="CV48:CV66" si="53">CT48+CU48</f>
        <v>0</v>
      </c>
      <c r="CW48" s="338"/>
      <c r="DA48" s="360"/>
      <c r="DB48" s="360"/>
      <c r="DC48" s="360"/>
      <c r="DD48" s="361"/>
      <c r="DE48" s="361"/>
      <c r="DF48" s="361"/>
      <c r="DJ48" s="272" t="s">
        <v>225</v>
      </c>
      <c r="DK48" s="273"/>
      <c r="DL48" s="273"/>
      <c r="DM48" s="307"/>
      <c r="DN48" s="308">
        <f t="shared" si="1"/>
        <v>0</v>
      </c>
      <c r="DO48" s="273"/>
      <c r="DP48" s="273"/>
      <c r="DQ48" s="307"/>
      <c r="DR48" s="309">
        <f t="shared" si="51"/>
        <v>0</v>
      </c>
      <c r="DS48" s="310">
        <f t="shared" si="3"/>
        <v>0</v>
      </c>
      <c r="DT48" s="273"/>
      <c r="DU48" s="311"/>
      <c r="DV48" s="312"/>
      <c r="DW48" s="313">
        <f t="shared" si="48"/>
        <v>0</v>
      </c>
      <c r="DX48" s="310">
        <f t="shared" si="5"/>
        <v>0</v>
      </c>
      <c r="DY48" s="273"/>
      <c r="DZ48" s="273"/>
      <c r="EA48" s="307"/>
      <c r="EB48" s="309">
        <f t="shared" si="52"/>
        <v>0</v>
      </c>
      <c r="EC48" s="314">
        <f t="shared" si="28"/>
        <v>0</v>
      </c>
      <c r="EF48" s="437"/>
      <c r="EG48" s="437"/>
      <c r="EH48" s="280"/>
      <c r="EI48" s="280"/>
      <c r="EK48" s="280"/>
      <c r="EL48" s="280"/>
      <c r="EN48" s="37"/>
      <c r="EP48" s="15"/>
      <c r="ES48" s="38"/>
      <c r="EZ48" s="356"/>
      <c r="FA48" s="357"/>
      <c r="FC48" s="281"/>
      <c r="FD48" s="281"/>
      <c r="FE48" s="38"/>
      <c r="FF48" s="281"/>
      <c r="FG48" s="281"/>
      <c r="FI48" s="281"/>
      <c r="FJ48" s="281"/>
      <c r="FL48" s="282"/>
      <c r="FM48" s="281"/>
      <c r="FO48" s="281"/>
      <c r="FP48" s="281"/>
      <c r="FQ48" s="38"/>
      <c r="FR48" s="282"/>
      <c r="FS48" s="281"/>
      <c r="FU48" s="281"/>
      <c r="FV48" s="281"/>
      <c r="FW48" s="38"/>
      <c r="FX48" s="351"/>
      <c r="FY48" s="352"/>
      <c r="FZ48" s="344"/>
      <c r="GA48" s="350"/>
      <c r="GB48" s="350"/>
      <c r="GC48" s="347"/>
      <c r="GD48" s="282"/>
      <c r="GE48" s="281"/>
      <c r="GG48" s="281"/>
      <c r="GH48" s="281"/>
      <c r="GI48" s="38"/>
      <c r="GJ48" s="282"/>
      <c r="GK48" s="281"/>
      <c r="GM48" s="281"/>
      <c r="GN48" s="281"/>
      <c r="GO48" s="38"/>
      <c r="GP48" s="282"/>
      <c r="GQ48" s="281"/>
      <c r="GS48" s="281"/>
      <c r="GT48" s="281"/>
      <c r="GU48" s="38"/>
      <c r="GV48" s="351"/>
      <c r="GW48" s="350"/>
      <c r="GX48" s="344"/>
      <c r="GY48" s="350"/>
      <c r="GZ48" s="350"/>
      <c r="HA48" s="347"/>
      <c r="HB48" s="282"/>
      <c r="HC48" s="281"/>
      <c r="HE48" s="281"/>
      <c r="HF48" s="281"/>
      <c r="HG48" s="38"/>
      <c r="HH48" s="282"/>
      <c r="HI48" s="281"/>
      <c r="HK48" s="281"/>
      <c r="HL48" s="281"/>
      <c r="HM48" s="38"/>
      <c r="HN48" s="282"/>
      <c r="HO48" s="281"/>
      <c r="HQ48" s="281"/>
      <c r="HR48" s="281"/>
      <c r="HS48" s="38"/>
      <c r="HT48" s="342"/>
      <c r="HU48" s="343"/>
      <c r="HV48" s="344"/>
      <c r="HW48" s="343"/>
      <c r="HX48" s="343"/>
      <c r="HY48" s="344"/>
      <c r="HZ48" s="534"/>
      <c r="IA48" s="343"/>
      <c r="IB48" s="344"/>
      <c r="IC48" s="343"/>
      <c r="ID48" s="343"/>
      <c r="IE48" s="355"/>
      <c r="IF48" s="535"/>
      <c r="IG48" s="280"/>
    </row>
    <row r="49">
      <c r="A49" s="283" t="s">
        <v>205</v>
      </c>
      <c r="B49" s="283"/>
      <c r="C49" s="284">
        <f>D49+E49</f>
        <v>1754897.04</v>
      </c>
      <c r="D49" s="285">
        <f>'Расход-2026'!I1202</f>
        <v>870068.25</v>
      </c>
      <c r="E49" s="285">
        <f>'Расход-2026'!J1202</f>
        <v>884828.79000000015</v>
      </c>
      <c r="F49" s="217">
        <f>BX33</f>
        <v>10955.181200000001</v>
      </c>
      <c r="G49" s="286">
        <f>F49*$AX$128/$F$153</f>
        <v>21158.801970379387</v>
      </c>
      <c r="H49" s="217">
        <f>BY33</f>
        <v>41384.879000000001</v>
      </c>
      <c r="I49" s="286">
        <f>H49*$AX$143/$H$153</f>
        <v>15857.99953970426</v>
      </c>
      <c r="J49" s="217">
        <f>BZ33</f>
        <v>298</v>
      </c>
      <c r="K49" s="285">
        <f>J49*$AX$142/$J$153</f>
        <v>7130.6719627279463</v>
      </c>
      <c r="L49" s="258">
        <f>CA33</f>
        <v>719</v>
      </c>
      <c r="M49" s="287">
        <f>L49*$AX$140/$L$153</f>
        <v>30404.370816915718</v>
      </c>
      <c r="N49" s="258">
        <f>CD33</f>
        <v>484</v>
      </c>
      <c r="O49" s="285">
        <f>N49*$AX$138/$N$153</f>
        <v>7927.0380882295376</v>
      </c>
      <c r="P49" s="217">
        <f>CC33+CB33</f>
        <v>5012</v>
      </c>
      <c r="Q49" s="285">
        <f>P49*($AX$139+$AX$137)/$P$153</f>
        <v>122100.1448910656</v>
      </c>
      <c r="R49" s="217">
        <f>CE33</f>
        <v>54</v>
      </c>
      <c r="S49" s="285">
        <f>R49*$AX$136/$R$153</f>
        <v>129.88585900842332</v>
      </c>
      <c r="T49" s="217">
        <f>CF33</f>
        <v>200</v>
      </c>
      <c r="U49" s="285">
        <f>T49*$AX$135/$T$153</f>
        <v>5504.2004987989985</v>
      </c>
      <c r="V49" s="217">
        <f>CG33</f>
        <v>1556</v>
      </c>
      <c r="W49" s="285">
        <f>V49*$AX$134/$V$153</f>
        <v>308.89250072722228</v>
      </c>
      <c r="X49" s="217">
        <f>CH33</f>
        <v>176</v>
      </c>
      <c r="Y49" s="285">
        <f>X49*$AX$148/$X$153</f>
        <v>446.20589736307045</v>
      </c>
      <c r="Z49" s="217">
        <f>CI33</f>
        <v>0</v>
      </c>
      <c r="AA49" s="285"/>
      <c r="AB49" s="217">
        <f>CJ33</f>
        <v>0</v>
      </c>
      <c r="AC49" s="285"/>
      <c r="AD49" s="258">
        <f>CK33</f>
        <v>0</v>
      </c>
      <c r="AE49" s="285"/>
      <c r="AF49" s="217">
        <f>CL33</f>
        <v>44</v>
      </c>
      <c r="AG49" s="286">
        <f>AF49*($AX$113+$AX$114)/$AF$153</f>
        <v>541160.10386774817</v>
      </c>
      <c r="AH49" s="217">
        <f>CM33</f>
        <v>0</v>
      </c>
      <c r="AI49" s="287"/>
      <c r="AJ49" s="217"/>
      <c r="AK49" s="285"/>
      <c r="AL49" s="217">
        <f>CO33</f>
        <v>0</v>
      </c>
      <c r="AM49" s="285"/>
      <c r="AN49" s="258">
        <v>0.40000000000000002</v>
      </c>
      <c r="AO49" s="286">
        <f>$CQ$142*AN49/100</f>
        <v>1548.0393200000001</v>
      </c>
      <c r="AP49" s="217">
        <f>'2026'!T1169</f>
        <v>236</v>
      </c>
      <c r="AQ49" s="286">
        <f>AP49*$AX$133/$AP$153</f>
        <v>24680.331081805536</v>
      </c>
      <c r="AR49" s="217">
        <f>CS33</f>
        <v>601</v>
      </c>
      <c r="AS49" s="286">
        <f>$AX$145*AR49/$AR$153</f>
        <v>12713.597602792763</v>
      </c>
      <c r="AT49" s="217">
        <f>CT33</f>
        <v>98</v>
      </c>
      <c r="AU49" s="287">
        <f>AT49*$AX$125/$AT$153</f>
        <v>38610.602965226004</v>
      </c>
      <c r="AV49" s="287"/>
      <c r="AW49" s="287"/>
      <c r="AX49" s="286">
        <f>C49+G49+I49+K49+M49+O49+Q49+S49+U49+W49+Y49+AA49+AC49+AE49+AG49+AI49+AK49+AO49+AU49+AS49+AW49+AQ49+AM49</f>
        <v>2584577.9268624927</v>
      </c>
      <c r="AY49" s="288">
        <f t="shared" si="37"/>
        <v>829680.88686249265</v>
      </c>
      <c r="AZ49" s="288">
        <f>AY49-G49-I49-AG49-AI49-AK49-AM49</f>
        <v>251503.98148466076</v>
      </c>
      <c r="BA49" s="288">
        <f>AZ49+I49</f>
        <v>267361.981024365</v>
      </c>
      <c r="BB49" s="289">
        <f>BF49+BH49</f>
        <v>0</v>
      </c>
      <c r="BC49" s="290" t="e">
        <f>AX49/BB49</f>
        <v>#DIV/0!</v>
      </c>
      <c r="BD49" s="286">
        <f>'зарплата'!CH45</f>
        <v>13000659.489836046</v>
      </c>
      <c r="BE49" s="286" t="e">
        <f>#REF!</f>
        <v>#REF!</v>
      </c>
      <c r="BF49" s="291">
        <f>HZ49</f>
        <v>0</v>
      </c>
      <c r="BG49" s="287">
        <f>IB49</f>
        <v>0</v>
      </c>
      <c r="BH49" s="292">
        <f>IC49</f>
        <v>0</v>
      </c>
      <c r="BI49" s="287">
        <f>IE49</f>
        <v>0</v>
      </c>
      <c r="BJ49" s="287"/>
      <c r="BK49" s="217">
        <f>BI49+BG49</f>
        <v>0</v>
      </c>
      <c r="BL49" s="293">
        <f>(BG49*13%)+(BI49*52%)</f>
        <v>0</v>
      </c>
      <c r="BM49" s="287" t="e">
        <f>AX49/BB49</f>
        <v>#DIV/0!</v>
      </c>
      <c r="BN49" s="287" t="e">
        <f>BL49/BB49</f>
        <v>#DIV/0!</v>
      </c>
      <c r="BO49" s="217" t="e">
        <f>BN49-BM49</f>
        <v>#DIV/0!</v>
      </c>
      <c r="BP49" s="285">
        <f>BL49-AX49</f>
        <v>-2584577.9268624927</v>
      </c>
      <c r="BQ49" s="285" t="e">
        <f>BK49-AX49-BD49-BE49</f>
        <v>#REF!</v>
      </c>
      <c r="BW49" s="37"/>
      <c r="BX49" s="298"/>
      <c r="BY49" s="299"/>
      <c r="BZ49" s="298"/>
      <c r="CA49" s="299"/>
      <c r="CB49" s="298"/>
      <c r="CC49" s="299"/>
      <c r="CD49" s="298"/>
      <c r="CE49" s="299"/>
      <c r="CF49" s="298"/>
      <c r="CG49" s="299"/>
      <c r="CH49" s="298"/>
      <c r="CI49" s="298"/>
      <c r="CJ49" s="299"/>
      <c r="CK49" s="148"/>
      <c r="CL49" s="299"/>
      <c r="CM49" s="298"/>
      <c r="CN49" s="299"/>
      <c r="CO49" s="266"/>
      <c r="CP49" s="371"/>
      <c r="CQ49" s="298"/>
      <c r="CR49" s="299"/>
      <c r="CS49" s="266"/>
      <c r="CT49" s="583"/>
      <c r="CU49" s="545"/>
      <c r="CV49" s="546">
        <f t="shared" si="53"/>
        <v>0</v>
      </c>
      <c r="CW49" s="303">
        <f t="shared" ref="CW49:CW63" si="54">$CU$9/$CU$134*CU49</f>
        <v>0</v>
      </c>
      <c r="DA49" s="304">
        <f>DB49+DC49</f>
        <v>0</v>
      </c>
      <c r="DB49" s="305"/>
      <c r="DC49" s="305"/>
      <c r="DD49" s="306">
        <f>DE49+DF49</f>
        <v>0</v>
      </c>
      <c r="DE49" s="306"/>
      <c r="DF49" s="306"/>
      <c r="DJ49" s="584" t="s">
        <v>22</v>
      </c>
      <c r="DK49" s="585">
        <f t="shared" ref="DK49:DQ49" si="55">DK23+DK39+DK46+DK48</f>
        <v>0</v>
      </c>
      <c r="DL49" s="585">
        <f t="shared" si="55"/>
        <v>0</v>
      </c>
      <c r="DM49" s="585">
        <f t="shared" si="55"/>
        <v>0</v>
      </c>
      <c r="DN49" s="585">
        <f t="shared" si="55"/>
        <v>0</v>
      </c>
      <c r="DO49" s="585">
        <f t="shared" si="55"/>
        <v>0</v>
      </c>
      <c r="DP49" s="585">
        <f t="shared" si="55"/>
        <v>0</v>
      </c>
      <c r="DQ49" s="585">
        <f t="shared" si="55"/>
        <v>0</v>
      </c>
      <c r="DR49" s="585">
        <f>DR23+DR39+DR46+DR47</f>
        <v>0</v>
      </c>
      <c r="DS49" s="585">
        <f>DS23+DS39+DS46+DS48</f>
        <v>0</v>
      </c>
      <c r="DT49" s="585">
        <f>DT23+DT39+DT46+DT48</f>
        <v>0</v>
      </c>
      <c r="DU49" s="585">
        <f>DU23+DU39+DU46+DU48</f>
        <v>0</v>
      </c>
      <c r="DV49" s="585">
        <f>DV23+DV39+DV46+DV48</f>
        <v>0</v>
      </c>
      <c r="DW49" s="585">
        <f>DW23+DW39+DW46+DW47</f>
        <v>0</v>
      </c>
      <c r="DX49" s="585">
        <f>DX23+DX39+DX46+DX48</f>
        <v>0</v>
      </c>
      <c r="DY49" s="585">
        <f>DY23+DY39+DY46+DY48</f>
        <v>0</v>
      </c>
      <c r="DZ49" s="585">
        <f>DZ23+DZ39+DZ46+DZ48</f>
        <v>0</v>
      </c>
      <c r="EA49" s="585">
        <f>EA23+EA39+EA46+EA48</f>
        <v>0</v>
      </c>
      <c r="EB49" s="585">
        <f>EB23+EB39+EB46+EB47</f>
        <v>0</v>
      </c>
      <c r="EC49" s="585">
        <f>EC23+EC39+EC46+EC48</f>
        <v>0</v>
      </c>
      <c r="EF49" s="283" t="s">
        <v>205</v>
      </c>
      <c r="EG49" s="283"/>
      <c r="EH49" s="315"/>
      <c r="EI49" s="316"/>
      <c r="EJ49" s="317"/>
      <c r="EK49" s="316"/>
      <c r="EL49" s="316"/>
      <c r="EM49" s="317"/>
      <c r="EN49" s="318"/>
      <c r="EO49" s="317"/>
      <c r="EP49" s="317"/>
      <c r="EQ49" s="317"/>
      <c r="ER49" s="317"/>
      <c r="ES49" s="319"/>
      <c r="ET49" s="317"/>
      <c r="EU49" s="317"/>
      <c r="EV49" s="317"/>
      <c r="EW49" s="317"/>
      <c r="EX49" s="317"/>
      <c r="EY49" s="317"/>
      <c r="EZ49" s="320">
        <f t="shared" si="38"/>
        <v>0</v>
      </c>
      <c r="FA49" s="321">
        <f t="shared" si="38"/>
        <v>0</v>
      </c>
      <c r="FB49" s="317">
        <f t="shared" si="38"/>
        <v>0</v>
      </c>
      <c r="FC49" s="322">
        <f t="shared" si="38"/>
        <v>0</v>
      </c>
      <c r="FD49" s="322">
        <f t="shared" si="38"/>
        <v>0</v>
      </c>
      <c r="FE49" s="319">
        <f t="shared" si="38"/>
        <v>0</v>
      </c>
      <c r="FF49" s="322"/>
      <c r="FG49" s="322"/>
      <c r="FH49" s="317"/>
      <c r="FI49" s="322"/>
      <c r="FJ49" s="322"/>
      <c r="FK49" s="317"/>
      <c r="FL49" s="323"/>
      <c r="FM49" s="322"/>
      <c r="FN49" s="317"/>
      <c r="FO49" s="322"/>
      <c r="FP49" s="322"/>
      <c r="FQ49" s="319"/>
      <c r="FR49" s="323"/>
      <c r="FS49" s="322"/>
      <c r="FT49" s="317"/>
      <c r="FU49" s="322"/>
      <c r="FV49" s="322"/>
      <c r="FW49" s="319"/>
      <c r="FX49" s="323">
        <f t="shared" si="39"/>
        <v>0</v>
      </c>
      <c r="FY49" s="322">
        <f t="shared" si="39"/>
        <v>0</v>
      </c>
      <c r="FZ49" s="324">
        <f t="shared" si="39"/>
        <v>0</v>
      </c>
      <c r="GA49" s="322">
        <f t="shared" si="39"/>
        <v>0</v>
      </c>
      <c r="GB49" s="322">
        <f t="shared" si="39"/>
        <v>0</v>
      </c>
      <c r="GC49" s="325">
        <f t="shared" si="39"/>
        <v>0</v>
      </c>
      <c r="GD49" s="323"/>
      <c r="GE49" s="322"/>
      <c r="GF49" s="317"/>
      <c r="GG49" s="322"/>
      <c r="GH49" s="322"/>
      <c r="GI49" s="319"/>
      <c r="GJ49" s="323"/>
      <c r="GK49" s="322"/>
      <c r="GL49" s="317"/>
      <c r="GM49" s="322"/>
      <c r="GN49" s="322"/>
      <c r="GO49" s="319"/>
      <c r="GP49" s="323"/>
      <c r="GQ49" s="322"/>
      <c r="GR49" s="317"/>
      <c r="GS49" s="322"/>
      <c r="GT49" s="322"/>
      <c r="GU49" s="319"/>
      <c r="GV49" s="323">
        <f t="shared" si="40"/>
        <v>0</v>
      </c>
      <c r="GW49" s="322">
        <f t="shared" si="40"/>
        <v>0</v>
      </c>
      <c r="GX49" s="322">
        <f t="shared" si="40"/>
        <v>0</v>
      </c>
      <c r="GY49" s="322">
        <f t="shared" si="40"/>
        <v>0</v>
      </c>
      <c r="GZ49" s="322">
        <f t="shared" si="40"/>
        <v>0</v>
      </c>
      <c r="HA49" s="326">
        <f t="shared" si="40"/>
        <v>0</v>
      </c>
      <c r="HB49" s="323"/>
      <c r="HC49" s="322"/>
      <c r="HD49" s="317"/>
      <c r="HE49" s="322"/>
      <c r="HF49" s="322"/>
      <c r="HG49" s="319"/>
      <c r="HH49" s="323"/>
      <c r="HI49" s="322"/>
      <c r="HJ49" s="317"/>
      <c r="HK49" s="322"/>
      <c r="HL49" s="322"/>
      <c r="HM49" s="319"/>
      <c r="HN49" s="323"/>
      <c r="HO49" s="322"/>
      <c r="HP49" s="317"/>
      <c r="HQ49" s="322"/>
      <c r="HR49" s="322"/>
      <c r="HS49" s="319"/>
      <c r="HT49" s="315">
        <f t="shared" si="41"/>
        <v>0</v>
      </c>
      <c r="HU49" s="316">
        <f t="shared" si="41"/>
        <v>0</v>
      </c>
      <c r="HV49" s="317">
        <f t="shared" si="41"/>
        <v>0</v>
      </c>
      <c r="HW49" s="316">
        <f t="shared" si="41"/>
        <v>0</v>
      </c>
      <c r="HX49" s="316">
        <f t="shared" si="41"/>
        <v>0</v>
      </c>
      <c r="HY49" s="317">
        <f t="shared" si="41"/>
        <v>0</v>
      </c>
      <c r="HZ49" s="535">
        <f t="shared" si="42"/>
        <v>0</v>
      </c>
      <c r="IA49" s="280">
        <f t="shared" si="42"/>
        <v>0</v>
      </c>
      <c r="IB49" s="1">
        <f t="shared" si="42"/>
        <v>0</v>
      </c>
      <c r="IC49" s="280">
        <f t="shared" si="42"/>
        <v>0</v>
      </c>
      <c r="ID49" s="280">
        <f t="shared" si="42"/>
        <v>0</v>
      </c>
      <c r="IE49" s="40">
        <f t="shared" si="42"/>
        <v>0</v>
      </c>
      <c r="IF49" s="535">
        <f>HZ49+IC49</f>
        <v>0</v>
      </c>
      <c r="IG49" s="280">
        <f>IA49+ID49</f>
        <v>0</v>
      </c>
      <c r="IH49" s="1">
        <f>IB49+IE49</f>
        <v>0</v>
      </c>
    </row>
    <row r="50">
      <c r="A50" s="437"/>
      <c r="B50" s="437"/>
      <c r="C50" s="284"/>
      <c r="D50" s="331">
        <f>D49*100/$AX49</f>
        <v>33.663842786748766</v>
      </c>
      <c r="E50" s="331">
        <f>E49*100/$AX49</f>
        <v>34.234943384900141</v>
      </c>
      <c r="F50" s="217"/>
      <c r="G50" s="332">
        <f>G49*100/$AX49</f>
        <v>0.81865598829379371</v>
      </c>
      <c r="H50" s="367"/>
      <c r="I50" s="332">
        <f>I49*100/$AX49</f>
        <v>0.61356244572415841</v>
      </c>
      <c r="J50" s="217"/>
      <c r="K50" s="331">
        <f>K49*100/$AX49</f>
        <v>0.27589309219954966</v>
      </c>
      <c r="L50" s="258"/>
      <c r="M50" s="333">
        <f>M49*100/$AX49</f>
        <v>1.176376633914251</v>
      </c>
      <c r="N50" s="258"/>
      <c r="O50" s="331">
        <f>O49*100/$AX49</f>
        <v>0.30670532336598721</v>
      </c>
      <c r="P50" s="217"/>
      <c r="Q50" s="331">
        <f>Q49*100/$AX49</f>
        <v>4.7241812143496533</v>
      </c>
      <c r="R50" s="217"/>
      <c r="S50" s="331">
        <f>S49*100/$AX49</f>
        <v>0.0050254185667404578</v>
      </c>
      <c r="T50" s="217"/>
      <c r="U50" s="331">
        <f>U49*100/$AX49</f>
        <v>0.21296322473359258</v>
      </c>
      <c r="V50" s="217"/>
      <c r="W50" s="331">
        <f>W49*100/$AX49</f>
        <v>0.011951371151041185</v>
      </c>
      <c r="X50" s="217"/>
      <c r="Y50" s="331">
        <f>Y49*100/$AX49</f>
        <v>0.017264168850375312</v>
      </c>
      <c r="Z50" s="217"/>
      <c r="AA50" s="331"/>
      <c r="AB50" s="217"/>
      <c r="AC50" s="331"/>
      <c r="AD50" s="258"/>
      <c r="AE50" s="285"/>
      <c r="AF50" s="217"/>
      <c r="AG50" s="332">
        <f>AG49*100/$AX49</f>
        <v>20.938045560293123</v>
      </c>
      <c r="AH50" s="217"/>
      <c r="AI50" s="287"/>
      <c r="AJ50" s="217"/>
      <c r="AK50" s="285"/>
      <c r="AL50" s="217"/>
      <c r="AM50" s="285"/>
      <c r="AN50" s="258"/>
      <c r="AO50" s="332">
        <f>AO49*100/$AX49</f>
        <v>0.059895246489209852</v>
      </c>
      <c r="AP50" s="364"/>
      <c r="AQ50" s="332">
        <f>AQ49*100/AX49</f>
        <v>0.95490760117129969</v>
      </c>
      <c r="AR50" s="217"/>
      <c r="AS50" s="332">
        <f>AS49*100/$AX49</f>
        <v>0.49190227428066879</v>
      </c>
      <c r="AT50" s="217"/>
      <c r="AU50" s="333">
        <f>AU49*100/$AX49</f>
        <v>1.4938842649676551</v>
      </c>
      <c r="AV50" s="287"/>
      <c r="AW50" s="287"/>
      <c r="AX50" s="332">
        <f>SUM(D50:AW50)</f>
        <v>100.00000000000001</v>
      </c>
      <c r="AY50" s="336"/>
      <c r="AZ50" s="336"/>
      <c r="BA50" s="336"/>
      <c r="BB50" s="289"/>
      <c r="BC50" s="290"/>
      <c r="BD50" s="286"/>
      <c r="BE50" s="286"/>
      <c r="BF50" s="522"/>
      <c r="BG50" s="530"/>
      <c r="BH50" s="531"/>
      <c r="BI50" s="530"/>
      <c r="BJ50" s="287"/>
      <c r="BK50" s="217"/>
      <c r="BL50" s="217"/>
      <c r="BM50" s="287"/>
      <c r="BN50" s="287"/>
      <c r="BO50" s="258"/>
      <c r="BP50" s="272"/>
      <c r="BQ50" s="285"/>
      <c r="BW50" s="37" t="s">
        <v>226</v>
      </c>
      <c r="BX50" s="298"/>
      <c r="BY50" s="299">
        <f>'2026'!T87</f>
        <v>0</v>
      </c>
      <c r="BZ50" s="296">
        <f>'2026'!T141</f>
        <v>8754.5</v>
      </c>
      <c r="CA50" s="295">
        <f>'2026'!T696</f>
        <v>4075</v>
      </c>
      <c r="CB50" s="296">
        <f>'2026'!T555</f>
        <v>332</v>
      </c>
      <c r="CC50" s="295">
        <f>'2026'!T483</f>
        <v>10061</v>
      </c>
      <c r="CD50" s="296">
        <f>'2026'!T626</f>
        <v>1465</v>
      </c>
      <c r="CE50" s="295">
        <f>'2026'!T356</f>
        <v>1445</v>
      </c>
      <c r="CF50" s="296">
        <f>'2026'!T902</f>
        <v>2268.5</v>
      </c>
      <c r="CG50" s="295">
        <f>'2026'!T955</f>
        <v>16959</v>
      </c>
      <c r="CH50" s="296">
        <f>'2026'!T838</f>
        <v>6461</v>
      </c>
      <c r="CI50" s="298"/>
      <c r="CJ50" s="299"/>
      <c r="CK50" s="148"/>
      <c r="CL50" s="299"/>
      <c r="CM50" s="298"/>
      <c r="CN50" s="299"/>
      <c r="CO50" s="266"/>
      <c r="CP50" s="371"/>
      <c r="CQ50" s="298"/>
      <c r="CR50" s="299"/>
      <c r="CS50" s="297">
        <f>'2026'!T1055</f>
        <v>88</v>
      </c>
      <c r="CT50" s="466"/>
      <c r="CU50" s="545"/>
      <c r="CV50" s="546">
        <f t="shared" si="53"/>
        <v>0</v>
      </c>
      <c r="CW50" s="338"/>
      <c r="DA50" s="360"/>
      <c r="DB50" s="360"/>
      <c r="DC50" s="360"/>
      <c r="DD50" s="361"/>
      <c r="DE50" s="361"/>
      <c r="DF50" s="361"/>
      <c r="DQ50" s="281"/>
      <c r="EF50" s="437"/>
      <c r="EG50" s="437"/>
      <c r="EH50" s="342"/>
      <c r="EI50" s="343"/>
      <c r="EJ50" s="344"/>
      <c r="EK50" s="343"/>
      <c r="EL50" s="343"/>
      <c r="EM50" s="344"/>
      <c r="EN50" s="345"/>
      <c r="EO50" s="344"/>
      <c r="EP50" s="346"/>
      <c r="EQ50" s="344"/>
      <c r="ER50" s="344"/>
      <c r="ES50" s="347"/>
      <c r="ET50" s="344"/>
      <c r="EU50" s="344"/>
      <c r="EV50" s="344"/>
      <c r="EW50" s="344"/>
      <c r="EX50" s="344"/>
      <c r="EY50" s="344"/>
      <c r="EZ50" s="348"/>
      <c r="FA50" s="349"/>
      <c r="FB50" s="344"/>
      <c r="FC50" s="350"/>
      <c r="FD50" s="350"/>
      <c r="FE50" s="347"/>
      <c r="FF50" s="350"/>
      <c r="FG50" s="350"/>
      <c r="FH50" s="344"/>
      <c r="FI50" s="350"/>
      <c r="FJ50" s="350"/>
      <c r="FK50" s="344"/>
      <c r="FL50" s="351"/>
      <c r="FM50" s="350"/>
      <c r="FN50" s="344"/>
      <c r="FO50" s="350"/>
      <c r="FP50" s="350"/>
      <c r="FQ50" s="347"/>
      <c r="FR50" s="351"/>
      <c r="FS50" s="350"/>
      <c r="FT50" s="344"/>
      <c r="FU50" s="350"/>
      <c r="FV50" s="350"/>
      <c r="FW50" s="347"/>
      <c r="FX50" s="351"/>
      <c r="FY50" s="352"/>
      <c r="FZ50" s="344"/>
      <c r="GA50" s="350"/>
      <c r="GB50" s="350"/>
      <c r="GC50" s="347"/>
      <c r="GD50" s="351"/>
      <c r="GE50" s="350"/>
      <c r="GF50" s="344"/>
      <c r="GG50" s="350"/>
      <c r="GH50" s="350"/>
      <c r="GI50" s="347"/>
      <c r="GJ50" s="351"/>
      <c r="GK50" s="350"/>
      <c r="GL50" s="344"/>
      <c r="GM50" s="350"/>
      <c r="GN50" s="350"/>
      <c r="GO50" s="347"/>
      <c r="GP50" s="351"/>
      <c r="GQ50" s="350"/>
      <c r="GR50" s="344"/>
      <c r="GS50" s="350"/>
      <c r="GT50" s="350"/>
      <c r="GU50" s="347"/>
      <c r="GV50" s="351"/>
      <c r="GW50" s="350"/>
      <c r="GX50" s="344"/>
      <c r="GY50" s="350"/>
      <c r="GZ50" s="350"/>
      <c r="HA50" s="347"/>
      <c r="HB50" s="351"/>
      <c r="HC50" s="350"/>
      <c r="HD50" s="344"/>
      <c r="HE50" s="350"/>
      <c r="HF50" s="350"/>
      <c r="HG50" s="347"/>
      <c r="HH50" s="351"/>
      <c r="HI50" s="350"/>
      <c r="HJ50" s="344"/>
      <c r="HK50" s="350"/>
      <c r="HL50" s="350"/>
      <c r="HM50" s="347"/>
      <c r="HN50" s="351"/>
      <c r="HO50" s="350"/>
      <c r="HP50" s="344"/>
      <c r="HQ50" s="350"/>
      <c r="HR50" s="350"/>
      <c r="HS50" s="347"/>
      <c r="HT50" s="342"/>
      <c r="HU50" s="343"/>
      <c r="HV50" s="344"/>
      <c r="HW50" s="343"/>
      <c r="HX50" s="343"/>
      <c r="HY50" s="344"/>
      <c r="HZ50" s="535"/>
      <c r="IA50" s="280"/>
      <c r="IC50" s="280"/>
      <c r="ID50" s="280"/>
      <c r="IE50" s="40"/>
      <c r="IF50" s="535"/>
      <c r="IG50" s="280"/>
    </row>
    <row r="51">
      <c r="A51" s="283" t="s">
        <v>206</v>
      </c>
      <c r="B51" s="283"/>
      <c r="C51" s="284">
        <f>D51+E51</f>
        <v>1523525.9100000001</v>
      </c>
      <c r="D51" s="285">
        <f>'Расход-2026'!I1203</f>
        <v>469155.33000000002</v>
      </c>
      <c r="E51" s="285">
        <f>'Расход-2026'!J1203</f>
        <v>1054370.5800000001</v>
      </c>
      <c r="F51" s="217">
        <f>BX34</f>
        <v>106314.79230000003</v>
      </c>
      <c r="G51" s="286">
        <f>F51*$AX$128/$F$153</f>
        <v>205336.05019675216</v>
      </c>
      <c r="H51" s="217">
        <f>BY34</f>
        <v>15631.1965</v>
      </c>
      <c r="I51" s="286">
        <f>H51*$AX$143/$H$153</f>
        <v>5989.6153593206554</v>
      </c>
      <c r="J51" s="217">
        <f>BZ34</f>
        <v>802.5</v>
      </c>
      <c r="K51" s="285">
        <f>J51*$AX$142/$J$153</f>
        <v>19202.564597614688</v>
      </c>
      <c r="L51" s="258">
        <f>CA34</f>
        <v>627</v>
      </c>
      <c r="M51" s="287">
        <f>L51*$AX$140/$L$153</f>
        <v>26513.964537143467</v>
      </c>
      <c r="N51" s="258">
        <f>CD34</f>
        <v>737</v>
      </c>
      <c r="O51" s="285">
        <f>N51*$AX$138/$N$153</f>
        <v>12070.717088894977</v>
      </c>
      <c r="P51" s="217">
        <f>CC34+CB34</f>
        <v>4718</v>
      </c>
      <c r="Q51" s="285">
        <f>P51*($AX$139+$AX$137)/$P$153</f>
        <v>114937.84588907572</v>
      </c>
      <c r="R51" s="217">
        <f>CE34</f>
        <v>135</v>
      </c>
      <c r="S51" s="285">
        <f>R51*$AX$136/$R$153</f>
        <v>324.71464752105828</v>
      </c>
      <c r="T51" s="217">
        <f>CF34</f>
        <v>80.5</v>
      </c>
      <c r="U51" s="285">
        <f>T51*$AX$135/$T$153</f>
        <v>2215.4407007665968</v>
      </c>
      <c r="V51" s="217">
        <f>CG34</f>
        <v>561.5</v>
      </c>
      <c r="W51" s="285">
        <f>V51*$AX$134/$V$153</f>
        <v>111.46731308376306</v>
      </c>
      <c r="X51" s="217">
        <f>CH34</f>
        <v>549</v>
      </c>
      <c r="Y51" s="285">
        <f>X51*$AX$148/$X$153</f>
        <v>1391.8581684791234</v>
      </c>
      <c r="Z51" s="217">
        <f>CI34</f>
        <v>0</v>
      </c>
      <c r="AA51" s="285"/>
      <c r="AB51" s="217">
        <f>CJ34</f>
        <v>0</v>
      </c>
      <c r="AC51" s="285"/>
      <c r="AD51" s="258">
        <f>CK34</f>
        <v>0</v>
      </c>
      <c r="AE51" s="285"/>
      <c r="AF51" s="217">
        <f>CL34</f>
        <v>40</v>
      </c>
      <c r="AG51" s="286">
        <f>AF51*($AX$113+$AX$114)/$AF$153</f>
        <v>491963.73078886198</v>
      </c>
      <c r="AH51" s="217">
        <f>CM34</f>
        <v>0</v>
      </c>
      <c r="AI51" s="287"/>
      <c r="AJ51" s="217"/>
      <c r="AK51" s="285"/>
      <c r="AL51" s="217">
        <f>CO34</f>
        <v>0</v>
      </c>
      <c r="AM51" s="285"/>
      <c r="AN51" s="258">
        <v>0.59999999999999998</v>
      </c>
      <c r="AO51" s="286">
        <f>$CQ$142*AN51/100</f>
        <v>2322.0589799999998</v>
      </c>
      <c r="AP51" s="217">
        <f>'2026'!T1170</f>
        <v>216</v>
      </c>
      <c r="AQ51" s="286">
        <f>AP51*$AX$133/$AP$153</f>
        <v>22588.777600296591</v>
      </c>
      <c r="AR51" s="217">
        <f>CS34</f>
        <v>427</v>
      </c>
      <c r="AS51" s="286">
        <f>$AX$145*AR51/$AR$153</f>
        <v>9032.7889790224799</v>
      </c>
      <c r="AT51" s="217">
        <f>CT34</f>
        <v>168</v>
      </c>
      <c r="AU51" s="287">
        <f>AT51*$AX$125/$AT$153</f>
        <v>66189.605083244576</v>
      </c>
      <c r="AV51" s="287"/>
      <c r="AW51" s="287"/>
      <c r="AX51" s="286">
        <f>C51+G51+I51+K51+M51+O51+Q51+S51+U51+W51+Y51+AA51+AC51+AE51+AG51+AI51+AK51+AO51+AU51+AS51+AW51+AQ51+AM51</f>
        <v>2503717.109930078</v>
      </c>
      <c r="AY51" s="288">
        <f t="shared" si="37"/>
        <v>980191.19993007788</v>
      </c>
      <c r="AZ51" s="288">
        <f>AY51-G51-I51-AG51-AI51-AK51-AM51</f>
        <v>276901.80358514306</v>
      </c>
      <c r="BA51" s="288">
        <f>AZ51+I51</f>
        <v>282891.41894446372</v>
      </c>
      <c r="BB51" s="289">
        <f>BF51+BH51</f>
        <v>0</v>
      </c>
      <c r="BC51" s="290" t="e">
        <f>AX51/BB51</f>
        <v>#DIV/0!</v>
      </c>
      <c r="BD51" s="286">
        <f>'зарплата'!CH47</f>
        <v>13675370.548936697</v>
      </c>
      <c r="BE51" s="286" t="e">
        <f>#REF!</f>
        <v>#REF!</v>
      </c>
      <c r="BF51" s="291">
        <f>HZ51</f>
        <v>0</v>
      </c>
      <c r="BG51" s="287">
        <f>IB51</f>
        <v>0</v>
      </c>
      <c r="BH51" s="292">
        <f>IC51</f>
        <v>0</v>
      </c>
      <c r="BI51" s="287">
        <f>IE51</f>
        <v>0</v>
      </c>
      <c r="BJ51" s="287"/>
      <c r="BK51" s="217">
        <f>BI51+BG51</f>
        <v>0</v>
      </c>
      <c r="BL51" s="293">
        <f>(BG51*13%)+(BI51*52%)</f>
        <v>0</v>
      </c>
      <c r="BM51" s="287" t="e">
        <f>AX51/BB51</f>
        <v>#DIV/0!</v>
      </c>
      <c r="BN51" s="287" t="e">
        <f>BL51/BB51</f>
        <v>#DIV/0!</v>
      </c>
      <c r="BO51" s="217" t="e">
        <f>BN51-BM51</f>
        <v>#DIV/0!</v>
      </c>
      <c r="BP51" s="285">
        <f>BL51-AX51</f>
        <v>-2503717.109930078</v>
      </c>
      <c r="BQ51" s="285" t="e">
        <f>BK51-AX51-BD51-BE51</f>
        <v>#REF!</v>
      </c>
      <c r="BW51" s="37"/>
      <c r="BX51" s="298"/>
      <c r="BY51" s="299"/>
      <c r="BZ51" s="296"/>
      <c r="CA51" s="295"/>
      <c r="CB51" s="296"/>
      <c r="CC51" s="295"/>
      <c r="CD51" s="296"/>
      <c r="CE51" s="295"/>
      <c r="CF51" s="296"/>
      <c r="CG51" s="295"/>
      <c r="CH51" s="296"/>
      <c r="CI51" s="298"/>
      <c r="CJ51" s="299"/>
      <c r="CK51" s="148"/>
      <c r="CL51" s="299"/>
      <c r="CM51" s="298"/>
      <c r="CN51" s="299"/>
      <c r="CO51" s="266"/>
      <c r="CP51" s="371"/>
      <c r="CQ51" s="298"/>
      <c r="CR51" s="299"/>
      <c r="CS51" s="297"/>
      <c r="CT51" s="466"/>
      <c r="CU51" s="545"/>
      <c r="CV51" s="546">
        <f t="shared" si="53"/>
        <v>0</v>
      </c>
      <c r="CW51" s="303">
        <f t="shared" si="54"/>
        <v>0</v>
      </c>
      <c r="DA51" s="304">
        <f>DB51+DC51</f>
        <v>0</v>
      </c>
      <c r="DB51" s="305"/>
      <c r="DC51" s="305"/>
      <c r="DD51" s="306">
        <f>DE51+DF51</f>
        <v>0</v>
      </c>
      <c r="DE51" s="306"/>
      <c r="DF51" s="306"/>
      <c r="DQ51" s="281"/>
      <c r="EF51" s="283" t="s">
        <v>206</v>
      </c>
      <c r="EG51" s="283"/>
      <c r="EH51" s="280"/>
      <c r="EI51" s="280"/>
      <c r="EK51" s="280"/>
      <c r="EL51" s="280"/>
      <c r="EN51" s="37"/>
      <c r="ES51" s="38"/>
      <c r="EZ51" s="356">
        <f t="shared" si="38"/>
        <v>0</v>
      </c>
      <c r="FA51" s="357">
        <f t="shared" si="38"/>
        <v>0</v>
      </c>
      <c r="FB51" s="1">
        <f t="shared" si="38"/>
        <v>0</v>
      </c>
      <c r="FC51" s="281">
        <f t="shared" si="38"/>
        <v>0</v>
      </c>
      <c r="FD51" s="281">
        <f t="shared" si="38"/>
        <v>0</v>
      </c>
      <c r="FE51" s="38">
        <f t="shared" si="38"/>
        <v>0</v>
      </c>
      <c r="FF51" s="281"/>
      <c r="FG51" s="281"/>
      <c r="FI51" s="281"/>
      <c r="FJ51" s="281"/>
      <c r="FL51" s="282"/>
      <c r="FM51" s="281"/>
      <c r="FO51" s="281"/>
      <c r="FP51" s="281"/>
      <c r="FQ51" s="38"/>
      <c r="FR51" s="282"/>
      <c r="FS51" s="281"/>
      <c r="FU51" s="281"/>
      <c r="FV51" s="281"/>
      <c r="FW51" s="38"/>
      <c r="FX51" s="323">
        <f t="shared" si="39"/>
        <v>0</v>
      </c>
      <c r="FY51" s="322">
        <f t="shared" si="39"/>
        <v>0</v>
      </c>
      <c r="FZ51" s="324">
        <f t="shared" si="39"/>
        <v>0</v>
      </c>
      <c r="GA51" s="322">
        <f t="shared" si="39"/>
        <v>0</v>
      </c>
      <c r="GB51" s="322">
        <f t="shared" si="39"/>
        <v>0</v>
      </c>
      <c r="GC51" s="325">
        <f t="shared" si="39"/>
        <v>0</v>
      </c>
      <c r="GD51" s="282"/>
      <c r="GE51" s="281"/>
      <c r="GG51" s="281"/>
      <c r="GH51" s="281"/>
      <c r="GI51" s="38"/>
      <c r="GJ51" s="282"/>
      <c r="GK51" s="281"/>
      <c r="GM51" s="281"/>
      <c r="GN51" s="281"/>
      <c r="GO51" s="38"/>
      <c r="GP51" s="282"/>
      <c r="GQ51" s="281"/>
      <c r="GS51" s="281"/>
      <c r="GT51" s="281"/>
      <c r="GU51" s="38"/>
      <c r="GV51" s="323">
        <f t="shared" si="40"/>
        <v>0</v>
      </c>
      <c r="GW51" s="322">
        <f t="shared" si="40"/>
        <v>0</v>
      </c>
      <c r="GX51" s="322">
        <f t="shared" si="40"/>
        <v>0</v>
      </c>
      <c r="GY51" s="322">
        <f t="shared" si="40"/>
        <v>0</v>
      </c>
      <c r="GZ51" s="322">
        <f t="shared" si="40"/>
        <v>0</v>
      </c>
      <c r="HA51" s="326">
        <f t="shared" si="40"/>
        <v>0</v>
      </c>
      <c r="HB51" s="282"/>
      <c r="HC51" s="281"/>
      <c r="HE51" s="281"/>
      <c r="HF51" s="281"/>
      <c r="HG51" s="38"/>
      <c r="HH51" s="282"/>
      <c r="HI51" s="281"/>
      <c r="HK51" s="281"/>
      <c r="HL51" s="281"/>
      <c r="HM51" s="38"/>
      <c r="HN51" s="282"/>
      <c r="HO51" s="281"/>
      <c r="HQ51" s="281"/>
      <c r="HR51" s="281"/>
      <c r="HS51" s="38"/>
      <c r="HT51" s="315">
        <f t="shared" si="41"/>
        <v>0</v>
      </c>
      <c r="HU51" s="316">
        <f t="shared" si="41"/>
        <v>0</v>
      </c>
      <c r="HV51" s="317">
        <f t="shared" si="41"/>
        <v>0</v>
      </c>
      <c r="HW51" s="316">
        <f t="shared" si="41"/>
        <v>0</v>
      </c>
      <c r="HX51" s="316">
        <f t="shared" si="41"/>
        <v>0</v>
      </c>
      <c r="HY51" s="317">
        <f t="shared" si="41"/>
        <v>0</v>
      </c>
      <c r="HZ51" s="327">
        <f t="shared" si="42"/>
        <v>0</v>
      </c>
      <c r="IA51" s="316">
        <f t="shared" si="42"/>
        <v>0</v>
      </c>
      <c r="IB51" s="317">
        <f t="shared" si="42"/>
        <v>0</v>
      </c>
      <c r="IC51" s="316">
        <f t="shared" si="42"/>
        <v>0</v>
      </c>
      <c r="ID51" s="316">
        <f t="shared" si="42"/>
        <v>0</v>
      </c>
      <c r="IE51" s="328">
        <f t="shared" si="42"/>
        <v>0</v>
      </c>
      <c r="IF51" s="535">
        <f>HZ51+IC51</f>
        <v>0</v>
      </c>
      <c r="IG51" s="280">
        <f>IA51+ID51</f>
        <v>0</v>
      </c>
      <c r="IH51" s="1">
        <f>IB51+IE51</f>
        <v>0</v>
      </c>
    </row>
    <row r="52">
      <c r="A52" s="437"/>
      <c r="B52" s="437"/>
      <c r="C52" s="586"/>
      <c r="D52" s="331">
        <f>D51*100/$AX51</f>
        <v>18.738352193994562</v>
      </c>
      <c r="E52" s="331">
        <f>E51*100/$AX51</f>
        <v>42.112208916024294</v>
      </c>
      <c r="F52" s="364"/>
      <c r="G52" s="332">
        <f>G51*100/$AX51</f>
        <v>8.2012480316710619</v>
      </c>
      <c r="H52" s="367"/>
      <c r="I52" s="332">
        <f>I51*100/$AX51</f>
        <v>0.23922891829771972</v>
      </c>
      <c r="J52" s="364"/>
      <c r="K52" s="331">
        <f>K51*100/$AX51</f>
        <v>0.76696223073504344</v>
      </c>
      <c r="L52" s="258"/>
      <c r="M52" s="333">
        <f>M51*100/$AX51</f>
        <v>1.058984037453174</v>
      </c>
      <c r="N52" s="258"/>
      <c r="O52" s="331">
        <f>O51*100/$AX51</f>
        <v>0.48211185844522503</v>
      </c>
      <c r="P52" s="364"/>
      <c r="Q52" s="331">
        <f>Q51*100/$AX51</f>
        <v>4.5906881984876327</v>
      </c>
      <c r="R52" s="364"/>
      <c r="S52" s="331">
        <f>S51*100/$AX51</f>
        <v>0.01296930257149246</v>
      </c>
      <c r="T52" s="364"/>
      <c r="U52" s="331">
        <f>U51*100/$AX51</f>
        <v>0.088486063061192555</v>
      </c>
      <c r="V52" s="364"/>
      <c r="W52" s="331">
        <f>W51*100/$AX51</f>
        <v>0.004452072985469035</v>
      </c>
      <c r="X52" s="364"/>
      <c r="Y52" s="331">
        <f>Y51*100/$AX51</f>
        <v>0.055591670598839904</v>
      </c>
      <c r="Z52" s="364"/>
      <c r="AA52" s="331"/>
      <c r="AB52" s="364"/>
      <c r="AC52" s="331"/>
      <c r="AD52" s="258"/>
      <c r="AE52" s="365"/>
      <c r="AF52" s="364"/>
      <c r="AG52" s="332">
        <f>AG51*100/$AX51</f>
        <v>19.649333738131507</v>
      </c>
      <c r="AH52" s="364"/>
      <c r="AI52" s="369"/>
      <c r="AJ52" s="364"/>
      <c r="AK52" s="365"/>
      <c r="AL52" s="364"/>
      <c r="AM52" s="331"/>
      <c r="AN52" s="258"/>
      <c r="AO52" s="332">
        <f>AO51*100/$AX51</f>
        <v>0.09274446265476248</v>
      </c>
      <c r="AP52" s="364"/>
      <c r="AQ52" s="332">
        <f>AQ51*100/AX51</f>
        <v>0.9022096590188432</v>
      </c>
      <c r="AR52" s="364"/>
      <c r="AS52" s="332">
        <f>AS51*100/$AX51</f>
        <v>0.3607751428145467</v>
      </c>
      <c r="AT52" s="364"/>
      <c r="AU52" s="333">
        <f>AU51*100/$AX51</f>
        <v>2.6436535030546269</v>
      </c>
      <c r="AV52" s="369"/>
      <c r="AW52" s="369"/>
      <c r="AX52" s="332">
        <f>SUM(D52:AW52)</f>
        <v>99.999999999999986</v>
      </c>
      <c r="AY52" s="336"/>
      <c r="AZ52" s="336"/>
      <c r="BA52" s="336"/>
      <c r="BB52" s="289"/>
      <c r="BC52" s="290"/>
      <c r="BD52" s="286"/>
      <c r="BE52" s="286"/>
      <c r="BF52" s="522"/>
      <c r="BG52" s="530"/>
      <c r="BH52" s="531"/>
      <c r="BI52" s="530"/>
      <c r="BJ52" s="287"/>
      <c r="BK52" s="217"/>
      <c r="BL52" s="217"/>
      <c r="BM52" s="287"/>
      <c r="BN52" s="287"/>
      <c r="BO52" s="217"/>
      <c r="BP52" s="285"/>
      <c r="BQ52" s="285"/>
      <c r="BW52" s="37"/>
      <c r="BX52" s="298"/>
      <c r="BY52" s="299"/>
      <c r="BZ52" s="296"/>
      <c r="CA52" s="295"/>
      <c r="CB52" s="296"/>
      <c r="CC52" s="295"/>
      <c r="CD52" s="296"/>
      <c r="CE52" s="295"/>
      <c r="CF52" s="296"/>
      <c r="CG52" s="295"/>
      <c r="CH52" s="296"/>
      <c r="CI52" s="298"/>
      <c r="CJ52" s="299"/>
      <c r="CK52" s="148"/>
      <c r="CL52" s="299"/>
      <c r="CM52" s="298"/>
      <c r="CN52" s="299"/>
      <c r="CO52" s="266"/>
      <c r="CP52" s="371"/>
      <c r="CQ52" s="298"/>
      <c r="CR52" s="299"/>
      <c r="CS52" s="297"/>
      <c r="CT52" s="583"/>
      <c r="CU52" s="587"/>
      <c r="CV52" s="546">
        <f t="shared" si="53"/>
        <v>0</v>
      </c>
      <c r="CW52" s="338"/>
      <c r="DA52" s="360"/>
      <c r="DB52" s="360"/>
      <c r="DC52" s="360"/>
      <c r="DD52" s="361"/>
      <c r="DE52" s="361"/>
      <c r="DF52" s="361"/>
      <c r="DQ52" s="281"/>
      <c r="EF52" s="437"/>
      <c r="EG52" s="437"/>
      <c r="EH52" s="280"/>
      <c r="EI52" s="280"/>
      <c r="EK52" s="280"/>
      <c r="EL52" s="280"/>
      <c r="EN52" s="37"/>
      <c r="EP52" s="15"/>
      <c r="ES52" s="38"/>
      <c r="EZ52" s="356"/>
      <c r="FA52" s="357"/>
      <c r="FC52" s="281"/>
      <c r="FD52" s="281"/>
      <c r="FE52" s="38"/>
      <c r="FF52" s="281"/>
      <c r="FG52" s="281"/>
      <c r="FI52" s="281"/>
      <c r="FJ52" s="281"/>
      <c r="FL52" s="282"/>
      <c r="FM52" s="281"/>
      <c r="FO52" s="281"/>
      <c r="FP52" s="281"/>
      <c r="FQ52" s="38"/>
      <c r="FR52" s="282"/>
      <c r="FS52" s="281"/>
      <c r="FU52" s="281"/>
      <c r="FV52" s="281"/>
      <c r="FW52" s="38"/>
      <c r="FX52" s="351"/>
      <c r="FY52" s="352"/>
      <c r="FZ52" s="344"/>
      <c r="GA52" s="350"/>
      <c r="GB52" s="350"/>
      <c r="GC52" s="347"/>
      <c r="GD52" s="282"/>
      <c r="GE52" s="281"/>
      <c r="GG52" s="281"/>
      <c r="GH52" s="281"/>
      <c r="GI52" s="38"/>
      <c r="GJ52" s="282"/>
      <c r="GK52" s="281"/>
      <c r="GM52" s="281"/>
      <c r="GN52" s="281"/>
      <c r="GO52" s="38"/>
      <c r="GP52" s="282"/>
      <c r="GQ52" s="281"/>
      <c r="GS52" s="281"/>
      <c r="GT52" s="281"/>
      <c r="GU52" s="38"/>
      <c r="GV52" s="351"/>
      <c r="GW52" s="350"/>
      <c r="GX52" s="344"/>
      <c r="GY52" s="350"/>
      <c r="GZ52" s="350"/>
      <c r="HA52" s="347"/>
      <c r="HB52" s="282"/>
      <c r="HC52" s="281"/>
      <c r="HE52" s="281"/>
      <c r="HF52" s="281"/>
      <c r="HG52" s="38"/>
      <c r="HH52" s="282"/>
      <c r="HI52" s="281"/>
      <c r="HK52" s="281"/>
      <c r="HL52" s="281"/>
      <c r="HM52" s="38"/>
      <c r="HN52" s="282"/>
      <c r="HO52" s="281"/>
      <c r="HQ52" s="281"/>
      <c r="HR52" s="281"/>
      <c r="HS52" s="38"/>
      <c r="HT52" s="342"/>
      <c r="HU52" s="343"/>
      <c r="HV52" s="344"/>
      <c r="HW52" s="343"/>
      <c r="HX52" s="343"/>
      <c r="HY52" s="344"/>
      <c r="HZ52" s="534"/>
      <c r="IA52" s="343"/>
      <c r="IB52" s="344"/>
      <c r="IC52" s="343"/>
      <c r="ID52" s="343"/>
      <c r="IE52" s="355"/>
      <c r="IF52" s="535"/>
      <c r="IG52" s="280"/>
    </row>
    <row r="53">
      <c r="A53" s="283" t="s">
        <v>227</v>
      </c>
      <c r="B53" s="283"/>
      <c r="C53" s="284">
        <f>D53+E53</f>
        <v>604785.47999999998</v>
      </c>
      <c r="D53" s="285">
        <f>'Расход-2026'!I1204</f>
        <v>371266.78999999998</v>
      </c>
      <c r="E53" s="285">
        <f>'Расход-2026'!J1204</f>
        <v>233518.69</v>
      </c>
      <c r="F53" s="217">
        <f>BX35</f>
        <v>67320.895019999996</v>
      </c>
      <c r="G53" s="286">
        <f>F53*$AX$128/$F$153</f>
        <v>130023.3615667516</v>
      </c>
      <c r="H53" s="217">
        <f>BY35</f>
        <v>489928.38800000004</v>
      </c>
      <c r="I53" s="286">
        <f>H53*$AX$143/$H$153</f>
        <v>187732.43607627923</v>
      </c>
      <c r="J53" s="217">
        <f>BZ35</f>
        <v>958.5</v>
      </c>
      <c r="K53" s="285">
        <f>J53*$AX$142/$J$153</f>
        <v>22935.39958481455</v>
      </c>
      <c r="L53" s="258">
        <f>CA35</f>
        <v>317</v>
      </c>
      <c r="M53" s="287">
        <f>L53*$AX$140/$L$153</f>
        <v>13404.986855302201</v>
      </c>
      <c r="N53" s="258">
        <f>CD35</f>
        <v>341</v>
      </c>
      <c r="O53" s="285">
        <f>N53*$AX$138/$N$153</f>
        <v>5584.9586530708111</v>
      </c>
      <c r="P53" s="217">
        <f>CC35+CB35</f>
        <v>2796</v>
      </c>
      <c r="Q53" s="285">
        <f>P53*($AX$139+$AX$137)/$P$153</f>
        <v>68114.92520259766</v>
      </c>
      <c r="R53" s="217">
        <f>CE35</f>
        <v>134</v>
      </c>
      <c r="S53" s="285">
        <f>R53*$AX$136/$R$153</f>
        <v>322.30935383571716</v>
      </c>
      <c r="T53" s="217">
        <f>CF35</f>
        <v>646.5</v>
      </c>
      <c r="U53" s="285">
        <f>T53*$AX$135/$T$153</f>
        <v>17792.328112367763</v>
      </c>
      <c r="V53" s="217">
        <f>CG35</f>
        <v>3053</v>
      </c>
      <c r="W53" s="285">
        <f>V53*$AX$134/$V$153</f>
        <v>606.0724966068185</v>
      </c>
      <c r="X53" s="217">
        <f>CH35</f>
        <v>138</v>
      </c>
      <c r="Y53" s="285">
        <f>X53*$AX$148/$X$153</f>
        <v>349.86598770513478</v>
      </c>
      <c r="Z53" s="217">
        <f>CI35</f>
        <v>0</v>
      </c>
      <c r="AA53" s="285"/>
      <c r="AB53" s="217">
        <f>CJ35</f>
        <v>0</v>
      </c>
      <c r="AC53" s="285"/>
      <c r="AD53" s="258">
        <f>CK35</f>
        <v>0</v>
      </c>
      <c r="AE53" s="285"/>
      <c r="AF53" s="217">
        <f>CL35</f>
        <v>95</v>
      </c>
      <c r="AG53" s="286">
        <f>AF53*($AX$113+$AX$114)/$AF$153</f>
        <v>1168413.8606235471</v>
      </c>
      <c r="AH53" s="217">
        <f>CM35</f>
        <v>0</v>
      </c>
      <c r="AI53" s="287"/>
      <c r="AJ53" s="217"/>
      <c r="AK53" s="285"/>
      <c r="AL53" s="217">
        <f>CO35</f>
        <v>0</v>
      </c>
      <c r="AM53" s="285"/>
      <c r="AN53" s="258">
        <v>0.5</v>
      </c>
      <c r="AO53" s="286">
        <f>$CQ$142*AN53/100</f>
        <v>1935.0491499999998</v>
      </c>
      <c r="AP53" s="217">
        <f>'2026'!T1171</f>
        <v>118</v>
      </c>
      <c r="AQ53" s="286">
        <f>AP53*$AX$133/$AP$153</f>
        <v>12340.165540902768</v>
      </c>
      <c r="AR53" s="217">
        <f>CS35</f>
        <v>278</v>
      </c>
      <c r="AS53" s="286">
        <f>$AX$145*AR53/$AR$153</f>
        <v>5880.832169012293</v>
      </c>
      <c r="AT53" s="217">
        <f>CT35</f>
        <v>111</v>
      </c>
      <c r="AU53" s="287">
        <f>AT53*$AX$125/$AT$153</f>
        <v>43732.417644286594</v>
      </c>
      <c r="AV53" s="287"/>
      <c r="AW53" s="287"/>
      <c r="AX53" s="286">
        <f>C53+G53+I53+K53+M53+O53+Q53+S53+U53+W53+Y53+AA53+AC53+AE53+AG53+AI53+AK53+AO53+AU53+AS53+AW53+AQ53+AM53</f>
        <v>2283954.44901708</v>
      </c>
      <c r="AY53" s="288">
        <f t="shared" si="37"/>
        <v>1679168.96901708</v>
      </c>
      <c r="AZ53" s="288">
        <f>AY53-G53-I53-AG53-AI53-AK53-AM53</f>
        <v>192999.31075050216</v>
      </c>
      <c r="BA53" s="288">
        <f>AZ53+I53</f>
        <v>380731.74682678143</v>
      </c>
      <c r="BB53" s="289">
        <f>BF53+BH53</f>
        <v>0</v>
      </c>
      <c r="BC53" s="290" t="e">
        <f>AX53/BB53</f>
        <v>#DIV/0!</v>
      </c>
      <c r="BD53" s="286">
        <f>'зарплата'!CH49</f>
        <v>19711587.521354079</v>
      </c>
      <c r="BE53" s="286" t="e">
        <f>#REF!</f>
        <v>#REF!</v>
      </c>
      <c r="BF53" s="291">
        <f>HZ53</f>
        <v>0</v>
      </c>
      <c r="BG53" s="287">
        <f>IB53</f>
        <v>0</v>
      </c>
      <c r="BH53" s="292">
        <f>IC53</f>
        <v>0</v>
      </c>
      <c r="BI53" s="287">
        <f>IE53</f>
        <v>0</v>
      </c>
      <c r="BJ53" s="287"/>
      <c r="BK53" s="217">
        <f>BI53+BG53</f>
        <v>0</v>
      </c>
      <c r="BL53" s="293">
        <f>(BG53*13%)+(BI53*52%)</f>
        <v>0</v>
      </c>
      <c r="BM53" s="287" t="e">
        <f>AX53/BB53</f>
        <v>#DIV/0!</v>
      </c>
      <c r="BN53" s="287" t="e">
        <f>BL53/BB53</f>
        <v>#DIV/0!</v>
      </c>
      <c r="BO53" s="217" t="e">
        <f>BN53-BM53</f>
        <v>#DIV/0!</v>
      </c>
      <c r="BP53" s="285">
        <f>BL53-AX53</f>
        <v>-2283954.44901708</v>
      </c>
      <c r="BQ53" s="285" t="e">
        <f>BK53-AX53-BD53-BE53</f>
        <v>#REF!</v>
      </c>
      <c r="BW53" s="37"/>
      <c r="BX53" s="298"/>
      <c r="BY53" s="299"/>
      <c r="BZ53" s="296"/>
      <c r="CA53" s="295"/>
      <c r="CB53" s="296"/>
      <c r="CC53" s="295"/>
      <c r="CD53" s="296"/>
      <c r="CE53" s="295"/>
      <c r="CF53" s="296"/>
      <c r="CG53" s="295"/>
      <c r="CH53" s="296"/>
      <c r="CI53" s="298"/>
      <c r="CJ53" s="299"/>
      <c r="CK53" s="148"/>
      <c r="CL53" s="299"/>
      <c r="CM53" s="298"/>
      <c r="CN53" s="299"/>
      <c r="CO53" s="266"/>
      <c r="CP53" s="371"/>
      <c r="CQ53" s="298"/>
      <c r="CR53" s="299"/>
      <c r="CS53" s="297"/>
      <c r="CT53" s="583"/>
      <c r="CU53" s="587"/>
      <c r="CV53" s="546">
        <f t="shared" si="53"/>
        <v>0</v>
      </c>
      <c r="CW53" s="303">
        <f t="shared" si="54"/>
        <v>0</v>
      </c>
      <c r="DA53" s="304">
        <f>DB53+DC53</f>
        <v>0</v>
      </c>
      <c r="DB53" s="305"/>
      <c r="DC53" s="305"/>
      <c r="DD53" s="306">
        <f>DE53+DF53</f>
        <v>0</v>
      </c>
      <c r="DE53" s="306"/>
      <c r="DF53" s="306"/>
      <c r="EF53" s="283" t="s">
        <v>207</v>
      </c>
      <c r="EG53" s="283"/>
      <c r="EH53" s="315"/>
      <c r="EI53" s="316"/>
      <c r="EJ53" s="317"/>
      <c r="EK53" s="316"/>
      <c r="EL53" s="316"/>
      <c r="EM53" s="317"/>
      <c r="EN53" s="318"/>
      <c r="EO53" s="317"/>
      <c r="EP53" s="317"/>
      <c r="EQ53" s="317"/>
      <c r="ER53" s="317"/>
      <c r="ES53" s="319"/>
      <c r="ET53" s="317"/>
      <c r="EU53" s="317"/>
      <c r="EV53" s="317"/>
      <c r="EW53" s="317"/>
      <c r="EX53" s="317"/>
      <c r="EY53" s="317"/>
      <c r="EZ53" s="320">
        <f t="shared" si="38"/>
        <v>0</v>
      </c>
      <c r="FA53" s="321">
        <f t="shared" si="38"/>
        <v>0</v>
      </c>
      <c r="FB53" s="317">
        <f t="shared" si="38"/>
        <v>0</v>
      </c>
      <c r="FC53" s="322">
        <f t="shared" si="38"/>
        <v>0</v>
      </c>
      <c r="FD53" s="322">
        <f t="shared" si="38"/>
        <v>0</v>
      </c>
      <c r="FE53" s="319">
        <f t="shared" si="38"/>
        <v>0</v>
      </c>
      <c r="FF53" s="322"/>
      <c r="FG53" s="322"/>
      <c r="FH53" s="317"/>
      <c r="FI53" s="322"/>
      <c r="FJ53" s="322"/>
      <c r="FK53" s="317"/>
      <c r="FL53" s="323"/>
      <c r="FM53" s="322"/>
      <c r="FN53" s="317"/>
      <c r="FO53" s="322"/>
      <c r="FP53" s="322"/>
      <c r="FQ53" s="319"/>
      <c r="FR53" s="323"/>
      <c r="FS53" s="322"/>
      <c r="FT53" s="317"/>
      <c r="FU53" s="322"/>
      <c r="FV53" s="322"/>
      <c r="FW53" s="319"/>
      <c r="FX53" s="323">
        <f t="shared" si="39"/>
        <v>0</v>
      </c>
      <c r="FY53" s="322">
        <f t="shared" si="39"/>
        <v>0</v>
      </c>
      <c r="FZ53" s="324">
        <f t="shared" si="39"/>
        <v>0</v>
      </c>
      <c r="GA53" s="322">
        <f t="shared" si="39"/>
        <v>0</v>
      </c>
      <c r="GB53" s="322">
        <f t="shared" si="39"/>
        <v>0</v>
      </c>
      <c r="GC53" s="325">
        <f t="shared" si="39"/>
        <v>0</v>
      </c>
      <c r="GD53" s="323"/>
      <c r="GE53" s="322"/>
      <c r="GF53" s="317"/>
      <c r="GG53" s="322"/>
      <c r="GH53" s="322"/>
      <c r="GI53" s="319"/>
      <c r="GJ53" s="323"/>
      <c r="GK53" s="322"/>
      <c r="GL53" s="317"/>
      <c r="GM53" s="322"/>
      <c r="GN53" s="322"/>
      <c r="GO53" s="319"/>
      <c r="GP53" s="323"/>
      <c r="GQ53" s="322"/>
      <c r="GR53" s="317"/>
      <c r="GS53" s="322"/>
      <c r="GT53" s="322"/>
      <c r="GU53" s="319"/>
      <c r="GV53" s="323">
        <f t="shared" si="40"/>
        <v>0</v>
      </c>
      <c r="GW53" s="322">
        <f t="shared" si="40"/>
        <v>0</v>
      </c>
      <c r="GX53" s="322">
        <f t="shared" si="40"/>
        <v>0</v>
      </c>
      <c r="GY53" s="322">
        <f t="shared" si="40"/>
        <v>0</v>
      </c>
      <c r="GZ53" s="322">
        <f t="shared" si="40"/>
        <v>0</v>
      </c>
      <c r="HA53" s="326">
        <f t="shared" si="40"/>
        <v>0</v>
      </c>
      <c r="HB53" s="323"/>
      <c r="HC53" s="322"/>
      <c r="HD53" s="317"/>
      <c r="HE53" s="322"/>
      <c r="HF53" s="322"/>
      <c r="HG53" s="319"/>
      <c r="HH53" s="323"/>
      <c r="HI53" s="322"/>
      <c r="HJ53" s="317"/>
      <c r="HK53" s="322"/>
      <c r="HL53" s="322"/>
      <c r="HM53" s="319"/>
      <c r="HN53" s="323"/>
      <c r="HO53" s="322"/>
      <c r="HP53" s="317"/>
      <c r="HQ53" s="322"/>
      <c r="HR53" s="322"/>
      <c r="HS53" s="319"/>
      <c r="HT53" s="315">
        <f t="shared" si="41"/>
        <v>0</v>
      </c>
      <c r="HU53" s="316">
        <f t="shared" si="41"/>
        <v>0</v>
      </c>
      <c r="HV53" s="317">
        <f t="shared" si="41"/>
        <v>0</v>
      </c>
      <c r="HW53" s="316">
        <f t="shared" si="41"/>
        <v>0</v>
      </c>
      <c r="HX53" s="316">
        <f t="shared" si="41"/>
        <v>0</v>
      </c>
      <c r="HY53" s="317">
        <f t="shared" si="41"/>
        <v>0</v>
      </c>
      <c r="HZ53" s="535">
        <f t="shared" si="42"/>
        <v>0</v>
      </c>
      <c r="IA53" s="280">
        <f t="shared" si="42"/>
        <v>0</v>
      </c>
      <c r="IB53" s="1">
        <f t="shared" si="42"/>
        <v>0</v>
      </c>
      <c r="IC53" s="280">
        <f t="shared" si="42"/>
        <v>0</v>
      </c>
      <c r="ID53" s="280">
        <f t="shared" si="42"/>
        <v>0</v>
      </c>
      <c r="IE53" s="40">
        <f t="shared" si="42"/>
        <v>0</v>
      </c>
      <c r="IF53" s="535">
        <f>HZ53+IC53</f>
        <v>0</v>
      </c>
      <c r="IG53" s="280">
        <f>IA53+ID53</f>
        <v>0</v>
      </c>
      <c r="IH53" s="1">
        <f>IB53+IE53</f>
        <v>0</v>
      </c>
    </row>
    <row r="54">
      <c r="A54" s="437"/>
      <c r="B54" s="437"/>
      <c r="C54" s="586"/>
      <c r="D54" s="331">
        <f>D53*100/$AX53</f>
        <v>16.255437588073526</v>
      </c>
      <c r="E54" s="331">
        <f>E53*100/$AX53</f>
        <v>10.2243146793272</v>
      </c>
      <c r="F54" s="364"/>
      <c r="G54" s="332">
        <f>G53*100/$AX53</f>
        <v>5.6929051988190178</v>
      </c>
      <c r="H54" s="367"/>
      <c r="I54" s="332">
        <f>I53*100/$AX53</f>
        <v>8.2196226004888828</v>
      </c>
      <c r="J54" s="364"/>
      <c r="K54" s="331">
        <f>K53*100/$AX53</f>
        <v>1.0041968916974242</v>
      </c>
      <c r="L54" s="258"/>
      <c r="M54" s="333">
        <f>M53*100/$AX53</f>
        <v>0.5869200614342881</v>
      </c>
      <c r="N54" s="258"/>
      <c r="O54" s="331">
        <f>O53*100/$AX53</f>
        <v>0.24453021186452942</v>
      </c>
      <c r="P54" s="364"/>
      <c r="Q54" s="331">
        <f>Q53*100/$AX53</f>
        <v>2.9823241541402683</v>
      </c>
      <c r="R54" s="364"/>
      <c r="S54" s="331">
        <f>S53*100/$AX53</f>
        <v>0.014111899384614515</v>
      </c>
      <c r="T54" s="364"/>
      <c r="U54" s="331">
        <f>U53*100/$AX53</f>
        <v>0.77901414014735926</v>
      </c>
      <c r="V54" s="364"/>
      <c r="W54" s="331">
        <f>W53*100/$AX53</f>
        <v>0.02653610262970206</v>
      </c>
      <c r="X54" s="364"/>
      <c r="Y54" s="331">
        <f>Y53*100/$AX53</f>
        <v>0.015318431059590645</v>
      </c>
      <c r="Z54" s="364"/>
      <c r="AA54" s="331"/>
      <c r="AB54" s="364"/>
      <c r="AC54" s="365"/>
      <c r="AD54" s="258"/>
      <c r="AE54" s="365"/>
      <c r="AF54" s="364"/>
      <c r="AG54" s="332">
        <f>AG53*100/$AX53</f>
        <v>51.157494017728084</v>
      </c>
      <c r="AH54" s="364"/>
      <c r="AI54" s="369"/>
      <c r="AJ54" s="364"/>
      <c r="AK54" s="365"/>
      <c r="AL54" s="364"/>
      <c r="AM54" s="331"/>
      <c r="AN54" s="258"/>
      <c r="AO54" s="332">
        <f>AO53*100/$AX53</f>
        <v>0.084723631455643322</v>
      </c>
      <c r="AP54" s="364"/>
      <c r="AQ54" s="332">
        <f>AQ53*100/AX53</f>
        <v>0.54029823345266226</v>
      </c>
      <c r="AR54" s="364"/>
      <c r="AS54" s="332">
        <f>AS53*100/$AX53</f>
        <v>0.25748465218048294</v>
      </c>
      <c r="AT54" s="364"/>
      <c r="AU54" s="333">
        <f>AU53*100/$AX53</f>
        <v>1.9147675061167366</v>
      </c>
      <c r="AV54" s="369"/>
      <c r="AW54" s="369"/>
      <c r="AX54" s="332">
        <f>SUM(D54:AW54)</f>
        <v>100</v>
      </c>
      <c r="AY54" s="336"/>
      <c r="AZ54" s="336"/>
      <c r="BA54" s="336"/>
      <c r="BB54" s="289"/>
      <c r="BC54" s="290"/>
      <c r="BD54" s="286"/>
      <c r="BE54" s="286"/>
      <c r="BF54" s="522"/>
      <c r="BG54" s="530"/>
      <c r="BH54" s="531"/>
      <c r="BI54" s="530"/>
      <c r="BJ54" s="287"/>
      <c r="BK54" s="217"/>
      <c r="BL54" s="217"/>
      <c r="BM54" s="287"/>
      <c r="BN54" s="287"/>
      <c r="BO54" s="588"/>
      <c r="BP54" s="365"/>
      <c r="BQ54" s="285"/>
      <c r="BW54" s="37"/>
      <c r="BX54" s="298"/>
      <c r="BY54" s="299"/>
      <c r="BZ54" s="296"/>
      <c r="CA54" s="295"/>
      <c r="CB54" s="296"/>
      <c r="CC54" s="295"/>
      <c r="CD54" s="296"/>
      <c r="CE54" s="295"/>
      <c r="CF54" s="296"/>
      <c r="CG54" s="295"/>
      <c r="CH54" s="296"/>
      <c r="CI54" s="298"/>
      <c r="CJ54" s="299"/>
      <c r="CK54" s="148"/>
      <c r="CL54" s="299"/>
      <c r="CM54" s="298"/>
      <c r="CN54" s="299"/>
      <c r="CO54" s="266"/>
      <c r="CP54" s="371"/>
      <c r="CQ54" s="298"/>
      <c r="CR54" s="299"/>
      <c r="CS54" s="297"/>
      <c r="CT54" s="583"/>
      <c r="CU54" s="587"/>
      <c r="CV54" s="546">
        <f t="shared" si="53"/>
        <v>0</v>
      </c>
      <c r="CW54" s="338"/>
      <c r="DA54" s="360"/>
      <c r="DB54" s="360"/>
      <c r="DC54" s="360"/>
      <c r="DD54" s="361"/>
      <c r="DE54" s="361"/>
      <c r="DF54" s="361"/>
      <c r="EF54" s="437"/>
      <c r="EG54" s="437"/>
      <c r="EH54" s="342"/>
      <c r="EI54" s="343"/>
      <c r="EJ54" s="344"/>
      <c r="EK54" s="343"/>
      <c r="EL54" s="343"/>
      <c r="EM54" s="344"/>
      <c r="EN54" s="345"/>
      <c r="EO54" s="344"/>
      <c r="EP54" s="346"/>
      <c r="EQ54" s="344"/>
      <c r="ER54" s="344"/>
      <c r="ES54" s="347"/>
      <c r="ET54" s="344"/>
      <c r="EU54" s="344"/>
      <c r="EV54" s="344"/>
      <c r="EW54" s="344"/>
      <c r="EX54" s="344"/>
      <c r="EY54" s="344"/>
      <c r="EZ54" s="348"/>
      <c r="FA54" s="349"/>
      <c r="FB54" s="344"/>
      <c r="FC54" s="350"/>
      <c r="FD54" s="350"/>
      <c r="FE54" s="347"/>
      <c r="FF54" s="350"/>
      <c r="FG54" s="350"/>
      <c r="FH54" s="344"/>
      <c r="FI54" s="350"/>
      <c r="FJ54" s="350"/>
      <c r="FK54" s="344"/>
      <c r="FL54" s="351"/>
      <c r="FM54" s="350"/>
      <c r="FN54" s="344"/>
      <c r="FO54" s="350"/>
      <c r="FP54" s="350"/>
      <c r="FQ54" s="347"/>
      <c r="FR54" s="351"/>
      <c r="FS54" s="350"/>
      <c r="FT54" s="344"/>
      <c r="FU54" s="350"/>
      <c r="FV54" s="350"/>
      <c r="FW54" s="347"/>
      <c r="FX54" s="351"/>
      <c r="FY54" s="352"/>
      <c r="FZ54" s="344"/>
      <c r="GA54" s="350"/>
      <c r="GB54" s="350"/>
      <c r="GC54" s="347"/>
      <c r="GD54" s="351"/>
      <c r="GE54" s="350"/>
      <c r="GF54" s="344"/>
      <c r="GG54" s="350"/>
      <c r="GH54" s="350"/>
      <c r="GI54" s="347"/>
      <c r="GJ54" s="351"/>
      <c r="GK54" s="350"/>
      <c r="GL54" s="344"/>
      <c r="GM54" s="350"/>
      <c r="GN54" s="350"/>
      <c r="GO54" s="347"/>
      <c r="GP54" s="351"/>
      <c r="GQ54" s="350"/>
      <c r="GR54" s="344"/>
      <c r="GS54" s="350"/>
      <c r="GT54" s="350"/>
      <c r="GU54" s="347"/>
      <c r="GV54" s="351"/>
      <c r="GW54" s="350"/>
      <c r="GX54" s="344"/>
      <c r="GY54" s="350"/>
      <c r="GZ54" s="350"/>
      <c r="HA54" s="347"/>
      <c r="HB54" s="351"/>
      <c r="HC54" s="350"/>
      <c r="HD54" s="344"/>
      <c r="HE54" s="350"/>
      <c r="HF54" s="350"/>
      <c r="HG54" s="347"/>
      <c r="HH54" s="351"/>
      <c r="HI54" s="350"/>
      <c r="HJ54" s="344"/>
      <c r="HK54" s="350"/>
      <c r="HL54" s="350"/>
      <c r="HM54" s="347"/>
      <c r="HN54" s="351"/>
      <c r="HO54" s="350"/>
      <c r="HP54" s="344"/>
      <c r="HQ54" s="350"/>
      <c r="HR54" s="350"/>
      <c r="HS54" s="347"/>
      <c r="HT54" s="342"/>
      <c r="HU54" s="343"/>
      <c r="HV54" s="344"/>
      <c r="HW54" s="343"/>
      <c r="HX54" s="343"/>
      <c r="HY54" s="344"/>
      <c r="HZ54" s="535"/>
      <c r="IA54" s="280"/>
      <c r="IC54" s="280"/>
      <c r="ID54" s="280"/>
      <c r="IE54" s="40"/>
      <c r="IF54" s="535"/>
      <c r="IG54" s="280"/>
    </row>
    <row r="55">
      <c r="A55" s="283" t="s">
        <v>209</v>
      </c>
      <c r="B55" s="283"/>
      <c r="C55" s="284">
        <f>D55+E55</f>
        <v>244343.85999999999</v>
      </c>
      <c r="D55" s="285">
        <f>'Расход-2026'!I1205</f>
        <v>169691.70999999999</v>
      </c>
      <c r="E55" s="285">
        <f>'Расход-2026'!J1205</f>
        <v>74652.149999999994</v>
      </c>
      <c r="F55" s="217">
        <f>BX36</f>
        <v>211106.53830000001</v>
      </c>
      <c r="G55" s="286">
        <f>F55*$AX$128/$F$153</f>
        <v>407730.49363546912</v>
      </c>
      <c r="H55" s="217">
        <f>BY36</f>
        <v>0</v>
      </c>
      <c r="I55" s="286">
        <f>H55*$AX$143/$H$153</f>
        <v>0</v>
      </c>
      <c r="J55" s="217">
        <f>BZ36</f>
        <v>337</v>
      </c>
      <c r="K55" s="285">
        <f>J55*$AX$142/$J$153</f>
        <v>8063.8807095279117</v>
      </c>
      <c r="L55" s="258">
        <f>CA36</f>
        <v>243</v>
      </c>
      <c r="M55" s="287">
        <f>L55*$AX$140/$L$153</f>
        <v>10275.74702157235</v>
      </c>
      <c r="N55" s="258">
        <f>CD36</f>
        <v>261</v>
      </c>
      <c r="O55" s="285">
        <f>N55*$AX$138/$N$153</f>
        <v>4274.7044236113825</v>
      </c>
      <c r="P55" s="217">
        <f>CC36+CB36</f>
        <v>1989</v>
      </c>
      <c r="Q55" s="285">
        <f>P55*($AX$139+$AX$137)/$P$153</f>
        <v>48455.145288972366</v>
      </c>
      <c r="R55" s="217">
        <f>CE36</f>
        <v>19</v>
      </c>
      <c r="S55" s="285">
        <f>R55*$AX$136/$R$153</f>
        <v>45.700580021482281</v>
      </c>
      <c r="T55" s="217">
        <f>CF36</f>
        <v>2341</v>
      </c>
      <c r="U55" s="285">
        <f>T55*$AX$135/$T$153</f>
        <v>64426.666838442274</v>
      </c>
      <c r="V55" s="217">
        <f>CG36</f>
        <v>140</v>
      </c>
      <c r="W55" s="285">
        <f>V55*$AX$134/$V$153</f>
        <v>27.79238438419738</v>
      </c>
      <c r="X55" s="217">
        <f>CH36</f>
        <v>77</v>
      </c>
      <c r="Y55" s="285">
        <f>X55*$AX$148/$X$153</f>
        <v>195.21508009634334</v>
      </c>
      <c r="Z55" s="217">
        <f>CI36</f>
        <v>0</v>
      </c>
      <c r="AA55" s="285"/>
      <c r="AB55" s="217">
        <f>CJ36</f>
        <v>0</v>
      </c>
      <c r="AC55" s="285"/>
      <c r="AD55" s="258">
        <f>CK36</f>
        <v>0</v>
      </c>
      <c r="AE55" s="285"/>
      <c r="AF55" s="217">
        <f>CL36</f>
        <v>5</v>
      </c>
      <c r="AG55" s="286">
        <f>AF55*($AX$113+$AX$114)/$AF$153</f>
        <v>61495.466348607748</v>
      </c>
      <c r="AH55" s="217">
        <f>CM36</f>
        <v>0</v>
      </c>
      <c r="AI55" s="287"/>
      <c r="AJ55" s="217"/>
      <c r="AK55" s="285"/>
      <c r="AL55" s="217">
        <f>CO36</f>
        <v>0</v>
      </c>
      <c r="AM55" s="285"/>
      <c r="AN55" s="258">
        <v>0.40000000000000002</v>
      </c>
      <c r="AO55" s="286">
        <f>$CQ$142*AN55/100</f>
        <v>1548.0393200000001</v>
      </c>
      <c r="AP55" s="217">
        <f>'2026'!T1172</f>
        <v>437</v>
      </c>
      <c r="AQ55" s="286">
        <f>AP55*$AX$133/$AP$153</f>
        <v>45700.443570970427</v>
      </c>
      <c r="AR55" s="217">
        <f>CS36</f>
        <v>135</v>
      </c>
      <c r="AS55" s="286">
        <f>$AX$145*AR55/$AR$153</f>
        <v>2855.7997943045311</v>
      </c>
      <c r="AT55" s="217">
        <f>CT36</f>
        <v>216</v>
      </c>
      <c r="AU55" s="287">
        <f>AT55*$AX$125/$AT$153</f>
        <v>85100.920821314445</v>
      </c>
      <c r="AV55" s="287"/>
      <c r="AW55" s="287"/>
      <c r="AX55" s="286">
        <f>C55+G55+I55+K55+M55+O55+Q55+S55+U55+W55+Y55+AA55+AC55+AE55+AG55+AI55+AK55+AO55+AU55+AS55+AW55+AQ55+AM55</f>
        <v>984539.8758172947</v>
      </c>
      <c r="AY55" s="288">
        <f t="shared" si="37"/>
        <v>740196.01581729471</v>
      </c>
      <c r="AZ55" s="288">
        <f>AY55-G55-I55-AG55-AI55-AK55-AM55</f>
        <v>270970.05583321786</v>
      </c>
      <c r="BA55" s="288">
        <f>AZ55+I55</f>
        <v>270970.05583321786</v>
      </c>
      <c r="BB55" s="289">
        <f>BF55+BH55</f>
        <v>0</v>
      </c>
      <c r="BC55" s="290" t="e">
        <f>AX55/BB55</f>
        <v>#DIV/0!</v>
      </c>
      <c r="BD55" s="286">
        <f>'зарплата'!CH51</f>
        <v>12350698.118754042</v>
      </c>
      <c r="BE55" s="286" t="e">
        <f>#REF!</f>
        <v>#REF!</v>
      </c>
      <c r="BF55" s="291">
        <f>HZ55</f>
        <v>0</v>
      </c>
      <c r="BG55" s="287">
        <f>IB55</f>
        <v>0</v>
      </c>
      <c r="BH55" s="292">
        <f>IC55</f>
        <v>0</v>
      </c>
      <c r="BI55" s="287">
        <f>IE55</f>
        <v>0</v>
      </c>
      <c r="BJ55" s="287"/>
      <c r="BK55" s="217">
        <f>BI55+BG55</f>
        <v>0</v>
      </c>
      <c r="BL55" s="293">
        <f>(BG55*13%)+(BI55*52%)</f>
        <v>0</v>
      </c>
      <c r="BM55" s="287" t="e">
        <f>AX55/BB55</f>
        <v>#DIV/0!</v>
      </c>
      <c r="BN55" s="287" t="e">
        <f>BL55/BB55</f>
        <v>#DIV/0!</v>
      </c>
      <c r="BO55" s="217" t="e">
        <f>BN55-BM55</f>
        <v>#DIV/0!</v>
      </c>
      <c r="BP55" s="285">
        <f>BL55-AX55</f>
        <v>-984539.8758172947</v>
      </c>
      <c r="BQ55" s="285" t="e">
        <f>BK55-AX55-BD55-BE55</f>
        <v>#REF!</v>
      </c>
      <c r="BW55" s="37"/>
      <c r="BX55" s="298"/>
      <c r="BY55" s="299"/>
      <c r="BZ55" s="296"/>
      <c r="CA55" s="295"/>
      <c r="CB55" s="296"/>
      <c r="CC55" s="295"/>
      <c r="CD55" s="296"/>
      <c r="CE55" s="295"/>
      <c r="CF55" s="296"/>
      <c r="CG55" s="295"/>
      <c r="CH55" s="296"/>
      <c r="CI55" s="298"/>
      <c r="CJ55" s="299"/>
      <c r="CK55" s="148"/>
      <c r="CL55" s="299"/>
      <c r="CM55" s="298"/>
      <c r="CN55" s="299"/>
      <c r="CO55" s="266"/>
      <c r="CP55" s="371"/>
      <c r="CQ55" s="298"/>
      <c r="CR55" s="299"/>
      <c r="CS55" s="297"/>
      <c r="CT55" s="583"/>
      <c r="CU55" s="587"/>
      <c r="CV55" s="546">
        <f t="shared" si="53"/>
        <v>0</v>
      </c>
      <c r="CW55" s="303">
        <f t="shared" si="54"/>
        <v>0</v>
      </c>
      <c r="DA55" s="304">
        <f>DB55+DC55</f>
        <v>0</v>
      </c>
      <c r="DB55" s="305"/>
      <c r="DC55" s="305"/>
      <c r="DD55" s="306">
        <f>DE55+DF55</f>
        <v>0</v>
      </c>
      <c r="DE55" s="306"/>
      <c r="DF55" s="306"/>
      <c r="EF55" s="283" t="s">
        <v>209</v>
      </c>
      <c r="EG55" s="283"/>
      <c r="EH55" s="280"/>
      <c r="EI55" s="280"/>
      <c r="EK55" s="280"/>
      <c r="EL55" s="280"/>
      <c r="EN55" s="37"/>
      <c r="ES55" s="38"/>
      <c r="EZ55" s="356">
        <f t="shared" si="38"/>
        <v>0</v>
      </c>
      <c r="FA55" s="357">
        <f t="shared" si="38"/>
        <v>0</v>
      </c>
      <c r="FB55" s="1">
        <f t="shared" si="38"/>
        <v>0</v>
      </c>
      <c r="FC55" s="281">
        <f t="shared" si="38"/>
        <v>0</v>
      </c>
      <c r="FD55" s="281">
        <f t="shared" si="38"/>
        <v>0</v>
      </c>
      <c r="FE55" s="38">
        <f t="shared" si="38"/>
        <v>0</v>
      </c>
      <c r="FF55" s="281"/>
      <c r="FG55" s="281"/>
      <c r="FI55" s="281"/>
      <c r="FJ55" s="281"/>
      <c r="FL55" s="282"/>
      <c r="FM55" s="281"/>
      <c r="FO55" s="281"/>
      <c r="FP55" s="281"/>
      <c r="FQ55" s="38"/>
      <c r="FR55" s="282"/>
      <c r="FS55" s="281"/>
      <c r="FU55" s="281"/>
      <c r="FV55" s="281"/>
      <c r="FW55" s="38"/>
      <c r="FX55" s="323">
        <f t="shared" si="39"/>
        <v>0</v>
      </c>
      <c r="FY55" s="322">
        <f t="shared" si="39"/>
        <v>0</v>
      </c>
      <c r="FZ55" s="324">
        <f t="shared" si="39"/>
        <v>0</v>
      </c>
      <c r="GA55" s="322">
        <f t="shared" si="39"/>
        <v>0</v>
      </c>
      <c r="GB55" s="322">
        <f t="shared" si="39"/>
        <v>0</v>
      </c>
      <c r="GC55" s="325">
        <f t="shared" si="39"/>
        <v>0</v>
      </c>
      <c r="GD55" s="282"/>
      <c r="GE55" s="281"/>
      <c r="GG55" s="281"/>
      <c r="GH55" s="281"/>
      <c r="GI55" s="38"/>
      <c r="GJ55" s="282"/>
      <c r="GK55" s="281"/>
      <c r="GM55" s="281"/>
      <c r="GN55" s="281"/>
      <c r="GO55" s="38"/>
      <c r="GP55" s="282"/>
      <c r="GQ55" s="281"/>
      <c r="GS55" s="281"/>
      <c r="GT55" s="281"/>
      <c r="GU55" s="38"/>
      <c r="GV55" s="323">
        <f t="shared" si="40"/>
        <v>0</v>
      </c>
      <c r="GW55" s="322">
        <f t="shared" si="40"/>
        <v>0</v>
      </c>
      <c r="GX55" s="322">
        <f t="shared" si="40"/>
        <v>0</v>
      </c>
      <c r="GY55" s="322">
        <f t="shared" si="40"/>
        <v>0</v>
      </c>
      <c r="GZ55" s="322">
        <f t="shared" si="40"/>
        <v>0</v>
      </c>
      <c r="HA55" s="326">
        <f t="shared" si="40"/>
        <v>0</v>
      </c>
      <c r="HB55" s="282"/>
      <c r="HC55" s="281"/>
      <c r="HE55" s="281"/>
      <c r="HF55" s="281"/>
      <c r="HG55" s="38"/>
      <c r="HH55" s="282"/>
      <c r="HI55" s="281"/>
      <c r="HK55" s="281"/>
      <c r="HL55" s="281"/>
      <c r="HM55" s="38"/>
      <c r="HN55" s="282"/>
      <c r="HO55" s="281"/>
      <c r="HQ55" s="281"/>
      <c r="HR55" s="281"/>
      <c r="HS55" s="38"/>
      <c r="HT55" s="315">
        <f t="shared" si="41"/>
        <v>0</v>
      </c>
      <c r="HU55" s="316">
        <f t="shared" si="41"/>
        <v>0</v>
      </c>
      <c r="HV55" s="317">
        <f t="shared" si="41"/>
        <v>0</v>
      </c>
      <c r="HW55" s="316">
        <f t="shared" si="41"/>
        <v>0</v>
      </c>
      <c r="HX55" s="316">
        <f t="shared" si="41"/>
        <v>0</v>
      </c>
      <c r="HY55" s="317">
        <f t="shared" si="41"/>
        <v>0</v>
      </c>
      <c r="HZ55" s="327">
        <f t="shared" si="42"/>
        <v>0</v>
      </c>
      <c r="IA55" s="316">
        <f t="shared" si="42"/>
        <v>0</v>
      </c>
      <c r="IB55" s="317">
        <f t="shared" si="42"/>
        <v>0</v>
      </c>
      <c r="IC55" s="316">
        <f t="shared" si="42"/>
        <v>0</v>
      </c>
      <c r="ID55" s="316">
        <f t="shared" si="42"/>
        <v>0</v>
      </c>
      <c r="IE55" s="328">
        <f t="shared" si="42"/>
        <v>0</v>
      </c>
      <c r="IF55" s="535">
        <f>HZ55+IC55</f>
        <v>0</v>
      </c>
      <c r="IG55" s="280">
        <f>IA55+ID55</f>
        <v>0</v>
      </c>
      <c r="IH55" s="1">
        <f>IB55+IE55</f>
        <v>0</v>
      </c>
    </row>
    <row r="56">
      <c r="A56" s="437"/>
      <c r="B56" s="437"/>
      <c r="C56" s="586"/>
      <c r="D56" s="331">
        <f>D55*100/$AX55</f>
        <v>17.235636074073085</v>
      </c>
      <c r="E56" s="331">
        <f>E55*100/$AX55</f>
        <v>7.582440471294178</v>
      </c>
      <c r="F56" s="364"/>
      <c r="G56" s="332">
        <f>G55*100/$AX55</f>
        <v>41.413304189126961</v>
      </c>
      <c r="H56" s="367"/>
      <c r="I56" s="332">
        <f>I55*100/$AX55</f>
        <v>0</v>
      </c>
      <c r="J56" s="364"/>
      <c r="K56" s="331">
        <f>K55*100/$AX55</f>
        <v>0.81905069643155426</v>
      </c>
      <c r="L56" s="258"/>
      <c r="M56" s="333">
        <f>M55*100/$AX55</f>
        <v>1.0437105976070455</v>
      </c>
      <c r="N56" s="258"/>
      <c r="O56" s="331">
        <f>O55*100/$AX55</f>
        <v>0.43418296491676661</v>
      </c>
      <c r="P56" s="364"/>
      <c r="Q56" s="331">
        <f>Q55*100/$AX55</f>
        <v>4.9216031243781133</v>
      </c>
      <c r="R56" s="364"/>
      <c r="S56" s="331">
        <f>S55*100/$AX55</f>
        <v>0.0046418211333029988</v>
      </c>
      <c r="T56" s="364"/>
      <c r="U56" s="331">
        <f>U55*100/$AX55</f>
        <v>6.5438351884894308</v>
      </c>
      <c r="V56" s="364"/>
      <c r="W56" s="331">
        <f>W55*100/$AX55</f>
        <v>0.0028228805218403295</v>
      </c>
      <c r="X56" s="364"/>
      <c r="Y56" s="331">
        <f>Y55*100/$AX55</f>
        <v>0.019828052158302852</v>
      </c>
      <c r="Z56" s="364"/>
      <c r="AA56" s="331"/>
      <c r="AB56" s="364"/>
      <c r="AC56" s="331"/>
      <c r="AD56" s="258"/>
      <c r="AE56" s="365"/>
      <c r="AF56" s="364"/>
      <c r="AG56" s="332">
        <f>AG55*100/$AX55</f>
        <v>6.2461123067827602</v>
      </c>
      <c r="AH56" s="364"/>
      <c r="AI56" s="369"/>
      <c r="AJ56" s="364"/>
      <c r="AK56" s="365"/>
      <c r="AL56" s="364"/>
      <c r="AM56" s="365"/>
      <c r="AN56" s="258"/>
      <c r="AO56" s="332">
        <f>AO55*100/$AX55</f>
        <v>0.1572348015579286</v>
      </c>
      <c r="AP56" s="217"/>
      <c r="AQ56" s="332">
        <f>AQ55*100/AX55</f>
        <v>4.6418072739850365</v>
      </c>
      <c r="AR56" s="364"/>
      <c r="AS56" s="332">
        <f>AS55*100/$AX55</f>
        <v>0.29006441124935139</v>
      </c>
      <c r="AT56" s="364"/>
      <c r="AU56" s="333">
        <f>AU55*100/$AX55</f>
        <v>8.6437251462943276</v>
      </c>
      <c r="AV56" s="369"/>
      <c r="AW56" s="369"/>
      <c r="AX56" s="332">
        <f>SUM(D56:AW56)</f>
        <v>99.999999999999986</v>
      </c>
      <c r="AY56" s="336"/>
      <c r="AZ56" s="336"/>
      <c r="BA56" s="336"/>
      <c r="BB56" s="289"/>
      <c r="BC56" s="290"/>
      <c r="BD56" s="286"/>
      <c r="BE56" s="286"/>
      <c r="BF56" s="522"/>
      <c r="BG56" s="530"/>
      <c r="BH56" s="531"/>
      <c r="BI56" s="530"/>
      <c r="BJ56" s="287"/>
      <c r="BK56" s="217"/>
      <c r="BL56" s="217"/>
      <c r="BM56" s="287"/>
      <c r="BN56" s="287"/>
      <c r="BO56" s="217"/>
      <c r="BP56" s="285"/>
      <c r="BQ56" s="285"/>
      <c r="BW56" s="37"/>
      <c r="BX56" s="298"/>
      <c r="BY56" s="299"/>
      <c r="BZ56" s="296"/>
      <c r="CA56" s="295"/>
      <c r="CB56" s="296"/>
      <c r="CC56" s="295"/>
      <c r="CD56" s="296"/>
      <c r="CE56" s="295"/>
      <c r="CF56" s="296"/>
      <c r="CG56" s="295"/>
      <c r="CH56" s="296"/>
      <c r="CI56" s="298"/>
      <c r="CJ56" s="299"/>
      <c r="CK56" s="148"/>
      <c r="CL56" s="299"/>
      <c r="CM56" s="298"/>
      <c r="CN56" s="299"/>
      <c r="CO56" s="266"/>
      <c r="CP56" s="371"/>
      <c r="CQ56" s="298"/>
      <c r="CR56" s="299"/>
      <c r="CS56" s="297"/>
      <c r="CT56" s="589"/>
      <c r="CU56" s="590"/>
      <c r="CV56" s="546">
        <f t="shared" si="53"/>
        <v>0</v>
      </c>
      <c r="CW56" s="338"/>
      <c r="DA56" s="360"/>
      <c r="DB56" s="360"/>
      <c r="DC56" s="360"/>
      <c r="DD56" s="361"/>
      <c r="DE56" s="361"/>
      <c r="DF56" s="361"/>
      <c r="EF56" s="437"/>
      <c r="EG56" s="437"/>
      <c r="EH56" s="280"/>
      <c r="EI56" s="280"/>
      <c r="EK56" s="280"/>
      <c r="EL56" s="280"/>
      <c r="EN56" s="37"/>
      <c r="EP56" s="15"/>
      <c r="ES56" s="38"/>
      <c r="EZ56" s="356"/>
      <c r="FA56" s="357"/>
      <c r="FC56" s="281"/>
      <c r="FD56" s="281"/>
      <c r="FE56" s="38"/>
      <c r="FF56" s="281"/>
      <c r="FG56" s="281"/>
      <c r="FI56" s="281"/>
      <c r="FJ56" s="281"/>
      <c r="FL56" s="282"/>
      <c r="FM56" s="281"/>
      <c r="FO56" s="281"/>
      <c r="FP56" s="281"/>
      <c r="FQ56" s="38"/>
      <c r="FR56" s="282"/>
      <c r="FS56" s="281"/>
      <c r="FU56" s="281"/>
      <c r="FV56" s="281"/>
      <c r="FW56" s="38"/>
      <c r="FX56" s="351"/>
      <c r="FY56" s="352"/>
      <c r="FZ56" s="344"/>
      <c r="GA56" s="350"/>
      <c r="GB56" s="350"/>
      <c r="GC56" s="347"/>
      <c r="GD56" s="282"/>
      <c r="GE56" s="281"/>
      <c r="GG56" s="281"/>
      <c r="GH56" s="281"/>
      <c r="GI56" s="38"/>
      <c r="GJ56" s="282"/>
      <c r="GK56" s="281"/>
      <c r="GM56" s="281"/>
      <c r="GN56" s="281"/>
      <c r="GO56" s="38"/>
      <c r="GP56" s="282"/>
      <c r="GQ56" s="281"/>
      <c r="GS56" s="281"/>
      <c r="GT56" s="281"/>
      <c r="GU56" s="38"/>
      <c r="GV56" s="351"/>
      <c r="GW56" s="350"/>
      <c r="GX56" s="344"/>
      <c r="GY56" s="350"/>
      <c r="GZ56" s="350"/>
      <c r="HA56" s="347"/>
      <c r="HB56" s="282"/>
      <c r="HC56" s="281"/>
      <c r="HE56" s="281"/>
      <c r="HF56" s="281"/>
      <c r="HG56" s="38"/>
      <c r="HH56" s="282"/>
      <c r="HI56" s="281"/>
      <c r="HK56" s="281"/>
      <c r="HL56" s="281"/>
      <c r="HM56" s="38"/>
      <c r="HN56" s="282"/>
      <c r="HO56" s="281"/>
      <c r="HQ56" s="281"/>
      <c r="HR56" s="281"/>
      <c r="HS56" s="38"/>
      <c r="HT56" s="342"/>
      <c r="HU56" s="343"/>
      <c r="HV56" s="344"/>
      <c r="HW56" s="343"/>
      <c r="HX56" s="343"/>
      <c r="HY56" s="344"/>
      <c r="HZ56" s="534"/>
      <c r="IA56" s="343"/>
      <c r="IB56" s="344"/>
      <c r="IC56" s="343"/>
      <c r="ID56" s="343"/>
      <c r="IE56" s="355"/>
      <c r="IF56" s="535"/>
      <c r="IG56" s="280"/>
    </row>
    <row r="57" ht="13.5">
      <c r="A57" s="283" t="s">
        <v>210</v>
      </c>
      <c r="B57" s="283"/>
      <c r="C57" s="284">
        <f>D57+E57</f>
        <v>749199.92000000004</v>
      </c>
      <c r="D57" s="285">
        <f>'Расход-2026'!I1206</f>
        <v>230063.20999999999</v>
      </c>
      <c r="E57" s="285">
        <f>'Расход-2026'!J1206</f>
        <v>519136.71000000002</v>
      </c>
      <c r="F57" s="217">
        <f>BX37</f>
        <v>12424.4228</v>
      </c>
      <c r="G57" s="286">
        <f>F57*$AX$128/$F$153</f>
        <v>23996.4905027282</v>
      </c>
      <c r="H57" s="217">
        <f>BY37</f>
        <v>7959.0803999999989</v>
      </c>
      <c r="I57" s="286">
        <f>H57*$AX$143/$H$153</f>
        <v>3049.7876608427241</v>
      </c>
      <c r="J57" s="217">
        <f>BZ37</f>
        <v>952.5</v>
      </c>
      <c r="K57" s="285">
        <f>J57*$AX$142/$J$153</f>
        <v>22791.829008383786</v>
      </c>
      <c r="L57" s="258">
        <f>CA37</f>
        <v>331</v>
      </c>
      <c r="M57" s="287">
        <f>L57*$AX$140/$L$153</f>
        <v>13997.005202224063</v>
      </c>
      <c r="N57" s="258">
        <f>CD37</f>
        <v>261</v>
      </c>
      <c r="O57" s="285">
        <f>N57*$AX$138/$N$153</f>
        <v>4274.7044236113825</v>
      </c>
      <c r="P57" s="217">
        <f>CC37+CB37</f>
        <v>2202</v>
      </c>
      <c r="Q57" s="285">
        <f>P57*($AX$139+$AX$137)/$P$153</f>
        <v>53644.157831230346</v>
      </c>
      <c r="R57" s="217">
        <f>CE37</f>
        <v>56</v>
      </c>
      <c r="S57" s="285">
        <f>R57*$AX$136/$R$153</f>
        <v>134.69644637910568</v>
      </c>
      <c r="T57" s="217">
        <f>CF37</f>
        <v>633</v>
      </c>
      <c r="U57" s="285">
        <f>T57*$AX$135/$T$153</f>
        <v>17420.794578698828</v>
      </c>
      <c r="V57" s="217">
        <f>CG37</f>
        <v>540</v>
      </c>
      <c r="W57" s="285">
        <f>V57*$AX$134/$V$153</f>
        <v>107.19919691047561</v>
      </c>
      <c r="X57" s="217">
        <f>CH37</f>
        <v>549</v>
      </c>
      <c r="Y57" s="285">
        <f>X57*$AX$148/$X$153</f>
        <v>1391.8581684791234</v>
      </c>
      <c r="Z57" s="217">
        <f>CI37</f>
        <v>0</v>
      </c>
      <c r="AA57" s="285"/>
      <c r="AB57" s="217">
        <f>CJ37</f>
        <v>0</v>
      </c>
      <c r="AC57" s="285"/>
      <c r="AD57" s="258">
        <f>CK37</f>
        <v>0</v>
      </c>
      <c r="AE57" s="285"/>
      <c r="AF57" s="217">
        <f>CL37</f>
        <v>46</v>
      </c>
      <c r="AG57" s="286">
        <f>AF57*($AX$113+$AX$114)/$AF$153</f>
        <v>565758.29040719126</v>
      </c>
      <c r="AH57" s="217">
        <f>CM37</f>
        <v>0</v>
      </c>
      <c r="AI57" s="287"/>
      <c r="AJ57" s="217"/>
      <c r="AK57" s="285"/>
      <c r="AL57" s="217">
        <f>CO37</f>
        <v>0</v>
      </c>
      <c r="AM57" s="285"/>
      <c r="AN57" s="258">
        <v>1.7</v>
      </c>
      <c r="AO57" s="286">
        <f>$CQ$142*AN57/100</f>
        <v>6579.1671099999985</v>
      </c>
      <c r="AP57" s="217">
        <f>'2026'!T1173</f>
        <v>78</v>
      </c>
      <c r="AQ57" s="286">
        <f>AP57*$AX$133/$AP$153</f>
        <v>8157.0585778848808</v>
      </c>
      <c r="AR57" s="217">
        <f>CS37</f>
        <v>890</v>
      </c>
      <c r="AS57" s="286">
        <f>$AX$145*AR57/$AR$153</f>
        <v>18827.124569859501</v>
      </c>
      <c r="AT57" s="217">
        <f>CT37</f>
        <v>83</v>
      </c>
      <c r="AU57" s="287">
        <f>AT57*$AX$125/$AT$153</f>
        <v>32700.816797079166</v>
      </c>
      <c r="AV57" s="287"/>
      <c r="AW57" s="287"/>
      <c r="AX57" s="286">
        <f>C57+G57+I57+K57+M57+O57+Q57+S57+U57+W57+Y57+AA57+AC57+AE57+AG57+AI57+AK57+AO57+AU57+AS57+AW57+AQ57+AM57</f>
        <v>1522030.900481503</v>
      </c>
      <c r="AY57" s="288">
        <f t="shared" si="37"/>
        <v>772830.98048150295</v>
      </c>
      <c r="AZ57" s="288">
        <f>AY57-G57-I57-AG57-AI57-AK57-AM57</f>
        <v>180026.41191074078</v>
      </c>
      <c r="BA57" s="288">
        <f>AZ57+I57</f>
        <v>183076.19957158351</v>
      </c>
      <c r="BB57" s="289">
        <f>BF57+BH57</f>
        <v>0</v>
      </c>
      <c r="BC57" s="290" t="e">
        <f>AX57/BB57</f>
        <v>#DIV/0!</v>
      </c>
      <c r="BD57" s="286">
        <f>'зарплата'!CH53</f>
        <v>10927748.819991369</v>
      </c>
      <c r="BE57" s="286" t="e">
        <f>#REF!</f>
        <v>#REF!</v>
      </c>
      <c r="BF57" s="291">
        <f>HZ57</f>
        <v>0</v>
      </c>
      <c r="BG57" s="287">
        <f>IB57</f>
        <v>0</v>
      </c>
      <c r="BH57" s="292">
        <f>IC57</f>
        <v>0</v>
      </c>
      <c r="BI57" s="287">
        <f>IE57</f>
        <v>0</v>
      </c>
      <c r="BJ57" s="287"/>
      <c r="BK57" s="217">
        <f>BI57+BG57</f>
        <v>0</v>
      </c>
      <c r="BL57" s="293">
        <f>(BG57*13%)+(BI57*52%)</f>
        <v>0</v>
      </c>
      <c r="BM57" s="287" t="e">
        <f>AX57/BB57</f>
        <v>#DIV/0!</v>
      </c>
      <c r="BN57" s="287" t="e">
        <f>BL57/BB57</f>
        <v>#DIV/0!</v>
      </c>
      <c r="BO57" s="217" t="e">
        <f>BN57-BM57</f>
        <v>#DIV/0!</v>
      </c>
      <c r="BP57" s="285">
        <f>BL57-AX57</f>
        <v>-1522030.900481503</v>
      </c>
      <c r="BQ57" s="285" t="e">
        <f>BK57-AX57-BD57-BE57</f>
        <v>#REF!</v>
      </c>
      <c r="BW57" s="37"/>
      <c r="BX57" s="298"/>
      <c r="BY57" s="299"/>
      <c r="BZ57" s="296"/>
      <c r="CA57" s="295"/>
      <c r="CB57" s="296"/>
      <c r="CC57" s="295"/>
      <c r="CD57" s="296"/>
      <c r="CE57" s="295"/>
      <c r="CF57" s="296"/>
      <c r="CG57" s="295"/>
      <c r="CH57" s="296"/>
      <c r="CI57" s="298"/>
      <c r="CJ57" s="299"/>
      <c r="CK57" s="148"/>
      <c r="CL57" s="299"/>
      <c r="CM57" s="298"/>
      <c r="CN57" s="299"/>
      <c r="CO57" s="266"/>
      <c r="CP57" s="371"/>
      <c r="CQ57" s="298"/>
      <c r="CR57" s="299"/>
      <c r="CS57" s="297"/>
      <c r="CT57" s="582"/>
      <c r="CU57" s="545"/>
      <c r="CV57" s="546">
        <f t="shared" si="53"/>
        <v>0</v>
      </c>
      <c r="CW57" s="303">
        <f t="shared" si="54"/>
        <v>0</v>
      </c>
      <c r="DA57" s="304">
        <f>DB57+DC57</f>
        <v>0</v>
      </c>
      <c r="DB57" s="305"/>
      <c r="DC57" s="305"/>
      <c r="DD57" s="306">
        <f>DE57+DF57</f>
        <v>0</v>
      </c>
      <c r="DE57" s="306"/>
      <c r="DF57" s="306"/>
      <c r="EF57" s="283" t="s">
        <v>210</v>
      </c>
      <c r="EG57" s="283"/>
      <c r="EH57" s="315"/>
      <c r="EI57" s="316"/>
      <c r="EJ57" s="317"/>
      <c r="EK57" s="316"/>
      <c r="EL57" s="316"/>
      <c r="EM57" s="317"/>
      <c r="EN57" s="318"/>
      <c r="EO57" s="317"/>
      <c r="EP57" s="317"/>
      <c r="EQ57" s="317"/>
      <c r="ER57" s="317"/>
      <c r="ES57" s="319"/>
      <c r="ET57" s="317"/>
      <c r="EU57" s="317"/>
      <c r="EV57" s="317"/>
      <c r="EW57" s="317"/>
      <c r="EX57" s="317"/>
      <c r="EY57" s="317"/>
      <c r="EZ57" s="320">
        <f t="shared" si="38"/>
        <v>0</v>
      </c>
      <c r="FA57" s="321">
        <f t="shared" si="38"/>
        <v>0</v>
      </c>
      <c r="FB57" s="317">
        <f t="shared" si="38"/>
        <v>0</v>
      </c>
      <c r="FC57" s="322">
        <f t="shared" si="38"/>
        <v>0</v>
      </c>
      <c r="FD57" s="322">
        <f t="shared" si="38"/>
        <v>0</v>
      </c>
      <c r="FE57" s="319">
        <f t="shared" si="38"/>
        <v>0</v>
      </c>
      <c r="FF57" s="322"/>
      <c r="FG57" s="322"/>
      <c r="FH57" s="317"/>
      <c r="FI57" s="322"/>
      <c r="FJ57" s="322"/>
      <c r="FK57" s="317"/>
      <c r="FL57" s="323"/>
      <c r="FM57" s="322"/>
      <c r="FN57" s="317"/>
      <c r="FO57" s="322"/>
      <c r="FP57" s="322"/>
      <c r="FQ57" s="319"/>
      <c r="FR57" s="323"/>
      <c r="FS57" s="322"/>
      <c r="FT57" s="317"/>
      <c r="FU57" s="322"/>
      <c r="FV57" s="322"/>
      <c r="FW57" s="319"/>
      <c r="FX57" s="323">
        <f t="shared" si="39"/>
        <v>0</v>
      </c>
      <c r="FY57" s="322">
        <f t="shared" si="39"/>
        <v>0</v>
      </c>
      <c r="FZ57" s="324">
        <f t="shared" si="39"/>
        <v>0</v>
      </c>
      <c r="GA57" s="322">
        <f t="shared" si="39"/>
        <v>0</v>
      </c>
      <c r="GB57" s="322">
        <f t="shared" si="39"/>
        <v>0</v>
      </c>
      <c r="GC57" s="325">
        <f t="shared" si="39"/>
        <v>0</v>
      </c>
      <c r="GD57" s="323"/>
      <c r="GE57" s="322"/>
      <c r="GF57" s="317"/>
      <c r="GG57" s="322"/>
      <c r="GH57" s="322"/>
      <c r="GI57" s="319"/>
      <c r="GJ57" s="323"/>
      <c r="GK57" s="322"/>
      <c r="GL57" s="317"/>
      <c r="GM57" s="322"/>
      <c r="GN57" s="322"/>
      <c r="GO57" s="319"/>
      <c r="GP57" s="323"/>
      <c r="GQ57" s="322"/>
      <c r="GR57" s="317"/>
      <c r="GS57" s="322"/>
      <c r="GT57" s="322"/>
      <c r="GU57" s="319"/>
      <c r="GV57" s="323">
        <f t="shared" si="40"/>
        <v>0</v>
      </c>
      <c r="GW57" s="322">
        <f t="shared" si="40"/>
        <v>0</v>
      </c>
      <c r="GX57" s="322">
        <f t="shared" si="40"/>
        <v>0</v>
      </c>
      <c r="GY57" s="322">
        <f t="shared" si="40"/>
        <v>0</v>
      </c>
      <c r="GZ57" s="322">
        <f t="shared" si="40"/>
        <v>0</v>
      </c>
      <c r="HA57" s="326">
        <f t="shared" si="40"/>
        <v>0</v>
      </c>
      <c r="HB57" s="323"/>
      <c r="HC57" s="322"/>
      <c r="HD57" s="317"/>
      <c r="HE57" s="322"/>
      <c r="HF57" s="322"/>
      <c r="HG57" s="319"/>
      <c r="HH57" s="323"/>
      <c r="HI57" s="322"/>
      <c r="HJ57" s="317"/>
      <c r="HK57" s="322"/>
      <c r="HL57" s="322"/>
      <c r="HM57" s="319"/>
      <c r="HN57" s="323"/>
      <c r="HO57" s="322"/>
      <c r="HP57" s="317"/>
      <c r="HQ57" s="322"/>
      <c r="HR57" s="322"/>
      <c r="HS57" s="319"/>
      <c r="HT57" s="315">
        <f t="shared" si="41"/>
        <v>0</v>
      </c>
      <c r="HU57" s="316">
        <f t="shared" si="41"/>
        <v>0</v>
      </c>
      <c r="HV57" s="317">
        <f t="shared" si="41"/>
        <v>0</v>
      </c>
      <c r="HW57" s="316">
        <f t="shared" si="41"/>
        <v>0</v>
      </c>
      <c r="HX57" s="316">
        <f t="shared" si="41"/>
        <v>0</v>
      </c>
      <c r="HY57" s="317">
        <f t="shared" si="41"/>
        <v>0</v>
      </c>
      <c r="HZ57" s="535">
        <f t="shared" si="42"/>
        <v>0</v>
      </c>
      <c r="IA57" s="280">
        <f t="shared" si="42"/>
        <v>0</v>
      </c>
      <c r="IB57" s="1">
        <f t="shared" si="42"/>
        <v>0</v>
      </c>
      <c r="IC57" s="280">
        <f t="shared" si="42"/>
        <v>0</v>
      </c>
      <c r="ID57" s="280">
        <f t="shared" si="42"/>
        <v>0</v>
      </c>
      <c r="IE57" s="40">
        <f t="shared" si="42"/>
        <v>0</v>
      </c>
      <c r="IF57" s="535">
        <f>HZ57+IC57</f>
        <v>0</v>
      </c>
      <c r="IG57" s="280">
        <f>IA57+ID57</f>
        <v>0</v>
      </c>
      <c r="IH57" s="1">
        <f>IB57+IE57</f>
        <v>0</v>
      </c>
    </row>
    <row r="58">
      <c r="A58" s="437"/>
      <c r="B58" s="437"/>
      <c r="C58" s="284"/>
      <c r="D58" s="331">
        <f>D57*100/$AX57</f>
        <v>15.115541341980522</v>
      </c>
      <c r="E58" s="331">
        <f>E57*100/$AX57</f>
        <v>34.10815837153951</v>
      </c>
      <c r="F58" s="217"/>
      <c r="G58" s="332">
        <f>G57*100/$AX57</f>
        <v>1.5766099423564119</v>
      </c>
      <c r="H58" s="367"/>
      <c r="I58" s="332">
        <f>I57*100/$AX57</f>
        <v>0.20037619866179501</v>
      </c>
      <c r="J58" s="217"/>
      <c r="K58" s="331">
        <f>K57*100/$AX57</f>
        <v>1.4974616481947549</v>
      </c>
      <c r="L58" s="258"/>
      <c r="M58" s="333">
        <f>M57*100/$AX57</f>
        <v>0.91962687471036453</v>
      </c>
      <c r="N58" s="258"/>
      <c r="O58" s="331">
        <f>O57*100/$AX57</f>
        <v>0.28085529815847077</v>
      </c>
      <c r="P58" s="217"/>
      <c r="Q58" s="331">
        <f>Q57*100/$AX57</f>
        <v>3.524511743766813</v>
      </c>
      <c r="R58" s="217"/>
      <c r="S58" s="331">
        <f>S57*100/$AX57</f>
        <v>0.0088497839522504902</v>
      </c>
      <c r="T58" s="217"/>
      <c r="U58" s="331">
        <f>U57*100/$AX57</f>
        <v>1.1445756175638524</v>
      </c>
      <c r="V58" s="217"/>
      <c r="W58" s="331">
        <f>W57*100/$AX57</f>
        <v>0.0070431682350576806</v>
      </c>
      <c r="X58" s="217"/>
      <c r="Y58" s="331">
        <f>Y57*100/$AX57</f>
        <v>0.09144743172026279</v>
      </c>
      <c r="Z58" s="217"/>
      <c r="AA58" s="331"/>
      <c r="AB58" s="217"/>
      <c r="AC58" s="285"/>
      <c r="AD58" s="258"/>
      <c r="AE58" s="285"/>
      <c r="AF58" s="217"/>
      <c r="AG58" s="332">
        <f>AG57*100/$AX57</f>
        <v>37.17127492143625</v>
      </c>
      <c r="AH58" s="217"/>
      <c r="AI58" s="287"/>
      <c r="AJ58" s="217"/>
      <c r="AK58" s="285"/>
      <c r="AL58" s="217"/>
      <c r="AM58" s="331"/>
      <c r="AN58" s="258"/>
      <c r="AO58" s="332">
        <f>AO57*100/$AX57</f>
        <v>0.43226238757167429</v>
      </c>
      <c r="AP58" s="217"/>
      <c r="AQ58" s="332">
        <f>AQ57*100/AX57</f>
        <v>0.53593252116657741</v>
      </c>
      <c r="AR58" s="217"/>
      <c r="AS58" s="332">
        <f>AS57*100/$AX57</f>
        <v>1.2369738724689121</v>
      </c>
      <c r="AT58" s="217"/>
      <c r="AU58" s="333">
        <f>AU57*100/$AX57</f>
        <v>2.148498876516507</v>
      </c>
      <c r="AV58" s="287"/>
      <c r="AW58" s="287"/>
      <c r="AX58" s="332">
        <f>SUM(D58:AW58)</f>
        <v>99.999999999999986</v>
      </c>
      <c r="AY58" s="336"/>
      <c r="AZ58" s="336"/>
      <c r="BA58" s="336"/>
      <c r="BB58" s="289"/>
      <c r="BC58" s="290"/>
      <c r="BD58" s="286"/>
      <c r="BE58" s="286"/>
      <c r="BF58" s="522"/>
      <c r="BG58" s="530"/>
      <c r="BH58" s="531"/>
      <c r="BI58" s="530"/>
      <c r="BJ58" s="287"/>
      <c r="BK58" s="217"/>
      <c r="BL58" s="217"/>
      <c r="BM58" s="287"/>
      <c r="BN58" s="287"/>
      <c r="BO58" s="217"/>
      <c r="BP58" s="285"/>
      <c r="BQ58" s="285"/>
      <c r="BW58" s="37"/>
      <c r="BX58" s="298"/>
      <c r="BY58" s="299"/>
      <c r="BZ58" s="296"/>
      <c r="CA58" s="295"/>
      <c r="CB58" s="296"/>
      <c r="CC58" s="295"/>
      <c r="CD58" s="296"/>
      <c r="CE58" s="295"/>
      <c r="CF58" s="296"/>
      <c r="CG58" s="295"/>
      <c r="CH58" s="296"/>
      <c r="CI58" s="298"/>
      <c r="CJ58" s="299"/>
      <c r="CK58" s="148"/>
      <c r="CL58" s="299"/>
      <c r="CM58" s="298"/>
      <c r="CN58" s="299"/>
      <c r="CO58" s="266"/>
      <c r="CP58" s="371"/>
      <c r="CQ58" s="298"/>
      <c r="CR58" s="299"/>
      <c r="CS58" s="297"/>
      <c r="CT58" s="583"/>
      <c r="CU58" s="545"/>
      <c r="CV58" s="546">
        <f t="shared" si="53"/>
        <v>0</v>
      </c>
      <c r="CW58" s="338"/>
      <c r="DA58" s="360"/>
      <c r="DB58" s="360"/>
      <c r="DC58" s="360"/>
      <c r="DD58" s="361"/>
      <c r="DE58" s="361"/>
      <c r="DF58" s="361"/>
      <c r="EF58" s="437"/>
      <c r="EG58" s="437"/>
      <c r="EH58" s="342"/>
      <c r="EI58" s="343"/>
      <c r="EJ58" s="344"/>
      <c r="EK58" s="343"/>
      <c r="EL58" s="343"/>
      <c r="EM58" s="344"/>
      <c r="EN58" s="345"/>
      <c r="EO58" s="344"/>
      <c r="EP58" s="346"/>
      <c r="EQ58" s="344"/>
      <c r="ER58" s="344"/>
      <c r="ES58" s="347"/>
      <c r="ET58" s="344"/>
      <c r="EU58" s="344"/>
      <c r="EV58" s="344"/>
      <c r="EW58" s="344"/>
      <c r="EX58" s="344"/>
      <c r="EY58" s="344"/>
      <c r="EZ58" s="348"/>
      <c r="FA58" s="349"/>
      <c r="FB58" s="344"/>
      <c r="FC58" s="350"/>
      <c r="FD58" s="350"/>
      <c r="FE58" s="347"/>
      <c r="FF58" s="350"/>
      <c r="FG58" s="350"/>
      <c r="FH58" s="344"/>
      <c r="FI58" s="350"/>
      <c r="FJ58" s="350"/>
      <c r="FK58" s="344"/>
      <c r="FL58" s="351"/>
      <c r="FM58" s="350"/>
      <c r="FN58" s="344"/>
      <c r="FO58" s="350"/>
      <c r="FP58" s="350"/>
      <c r="FQ58" s="347"/>
      <c r="FR58" s="351"/>
      <c r="FS58" s="350"/>
      <c r="FT58" s="344"/>
      <c r="FU58" s="350"/>
      <c r="FV58" s="350"/>
      <c r="FW58" s="347"/>
      <c r="FX58" s="351"/>
      <c r="FY58" s="352"/>
      <c r="FZ58" s="344"/>
      <c r="GA58" s="350"/>
      <c r="GB58" s="350"/>
      <c r="GC58" s="347"/>
      <c r="GD58" s="351"/>
      <c r="GE58" s="350"/>
      <c r="GF58" s="344"/>
      <c r="GG58" s="350"/>
      <c r="GH58" s="350"/>
      <c r="GI58" s="347"/>
      <c r="GJ58" s="351"/>
      <c r="GK58" s="350"/>
      <c r="GL58" s="344"/>
      <c r="GM58" s="350"/>
      <c r="GN58" s="350"/>
      <c r="GO58" s="347"/>
      <c r="GP58" s="351"/>
      <c r="GQ58" s="350"/>
      <c r="GR58" s="344"/>
      <c r="GS58" s="350"/>
      <c r="GT58" s="350"/>
      <c r="GU58" s="347"/>
      <c r="GV58" s="351"/>
      <c r="GW58" s="350"/>
      <c r="GX58" s="344"/>
      <c r="GY58" s="350"/>
      <c r="GZ58" s="350"/>
      <c r="HA58" s="347"/>
      <c r="HB58" s="351"/>
      <c r="HC58" s="350"/>
      <c r="HD58" s="344"/>
      <c r="HE58" s="350"/>
      <c r="HF58" s="350"/>
      <c r="HG58" s="347"/>
      <c r="HH58" s="351"/>
      <c r="HI58" s="350"/>
      <c r="HJ58" s="344"/>
      <c r="HK58" s="350"/>
      <c r="HL58" s="350"/>
      <c r="HM58" s="347"/>
      <c r="HN58" s="351"/>
      <c r="HO58" s="350"/>
      <c r="HP58" s="344"/>
      <c r="HQ58" s="350"/>
      <c r="HR58" s="350"/>
      <c r="HS58" s="347"/>
      <c r="HT58" s="342"/>
      <c r="HU58" s="343"/>
      <c r="HV58" s="344"/>
      <c r="HW58" s="343"/>
      <c r="HX58" s="343"/>
      <c r="HY58" s="344"/>
      <c r="HZ58" s="535"/>
      <c r="IA58" s="280"/>
      <c r="IC58" s="280"/>
      <c r="ID58" s="280"/>
      <c r="IE58" s="40"/>
      <c r="IF58" s="535"/>
      <c r="IG58" s="280"/>
    </row>
    <row r="59">
      <c r="A59" s="283" t="s">
        <v>211</v>
      </c>
      <c r="B59" s="283"/>
      <c r="C59" s="284">
        <f>D59+E59</f>
        <v>517409.95999999996</v>
      </c>
      <c r="D59" s="285">
        <f>'Расход-2026'!I1207</f>
        <v>400108.82999999996</v>
      </c>
      <c r="E59" s="285">
        <f>'Расход-2026'!J1207</f>
        <v>117301.13</v>
      </c>
      <c r="F59" s="217">
        <f>BX38</f>
        <v>128401.25805</v>
      </c>
      <c r="G59" s="286">
        <f>F59*$AX$128/$F$153</f>
        <v>247993.77958509093</v>
      </c>
      <c r="H59" s="217">
        <f>BY38</f>
        <v>6539.1769999999997</v>
      </c>
      <c r="I59" s="286">
        <f>H59*$AX$143/$H$153</f>
        <v>2505.7042176212399</v>
      </c>
      <c r="J59" s="217">
        <f>BZ38</f>
        <v>94</v>
      </c>
      <c r="K59" s="285">
        <f>J59*$AX$142/$J$153</f>
        <v>2249.2723640819695</v>
      </c>
      <c r="L59" s="258">
        <f>CA38</f>
        <v>2255</v>
      </c>
      <c r="M59" s="287">
        <f>L59*$AX$140/$L$153</f>
        <v>95357.240879200195</v>
      </c>
      <c r="N59" s="258">
        <f>CD38</f>
        <v>2388</v>
      </c>
      <c r="O59" s="285">
        <f>N59*$AX$138/$N$153</f>
        <v>39111.088749363917</v>
      </c>
      <c r="P59" s="217">
        <f>CC38+CB38</f>
        <v>7128</v>
      </c>
      <c r="Q59" s="285">
        <f>P59*($AX$139+$AX$137)/$P$153</f>
        <v>173649.20845640774</v>
      </c>
      <c r="R59" s="217">
        <f>CE38</f>
        <v>27</v>
      </c>
      <c r="S59" s="285">
        <f>R59*$AX$136/$R$153</f>
        <v>64.942929504211662</v>
      </c>
      <c r="T59" s="217">
        <f>CF38</f>
        <v>32</v>
      </c>
      <c r="U59" s="285">
        <f>T59*$AX$135/$T$153</f>
        <v>880.67207980783962</v>
      </c>
      <c r="V59" s="217">
        <f>CG38</f>
        <v>1364</v>
      </c>
      <c r="W59" s="285">
        <f>V59*$AX$134/$V$153</f>
        <v>270.77723071460872</v>
      </c>
      <c r="X59" s="217">
        <f>CH38</f>
        <v>1599</v>
      </c>
      <c r="Y59" s="285">
        <f>X59*$AX$148/$X$153</f>
        <v>4053.8819879747143</v>
      </c>
      <c r="Z59" s="217">
        <f>CI38</f>
        <v>0</v>
      </c>
      <c r="AA59" s="285"/>
      <c r="AB59" s="217">
        <f>CJ38</f>
        <v>0</v>
      </c>
      <c r="AC59" s="285"/>
      <c r="AD59" s="258">
        <f>CK38</f>
        <v>0</v>
      </c>
      <c r="AE59" s="285"/>
      <c r="AF59" s="217">
        <f>CL38</f>
        <v>9</v>
      </c>
      <c r="AG59" s="286">
        <f>AF59*($AX$113+$AX$114)/$AF$153</f>
        <v>110691.83942749395</v>
      </c>
      <c r="AH59" s="217">
        <f>CM38</f>
        <v>0</v>
      </c>
      <c r="AI59" s="287"/>
      <c r="AJ59" s="217"/>
      <c r="AK59" s="285"/>
      <c r="AL59" s="217">
        <f>CO38</f>
        <v>0</v>
      </c>
      <c r="AM59" s="285"/>
      <c r="AN59" s="258">
        <v>0.5</v>
      </c>
      <c r="AO59" s="286">
        <f>$CQ$142*AN59/100</f>
        <v>1935.0491499999998</v>
      </c>
      <c r="AP59" s="217">
        <f>'2026'!T1174</f>
        <v>712</v>
      </c>
      <c r="AQ59" s="286">
        <f>AP59*$AX$133/$AP$153</f>
        <v>74459.303941718405</v>
      </c>
      <c r="AR59" s="217">
        <f>CS38</f>
        <v>587</v>
      </c>
      <c r="AS59" s="286">
        <f>$AX$145*AR59/$AR$153</f>
        <v>12417.440587087109</v>
      </c>
      <c r="AT59" s="217">
        <f>CT38</f>
        <v>340</v>
      </c>
      <c r="AU59" s="287">
        <f>AT59*$AX$125/$AT$153</f>
        <v>133955.15314466163</v>
      </c>
      <c r="AV59" s="287"/>
      <c r="AW59" s="287"/>
      <c r="AX59" s="286">
        <f>C59+G59+I59+K59+M59+O59+Q59+S59+U59+W59+Y59+AA59+AC59+AE59+AG59+AI59+AK59+AO59+AU59+AS59+AW59+AQ59+AM59</f>
        <v>1417005.3147307283</v>
      </c>
      <c r="AY59" s="288">
        <f t="shared" si="37"/>
        <v>899595.35473072832</v>
      </c>
      <c r="AZ59" s="288">
        <f>AY59-G59-I59-AG59-AI59-AK59-AM59</f>
        <v>538404.03150052216</v>
      </c>
      <c r="BA59" s="288">
        <f>AZ59+I59</f>
        <v>540909.73571814341</v>
      </c>
      <c r="BB59" s="289">
        <f>BF59+BH59</f>
        <v>0</v>
      </c>
      <c r="BC59" s="290" t="e">
        <f>AX59/BB59</f>
        <v>#DIV/0!</v>
      </c>
      <c r="BD59" s="286">
        <f>'зарплата'!CH55</f>
        <v>15989285.202818299</v>
      </c>
      <c r="BE59" s="286" t="e">
        <f>#REF!</f>
        <v>#REF!</v>
      </c>
      <c r="BF59" s="291">
        <f>HZ59</f>
        <v>0</v>
      </c>
      <c r="BG59" s="287">
        <f>IB59</f>
        <v>0</v>
      </c>
      <c r="BH59" s="292">
        <f>IC59</f>
        <v>0</v>
      </c>
      <c r="BI59" s="287">
        <f>IE59</f>
        <v>0</v>
      </c>
      <c r="BJ59" s="287"/>
      <c r="BK59" s="217">
        <f>BI59+BG59</f>
        <v>0</v>
      </c>
      <c r="BL59" s="293">
        <f>(BG59*13%)+(BI59*52%)</f>
        <v>0</v>
      </c>
      <c r="BM59" s="287" t="e">
        <f>AX59/BB59</f>
        <v>#DIV/0!</v>
      </c>
      <c r="BN59" s="287" t="e">
        <f>BL59/BB59</f>
        <v>#DIV/0!</v>
      </c>
      <c r="BO59" s="217" t="e">
        <f>BN59-BM59</f>
        <v>#DIV/0!</v>
      </c>
      <c r="BP59" s="285">
        <f>BL59-AX59</f>
        <v>-1417005.3147307283</v>
      </c>
      <c r="BQ59" s="285" t="e">
        <f>BK59-AX59-BD59-BE59</f>
        <v>#REF!</v>
      </c>
      <c r="BW59" s="37"/>
      <c r="BX59" s="298"/>
      <c r="BY59" s="299"/>
      <c r="BZ59" s="296"/>
      <c r="CA59" s="295"/>
      <c r="CB59" s="296"/>
      <c r="CC59" s="295"/>
      <c r="CD59" s="296"/>
      <c r="CE59" s="295"/>
      <c r="CF59" s="296"/>
      <c r="CG59" s="295"/>
      <c r="CH59" s="296"/>
      <c r="CI59" s="298"/>
      <c r="CJ59" s="299"/>
      <c r="CK59" s="148"/>
      <c r="CL59" s="299"/>
      <c r="CM59" s="298"/>
      <c r="CN59" s="299"/>
      <c r="CO59" s="266"/>
      <c r="CP59" s="371"/>
      <c r="CQ59" s="298"/>
      <c r="CR59" s="299"/>
      <c r="CS59" s="297"/>
      <c r="CT59" s="466"/>
      <c r="CU59" s="545"/>
      <c r="CV59" s="546">
        <f t="shared" si="53"/>
        <v>0</v>
      </c>
      <c r="CW59" s="303">
        <f t="shared" si="54"/>
        <v>0</v>
      </c>
      <c r="DA59" s="304">
        <f>DB59+DC59</f>
        <v>0</v>
      </c>
      <c r="DB59" s="305"/>
      <c r="DC59" s="305"/>
      <c r="DD59" s="306">
        <f>DE59+DF59</f>
        <v>0</v>
      </c>
      <c r="DE59" s="306"/>
      <c r="DF59" s="306"/>
      <c r="EF59" s="283" t="s">
        <v>211</v>
      </c>
      <c r="EG59" s="283"/>
      <c r="EH59" s="280"/>
      <c r="EI59" s="280"/>
      <c r="EK59" s="280"/>
      <c r="EL59" s="280"/>
      <c r="EN59" s="37"/>
      <c r="ES59" s="38"/>
      <c r="EZ59" s="356">
        <f t="shared" si="38"/>
        <v>0</v>
      </c>
      <c r="FA59" s="357">
        <f t="shared" si="38"/>
        <v>0</v>
      </c>
      <c r="FB59" s="1">
        <f t="shared" si="38"/>
        <v>0</v>
      </c>
      <c r="FC59" s="281">
        <f t="shared" si="38"/>
        <v>0</v>
      </c>
      <c r="FD59" s="281">
        <f t="shared" si="38"/>
        <v>0</v>
      </c>
      <c r="FE59" s="38">
        <f t="shared" si="38"/>
        <v>0</v>
      </c>
      <c r="FF59" s="281"/>
      <c r="FG59" s="281"/>
      <c r="FI59" s="281"/>
      <c r="FJ59" s="281"/>
      <c r="FL59" s="282"/>
      <c r="FM59" s="281"/>
      <c r="FO59" s="281"/>
      <c r="FP59" s="281"/>
      <c r="FQ59" s="38"/>
      <c r="FR59" s="282"/>
      <c r="FS59" s="281"/>
      <c r="FU59" s="281"/>
      <c r="FV59" s="281"/>
      <c r="FW59" s="38"/>
      <c r="FX59" s="323">
        <f t="shared" si="39"/>
        <v>0</v>
      </c>
      <c r="FY59" s="322">
        <f t="shared" si="39"/>
        <v>0</v>
      </c>
      <c r="FZ59" s="324">
        <f t="shared" si="39"/>
        <v>0</v>
      </c>
      <c r="GA59" s="322">
        <f t="shared" si="39"/>
        <v>0</v>
      </c>
      <c r="GB59" s="322">
        <f t="shared" si="39"/>
        <v>0</v>
      </c>
      <c r="GC59" s="325">
        <f t="shared" si="39"/>
        <v>0</v>
      </c>
      <c r="GD59" s="282"/>
      <c r="GE59" s="281"/>
      <c r="GG59" s="281"/>
      <c r="GH59" s="281"/>
      <c r="GI59" s="38"/>
      <c r="GJ59" s="282"/>
      <c r="GK59" s="281"/>
      <c r="GM59" s="281"/>
      <c r="GN59" s="281"/>
      <c r="GO59" s="38"/>
      <c r="GP59" s="282"/>
      <c r="GQ59" s="281"/>
      <c r="GS59" s="281"/>
      <c r="GT59" s="281"/>
      <c r="GU59" s="38"/>
      <c r="GV59" s="323">
        <f t="shared" si="40"/>
        <v>0</v>
      </c>
      <c r="GW59" s="322">
        <f t="shared" si="40"/>
        <v>0</v>
      </c>
      <c r="GX59" s="322">
        <f t="shared" si="40"/>
        <v>0</v>
      </c>
      <c r="GY59" s="322">
        <f t="shared" si="40"/>
        <v>0</v>
      </c>
      <c r="GZ59" s="322">
        <f t="shared" si="40"/>
        <v>0</v>
      </c>
      <c r="HA59" s="326">
        <f t="shared" si="40"/>
        <v>0</v>
      </c>
      <c r="HB59" s="282"/>
      <c r="HC59" s="281"/>
      <c r="HE59" s="281"/>
      <c r="HF59" s="281"/>
      <c r="HG59" s="38"/>
      <c r="HH59" s="282"/>
      <c r="HI59" s="281"/>
      <c r="HK59" s="281"/>
      <c r="HL59" s="281"/>
      <c r="HM59" s="38"/>
      <c r="HN59" s="282"/>
      <c r="HO59" s="281"/>
      <c r="HQ59" s="281"/>
      <c r="HR59" s="281"/>
      <c r="HS59" s="38"/>
      <c r="HT59" s="315">
        <f t="shared" si="41"/>
        <v>0</v>
      </c>
      <c r="HU59" s="316">
        <f t="shared" si="41"/>
        <v>0</v>
      </c>
      <c r="HV59" s="317">
        <f t="shared" si="41"/>
        <v>0</v>
      </c>
      <c r="HW59" s="316">
        <f t="shared" si="41"/>
        <v>0</v>
      </c>
      <c r="HX59" s="316">
        <f t="shared" si="41"/>
        <v>0</v>
      </c>
      <c r="HY59" s="317">
        <f t="shared" si="41"/>
        <v>0</v>
      </c>
      <c r="HZ59" s="327">
        <f t="shared" si="42"/>
        <v>0</v>
      </c>
      <c r="IA59" s="316">
        <f t="shared" si="42"/>
        <v>0</v>
      </c>
      <c r="IB59" s="317">
        <f t="shared" si="42"/>
        <v>0</v>
      </c>
      <c r="IC59" s="316">
        <f t="shared" si="42"/>
        <v>0</v>
      </c>
      <c r="ID59" s="316">
        <f t="shared" si="42"/>
        <v>0</v>
      </c>
      <c r="IE59" s="328">
        <f t="shared" si="42"/>
        <v>0</v>
      </c>
      <c r="IF59" s="535">
        <f>HZ59+IC59</f>
        <v>0</v>
      </c>
      <c r="IG59" s="280">
        <f>IA59+ID59</f>
        <v>0</v>
      </c>
      <c r="IH59" s="1">
        <f>IB59+IE59</f>
        <v>0</v>
      </c>
    </row>
    <row r="60">
      <c r="A60" s="437"/>
      <c r="B60" s="437"/>
      <c r="C60" s="284"/>
      <c r="D60" s="331">
        <f>D59*100/$AX59</f>
        <v>28.23622648698619</v>
      </c>
      <c r="E60" s="331">
        <f>E59*100/$AX59</f>
        <v>8.2781009203406253</v>
      </c>
      <c r="F60" s="217"/>
      <c r="G60" s="332">
        <f>G59*100/$AX59</f>
        <v>17.501259664097795</v>
      </c>
      <c r="H60" s="258"/>
      <c r="I60" s="332">
        <f>I59*100/$AX59</f>
        <v>0.17683096820969904</v>
      </c>
      <c r="J60" s="217"/>
      <c r="K60" s="331">
        <f>K59*100/$AX59</f>
        <v>0.15873422214435348</v>
      </c>
      <c r="L60" s="258"/>
      <c r="M60" s="333">
        <f>M59*100/$AX59</f>
        <v>6.7294907004156723</v>
      </c>
      <c r="N60" s="258"/>
      <c r="O60" s="331">
        <f>O59*100/$AX59</f>
        <v>2.7601229397503104</v>
      </c>
      <c r="P60" s="217"/>
      <c r="Q60" s="331">
        <f>Q59*100/$AX59</f>
        <v>12.25466176105388</v>
      </c>
      <c r="R60" s="217"/>
      <c r="S60" s="331">
        <f>S59*100/$AX59</f>
        <v>0.0045831112155392782</v>
      </c>
      <c r="T60" s="217"/>
      <c r="U60" s="331">
        <f>U59*100/$AX59</f>
        <v>0.062150231241383358</v>
      </c>
      <c r="V60" s="217"/>
      <c r="W60" s="331">
        <f>W59*100/$AX59</f>
        <v>0.019109118921410973</v>
      </c>
      <c r="X60" s="217"/>
      <c r="Y60" s="331">
        <f>Y59*100/$AX59</f>
        <v>0.28608798752071501</v>
      </c>
      <c r="Z60" s="217"/>
      <c r="AA60" s="331"/>
      <c r="AB60" s="217"/>
      <c r="AC60" s="331"/>
      <c r="AD60" s="217"/>
      <c r="AE60" s="285"/>
      <c r="AF60" s="217"/>
      <c r="AG60" s="332">
        <f>AG59*100/$AX59</f>
        <v>7.8116742595653967</v>
      </c>
      <c r="AH60" s="217"/>
      <c r="AI60" s="287"/>
      <c r="AJ60" s="217"/>
      <c r="AK60" s="285"/>
      <c r="AL60" s="217"/>
      <c r="AM60" s="285"/>
      <c r="AN60" s="258"/>
      <c r="AO60" s="332">
        <f>AO59*100/$AX59</f>
        <v>0.13655906085064434</v>
      </c>
      <c r="AP60" s="217"/>
      <c r="AQ60" s="332">
        <f>AQ59*100/AX59</f>
        <v>5.2546947543289777</v>
      </c>
      <c r="AR60" s="217"/>
      <c r="AS60" s="332">
        <f>AS59*100/$AX59</f>
        <v>0.87631573840968824</v>
      </c>
      <c r="AT60" s="217"/>
      <c r="AU60" s="333">
        <f>AU59*100/$AX59</f>
        <v>9.4533980749477262</v>
      </c>
      <c r="AV60" s="287"/>
      <c r="AW60" s="287"/>
      <c r="AX60" s="336">
        <f>SUM(D60:AW60)</f>
        <v>100.00000000000001</v>
      </c>
      <c r="AY60" s="336"/>
      <c r="AZ60" s="336"/>
      <c r="BA60" s="336"/>
      <c r="BB60" s="289"/>
      <c r="BC60" s="290"/>
      <c r="BD60" s="286"/>
      <c r="BE60" s="286"/>
      <c r="BF60" s="522"/>
      <c r="BG60" s="530"/>
      <c r="BH60" s="531"/>
      <c r="BI60" s="530"/>
      <c r="BJ60" s="287"/>
      <c r="BK60" s="217"/>
      <c r="BL60" s="217"/>
      <c r="BM60" s="287"/>
      <c r="BN60" s="287"/>
      <c r="BO60" s="217"/>
      <c r="BP60" s="285"/>
      <c r="BQ60" s="285"/>
      <c r="BW60" s="37"/>
      <c r="BX60" s="298"/>
      <c r="BY60" s="299"/>
      <c r="BZ60" s="296"/>
      <c r="CA60" s="295"/>
      <c r="CB60" s="296"/>
      <c r="CC60" s="295"/>
      <c r="CD60" s="296"/>
      <c r="CE60" s="295"/>
      <c r="CF60" s="296"/>
      <c r="CG60" s="295"/>
      <c r="CH60" s="296"/>
      <c r="CI60" s="298"/>
      <c r="CJ60" s="299"/>
      <c r="CK60" s="148"/>
      <c r="CL60" s="299"/>
      <c r="CM60" s="298"/>
      <c r="CN60" s="299"/>
      <c r="CO60" s="266"/>
      <c r="CP60" s="371"/>
      <c r="CQ60" s="298"/>
      <c r="CR60" s="299"/>
      <c r="CS60" s="297"/>
      <c r="CT60" s="466"/>
      <c r="CU60" s="545"/>
      <c r="CV60" s="546">
        <f t="shared" si="53"/>
        <v>0</v>
      </c>
      <c r="CW60" s="338"/>
      <c r="DA60" s="360"/>
      <c r="DB60" s="360"/>
      <c r="DC60" s="360"/>
      <c r="DD60" s="361"/>
      <c r="DE60" s="361"/>
      <c r="DF60" s="361"/>
      <c r="EF60" s="437"/>
      <c r="EG60" s="437"/>
      <c r="EH60" s="280"/>
      <c r="EI60" s="280"/>
      <c r="EK60" s="280"/>
      <c r="EL60" s="280"/>
      <c r="EN60" s="37"/>
      <c r="EP60" s="15"/>
      <c r="ES60" s="38"/>
      <c r="EZ60" s="356"/>
      <c r="FA60" s="357"/>
      <c r="FC60" s="281"/>
      <c r="FD60" s="281"/>
      <c r="FE60" s="38"/>
      <c r="FF60" s="281"/>
      <c r="FG60" s="281"/>
      <c r="FI60" s="281"/>
      <c r="FJ60" s="281"/>
      <c r="FL60" s="282"/>
      <c r="FM60" s="281"/>
      <c r="FO60" s="281"/>
      <c r="FP60" s="281"/>
      <c r="FQ60" s="38"/>
      <c r="FR60" s="282"/>
      <c r="FS60" s="281"/>
      <c r="FU60" s="281"/>
      <c r="FV60" s="281"/>
      <c r="FW60" s="38"/>
      <c r="FX60" s="351"/>
      <c r="FY60" s="350"/>
      <c r="FZ60" s="344"/>
      <c r="GA60" s="350"/>
      <c r="GB60" s="350"/>
      <c r="GC60" s="347"/>
      <c r="GD60" s="282"/>
      <c r="GE60" s="281"/>
      <c r="GG60" s="281"/>
      <c r="GH60" s="281"/>
      <c r="GI60" s="38"/>
      <c r="GJ60" s="282"/>
      <c r="GK60" s="281"/>
      <c r="GM60" s="281"/>
      <c r="GN60" s="281"/>
      <c r="GO60" s="38"/>
      <c r="GP60" s="282"/>
      <c r="GQ60" s="281"/>
      <c r="GS60" s="281"/>
      <c r="GT60" s="281"/>
      <c r="GU60" s="38"/>
      <c r="GV60" s="351"/>
      <c r="GW60" s="350"/>
      <c r="GX60" s="344"/>
      <c r="GY60" s="350"/>
      <c r="GZ60" s="350"/>
      <c r="HA60" s="347"/>
      <c r="HB60" s="282"/>
      <c r="HC60" s="281"/>
      <c r="HE60" s="281"/>
      <c r="HF60" s="281"/>
      <c r="HG60" s="38"/>
      <c r="HH60" s="282"/>
      <c r="HI60" s="281"/>
      <c r="HK60" s="281"/>
      <c r="HL60" s="281"/>
      <c r="HM60" s="38"/>
      <c r="HN60" s="282"/>
      <c r="HO60" s="281"/>
      <c r="HQ60" s="281"/>
      <c r="HR60" s="281"/>
      <c r="HS60" s="38"/>
      <c r="HT60" s="342"/>
      <c r="HU60" s="343"/>
      <c r="HV60" s="344"/>
      <c r="HW60" s="343"/>
      <c r="HX60" s="343"/>
      <c r="HY60" s="344"/>
      <c r="HZ60" s="534"/>
      <c r="IA60" s="343"/>
      <c r="IB60" s="344"/>
      <c r="IC60" s="343"/>
      <c r="ID60" s="343"/>
      <c r="IE60" s="355"/>
      <c r="IF60" s="535"/>
      <c r="IG60" s="280"/>
    </row>
    <row r="61">
      <c r="A61" s="483" t="s">
        <v>22</v>
      </c>
      <c r="B61" s="483"/>
      <c r="C61" s="248">
        <f>C59+C57+C55+C53+C51+C49+C47+C45+C43+C39+C37+C35+C41</f>
        <v>8515628.2100000009</v>
      </c>
      <c r="D61" s="484">
        <f>D59+D57+D55+D53+D51+D49+D47+D45+D43+D39+D37+D35+D41</f>
        <v>3851533.7400000002</v>
      </c>
      <c r="E61" s="484">
        <f>E59+E57+E55+E53+E51+E49+E47+E45+E43+E39+E37+E35+E41</f>
        <v>4664094.4700000007</v>
      </c>
      <c r="F61" s="484"/>
      <c r="G61" s="485">
        <f>G59+G57+G55+G53+G51+G49+G47+G45+G43+G39+G37+G35+G41</f>
        <v>5946797.3488790225</v>
      </c>
      <c r="H61" s="484"/>
      <c r="I61" s="485">
        <f>I59+I57+I55+I53+I51+I49+I47+I45+I43+I39+I37+I35+I41</f>
        <v>1331381.1505989428</v>
      </c>
      <c r="J61" s="484"/>
      <c r="K61" s="484">
        <f>K59+K57+K55+K53+K51+K49+K47+K45+K43+K39+K37+K35+K41</f>
        <v>142481.83289283072</v>
      </c>
      <c r="L61" s="484"/>
      <c r="M61" s="484">
        <f>M59+M57+M55+M53+M51+M49+M47+M45+M43+M39+M37+M35+M41</f>
        <v>308695.28089497186</v>
      </c>
      <c r="N61" s="486"/>
      <c r="O61" s="484">
        <f>O59+O57+O55+O53+O51+O49+O47+O45+O43+O39+O37+O35+O41</f>
        <v>99579.321438916493</v>
      </c>
      <c r="P61" s="484"/>
      <c r="Q61" s="484">
        <f>Q59+Q57+Q55+Q53+Q51+Q49+Q47+Q45+Q43+Q39+Q37+Q35+Q41</f>
        <v>1063138.5321321036</v>
      </c>
      <c r="R61" s="484"/>
      <c r="S61" s="484">
        <f>S59+S57+S55+S53+S51+S49+S47+S45+S43+S39+S37+S35+S41</f>
        <v>1873.7237808807738</v>
      </c>
      <c r="T61" s="484"/>
      <c r="U61" s="484">
        <f>U59+U57+U55+U53+U51+U49+U47+U45+U43+U39+U37+U35+U41</f>
        <v>152947.97136037715</v>
      </c>
      <c r="V61" s="484"/>
      <c r="W61" s="484">
        <f>W59+W57+W55+W53+W51+W49+W47+W45+W43+W39+W37+W35+W41</f>
        <v>3257.86300092188</v>
      </c>
      <c r="X61" s="484"/>
      <c r="Y61" s="484">
        <f>Y59+Y57+Y55+Y53+Y51+Y49+Y47+Y45+Y43+Y39+Y37+Y35+Y41</f>
        <v>12199.674875631223</v>
      </c>
      <c r="Z61" s="484"/>
      <c r="AA61" s="484">
        <f>AA59+AA57+AA55+AA53+AA51+AA49+AA47+AA45+AA43+AA39+AA37+AA35+AA41</f>
        <v>0</v>
      </c>
      <c r="AB61" s="484"/>
      <c r="AC61" s="484">
        <f>AC59+AC57+AC55+AC53+AC51+AC49+AC47+AC45+AC43+AC39+AC37+AC35+AC41</f>
        <v>0</v>
      </c>
      <c r="AD61" s="484"/>
      <c r="AE61" s="484">
        <f>AE59+AE57+AE55+AE53+AE51+AE49+AE47+AE45+AE43+AE39+AE37+AE35+AE41</f>
        <v>0</v>
      </c>
      <c r="AF61" s="484"/>
      <c r="AG61" s="485">
        <f>AG59+AG57+AG55+AG53+AG51+AG49+AG47+AG45+AG43+AG39+AG37+AG35+AG41</f>
        <v>6764501.2983468529</v>
      </c>
      <c r="AH61" s="484"/>
      <c r="AI61" s="484">
        <f>AI59+AI57+AI55+AI53+AI51+AI49+AI47+AI45+AI43+AI39+AI37+AI35+AI41</f>
        <v>0</v>
      </c>
      <c r="AJ61" s="484"/>
      <c r="AK61" s="484">
        <f>AK59+AK57+AK55+AK53+AK51+AK49+AK47+AK45+AK43+AK39+AK37+AK35+AK41</f>
        <v>0</v>
      </c>
      <c r="AL61" s="484"/>
      <c r="AM61" s="484">
        <f>AM59+AM57+AM55+AM53+AM51+AM49+AM47+AM45+AM43+AM39+AM37+AM35+AM41</f>
        <v>0</v>
      </c>
      <c r="AN61" s="484">
        <f>SUM(AN35:AN60)</f>
        <v>6.4000000000000004</v>
      </c>
      <c r="AO61" s="485">
        <f>AO59+AO57+AO55+AO53+AO51+AO49+AO47+AO45+AO43+AO39+AO37+AO35+AO41</f>
        <v>24768.629119999998</v>
      </c>
      <c r="AP61" s="484"/>
      <c r="AQ61" s="485">
        <f>AQ59+AQ57+AQ55+AQ53+AQ51+AQ49+AQ47+AQ45+AQ43+AQ39+AQ37+AQ35+AQ41</f>
        <v>301915.74505581602</v>
      </c>
      <c r="AR61" s="484"/>
      <c r="AS61" s="485">
        <f>AS59+AS57+AS55+AS53+AS51+AS49+AS47+AS45+AS43+AS39+AS37+AS35+AS41</f>
        <v>92887.532568823663</v>
      </c>
      <c r="AT61" s="591"/>
      <c r="AU61" s="484">
        <f t="shared" ref="AU61:BI61" si="56">AU59+AU57+AU55+AU53+AU51+AU49+AU47+AU45+AU43+AU39+AU37+AU35+AU41</f>
        <v>723357.82698117278</v>
      </c>
      <c r="AV61" s="484">
        <f t="shared" si="56"/>
        <v>0</v>
      </c>
      <c r="AW61" s="484">
        <f t="shared" si="56"/>
        <v>0</v>
      </c>
      <c r="AX61" s="485">
        <f t="shared" si="56"/>
        <v>25485411.941927262</v>
      </c>
      <c r="AY61" s="485">
        <f t="shared" si="37"/>
        <v>16969783.731927261</v>
      </c>
      <c r="AZ61" s="485">
        <f>AY61-G61-I61-AG61-AI61-AK61-AM61</f>
        <v>2927103.9341024421</v>
      </c>
      <c r="BA61" s="485">
        <f>AZ61+I61</f>
        <v>4258485.0847013853</v>
      </c>
      <c r="BB61" s="592">
        <f t="shared" si="56"/>
        <v>0</v>
      </c>
      <c r="BC61" s="485" t="e">
        <f t="shared" si="56"/>
        <v>#DIV/0!</v>
      </c>
      <c r="BD61" s="489">
        <f t="shared" si="56"/>
        <v>173883267.90325066</v>
      </c>
      <c r="BE61" s="489" t="e">
        <f t="shared" si="56"/>
        <v>#REF!</v>
      </c>
      <c r="BF61" s="490">
        <f t="shared" si="56"/>
        <v>0</v>
      </c>
      <c r="BG61" s="484">
        <f t="shared" si="56"/>
        <v>0</v>
      </c>
      <c r="BH61" s="488">
        <f t="shared" si="56"/>
        <v>0</v>
      </c>
      <c r="BI61" s="484">
        <f t="shared" si="56"/>
        <v>0</v>
      </c>
      <c r="BJ61" s="484"/>
      <c r="BK61" s="484">
        <f>BK59+BK57+BK55+BK53+BK51+BK49+BK47+BK45+BK43+BK39+BK37+BK35+BK41</f>
        <v>0</v>
      </c>
      <c r="BL61" s="484">
        <f>BL59+BL57+BL55+BL53+BL51+BL49+BL47+BL45+BL43+BL39+BL37+BL35+BL41</f>
        <v>0</v>
      </c>
      <c r="BM61" s="484"/>
      <c r="BN61" s="484"/>
      <c r="BO61" s="484"/>
      <c r="BP61" s="484"/>
      <c r="BQ61" s="487" t="e">
        <f>SUM(BQ35:BQ60)</f>
        <v>#REF!</v>
      </c>
      <c r="BW61" s="37"/>
      <c r="BX61" s="298"/>
      <c r="BY61" s="299"/>
      <c r="BZ61" s="296"/>
      <c r="CA61" s="295"/>
      <c r="CB61" s="296"/>
      <c r="CC61" s="295"/>
      <c r="CD61" s="296"/>
      <c r="CE61" s="295"/>
      <c r="CF61" s="296"/>
      <c r="CG61" s="295"/>
      <c r="CH61" s="296"/>
      <c r="CI61" s="298"/>
      <c r="CJ61" s="299"/>
      <c r="CK61" s="148"/>
      <c r="CL61" s="299"/>
      <c r="CM61" s="298"/>
      <c r="CN61" s="299"/>
      <c r="CO61" s="266"/>
      <c r="CP61" s="371"/>
      <c r="CQ61" s="298"/>
      <c r="CR61" s="299"/>
      <c r="CS61" s="297"/>
      <c r="CT61" s="583"/>
      <c r="CU61" s="545"/>
      <c r="CV61" s="546">
        <f t="shared" si="53"/>
        <v>0</v>
      </c>
      <c r="CW61" s="303">
        <f t="shared" si="54"/>
        <v>0</v>
      </c>
      <c r="DA61" s="304">
        <f>DB61+DC61</f>
        <v>0</v>
      </c>
      <c r="DB61" s="305"/>
      <c r="DC61" s="305"/>
      <c r="DD61" s="306">
        <f>DE61+DF61</f>
        <v>0</v>
      </c>
      <c r="DE61" s="306"/>
      <c r="DF61" s="306"/>
      <c r="EF61" s="483" t="s">
        <v>22</v>
      </c>
      <c r="EG61" s="483"/>
      <c r="EH61" s="593">
        <f t="shared" ref="EH61:EY61" si="57">SUM(EH35:EH60)</f>
        <v>0</v>
      </c>
      <c r="EI61" s="594">
        <f t="shared" si="57"/>
        <v>0</v>
      </c>
      <c r="EJ61" s="595">
        <f t="shared" si="57"/>
        <v>0</v>
      </c>
      <c r="EK61" s="594">
        <f t="shared" si="57"/>
        <v>0</v>
      </c>
      <c r="EL61" s="594">
        <f t="shared" si="57"/>
        <v>0</v>
      </c>
      <c r="EM61" s="595">
        <f t="shared" si="57"/>
        <v>0</v>
      </c>
      <c r="EN61" s="596">
        <f t="shared" si="57"/>
        <v>0</v>
      </c>
      <c r="EO61" s="595">
        <f t="shared" si="57"/>
        <v>0</v>
      </c>
      <c r="EP61" s="595">
        <f t="shared" si="57"/>
        <v>0</v>
      </c>
      <c r="EQ61" s="595">
        <f t="shared" si="57"/>
        <v>0</v>
      </c>
      <c r="ER61" s="595">
        <f t="shared" si="57"/>
        <v>0</v>
      </c>
      <c r="ES61" s="597">
        <f t="shared" si="57"/>
        <v>0</v>
      </c>
      <c r="ET61" s="595">
        <f t="shared" si="57"/>
        <v>0</v>
      </c>
      <c r="EU61" s="595">
        <f t="shared" si="57"/>
        <v>0</v>
      </c>
      <c r="EV61" s="595">
        <f t="shared" si="57"/>
        <v>0</v>
      </c>
      <c r="EW61" s="595">
        <f t="shared" si="57"/>
        <v>0</v>
      </c>
      <c r="EX61" s="595">
        <f t="shared" si="57"/>
        <v>0</v>
      </c>
      <c r="EY61" s="595">
        <f t="shared" si="57"/>
        <v>0</v>
      </c>
      <c r="EZ61" s="494">
        <f t="shared" ref="EZ61:FE61" si="58">SUM(EZ35:EZ60)</f>
        <v>0</v>
      </c>
      <c r="FA61" s="495">
        <f t="shared" si="58"/>
        <v>0</v>
      </c>
      <c r="FB61" s="496">
        <f t="shared" si="58"/>
        <v>0</v>
      </c>
      <c r="FC61" s="495">
        <f t="shared" si="58"/>
        <v>0</v>
      </c>
      <c r="FD61" s="495">
        <f t="shared" si="58"/>
        <v>0</v>
      </c>
      <c r="FE61" s="497">
        <f t="shared" si="58"/>
        <v>0</v>
      </c>
      <c r="FF61" s="494">
        <f t="shared" ref="FF61:HK61" si="59">SUM(FF35:FF60)</f>
        <v>0</v>
      </c>
      <c r="FG61" s="495">
        <f t="shared" si="59"/>
        <v>0</v>
      </c>
      <c r="FH61" s="496">
        <f t="shared" si="59"/>
        <v>0</v>
      </c>
      <c r="FI61" s="495">
        <f t="shared" si="59"/>
        <v>0</v>
      </c>
      <c r="FJ61" s="495">
        <f t="shared" si="59"/>
        <v>0</v>
      </c>
      <c r="FK61" s="497">
        <f t="shared" si="59"/>
        <v>0</v>
      </c>
      <c r="FL61" s="494">
        <f t="shared" si="59"/>
        <v>0</v>
      </c>
      <c r="FM61" s="495">
        <f t="shared" si="59"/>
        <v>0</v>
      </c>
      <c r="FN61" s="496">
        <f t="shared" si="59"/>
        <v>0</v>
      </c>
      <c r="FO61" s="495">
        <f t="shared" si="59"/>
        <v>0</v>
      </c>
      <c r="FP61" s="495">
        <f t="shared" si="59"/>
        <v>0</v>
      </c>
      <c r="FQ61" s="497">
        <f t="shared" si="59"/>
        <v>0</v>
      </c>
      <c r="FR61" s="494">
        <f t="shared" si="59"/>
        <v>0</v>
      </c>
      <c r="FS61" s="495">
        <f t="shared" si="59"/>
        <v>0</v>
      </c>
      <c r="FT61" s="496">
        <f t="shared" si="59"/>
        <v>0</v>
      </c>
      <c r="FU61" s="495">
        <f t="shared" si="59"/>
        <v>0</v>
      </c>
      <c r="FV61" s="495">
        <f>SUM(FV35:FV60)</f>
        <v>0</v>
      </c>
      <c r="FW61" s="497">
        <f t="shared" si="59"/>
        <v>0</v>
      </c>
      <c r="FX61" s="494">
        <f t="shared" si="59"/>
        <v>0</v>
      </c>
      <c r="FY61" s="495">
        <f t="shared" si="59"/>
        <v>0</v>
      </c>
      <c r="FZ61" s="496">
        <f t="shared" si="59"/>
        <v>0</v>
      </c>
      <c r="GA61" s="495">
        <f t="shared" si="59"/>
        <v>0</v>
      </c>
      <c r="GB61" s="496">
        <f t="shared" si="59"/>
        <v>0</v>
      </c>
      <c r="GC61" s="497">
        <f t="shared" si="59"/>
        <v>0</v>
      </c>
      <c r="GD61" s="494">
        <f t="shared" si="59"/>
        <v>0</v>
      </c>
      <c r="GE61" s="495">
        <f t="shared" si="59"/>
        <v>0</v>
      </c>
      <c r="GF61" s="496">
        <f t="shared" si="59"/>
        <v>0</v>
      </c>
      <c r="GG61" s="495">
        <f t="shared" si="59"/>
        <v>0</v>
      </c>
      <c r="GH61" s="496">
        <f t="shared" si="59"/>
        <v>0</v>
      </c>
      <c r="GI61" s="497">
        <f t="shared" si="59"/>
        <v>0</v>
      </c>
      <c r="GJ61" s="494">
        <f t="shared" si="59"/>
        <v>0</v>
      </c>
      <c r="GK61" s="495">
        <f t="shared" si="59"/>
        <v>0</v>
      </c>
      <c r="GL61" s="496">
        <f t="shared" si="59"/>
        <v>0</v>
      </c>
      <c r="GM61" s="495">
        <f t="shared" si="59"/>
        <v>0</v>
      </c>
      <c r="GN61" s="496">
        <f t="shared" si="59"/>
        <v>0</v>
      </c>
      <c r="GO61" s="497">
        <f t="shared" si="59"/>
        <v>0</v>
      </c>
      <c r="GP61" s="494">
        <f t="shared" si="59"/>
        <v>0</v>
      </c>
      <c r="GQ61" s="495">
        <f t="shared" si="59"/>
        <v>0</v>
      </c>
      <c r="GR61" s="496">
        <f t="shared" si="59"/>
        <v>0</v>
      </c>
      <c r="GS61" s="495">
        <f t="shared" si="59"/>
        <v>0</v>
      </c>
      <c r="GT61" s="496">
        <f t="shared" si="59"/>
        <v>0</v>
      </c>
      <c r="GU61" s="497">
        <f t="shared" si="59"/>
        <v>0</v>
      </c>
      <c r="GV61" s="494">
        <f t="shared" si="59"/>
        <v>0</v>
      </c>
      <c r="GW61" s="495">
        <f t="shared" si="59"/>
        <v>0</v>
      </c>
      <c r="GX61" s="496">
        <f t="shared" si="59"/>
        <v>0</v>
      </c>
      <c r="GY61" s="495">
        <f t="shared" si="59"/>
        <v>0</v>
      </c>
      <c r="GZ61" s="496">
        <f t="shared" si="59"/>
        <v>0</v>
      </c>
      <c r="HA61" s="497">
        <f t="shared" si="59"/>
        <v>0</v>
      </c>
      <c r="HB61" s="494">
        <f t="shared" si="59"/>
        <v>0</v>
      </c>
      <c r="HC61" s="495">
        <f t="shared" si="59"/>
        <v>0</v>
      </c>
      <c r="HD61" s="496">
        <f t="shared" si="59"/>
        <v>0</v>
      </c>
      <c r="HE61" s="495">
        <f t="shared" si="59"/>
        <v>0</v>
      </c>
      <c r="HF61" s="496">
        <f t="shared" si="59"/>
        <v>0</v>
      </c>
      <c r="HG61" s="497">
        <f t="shared" si="59"/>
        <v>0</v>
      </c>
      <c r="HH61" s="494">
        <f t="shared" si="59"/>
        <v>0</v>
      </c>
      <c r="HI61" s="495">
        <f t="shared" si="59"/>
        <v>0</v>
      </c>
      <c r="HJ61" s="496">
        <f t="shared" si="59"/>
        <v>0</v>
      </c>
      <c r="HK61" s="495">
        <f t="shared" si="59"/>
        <v>0</v>
      </c>
      <c r="HL61" s="496">
        <f t="shared" ref="HL61:IH61" si="60">SUM(HL35:HL60)</f>
        <v>0</v>
      </c>
      <c r="HM61" s="497">
        <f t="shared" si="60"/>
        <v>0</v>
      </c>
      <c r="HN61" s="494">
        <f t="shared" si="60"/>
        <v>0</v>
      </c>
      <c r="HO61" s="495">
        <f t="shared" si="60"/>
        <v>0</v>
      </c>
      <c r="HP61" s="496">
        <f t="shared" si="60"/>
        <v>0</v>
      </c>
      <c r="HQ61" s="495">
        <f t="shared" si="60"/>
        <v>0</v>
      </c>
      <c r="HR61" s="496">
        <f t="shared" si="60"/>
        <v>0</v>
      </c>
      <c r="HS61" s="497">
        <f t="shared" si="60"/>
        <v>0</v>
      </c>
      <c r="HT61" s="494">
        <f t="shared" si="60"/>
        <v>0</v>
      </c>
      <c r="HU61" s="495">
        <f t="shared" si="60"/>
        <v>0</v>
      </c>
      <c r="HV61" s="496">
        <f t="shared" si="60"/>
        <v>0</v>
      </c>
      <c r="HW61" s="495">
        <f t="shared" si="60"/>
        <v>0</v>
      </c>
      <c r="HX61" s="496">
        <f t="shared" si="60"/>
        <v>0</v>
      </c>
      <c r="HY61" s="497">
        <f t="shared" si="60"/>
        <v>0</v>
      </c>
      <c r="HZ61" s="494">
        <f t="shared" si="60"/>
        <v>0</v>
      </c>
      <c r="IA61" s="495">
        <f t="shared" si="60"/>
        <v>0</v>
      </c>
      <c r="IB61" s="496">
        <f t="shared" si="60"/>
        <v>0</v>
      </c>
      <c r="IC61" s="495">
        <f t="shared" si="60"/>
        <v>0</v>
      </c>
      <c r="ID61" s="496">
        <f t="shared" si="60"/>
        <v>0</v>
      </c>
      <c r="IE61" s="497">
        <f t="shared" si="60"/>
        <v>0</v>
      </c>
      <c r="IF61" s="494">
        <f t="shared" si="60"/>
        <v>0</v>
      </c>
      <c r="IG61" s="495">
        <f t="shared" si="60"/>
        <v>0</v>
      </c>
      <c r="IH61" s="496">
        <f t="shared" si="60"/>
        <v>0</v>
      </c>
    </row>
    <row r="62" ht="17.25" customHeight="1">
      <c r="A62" s="598"/>
      <c r="B62" s="598"/>
      <c r="C62" s="368"/>
      <c r="D62" s="599">
        <f>D61*100/$AX$61</f>
        <v>15.112699566231688</v>
      </c>
      <c r="E62" s="599">
        <f>E61*100/$AX$61</f>
        <v>18.301036218790237</v>
      </c>
      <c r="F62" s="599"/>
      <c r="G62" s="600">
        <f>G61*100/$AX$61</f>
        <v>23.334122918749703</v>
      </c>
      <c r="H62" s="599"/>
      <c r="I62" s="600">
        <f>I61*100/$AX$61</f>
        <v>5.2240911531377856</v>
      </c>
      <c r="J62" s="599"/>
      <c r="K62" s="599">
        <f>K61*100/$AX$61</f>
        <v>0.55907212022901254</v>
      </c>
      <c r="L62" s="599"/>
      <c r="M62" s="599">
        <f>M61*100/$AX$61</f>
        <v>1.2112626690060386</v>
      </c>
      <c r="N62" s="601"/>
      <c r="O62" s="599">
        <f>O61*100/$AX$61</f>
        <v>0.39073067237768999</v>
      </c>
      <c r="P62" s="599"/>
      <c r="Q62" s="599">
        <f>Q61*100/$AX$61</f>
        <v>4.1715571816325401</v>
      </c>
      <c r="R62" s="599"/>
      <c r="S62" s="599">
        <f>S61*100/$AX$61</f>
        <v>0.0073521424144540578</v>
      </c>
      <c r="T62" s="599"/>
      <c r="U62" s="599">
        <f>U61*100/$AX$61</f>
        <v>0.60013929423190993</v>
      </c>
      <c r="V62" s="599"/>
      <c r="W62" s="599">
        <f>W61*100/$AX$61</f>
        <v>0.012783246385600756</v>
      </c>
      <c r="X62" s="599"/>
      <c r="Y62" s="599">
        <f>Y61*100/$AX$61</f>
        <v>0.047869247330316674</v>
      </c>
      <c r="Z62" s="599"/>
      <c r="AA62" s="599">
        <f>AA61*100/$AX$61</f>
        <v>0</v>
      </c>
      <c r="AB62" s="599"/>
      <c r="AC62" s="599">
        <f>AC61*100/$AX$61</f>
        <v>0</v>
      </c>
      <c r="AD62" s="599"/>
      <c r="AE62" s="599"/>
      <c r="AF62" s="599"/>
      <c r="AG62" s="600">
        <f>AG61*100/$AX$61</f>
        <v>26.542640604597217</v>
      </c>
      <c r="AH62" s="599"/>
      <c r="AI62" s="599"/>
      <c r="AJ62" s="599"/>
      <c r="AK62" s="599"/>
      <c r="AL62" s="599"/>
      <c r="AM62" s="599"/>
      <c r="AN62" s="599"/>
      <c r="AO62" s="600">
        <f>AO61*100/$AX$61</f>
        <v>0.097187477983245577</v>
      </c>
      <c r="AP62" s="599"/>
      <c r="AQ62" s="332">
        <f>AQ61*100/AX61</f>
        <v>1.1846610356692728</v>
      </c>
      <c r="AR62" s="599"/>
      <c r="AS62" s="600">
        <f>AS61*100/$AX$61</f>
        <v>0.36447334177090529</v>
      </c>
      <c r="AT62" s="602"/>
      <c r="AU62" s="599">
        <f>AU61*100/$AX$61</f>
        <v>2.8383211094623997</v>
      </c>
      <c r="AV62" s="599"/>
      <c r="AW62" s="599"/>
      <c r="AX62" s="504">
        <f>SUM(D62:AW62)</f>
        <v>99.999999999999986</v>
      </c>
      <c r="AY62" s="504"/>
      <c r="AZ62" s="504"/>
      <c r="BA62" s="504"/>
      <c r="BB62" s="603"/>
      <c r="BC62" s="507"/>
      <c r="BD62" s="507"/>
      <c r="BE62" s="507"/>
      <c r="BF62" s="604"/>
      <c r="BG62" s="599"/>
      <c r="BH62" s="605"/>
      <c r="BI62" s="599"/>
      <c r="BJ62" s="599"/>
      <c r="BK62" s="599"/>
      <c r="BL62" s="599"/>
      <c r="BM62" s="599"/>
      <c r="BN62" s="599"/>
      <c r="BO62" s="599"/>
      <c r="BP62" s="599"/>
      <c r="BQ62" s="487"/>
      <c r="BW62" s="37" t="s">
        <v>228</v>
      </c>
      <c r="BX62" s="264"/>
      <c r="BY62" s="263"/>
      <c r="BZ62" s="296">
        <f>'2026'!T142</f>
        <v>538.5</v>
      </c>
      <c r="CA62" s="295">
        <f>'2026'!T697</f>
        <v>1324</v>
      </c>
      <c r="CB62" s="296">
        <f>'2026'!T556</f>
        <v>0</v>
      </c>
      <c r="CC62" s="295">
        <f>'2026'!T484</f>
        <v>2942</v>
      </c>
      <c r="CD62" s="296">
        <f>'2026'!T627</f>
        <v>155</v>
      </c>
      <c r="CE62" s="295">
        <f>'2026'!T357</f>
        <v>251</v>
      </c>
      <c r="CF62" s="296">
        <f>'2026'!T903</f>
        <v>0</v>
      </c>
      <c r="CG62" s="295">
        <f>'2026'!T956</f>
        <v>461</v>
      </c>
      <c r="CH62" s="296">
        <f>'2026'!T839</f>
        <v>4248.3000000000002</v>
      </c>
      <c r="CI62" s="558"/>
      <c r="CJ62" s="263"/>
      <c r="CK62" s="558"/>
      <c r="CL62" s="263"/>
      <c r="CM62" s="558"/>
      <c r="CN62" s="556"/>
      <c r="CO62" s="557"/>
      <c r="CP62" s="371"/>
      <c r="CQ62" s="371"/>
      <c r="CR62" s="556"/>
      <c r="CS62" s="297">
        <f>'2026'!T1056</f>
        <v>293</v>
      </c>
      <c r="CT62" s="583"/>
      <c r="CU62" s="545"/>
      <c r="CV62" s="546">
        <f t="shared" si="53"/>
        <v>0</v>
      </c>
      <c r="CW62" s="338"/>
      <c r="DA62" s="360"/>
      <c r="DB62" s="360"/>
      <c r="DC62" s="360"/>
      <c r="DD62" s="361"/>
      <c r="DE62" s="361"/>
      <c r="DF62" s="361"/>
      <c r="EF62" s="598"/>
      <c r="EG62" s="598"/>
      <c r="EH62" s="606"/>
      <c r="EI62" s="607"/>
      <c r="EJ62" s="514"/>
      <c r="EK62" s="607"/>
      <c r="EL62" s="607"/>
      <c r="EM62" s="514"/>
      <c r="EN62" s="608"/>
      <c r="EO62" s="514"/>
      <c r="EP62" s="609"/>
      <c r="EQ62" s="514"/>
      <c r="ER62" s="514"/>
      <c r="ES62" s="516"/>
      <c r="ET62" s="514"/>
      <c r="EU62" s="514"/>
      <c r="EV62" s="514"/>
      <c r="EW62" s="514"/>
      <c r="EX62" s="514"/>
      <c r="EY62" s="514"/>
      <c r="EZ62" s="512"/>
      <c r="FA62" s="513"/>
      <c r="FB62" s="514"/>
      <c r="FC62" s="515"/>
      <c r="FD62" s="515"/>
      <c r="FE62" s="516"/>
      <c r="FF62" s="610"/>
      <c r="FG62" s="515"/>
      <c r="FH62" s="514"/>
      <c r="FI62" s="515"/>
      <c r="FJ62" s="515"/>
      <c r="FK62" s="514"/>
      <c r="FL62" s="610"/>
      <c r="FM62" s="515"/>
      <c r="FN62" s="514"/>
      <c r="FO62" s="515"/>
      <c r="FP62" s="515"/>
      <c r="FQ62" s="516"/>
      <c r="FR62" s="610"/>
      <c r="FS62" s="515"/>
      <c r="FT62" s="514"/>
      <c r="FU62" s="515"/>
      <c r="FV62" s="515"/>
      <c r="FW62" s="516"/>
      <c r="FX62" s="610"/>
      <c r="FY62" s="515"/>
      <c r="FZ62" s="514"/>
      <c r="GA62" s="515"/>
      <c r="GB62" s="515"/>
      <c r="GC62" s="516"/>
      <c r="GD62" s="610"/>
      <c r="GE62" s="515"/>
      <c r="GF62" s="514"/>
      <c r="GG62" s="515"/>
      <c r="GH62" s="515"/>
      <c r="GI62" s="516"/>
      <c r="GJ62" s="610"/>
      <c r="GK62" s="515"/>
      <c r="GL62" s="514"/>
      <c r="GM62" s="515"/>
      <c r="GN62" s="515"/>
      <c r="GO62" s="516"/>
      <c r="GP62" s="610"/>
      <c r="GQ62" s="515"/>
      <c r="GR62" s="514"/>
      <c r="GS62" s="515"/>
      <c r="GT62" s="515"/>
      <c r="GU62" s="516"/>
      <c r="GV62" s="610"/>
      <c r="GW62" s="515"/>
      <c r="GX62" s="514"/>
      <c r="GY62" s="515"/>
      <c r="GZ62" s="515"/>
      <c r="HA62" s="516"/>
      <c r="HB62" s="610"/>
      <c r="HC62" s="515"/>
      <c r="HD62" s="514"/>
      <c r="HE62" s="515"/>
      <c r="HF62" s="515"/>
      <c r="HG62" s="516"/>
      <c r="HH62" s="610"/>
      <c r="HI62" s="515"/>
      <c r="HJ62" s="514"/>
      <c r="HK62" s="515"/>
      <c r="HL62" s="515"/>
      <c r="HM62" s="516"/>
      <c r="HN62" s="610"/>
      <c r="HO62" s="515"/>
      <c r="HP62" s="514"/>
      <c r="HQ62" s="515"/>
      <c r="HR62" s="515"/>
      <c r="HS62" s="516"/>
      <c r="HT62" s="606"/>
      <c r="HU62" s="607"/>
      <c r="HV62" s="514"/>
      <c r="HW62" s="607"/>
      <c r="HX62" s="607"/>
      <c r="HY62" s="514"/>
      <c r="HZ62" s="611"/>
      <c r="IA62" s="607"/>
      <c r="IB62" s="514"/>
      <c r="IC62" s="607"/>
      <c r="ID62" s="607"/>
      <c r="IE62" s="612"/>
      <c r="IF62" s="611"/>
      <c r="IG62" s="607"/>
      <c r="IH62" s="514"/>
    </row>
    <row r="63" s="521" customFormat="1" ht="13.5">
      <c r="A63" s="247"/>
      <c r="B63" s="247"/>
      <c r="C63" s="284"/>
      <c r="D63" s="331"/>
      <c r="E63" s="331"/>
      <c r="F63" s="217"/>
      <c r="G63" s="332"/>
      <c r="H63" s="258"/>
      <c r="I63" s="332"/>
      <c r="J63" s="217"/>
      <c r="K63" s="331"/>
      <c r="L63" s="258"/>
      <c r="M63" s="333"/>
      <c r="N63" s="258"/>
      <c r="O63" s="331"/>
      <c r="P63" s="217"/>
      <c r="Q63" s="331"/>
      <c r="R63" s="217"/>
      <c r="S63" s="331"/>
      <c r="T63" s="217"/>
      <c r="U63" s="331"/>
      <c r="V63" s="217"/>
      <c r="W63" s="331"/>
      <c r="X63" s="217"/>
      <c r="Y63" s="331"/>
      <c r="Z63" s="217"/>
      <c r="AA63" s="331"/>
      <c r="AB63" s="217"/>
      <c r="AC63" s="331"/>
      <c r="AD63" s="217"/>
      <c r="AE63" s="285"/>
      <c r="AF63" s="217"/>
      <c r="AG63" s="332"/>
      <c r="AH63" s="217"/>
      <c r="AI63" s="287"/>
      <c r="AJ63" s="217"/>
      <c r="AK63" s="285"/>
      <c r="AL63" s="217"/>
      <c r="AM63" s="331"/>
      <c r="AN63" s="258"/>
      <c r="AO63" s="332"/>
      <c r="AP63" s="217"/>
      <c r="AQ63" s="332"/>
      <c r="AR63" s="217"/>
      <c r="AS63" s="332"/>
      <c r="AT63" s="613"/>
      <c r="AU63" s="333"/>
      <c r="AV63" s="287"/>
      <c r="AW63" s="287"/>
      <c r="AX63" s="336"/>
      <c r="AY63" s="336"/>
      <c r="AZ63" s="336"/>
      <c r="BA63" s="336"/>
      <c r="BB63" s="289"/>
      <c r="BC63" s="290"/>
      <c r="BD63" s="286"/>
      <c r="BE63" s="286"/>
      <c r="BF63" s="522"/>
      <c r="BG63" s="523"/>
      <c r="BH63" s="292"/>
      <c r="BI63" s="259"/>
      <c r="BJ63" s="287"/>
      <c r="BK63" s="217"/>
      <c r="BL63" s="217"/>
      <c r="BM63" s="287"/>
      <c r="BN63" s="287"/>
      <c r="BO63" s="217"/>
      <c r="BP63" s="285"/>
      <c r="BQ63" s="285"/>
      <c r="BR63" s="1"/>
      <c r="BS63" s="1"/>
      <c r="BT63" s="1"/>
      <c r="BU63" s="1"/>
      <c r="BV63" s="1"/>
      <c r="BW63" s="37"/>
      <c r="BX63" s="371"/>
      <c r="BY63" s="9"/>
      <c r="BZ63" s="371"/>
      <c r="CA63" s="9"/>
      <c r="CB63" s="371"/>
      <c r="CC63" s="9"/>
      <c r="CD63" s="371"/>
      <c r="CE63" s="9"/>
      <c r="CF63" s="371"/>
      <c r="CG63" s="9"/>
      <c r="CH63" s="371"/>
      <c r="CI63" s="371"/>
      <c r="CJ63" s="9"/>
      <c r="CK63" s="371"/>
      <c r="CL63" s="9"/>
      <c r="CM63" s="371"/>
      <c r="CN63" s="9"/>
      <c r="CO63" s="614"/>
      <c r="CP63" s="371"/>
      <c r="CQ63" s="371"/>
      <c r="CR63" s="9"/>
      <c r="CS63" s="614"/>
      <c r="CT63" s="466"/>
      <c r="CU63" s="545"/>
      <c r="CV63" s="546">
        <f t="shared" si="53"/>
        <v>0</v>
      </c>
      <c r="CW63" s="303">
        <f t="shared" si="54"/>
        <v>0</v>
      </c>
      <c r="CX63" s="11"/>
      <c r="CY63" s="11"/>
      <c r="CZ63" s="1"/>
      <c r="DA63" s="525">
        <f t="shared" ref="DA63:DF63" si="61">SUM(DA37:DA62)</f>
        <v>0</v>
      </c>
      <c r="DB63" s="526">
        <f t="shared" si="61"/>
        <v>0</v>
      </c>
      <c r="DC63" s="526">
        <f t="shared" si="61"/>
        <v>0</v>
      </c>
      <c r="DD63" s="525">
        <f t="shared" si="61"/>
        <v>0</v>
      </c>
      <c r="DE63" s="525">
        <f t="shared" si="61"/>
        <v>0</v>
      </c>
      <c r="DF63" s="525">
        <f t="shared" si="61"/>
        <v>0</v>
      </c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247"/>
      <c r="EG63" s="247"/>
      <c r="EH63" s="280"/>
      <c r="EI63" s="280"/>
      <c r="EJ63" s="1"/>
      <c r="EK63" s="280"/>
      <c r="EL63" s="280"/>
      <c r="EM63" s="1"/>
      <c r="EN63" s="37"/>
      <c r="EO63" s="1"/>
      <c r="EP63" s="15"/>
      <c r="EQ63" s="1"/>
      <c r="ER63" s="1"/>
      <c r="ES63" s="38"/>
      <c r="ET63" s="1"/>
      <c r="EU63" s="1"/>
      <c r="EV63" s="1"/>
      <c r="EW63" s="1"/>
      <c r="EX63" s="1"/>
      <c r="EY63" s="1"/>
      <c r="EZ63" s="356"/>
      <c r="FA63" s="357"/>
      <c r="FB63" s="1"/>
      <c r="FC63" s="281"/>
      <c r="FD63" s="281"/>
      <c r="FE63" s="38"/>
      <c r="FF63" s="281"/>
      <c r="FG63" s="281"/>
      <c r="FH63" s="1"/>
      <c r="FI63" s="281"/>
      <c r="FJ63" s="281"/>
      <c r="FK63" s="1"/>
      <c r="FL63" s="282"/>
      <c r="FM63" s="281"/>
      <c r="FN63" s="1"/>
      <c r="FO63" s="281"/>
      <c r="FP63" s="281"/>
      <c r="FQ63" s="38"/>
      <c r="FR63" s="282"/>
      <c r="FS63" s="281"/>
      <c r="FT63" s="1"/>
      <c r="FU63" s="281"/>
      <c r="FV63" s="281"/>
      <c r="FW63" s="38"/>
      <c r="FX63" s="282"/>
      <c r="FY63" s="281"/>
      <c r="FZ63" s="1"/>
      <c r="GA63" s="281"/>
      <c r="GB63" s="281"/>
      <c r="GC63" s="38"/>
      <c r="GD63" s="282"/>
      <c r="GE63" s="281"/>
      <c r="GF63" s="1"/>
      <c r="GG63" s="281"/>
      <c r="GH63" s="281"/>
      <c r="GI63" s="38"/>
      <c r="GJ63" s="282"/>
      <c r="GK63" s="281"/>
      <c r="GL63" s="1"/>
      <c r="GM63" s="281"/>
      <c r="GN63" s="281"/>
      <c r="GO63" s="38"/>
      <c r="GP63" s="282"/>
      <c r="GQ63" s="281"/>
      <c r="GR63" s="1"/>
      <c r="GS63" s="281"/>
      <c r="GT63" s="281"/>
      <c r="GU63" s="38"/>
      <c r="GV63" s="282"/>
      <c r="GW63" s="281"/>
      <c r="GX63" s="1"/>
      <c r="GY63" s="281"/>
      <c r="GZ63" s="281"/>
      <c r="HA63" s="38"/>
      <c r="HB63" s="282"/>
      <c r="HC63" s="281"/>
      <c r="HD63" s="1"/>
      <c r="HE63" s="281"/>
      <c r="HF63" s="281"/>
      <c r="HG63" s="38"/>
      <c r="HH63" s="282"/>
      <c r="HI63" s="281"/>
      <c r="HJ63" s="1"/>
      <c r="HK63" s="281"/>
      <c r="HL63" s="281"/>
      <c r="HM63" s="38"/>
      <c r="HN63" s="282"/>
      <c r="HO63" s="281"/>
      <c r="HP63" s="1"/>
      <c r="HQ63" s="281"/>
      <c r="HR63" s="281"/>
      <c r="HS63" s="38"/>
      <c r="HT63" s="470"/>
      <c r="HU63" s="280"/>
      <c r="HV63" s="1"/>
      <c r="HW63" s="280"/>
      <c r="HX63" s="280"/>
      <c r="HY63" s="1"/>
      <c r="HZ63" s="535"/>
      <c r="IA63" s="280"/>
      <c r="IB63" s="1"/>
      <c r="IC63" s="280"/>
      <c r="ID63" s="280"/>
      <c r="IE63" s="40"/>
      <c r="IF63" s="535"/>
      <c r="IG63" s="280"/>
      <c r="IH63" s="1"/>
    </row>
    <row r="64" s="615" customFormat="1" ht="24">
      <c r="A64" s="283" t="s">
        <v>229</v>
      </c>
      <c r="B64" s="283"/>
      <c r="C64" s="284">
        <f>D64+E64</f>
        <v>308661.59999999998</v>
      </c>
      <c r="D64" s="285">
        <f>'Расход-2026'!I1209</f>
        <v>215041.20999999999</v>
      </c>
      <c r="E64" s="285">
        <f>'Расход-2026'!J1209</f>
        <v>93620.389999999999</v>
      </c>
      <c r="F64" s="217">
        <f>BX40</f>
        <v>0</v>
      </c>
      <c r="G64" s="286"/>
      <c r="H64" s="217">
        <f>BY40</f>
        <v>0</v>
      </c>
      <c r="I64" s="286"/>
      <c r="J64" s="217">
        <f>BZ40</f>
        <v>0</v>
      </c>
      <c r="K64" s="285">
        <f>J64*$AX$142/$J$153</f>
        <v>0</v>
      </c>
      <c r="L64" s="258">
        <f>CA40</f>
        <v>1530</v>
      </c>
      <c r="M64" s="287">
        <f>L64*$AX$140/$L$153</f>
        <v>64699.147913603687</v>
      </c>
      <c r="N64" s="258">
        <f>CD40</f>
        <v>0</v>
      </c>
      <c r="O64" s="285">
        <f>N64*$AX$138/$N$153</f>
        <v>0</v>
      </c>
      <c r="P64" s="217">
        <f>CC40+CB40</f>
        <v>3887</v>
      </c>
      <c r="Q64" s="285">
        <f>P64*($AX$139+$AX$137)/$P$153</f>
        <v>94693.38850590025</v>
      </c>
      <c r="R64" s="217">
        <f>CE40</f>
        <v>0</v>
      </c>
      <c r="S64" s="285">
        <f>R64*$AX$136/$R$153</f>
        <v>0</v>
      </c>
      <c r="T64" s="217">
        <f>CF40</f>
        <v>0</v>
      </c>
      <c r="U64" s="285">
        <f>T64*$AX$135/$T$153</f>
        <v>0</v>
      </c>
      <c r="V64" s="217">
        <f>CG40</f>
        <v>3719.5</v>
      </c>
      <c r="W64" s="285">
        <f>V64*$AX$134/$V$153</f>
        <v>738.38409797872976</v>
      </c>
      <c r="X64" s="217">
        <f>CH40</f>
        <v>12</v>
      </c>
      <c r="Y64" s="285">
        <f>X64*$AX$148/$X$153</f>
        <v>30.423129365663897</v>
      </c>
      <c r="Z64" s="217">
        <f>CI40</f>
        <v>17766</v>
      </c>
      <c r="AA64" s="285">
        <f>Z64*$AX$149/$Z$153</f>
        <v>26500.972723631257</v>
      </c>
      <c r="AB64" s="217">
        <f>CJ40</f>
        <v>0</v>
      </c>
      <c r="AC64" s="285"/>
      <c r="AD64" s="258">
        <f>CK40</f>
        <v>83</v>
      </c>
      <c r="AE64" s="285">
        <f>AD64*$AX$129/$AD$153</f>
        <v>281491.84397704096</v>
      </c>
      <c r="AF64" s="217">
        <f>CL40</f>
        <v>0</v>
      </c>
      <c r="AG64" s="286">
        <f>AF64*($AX$113+$AX$114)/$AF$153</f>
        <v>0</v>
      </c>
      <c r="AH64" s="217">
        <f>CM40</f>
        <v>322</v>
      </c>
      <c r="AI64" s="287">
        <f>AH64*$AX$116/$AH$153</f>
        <v>825864.7258577199</v>
      </c>
      <c r="AJ64" s="217"/>
      <c r="AK64" s="285"/>
      <c r="AL64" s="217">
        <f>CO40</f>
        <v>0</v>
      </c>
      <c r="AM64" s="285"/>
      <c r="AN64" s="258">
        <v>4.2000000000000002</v>
      </c>
      <c r="AO64" s="286">
        <f>$CQ$142*AN64/100</f>
        <v>16254.412859999999</v>
      </c>
      <c r="AP64" s="217">
        <f>'2026'!T1176</f>
        <v>0</v>
      </c>
      <c r="AQ64" s="286">
        <f>AP64*$AX$133/$AP$153</f>
        <v>0</v>
      </c>
      <c r="AR64" s="217">
        <f>CS40</f>
        <v>906</v>
      </c>
      <c r="AS64" s="286">
        <f>$AX$145*AR64/$AR$153</f>
        <v>19165.589730665964</v>
      </c>
      <c r="AT64" s="217">
        <f>CT40</f>
        <v>455</v>
      </c>
      <c r="AU64" s="287">
        <f>AT64*$AX$125/$AT$153</f>
        <v>179263.51376712072</v>
      </c>
      <c r="AV64" s="287"/>
      <c r="AW64" s="287"/>
      <c r="AX64" s="288">
        <f>C64+G64+I64+K64+M64+O64+Q64+S64+U64+W64+Y64+AA64+AC64+AE64+AG64+AI64+AK64+AO64+AU64+AS64+AW64+AQ64+AM64</f>
        <v>1817364.002563027</v>
      </c>
      <c r="AY64" s="288">
        <f t="shared" si="37"/>
        <v>1508702.4025630271</v>
      </c>
      <c r="AZ64" s="288">
        <f t="shared" ref="AZ64:AZ97" si="62">AY64-G64-I64-AG64-AI64-AK64-AM64</f>
        <v>682837.67670530721</v>
      </c>
      <c r="BA64" s="288">
        <f t="shared" ref="BA64:BA97" si="63">AZ64+I64</f>
        <v>682837.67670530721</v>
      </c>
      <c r="BB64" s="289">
        <f>BF64+BH64</f>
        <v>0</v>
      </c>
      <c r="BC64" s="290" t="e">
        <f>AX64/BB64</f>
        <v>#DIV/0!</v>
      </c>
      <c r="BD64" s="286">
        <f>зарплата!CH60</f>
        <v>40124575.851462305</v>
      </c>
      <c r="BE64" s="286" t="e">
        <f>#REF!</f>
        <v>#REF!</v>
      </c>
      <c r="BF64" s="291">
        <f>HZ64</f>
        <v>0</v>
      </c>
      <c r="BG64" s="287">
        <f>IB64</f>
        <v>0</v>
      </c>
      <c r="BH64" s="292">
        <f>IC64</f>
        <v>0</v>
      </c>
      <c r="BI64" s="287">
        <f>IE64</f>
        <v>0</v>
      </c>
      <c r="BJ64" s="287"/>
      <c r="BK64" s="217">
        <f>BI64+BG64</f>
        <v>0</v>
      </c>
      <c r="BL64" s="293">
        <f>(BG64*13%)+(BI64*52%)</f>
        <v>0</v>
      </c>
      <c r="BM64" s="287" t="e">
        <f>AX64/BB64</f>
        <v>#DIV/0!</v>
      </c>
      <c r="BN64" s="287" t="e">
        <f>BL64/BB64</f>
        <v>#DIV/0!</v>
      </c>
      <c r="BO64" s="217" t="e">
        <f>BN64-BM64</f>
        <v>#DIV/0!</v>
      </c>
      <c r="BP64" s="285">
        <f>BL64-AX64</f>
        <v>-1817364.002563027</v>
      </c>
      <c r="BQ64" s="285" t="e">
        <f>BK64-AX64-BD64-BE64</f>
        <v>#REF!</v>
      </c>
      <c r="BR64" s="544"/>
      <c r="BS64" s="544"/>
      <c r="BT64" s="544"/>
      <c r="BU64" s="544"/>
      <c r="BV64" s="544"/>
      <c r="BW64" s="37"/>
      <c r="BX64" s="371"/>
      <c r="BY64" s="9"/>
      <c r="BZ64" s="371"/>
      <c r="CA64" s="9"/>
      <c r="CB64" s="371"/>
      <c r="CC64" s="9"/>
      <c r="CD64" s="371"/>
      <c r="CE64" s="9"/>
      <c r="CF64" s="371"/>
      <c r="CG64" s="9"/>
      <c r="CH64" s="371"/>
      <c r="CI64" s="371"/>
      <c r="CJ64" s="9"/>
      <c r="CK64" s="371"/>
      <c r="CL64" s="9"/>
      <c r="CM64" s="371"/>
      <c r="CN64" s="9"/>
      <c r="CO64" s="614"/>
      <c r="CP64" s="371"/>
      <c r="CQ64" s="371"/>
      <c r="CR64" s="9"/>
      <c r="CS64" s="614"/>
      <c r="CT64" s="583"/>
      <c r="CU64" s="545"/>
      <c r="CV64" s="546">
        <f t="shared" si="53"/>
        <v>0</v>
      </c>
      <c r="CW64" s="616"/>
      <c r="CX64" s="617"/>
      <c r="CY64" s="617"/>
      <c r="CZ64" s="544"/>
      <c r="DA64" s="618"/>
      <c r="DB64" s="618"/>
      <c r="DC64" s="618"/>
      <c r="DD64" s="618"/>
      <c r="DE64" s="618"/>
      <c r="DF64" s="618"/>
      <c r="DJ64" s="544"/>
      <c r="DK64" s="544"/>
      <c r="DL64" s="544"/>
      <c r="DM64" s="544"/>
      <c r="DN64" s="544"/>
      <c r="DO64" s="544"/>
      <c r="DP64" s="544"/>
      <c r="DQ64" s="544"/>
      <c r="DR64" s="544"/>
      <c r="DS64" s="544"/>
      <c r="DT64" s="544"/>
      <c r="DU64" s="544"/>
      <c r="DV64" s="544"/>
      <c r="DW64" s="544"/>
      <c r="DX64" s="544"/>
      <c r="DY64" s="544"/>
      <c r="DZ64" s="544"/>
      <c r="EA64" s="544"/>
      <c r="EB64" s="544"/>
      <c r="EC64" s="544"/>
      <c r="ED64" s="544"/>
      <c r="EE64" s="544"/>
      <c r="EF64" s="283" t="s">
        <v>213</v>
      </c>
      <c r="EG64" s="283"/>
      <c r="EH64" s="315"/>
      <c r="EI64" s="316"/>
      <c r="EJ64" s="317"/>
      <c r="EK64" s="316"/>
      <c r="EL64" s="316"/>
      <c r="EM64" s="619"/>
      <c r="EN64" s="318"/>
      <c r="EO64" s="317"/>
      <c r="EP64" s="317"/>
      <c r="EQ64" s="619"/>
      <c r="ER64" s="619"/>
      <c r="ES64" s="620"/>
      <c r="ET64" s="317"/>
      <c r="EU64" s="317"/>
      <c r="EV64" s="317"/>
      <c r="EW64" s="619"/>
      <c r="EX64" s="619"/>
      <c r="EY64" s="619"/>
      <c r="EZ64" s="320">
        <f t="shared" ref="EZ64:FE70" si="64">EH64+EN64+ET64</f>
        <v>0</v>
      </c>
      <c r="FA64" s="321">
        <f t="shared" si="64"/>
        <v>0</v>
      </c>
      <c r="FB64" s="619">
        <f t="shared" si="64"/>
        <v>0</v>
      </c>
      <c r="FC64" s="621">
        <f t="shared" si="64"/>
        <v>0</v>
      </c>
      <c r="FD64" s="621">
        <f t="shared" si="64"/>
        <v>0</v>
      </c>
      <c r="FE64" s="622">
        <f t="shared" si="64"/>
        <v>0</v>
      </c>
      <c r="FF64" s="321"/>
      <c r="FG64" s="321"/>
      <c r="FH64" s="623"/>
      <c r="FI64" s="624"/>
      <c r="FJ64" s="624"/>
      <c r="FK64" s="619"/>
      <c r="FL64" s="323"/>
      <c r="FM64" s="322"/>
      <c r="FN64" s="317"/>
      <c r="FO64" s="624"/>
      <c r="FP64" s="624"/>
      <c r="FQ64" s="620"/>
      <c r="FR64" s="323"/>
      <c r="FS64" s="322"/>
      <c r="FT64" s="317"/>
      <c r="FU64" s="624"/>
      <c r="FV64" s="624"/>
      <c r="FW64" s="620"/>
      <c r="FX64" s="323">
        <f t="shared" ref="FX64:GC70" si="65">EZ64+FF64+FL64+FR64</f>
        <v>0</v>
      </c>
      <c r="FY64" s="322">
        <f t="shared" si="65"/>
        <v>0</v>
      </c>
      <c r="FZ64" s="324">
        <f t="shared" si="65"/>
        <v>0</v>
      </c>
      <c r="GA64" s="322">
        <f t="shared" si="65"/>
        <v>0</v>
      </c>
      <c r="GB64" s="322">
        <f t="shared" si="65"/>
        <v>0</v>
      </c>
      <c r="GC64" s="325">
        <f t="shared" si="65"/>
        <v>0</v>
      </c>
      <c r="GD64" s="323"/>
      <c r="GE64" s="322"/>
      <c r="GF64" s="317"/>
      <c r="GG64" s="624"/>
      <c r="GH64" s="624"/>
      <c r="GI64" s="620"/>
      <c r="GJ64" s="323"/>
      <c r="GK64" s="322"/>
      <c r="GL64" s="317"/>
      <c r="GM64" s="624"/>
      <c r="GN64" s="624"/>
      <c r="GO64" s="620"/>
      <c r="GP64" s="374"/>
      <c r="GQ64" s="322"/>
      <c r="GR64" s="317"/>
      <c r="GS64" s="624"/>
      <c r="GT64" s="624"/>
      <c r="GU64" s="620"/>
      <c r="GV64" s="323">
        <f t="shared" ref="GV64:HA70" si="66">GD64+GJ64+GP64</f>
        <v>0</v>
      </c>
      <c r="GW64" s="322">
        <f t="shared" si="66"/>
        <v>0</v>
      </c>
      <c r="GX64" s="322">
        <f t="shared" si="66"/>
        <v>0</v>
      </c>
      <c r="GY64" s="322">
        <f t="shared" si="66"/>
        <v>0</v>
      </c>
      <c r="GZ64" s="322">
        <f t="shared" si="66"/>
        <v>0</v>
      </c>
      <c r="HA64" s="326">
        <f t="shared" si="66"/>
        <v>0</v>
      </c>
      <c r="HB64" s="323"/>
      <c r="HC64" s="322"/>
      <c r="HD64" s="317"/>
      <c r="HE64" s="624"/>
      <c r="HF64" s="624"/>
      <c r="HG64" s="620"/>
      <c r="HH64" s="323"/>
      <c r="HI64" s="322"/>
      <c r="HJ64" s="317"/>
      <c r="HK64" s="624"/>
      <c r="HL64" s="624"/>
      <c r="HM64" s="620"/>
      <c r="HN64" s="323"/>
      <c r="HO64" s="322"/>
      <c r="HP64" s="317"/>
      <c r="HQ64" s="624"/>
      <c r="HR64" s="624"/>
      <c r="HS64" s="620"/>
      <c r="HT64" s="315">
        <f t="shared" ref="HT64:HY70" si="67">GV64+HB64+HH64+HN64</f>
        <v>0</v>
      </c>
      <c r="HU64" s="316">
        <f t="shared" si="67"/>
        <v>0</v>
      </c>
      <c r="HV64" s="317">
        <f t="shared" si="67"/>
        <v>0</v>
      </c>
      <c r="HW64" s="316">
        <f t="shared" si="67"/>
        <v>0</v>
      </c>
      <c r="HX64" s="316">
        <f t="shared" si="67"/>
        <v>0</v>
      </c>
      <c r="HY64" s="317">
        <f t="shared" si="67"/>
        <v>0</v>
      </c>
      <c r="HZ64" s="327">
        <f t="shared" ref="HZ64:IE70" si="68">FX64+HT64</f>
        <v>0</v>
      </c>
      <c r="IA64" s="316">
        <f t="shared" si="68"/>
        <v>0</v>
      </c>
      <c r="IB64" s="317">
        <f t="shared" si="68"/>
        <v>0</v>
      </c>
      <c r="IC64" s="316">
        <f t="shared" si="68"/>
        <v>0</v>
      </c>
      <c r="ID64" s="316">
        <f t="shared" si="68"/>
        <v>0</v>
      </c>
      <c r="IE64" s="328">
        <f t="shared" si="68"/>
        <v>0</v>
      </c>
      <c r="IF64" s="327">
        <f>HZ64+IC64</f>
        <v>0</v>
      </c>
      <c r="IG64" s="316">
        <f>IA64+ID64</f>
        <v>0</v>
      </c>
      <c r="IH64" s="317">
        <f>IB64+IE64</f>
        <v>0</v>
      </c>
    </row>
    <row r="65" ht="13.5">
      <c r="A65" s="437"/>
      <c r="B65" s="437"/>
      <c r="C65" s="586"/>
      <c r="D65" s="331">
        <f>D64*100/$AX64</f>
        <v>11.832588831776549</v>
      </c>
      <c r="E65" s="331">
        <f>E64*100/$AX64</f>
        <v>5.1514385598023971</v>
      </c>
      <c r="F65" s="217"/>
      <c r="G65" s="625"/>
      <c r="H65" s="217"/>
      <c r="I65" s="625"/>
      <c r="J65" s="364"/>
      <c r="K65" s="331">
        <f>K64*100/$AX64</f>
        <v>0</v>
      </c>
      <c r="L65" s="258"/>
      <c r="M65" s="333">
        <f>M64*100/$AX64</f>
        <v>3.5600544427180538</v>
      </c>
      <c r="N65" s="258"/>
      <c r="O65" s="331">
        <f>O64*100/$AX64</f>
        <v>0</v>
      </c>
      <c r="P65" s="364"/>
      <c r="Q65" s="331">
        <f>Q64*100/$AX64</f>
        <v>5.2104800343989552</v>
      </c>
      <c r="R65" s="364"/>
      <c r="S65" s="331">
        <f>S64*100/$AX64</f>
        <v>0</v>
      </c>
      <c r="T65" s="364"/>
      <c r="U65" s="331">
        <f>U64*100/$AX64</f>
        <v>0</v>
      </c>
      <c r="V65" s="364"/>
      <c r="W65" s="331">
        <f>W64*100/$AX64</f>
        <v>0.040629400435872355</v>
      </c>
      <c r="X65" s="258"/>
      <c r="Y65" s="331">
        <f>Y64*100/$AX64</f>
        <v>0.0016740250892368388</v>
      </c>
      <c r="Z65" s="258"/>
      <c r="AA65" s="331">
        <f>AA64*100/$AX64</f>
        <v>1.4582094003324022</v>
      </c>
      <c r="AB65" s="364"/>
      <c r="AC65" s="331"/>
      <c r="AD65" s="364"/>
      <c r="AE65" s="331">
        <f>AE64*100/$AX64</f>
        <v>15.489018357360068</v>
      </c>
      <c r="AF65" s="258"/>
      <c r="AG65" s="332"/>
      <c r="AH65" s="364"/>
      <c r="AI65" s="333">
        <f>AI64*100/$AX64</f>
        <v>45.443000119568978</v>
      </c>
      <c r="AJ65" s="364"/>
      <c r="AK65" s="331"/>
      <c r="AL65" s="367"/>
      <c r="AM65" s="331"/>
      <c r="AN65" s="258"/>
      <c r="AO65" s="332">
        <f>AO64*100/$AX64</f>
        <v>0.89439500491241231</v>
      </c>
      <c r="AP65" s="364"/>
      <c r="AQ65" s="332"/>
      <c r="AR65" s="367"/>
      <c r="AS65" s="332">
        <f>AS64*100/$AX64</f>
        <v>1.0545817845867285</v>
      </c>
      <c r="AT65" s="217"/>
      <c r="AU65" s="331">
        <f>AU64*100/$AX64</f>
        <v>9.8639300390183546</v>
      </c>
      <c r="AV65" s="369"/>
      <c r="AW65" s="369"/>
      <c r="AX65" s="336">
        <f>SUM(D65:AW65)</f>
        <v>100.00000000000001</v>
      </c>
      <c r="AY65" s="336"/>
      <c r="AZ65" s="336"/>
      <c r="BA65" s="336"/>
      <c r="BB65" s="289"/>
      <c r="BC65" s="290"/>
      <c r="BD65" s="286"/>
      <c r="BE65" s="286"/>
      <c r="BF65" s="291"/>
      <c r="BG65" s="287"/>
      <c r="BH65" s="531"/>
      <c r="BI65" s="530"/>
      <c r="BJ65" s="287"/>
      <c r="BK65" s="217"/>
      <c r="BL65" s="217"/>
      <c r="BM65" s="287"/>
      <c r="BN65" s="287"/>
      <c r="BO65" s="626"/>
      <c r="BP65" s="627"/>
      <c r="BQ65" s="285"/>
      <c r="BW65" s="37" t="s">
        <v>230</v>
      </c>
      <c r="BX65" s="371"/>
      <c r="BZ65" s="371"/>
      <c r="CA65" s="628">
        <f>'2026'!T705</f>
        <v>1792</v>
      </c>
      <c r="CB65" s="371">
        <f>'2026'!T564</f>
        <v>0</v>
      </c>
      <c r="CC65" s="628">
        <f>'2026'!T492</f>
        <v>114</v>
      </c>
      <c r="CD65" s="629">
        <f>'2026'!T635</f>
        <v>0</v>
      </c>
      <c r="CE65" s="628">
        <f>'2026'!T363</f>
        <v>316</v>
      </c>
      <c r="CF65" s="371"/>
      <c r="CH65" s="371">
        <f>'2026'!T844</f>
        <v>0</v>
      </c>
      <c r="CI65" s="629">
        <f>'2026'!T858</f>
        <v>8946.5</v>
      </c>
      <c r="CK65" s="371"/>
      <c r="CM65" s="371"/>
      <c r="CO65" s="614"/>
      <c r="CP65" s="371"/>
      <c r="CQ65" s="371"/>
      <c r="CS65" s="630">
        <f>'2026'!T1066</f>
        <v>19</v>
      </c>
      <c r="CT65" s="589"/>
      <c r="CU65" s="631"/>
      <c r="CV65" s="546">
        <f t="shared" si="53"/>
        <v>0</v>
      </c>
      <c r="CW65" s="338"/>
      <c r="DA65" s="360"/>
      <c r="DB65" s="360"/>
      <c r="DC65" s="360"/>
      <c r="DD65" s="361"/>
      <c r="DE65" s="361"/>
      <c r="DF65" s="361"/>
      <c r="EF65" s="437"/>
      <c r="EG65" s="437"/>
      <c r="EH65" s="342"/>
      <c r="EI65" s="343"/>
      <c r="EJ65" s="344"/>
      <c r="EK65" s="343"/>
      <c r="EL65" s="343"/>
      <c r="EM65" s="344"/>
      <c r="EN65" s="345"/>
      <c r="EO65" s="344"/>
      <c r="EP65" s="346"/>
      <c r="EQ65" s="344"/>
      <c r="ER65" s="344"/>
      <c r="ES65" s="347"/>
      <c r="ET65" s="344"/>
      <c r="EU65" s="344"/>
      <c r="EV65" s="344"/>
      <c r="EW65" s="344"/>
      <c r="EX65" s="344"/>
      <c r="EY65" s="344"/>
      <c r="EZ65" s="348"/>
      <c r="FA65" s="349"/>
      <c r="FB65" s="344"/>
      <c r="FC65" s="350"/>
      <c r="FD65" s="350"/>
      <c r="FE65" s="347"/>
      <c r="FF65" s="350"/>
      <c r="FG65" s="350"/>
      <c r="FH65" s="344"/>
      <c r="FI65" s="350"/>
      <c r="FJ65" s="350"/>
      <c r="FK65" s="344"/>
      <c r="FL65" s="351"/>
      <c r="FM65" s="350"/>
      <c r="FN65" s="344"/>
      <c r="FO65" s="350"/>
      <c r="FP65" s="350"/>
      <c r="FQ65" s="347"/>
      <c r="FR65" s="351"/>
      <c r="FS65" s="350"/>
      <c r="FT65" s="344"/>
      <c r="FU65" s="350"/>
      <c r="FV65" s="350"/>
      <c r="FW65" s="347"/>
      <c r="FX65" s="351"/>
      <c r="FY65" s="350"/>
      <c r="FZ65" s="344"/>
      <c r="GA65" s="350"/>
      <c r="GB65" s="350"/>
      <c r="GC65" s="347"/>
      <c r="GD65" s="351"/>
      <c r="GE65" s="350"/>
      <c r="GF65" s="344"/>
      <c r="GG65" s="350"/>
      <c r="GH65" s="350"/>
      <c r="GI65" s="347"/>
      <c r="GJ65" s="351"/>
      <c r="GK65" s="350"/>
      <c r="GL65" s="344"/>
      <c r="GM65" s="350"/>
      <c r="GN65" s="350"/>
      <c r="GO65" s="347"/>
      <c r="GP65" s="353"/>
      <c r="GQ65" s="350"/>
      <c r="GR65" s="344"/>
      <c r="GS65" s="350"/>
      <c r="GT65" s="350"/>
      <c r="GU65" s="347"/>
      <c r="GV65" s="351"/>
      <c r="GW65" s="350"/>
      <c r="GX65" s="344"/>
      <c r="GY65" s="350"/>
      <c r="GZ65" s="350"/>
      <c r="HA65" s="347"/>
      <c r="HB65" s="351"/>
      <c r="HC65" s="350"/>
      <c r="HD65" s="344"/>
      <c r="HE65" s="350"/>
      <c r="HF65" s="350"/>
      <c r="HG65" s="347"/>
      <c r="HH65" s="351"/>
      <c r="HI65" s="350"/>
      <c r="HJ65" s="344"/>
      <c r="HK65" s="350"/>
      <c r="HL65" s="350"/>
      <c r="HM65" s="347"/>
      <c r="HN65" s="351"/>
      <c r="HO65" s="350"/>
      <c r="HP65" s="344"/>
      <c r="HQ65" s="350"/>
      <c r="HR65" s="350"/>
      <c r="HS65" s="347"/>
      <c r="HT65" s="342"/>
      <c r="HU65" s="343"/>
      <c r="HV65" s="344"/>
      <c r="HW65" s="343"/>
      <c r="HX65" s="343"/>
      <c r="HY65" s="344"/>
      <c r="HZ65" s="534"/>
      <c r="IA65" s="343"/>
      <c r="IB65" s="344"/>
      <c r="IC65" s="343"/>
      <c r="ID65" s="343"/>
      <c r="IE65" s="355"/>
      <c r="IF65" s="534"/>
      <c r="IG65" s="343"/>
      <c r="IH65" s="344"/>
    </row>
    <row r="66" ht="12.75" customHeight="1">
      <c r="A66" s="283" t="s">
        <v>231</v>
      </c>
      <c r="B66" s="283"/>
      <c r="C66" s="284">
        <f>D66+E66</f>
        <v>401178.59000000003</v>
      </c>
      <c r="D66" s="285">
        <f>'Расход-2026'!I1211</f>
        <v>268626.72000000003</v>
      </c>
      <c r="E66" s="285">
        <f>'Расход-2026'!J1211</f>
        <v>132551.87</v>
      </c>
      <c r="F66" s="217">
        <f>BX41</f>
        <v>0</v>
      </c>
      <c r="G66" s="286"/>
      <c r="H66" s="217">
        <f>BY41</f>
        <v>0</v>
      </c>
      <c r="I66" s="286"/>
      <c r="J66" s="217">
        <f>BZ41</f>
        <v>0</v>
      </c>
      <c r="K66" s="285">
        <f>J66*$AX$142/$J$153</f>
        <v>0</v>
      </c>
      <c r="L66" s="258">
        <f>CA41</f>
        <v>0</v>
      </c>
      <c r="M66" s="287">
        <f>L66*$AX$140/$L$153</f>
        <v>0</v>
      </c>
      <c r="N66" s="258">
        <f>CD41</f>
        <v>1323</v>
      </c>
      <c r="O66" s="285">
        <f>N66*$AX$138/$N$153</f>
        <v>21668.329319685286</v>
      </c>
      <c r="P66" s="217">
        <f>CC41+CB41</f>
        <v>9320</v>
      </c>
      <c r="Q66" s="285">
        <f>P66*($AX$139+$AX$137)/$P$153</f>
        <v>227049.75067532551</v>
      </c>
      <c r="R66" s="217">
        <f>CE41</f>
        <v>3016</v>
      </c>
      <c r="S66" s="285">
        <f>R66*$AX$136/$R$153</f>
        <v>7254.3657549889776</v>
      </c>
      <c r="T66" s="217">
        <f>CF41</f>
        <v>0</v>
      </c>
      <c r="U66" s="285">
        <f>T66*$AX$135/$T$153</f>
        <v>0</v>
      </c>
      <c r="V66" s="217">
        <f>CG41</f>
        <v>906</v>
      </c>
      <c r="W66" s="285">
        <f>V66*$AX$134/$V$153</f>
        <v>179.85643037202018</v>
      </c>
      <c r="X66" s="217">
        <f>CH41</f>
        <v>0</v>
      </c>
      <c r="Y66" s="285">
        <f>X66*$AX$148/$X$153</f>
        <v>0</v>
      </c>
      <c r="Z66" s="217">
        <f>CI41</f>
        <v>0</v>
      </c>
      <c r="AA66" s="285">
        <f>Z66*$AX$149/$Z$153</f>
        <v>0</v>
      </c>
      <c r="AB66" s="217">
        <f>CJ41</f>
        <v>0</v>
      </c>
      <c r="AC66" s="285"/>
      <c r="AD66" s="258">
        <f>CK41</f>
        <v>333</v>
      </c>
      <c r="AE66" s="285">
        <f>AD66*$AX$129/$AD$153</f>
        <v>1129358.8439078873</v>
      </c>
      <c r="AF66" s="217">
        <f>CL41</f>
        <v>0</v>
      </c>
      <c r="AG66" s="286">
        <f>AF66*($AX$113+$AX$114)/$AF$153</f>
        <v>0</v>
      </c>
      <c r="AH66" s="217">
        <f>CM41</f>
        <v>9</v>
      </c>
      <c r="AI66" s="287">
        <f>AH66*$AX$116/$AH$153</f>
        <v>23083.175567451795</v>
      </c>
      <c r="AJ66" s="217"/>
      <c r="AK66" s="285"/>
      <c r="AL66" s="217">
        <f>CO41</f>
        <v>0</v>
      </c>
      <c r="AM66" s="285"/>
      <c r="AN66" s="258">
        <v>4.2000000000000002</v>
      </c>
      <c r="AO66" s="286">
        <f>$CQ$142*AN66/100</f>
        <v>16254.412859999999</v>
      </c>
      <c r="AP66" s="217"/>
      <c r="AQ66" s="286"/>
      <c r="AR66" s="217">
        <f>CS41</f>
        <v>131</v>
      </c>
      <c r="AS66" s="286">
        <f>$AX$145*AR66/$AR$153</f>
        <v>2771.1835041029153</v>
      </c>
      <c r="AT66" s="217">
        <f>CT41</f>
        <v>109</v>
      </c>
      <c r="AU66" s="287">
        <f>AT66*$AX$125/$AT$153</f>
        <v>42944.446155200349</v>
      </c>
      <c r="AV66" s="287"/>
      <c r="AW66" s="287"/>
      <c r="AX66" s="288">
        <f>C66+G66+I66+K66+M66+O66+Q66+S66+U66+W66+Y66+AA66+AC66+AE66+AG66+AI66+AK66+AO66+AU66+AS66+AW66+AQ66+AM66</f>
        <v>1871742.9541750143</v>
      </c>
      <c r="AY66" s="288">
        <f t="shared" si="37"/>
        <v>1470564.3641750142</v>
      </c>
      <c r="AZ66" s="288">
        <f t="shared" si="62"/>
        <v>1447481.1886075623</v>
      </c>
      <c r="BA66" s="288">
        <f t="shared" si="63"/>
        <v>1447481.1886075623</v>
      </c>
      <c r="BB66" s="289">
        <f>BF66+BH66</f>
        <v>0</v>
      </c>
      <c r="BC66" s="290" t="e">
        <f>AX66/BB66</f>
        <v>#DIV/0!</v>
      </c>
      <c r="BD66" s="286">
        <f>зарплата!CH62</f>
        <v>14904503.951379696</v>
      </c>
      <c r="BE66" s="286" t="e">
        <f>#REF!</f>
        <v>#REF!</v>
      </c>
      <c r="BF66" s="291">
        <f>HZ66</f>
        <v>0</v>
      </c>
      <c r="BG66" s="287">
        <f>IB66</f>
        <v>0</v>
      </c>
      <c r="BH66" s="292">
        <f>IC66</f>
        <v>0</v>
      </c>
      <c r="BI66" s="287">
        <f>IE66</f>
        <v>0</v>
      </c>
      <c r="BJ66" s="287"/>
      <c r="BK66" s="217">
        <f>BI66+BG66</f>
        <v>0</v>
      </c>
      <c r="BL66" s="293">
        <f>(BG66*13%)+(BI66*52%)</f>
        <v>0</v>
      </c>
      <c r="BM66" s="287" t="e">
        <f>AX66/BB66</f>
        <v>#DIV/0!</v>
      </c>
      <c r="BN66" s="287" t="e">
        <f>BL66/BB66</f>
        <v>#DIV/0!</v>
      </c>
      <c r="BO66" s="217" t="e">
        <f>BN66-BM66</f>
        <v>#DIV/0!</v>
      </c>
      <c r="BP66" s="285">
        <f>BL66-AX66</f>
        <v>-1871742.9541750143</v>
      </c>
      <c r="BQ66" s="285" t="e">
        <f>BK66-AX66-BD66-BE66</f>
        <v>#REF!</v>
      </c>
      <c r="BW66" s="37"/>
      <c r="BX66" s="632"/>
      <c r="BZ66" s="632"/>
      <c r="CA66" s="6"/>
      <c r="CB66" s="632"/>
      <c r="CC66" s="6"/>
      <c r="CD66" s="633"/>
      <c r="CE66" s="6"/>
      <c r="CF66" s="632"/>
      <c r="CH66" s="632"/>
      <c r="CI66" s="633"/>
      <c r="CK66" s="632"/>
      <c r="CM66" s="632"/>
      <c r="CO66" s="634"/>
      <c r="CP66" s="371"/>
      <c r="CQ66" s="371"/>
      <c r="CR66" s="635"/>
      <c r="CS66" s="636"/>
      <c r="CT66" s="637"/>
      <c r="CU66" s="545"/>
      <c r="CV66" s="546">
        <f t="shared" si="53"/>
        <v>0</v>
      </c>
      <c r="CW66" s="338"/>
      <c r="DA66" s="304">
        <f>DB66+DC66</f>
        <v>0</v>
      </c>
      <c r="DB66" s="305"/>
      <c r="DC66" s="305"/>
      <c r="DD66" s="306">
        <f>DE66+DF66</f>
        <v>0</v>
      </c>
      <c r="DE66" s="306"/>
      <c r="DF66" s="306"/>
      <c r="EF66" s="283" t="s">
        <v>215</v>
      </c>
      <c r="EG66" s="283"/>
      <c r="EH66" s="280"/>
      <c r="EI66" s="280"/>
      <c r="EK66" s="280"/>
      <c r="EL66" s="280"/>
      <c r="EN66" s="37"/>
      <c r="ES66" s="38"/>
      <c r="EZ66" s="356">
        <f t="shared" si="64"/>
        <v>0</v>
      </c>
      <c r="FA66" s="357">
        <f t="shared" si="64"/>
        <v>0</v>
      </c>
      <c r="FB66" s="1">
        <f t="shared" si="64"/>
        <v>0</v>
      </c>
      <c r="FC66" s="281">
        <f t="shared" si="64"/>
        <v>0</v>
      </c>
      <c r="FD66" s="281">
        <f t="shared" si="64"/>
        <v>0</v>
      </c>
      <c r="FE66" s="38">
        <f t="shared" si="64"/>
        <v>0</v>
      </c>
      <c r="FF66" s="281"/>
      <c r="FG66" s="281"/>
      <c r="FI66" s="281"/>
      <c r="FJ66" s="281"/>
      <c r="FL66" s="282"/>
      <c r="FM66" s="281"/>
      <c r="FO66" s="281"/>
      <c r="FP66" s="281"/>
      <c r="FQ66" s="38"/>
      <c r="FR66" s="282"/>
      <c r="FS66" s="281"/>
      <c r="FU66" s="281"/>
      <c r="FV66" s="281"/>
      <c r="FW66" s="38"/>
      <c r="FX66" s="323">
        <f t="shared" si="65"/>
        <v>0</v>
      </c>
      <c r="FY66" s="322">
        <f t="shared" si="65"/>
        <v>0</v>
      </c>
      <c r="FZ66" s="324">
        <f t="shared" si="65"/>
        <v>0</v>
      </c>
      <c r="GA66" s="322">
        <f t="shared" si="65"/>
        <v>0</v>
      </c>
      <c r="GB66" s="322">
        <f t="shared" si="65"/>
        <v>0</v>
      </c>
      <c r="GC66" s="325">
        <f t="shared" si="65"/>
        <v>0</v>
      </c>
      <c r="GD66" s="282"/>
      <c r="GE66" s="281"/>
      <c r="GG66" s="281"/>
      <c r="GH66" s="281"/>
      <c r="GI66" s="38"/>
      <c r="GJ66" s="282"/>
      <c r="GK66" s="281"/>
      <c r="GM66" s="281"/>
      <c r="GN66" s="281"/>
      <c r="GO66" s="38"/>
      <c r="GP66" s="363"/>
      <c r="GQ66" s="281"/>
      <c r="GS66" s="281"/>
      <c r="GT66" s="281"/>
      <c r="GU66" s="38"/>
      <c r="GV66" s="323">
        <f t="shared" si="66"/>
        <v>0</v>
      </c>
      <c r="GW66" s="322">
        <f t="shared" si="66"/>
        <v>0</v>
      </c>
      <c r="GX66" s="322">
        <f t="shared" si="66"/>
        <v>0</v>
      </c>
      <c r="GY66" s="322">
        <f t="shared" si="66"/>
        <v>0</v>
      </c>
      <c r="GZ66" s="322">
        <f t="shared" si="66"/>
        <v>0</v>
      </c>
      <c r="HA66" s="326">
        <f t="shared" si="66"/>
        <v>0</v>
      </c>
      <c r="HB66" s="282"/>
      <c r="HC66" s="281"/>
      <c r="HE66" s="281"/>
      <c r="HF66" s="281"/>
      <c r="HG66" s="38"/>
      <c r="HH66" s="282"/>
      <c r="HI66" s="281"/>
      <c r="HK66" s="281"/>
      <c r="HL66" s="281"/>
      <c r="HM66" s="38"/>
      <c r="HN66" s="282"/>
      <c r="HO66" s="281"/>
      <c r="HQ66" s="281"/>
      <c r="HR66" s="281"/>
      <c r="HS66" s="38"/>
      <c r="HT66" s="315">
        <f t="shared" si="67"/>
        <v>0</v>
      </c>
      <c r="HU66" s="316">
        <f t="shared" si="67"/>
        <v>0</v>
      </c>
      <c r="HV66" s="317">
        <f t="shared" si="67"/>
        <v>0</v>
      </c>
      <c r="HW66" s="316">
        <f t="shared" si="67"/>
        <v>0</v>
      </c>
      <c r="HX66" s="316">
        <f t="shared" si="67"/>
        <v>0</v>
      </c>
      <c r="HY66" s="317">
        <f t="shared" si="67"/>
        <v>0</v>
      </c>
      <c r="HZ66" s="535">
        <f t="shared" si="68"/>
        <v>0</v>
      </c>
      <c r="IA66" s="280">
        <f t="shared" si="68"/>
        <v>0</v>
      </c>
      <c r="IB66" s="1">
        <f t="shared" si="68"/>
        <v>0</v>
      </c>
      <c r="IC66" s="280">
        <f t="shared" si="68"/>
        <v>0</v>
      </c>
      <c r="ID66" s="280">
        <f t="shared" si="68"/>
        <v>0</v>
      </c>
      <c r="IE66" s="40">
        <f t="shared" si="68"/>
        <v>0</v>
      </c>
      <c r="IF66" s="327">
        <f>HZ66+IC66</f>
        <v>0</v>
      </c>
      <c r="IG66" s="316">
        <f>IA66+ID66</f>
        <v>0</v>
      </c>
      <c r="IH66" s="317">
        <f>IB66+IE66</f>
        <v>0</v>
      </c>
    </row>
    <row r="67" ht="13.5">
      <c r="A67" s="638" t="s">
        <v>232</v>
      </c>
      <c r="B67" s="437"/>
      <c r="C67" s="368"/>
      <c r="D67" s="331">
        <f>D66*100/$AX66</f>
        <v>14.351688590616302</v>
      </c>
      <c r="E67" s="331">
        <f>E66*100/$AX66</f>
        <v>7.0817346850077127</v>
      </c>
      <c r="F67" s="217"/>
      <c r="G67" s="639"/>
      <c r="H67" s="217"/>
      <c r="I67" s="332"/>
      <c r="J67" s="626"/>
      <c r="K67" s="331">
        <f>K66*100/$AX66</f>
        <v>0</v>
      </c>
      <c r="L67" s="258"/>
      <c r="M67" s="333">
        <f>M66*100/$AX66</f>
        <v>0</v>
      </c>
      <c r="N67" s="258"/>
      <c r="O67" s="331">
        <f>O66*100/$AX66</f>
        <v>1.1576551829060191</v>
      </c>
      <c r="P67" s="626"/>
      <c r="Q67" s="331">
        <f>Q66*100/$AX66</f>
        <v>12.130391631440627</v>
      </c>
      <c r="R67" s="626"/>
      <c r="S67" s="331">
        <f>S66*100/$AX66</f>
        <v>0.38757275612058589</v>
      </c>
      <c r="T67" s="626"/>
      <c r="U67" s="331">
        <f>U66*100/$AX66</f>
        <v>0</v>
      </c>
      <c r="V67" s="626"/>
      <c r="W67" s="331">
        <f>W66*100/$AX66</f>
        <v>0.0096090347219334581</v>
      </c>
      <c r="X67" s="626"/>
      <c r="Y67" s="331">
        <f>Y66*100/$AX66</f>
        <v>0</v>
      </c>
      <c r="Z67" s="626"/>
      <c r="AA67" s="331">
        <f>AA66*100/$AX66</f>
        <v>0</v>
      </c>
      <c r="AB67" s="626"/>
      <c r="AC67" s="331"/>
      <c r="AD67" s="364"/>
      <c r="AE67" s="331">
        <f>AE66*100/$AX66</f>
        <v>60.337283032843651</v>
      </c>
      <c r="AF67" s="626"/>
      <c r="AG67" s="332"/>
      <c r="AH67" s="626"/>
      <c r="AI67" s="333">
        <f>AI66*100/$AX66</f>
        <v>1.2332449557757725</v>
      </c>
      <c r="AJ67" s="626"/>
      <c r="AK67" s="627"/>
      <c r="AL67" s="626"/>
      <c r="AM67" s="627"/>
      <c r="AN67" s="258"/>
      <c r="AO67" s="332">
        <f>AO66*100/$AX66</f>
        <v>0.86841052740408264</v>
      </c>
      <c r="AP67" s="626"/>
      <c r="AQ67" s="332"/>
      <c r="AR67" s="626"/>
      <c r="AS67" s="332">
        <f>AS66*100/$AX66</f>
        <v>0.14805363620691905</v>
      </c>
      <c r="AT67" s="217"/>
      <c r="AU67" s="331">
        <f>AU66*100/$AX66</f>
        <v>2.2943559669563953</v>
      </c>
      <c r="AV67" s="640"/>
      <c r="AW67" s="640"/>
      <c r="AX67" s="336">
        <f>SUM(D67:AW67)</f>
        <v>100</v>
      </c>
      <c r="AY67" s="336"/>
      <c r="AZ67" s="336"/>
      <c r="BA67" s="336"/>
      <c r="BB67" s="289"/>
      <c r="BC67" s="290"/>
      <c r="BD67" s="286"/>
      <c r="BE67" s="286"/>
      <c r="BF67" s="291"/>
      <c r="BG67" s="287"/>
      <c r="BH67" s="531"/>
      <c r="BI67" s="530"/>
      <c r="BJ67" s="287"/>
      <c r="BK67" s="217"/>
      <c r="BL67" s="217"/>
      <c r="BM67" s="287"/>
      <c r="BN67" s="287"/>
      <c r="BO67" s="641"/>
      <c r="BP67" s="365"/>
      <c r="BQ67" s="285"/>
      <c r="BW67" s="272" t="s">
        <v>22</v>
      </c>
      <c r="BX67" s="642">
        <f>SUM(BX48:BX63)</f>
        <v>0</v>
      </c>
      <c r="BY67" s="460">
        <f>SUM(BY48:BY66)</f>
        <v>0</v>
      </c>
      <c r="BZ67" s="642">
        <f>SUM(BZ48:BZ63)</f>
        <v>9293</v>
      </c>
      <c r="CA67" s="460">
        <f>SUM(CA48:CA66)</f>
        <v>7191</v>
      </c>
      <c r="CB67" s="642">
        <f>SUM(CB48:CB63)</f>
        <v>332</v>
      </c>
      <c r="CC67" s="460">
        <f>SUM(CC48:CC65)</f>
        <v>13117</v>
      </c>
      <c r="CD67" s="642">
        <f>SUM(CD48:CD63)</f>
        <v>1620</v>
      </c>
      <c r="CE67" s="460">
        <f>SUM(CE48:CE66)</f>
        <v>2012</v>
      </c>
      <c r="CF67" s="642">
        <f>SUM(CF48:CF63)</f>
        <v>2268.5</v>
      </c>
      <c r="CG67" s="460">
        <f>SUM(CG48:CG63)</f>
        <v>17420</v>
      </c>
      <c r="CH67" s="642">
        <f>SUM(CH48:CH63)</f>
        <v>10709.299999999999</v>
      </c>
      <c r="CI67" s="642">
        <f>SUM(CI48:CI66)</f>
        <v>8946.5</v>
      </c>
      <c r="CJ67" s="460">
        <f t="shared" ref="CJ67:CR67" si="69">SUM(CJ48:CJ63)</f>
        <v>0</v>
      </c>
      <c r="CK67" s="642">
        <f t="shared" si="69"/>
        <v>0</v>
      </c>
      <c r="CL67" s="460">
        <f t="shared" si="69"/>
        <v>0</v>
      </c>
      <c r="CM67" s="642">
        <f t="shared" si="69"/>
        <v>0</v>
      </c>
      <c r="CN67" s="460">
        <f t="shared" si="69"/>
        <v>0</v>
      </c>
      <c r="CO67" s="643">
        <f t="shared" si="69"/>
        <v>0</v>
      </c>
      <c r="CP67" s="540">
        <f t="shared" si="69"/>
        <v>0</v>
      </c>
      <c r="CQ67" s="540">
        <f t="shared" si="69"/>
        <v>0</v>
      </c>
      <c r="CR67" s="642">
        <f t="shared" si="69"/>
        <v>0</v>
      </c>
      <c r="CS67" s="644">
        <f>SUM(CS48:CS65)</f>
        <v>400</v>
      </c>
      <c r="CT67" s="644">
        <f>SUM(CT48:CT65)</f>
        <v>0</v>
      </c>
      <c r="CU67" s="644">
        <f>SUM(CU48:CU65)</f>
        <v>0</v>
      </c>
      <c r="CV67" s="644">
        <f>SUM(CV48:CV65)</f>
        <v>0</v>
      </c>
      <c r="CW67" s="644">
        <f>SUM(CW48:CW65)</f>
        <v>0</v>
      </c>
      <c r="DA67" s="305"/>
      <c r="DB67" s="305"/>
      <c r="DC67" s="305"/>
      <c r="DD67" s="645"/>
      <c r="DE67" s="645"/>
      <c r="DF67" s="645"/>
      <c r="EF67" s="437"/>
      <c r="EG67" s="437"/>
      <c r="EH67" s="280"/>
      <c r="EI67" s="280"/>
      <c r="EK67" s="280"/>
      <c r="EL67" s="280"/>
      <c r="EN67" s="37"/>
      <c r="EP67" s="15"/>
      <c r="ES67" s="38"/>
      <c r="EZ67" s="356"/>
      <c r="FA67" s="357"/>
      <c r="FC67" s="281"/>
      <c r="FD67" s="281"/>
      <c r="FE67" s="38"/>
      <c r="FF67" s="281"/>
      <c r="FG67" s="281"/>
      <c r="FI67" s="281"/>
      <c r="FJ67" s="281"/>
      <c r="FL67" s="282"/>
      <c r="FM67" s="281"/>
      <c r="FO67" s="281"/>
      <c r="FP67" s="281"/>
      <c r="FQ67" s="38"/>
      <c r="FR67" s="282"/>
      <c r="FS67" s="281"/>
      <c r="FU67" s="281"/>
      <c r="FV67" s="281"/>
      <c r="FW67" s="38"/>
      <c r="FX67" s="351"/>
      <c r="FY67" s="350"/>
      <c r="FZ67" s="344"/>
      <c r="GA67" s="350"/>
      <c r="GB67" s="350"/>
      <c r="GC67" s="347"/>
      <c r="GD67" s="282"/>
      <c r="GE67" s="281"/>
      <c r="GG67" s="281"/>
      <c r="GH67" s="281"/>
      <c r="GI67" s="38"/>
      <c r="GJ67" s="282"/>
      <c r="GK67" s="281"/>
      <c r="GM67" s="281"/>
      <c r="GN67" s="281"/>
      <c r="GO67" s="38"/>
      <c r="GP67" s="363"/>
      <c r="GQ67" s="281"/>
      <c r="GS67" s="281"/>
      <c r="GT67" s="281"/>
      <c r="GU67" s="38"/>
      <c r="GV67" s="351"/>
      <c r="GW67" s="350"/>
      <c r="GX67" s="344"/>
      <c r="GY67" s="350"/>
      <c r="GZ67" s="350"/>
      <c r="HA67" s="347"/>
      <c r="HB67" s="282"/>
      <c r="HC67" s="281"/>
      <c r="HE67" s="281"/>
      <c r="HF67" s="281"/>
      <c r="HG67" s="38"/>
      <c r="HH67" s="282"/>
      <c r="HI67" s="281"/>
      <c r="HK67" s="281"/>
      <c r="HL67" s="281"/>
      <c r="HM67" s="38"/>
      <c r="HN67" s="282"/>
      <c r="HO67" s="281"/>
      <c r="HQ67" s="281"/>
      <c r="HR67" s="281"/>
      <c r="HS67" s="38"/>
      <c r="HT67" s="342"/>
      <c r="HU67" s="343"/>
      <c r="HV67" s="344"/>
      <c r="HW67" s="343"/>
      <c r="HX67" s="343"/>
      <c r="HY67" s="344"/>
      <c r="HZ67" s="535"/>
      <c r="IA67" s="280"/>
      <c r="IC67" s="280"/>
      <c r="ID67" s="280"/>
      <c r="IE67" s="40"/>
      <c r="IF67" s="534"/>
      <c r="IG67" s="343"/>
      <c r="IH67" s="344"/>
    </row>
    <row r="68" ht="23.25" customHeight="1">
      <c r="A68" s="471" t="s">
        <v>233</v>
      </c>
      <c r="B68" s="283"/>
      <c r="C68" s="284">
        <f>D68+E68</f>
        <v>334447.37</v>
      </c>
      <c r="D68" s="272">
        <f>'Расход-2026'!I1212</f>
        <v>134686.14000000001</v>
      </c>
      <c r="E68" s="272">
        <f>'Расход-2026'!J1212</f>
        <v>199761.22999999998</v>
      </c>
      <c r="F68" s="217">
        <f>BX43</f>
        <v>0</v>
      </c>
      <c r="G68" s="286"/>
      <c r="H68" s="217">
        <f>BY43</f>
        <v>0</v>
      </c>
      <c r="I68" s="286"/>
      <c r="J68" s="217">
        <f>BZ43</f>
        <v>0</v>
      </c>
      <c r="K68" s="285">
        <f>J68*$AX$142/$J$153</f>
        <v>0</v>
      </c>
      <c r="L68" s="258">
        <f>CA43</f>
        <v>186</v>
      </c>
      <c r="M68" s="287">
        <f>L68*$AX$140/$L$153</f>
        <v>7865.3866091047612</v>
      </c>
      <c r="N68" s="258">
        <f>CD43</f>
        <v>2185</v>
      </c>
      <c r="O68" s="285">
        <f>N68*$AX$138/$N$153</f>
        <v>35786.318642110622</v>
      </c>
      <c r="P68" s="217">
        <f>CC43+CB43</f>
        <v>3940</v>
      </c>
      <c r="Q68" s="285">
        <f>P68*($AX$139+$AX$137)/$P$153</f>
        <v>95984.551251156925</v>
      </c>
      <c r="R68" s="217">
        <f>CE43</f>
        <v>54</v>
      </c>
      <c r="S68" s="285">
        <f>R68*$AX$136/$R$153</f>
        <v>129.88585900842332</v>
      </c>
      <c r="T68" s="217">
        <f>CF43</f>
        <v>0</v>
      </c>
      <c r="U68" s="285">
        <f>T68*$AX$135/$T$153</f>
        <v>0</v>
      </c>
      <c r="V68" s="217">
        <f>CG43</f>
        <v>0</v>
      </c>
      <c r="W68" s="285">
        <f>V68*$AX$134/$V$153</f>
        <v>0</v>
      </c>
      <c r="X68" s="217">
        <f>CH43</f>
        <v>0</v>
      </c>
      <c r="Y68" s="285">
        <f>X68*$AX$148/$X$153</f>
        <v>0</v>
      </c>
      <c r="Z68" s="217">
        <f>CI43</f>
        <v>0</v>
      </c>
      <c r="AA68" s="285">
        <f>Z68*$AX$149/$Z$153</f>
        <v>0</v>
      </c>
      <c r="AB68" s="217">
        <f>CJ43</f>
        <v>0</v>
      </c>
      <c r="AC68" s="285"/>
      <c r="AD68" s="258">
        <f>CK43</f>
        <v>0</v>
      </c>
      <c r="AE68" s="285">
        <f>AD68*$AX$129/$AD$153</f>
        <v>0</v>
      </c>
      <c r="AF68" s="217">
        <f>CL43</f>
        <v>0</v>
      </c>
      <c r="AG68" s="286">
        <f>AF68*($AX$113+$AX$114)/$AF$153</f>
        <v>0</v>
      </c>
      <c r="AH68" s="217">
        <f>CM43</f>
        <v>0</v>
      </c>
      <c r="AI68" s="287">
        <f>AH68*$AX$116/$AH$153</f>
        <v>0</v>
      </c>
      <c r="AJ68" s="217"/>
      <c r="AK68" s="285">
        <f>AX117+AX118</f>
        <v>1872186.1896896202</v>
      </c>
      <c r="AL68" s="217">
        <f>CO43</f>
        <v>0</v>
      </c>
      <c r="AM68" s="285"/>
      <c r="AN68" s="258">
        <v>1.8999999999999999</v>
      </c>
      <c r="AO68" s="286">
        <f>$CQ$142*AN68/100</f>
        <v>7353.1867699999993</v>
      </c>
      <c r="AP68" s="217"/>
      <c r="AQ68" s="286"/>
      <c r="AR68" s="217">
        <f>CS43</f>
        <v>817</v>
      </c>
      <c r="AS68" s="286">
        <f>$AX$145*AR68/$AR$153</f>
        <v>17282.877273680013</v>
      </c>
      <c r="AT68" s="217">
        <f>CT43</f>
        <v>506</v>
      </c>
      <c r="AU68" s="287">
        <f>AT68*$AX$125/$AT$153</f>
        <v>199356.78673882</v>
      </c>
      <c r="AV68" s="287"/>
      <c r="AW68" s="287"/>
      <c r="AX68" s="288">
        <f>C68+G68+I68+K68+M68+O68+Q68+S68+U68+W68+Y68+AA68+AC68+AE68+AG68+AI68+AK68+AO68+AU68+AS68+AW68+AQ68+AM68</f>
        <v>2570392.5528335008</v>
      </c>
      <c r="AY68" s="288">
        <f t="shared" si="37"/>
        <v>2235945.1828335007</v>
      </c>
      <c r="AZ68" s="288">
        <f t="shared" si="62"/>
        <v>363758.99314388051</v>
      </c>
      <c r="BA68" s="288">
        <f t="shared" si="63"/>
        <v>363758.99314388051</v>
      </c>
      <c r="BB68" s="289">
        <f>BF68+BH68</f>
        <v>0</v>
      </c>
      <c r="BC68" s="290" t="e">
        <f>AX68/BB68</f>
        <v>#DIV/0!</v>
      </c>
      <c r="BD68" s="286">
        <f>зарплата!CH64</f>
        <v>39400402.362867989</v>
      </c>
      <c r="BE68" s="286" t="e">
        <f>#REF!</f>
        <v>#REF!</v>
      </c>
      <c r="BF68" s="291">
        <f>HZ68</f>
        <v>0</v>
      </c>
      <c r="BG68" s="287">
        <f>IB68</f>
        <v>0</v>
      </c>
      <c r="BH68" s="292">
        <f>IC68</f>
        <v>0</v>
      </c>
      <c r="BI68" s="287">
        <f>IE68</f>
        <v>0</v>
      </c>
      <c r="BJ68" s="287"/>
      <c r="BK68" s="217">
        <f>BI68+BG68</f>
        <v>0</v>
      </c>
      <c r="BL68" s="293">
        <f>(BG68*13%)+(BI68*52%)</f>
        <v>0</v>
      </c>
      <c r="BM68" s="287" t="e">
        <f>AX68/BB68</f>
        <v>#DIV/0!</v>
      </c>
      <c r="BN68" s="287" t="e">
        <f>BL68/BB68</f>
        <v>#DIV/0!</v>
      </c>
      <c r="BO68" s="217" t="e">
        <f>BN68-BM68</f>
        <v>#DIV/0!</v>
      </c>
      <c r="BP68" s="285">
        <f>BL68-AX68</f>
        <v>-2570392.5528335008</v>
      </c>
      <c r="BQ68" s="285" t="e">
        <f>BK68-AX68-BD68-BE68</f>
        <v>#REF!</v>
      </c>
      <c r="BW68" s="646"/>
      <c r="BX68" s="262"/>
      <c r="BY68" s="263"/>
      <c r="BZ68" s="558"/>
      <c r="CA68" s="558"/>
      <c r="CB68" s="557"/>
      <c r="CC68" s="558"/>
      <c r="CD68" s="647"/>
      <c r="CE68" s="558"/>
      <c r="CF68" s="558"/>
      <c r="CG68" s="558"/>
      <c r="CH68" s="558"/>
      <c r="CI68" s="558"/>
      <c r="CJ68" s="264"/>
      <c r="CK68" s="558"/>
      <c r="CL68" s="264"/>
      <c r="CM68" s="558"/>
      <c r="CN68" s="558"/>
      <c r="CO68" s="557"/>
      <c r="CP68" s="371"/>
      <c r="CQ68" s="371"/>
      <c r="CR68" s="647"/>
      <c r="CS68" s="557"/>
      <c r="CU68" s="648"/>
      <c r="CV68" s="649"/>
      <c r="CW68" s="338"/>
      <c r="DA68" s="304">
        <f>DB68+DC68</f>
        <v>0</v>
      </c>
      <c r="DB68" s="305"/>
      <c r="DC68" s="305"/>
      <c r="DD68" s="306">
        <f>DE68+DF68</f>
        <v>0</v>
      </c>
      <c r="DE68" s="306"/>
      <c r="DF68" s="306"/>
      <c r="EF68" s="283" t="s">
        <v>218</v>
      </c>
      <c r="EG68" s="283"/>
      <c r="EH68" s="315"/>
      <c r="EI68" s="316"/>
      <c r="EJ68" s="317"/>
      <c r="EK68" s="316"/>
      <c r="EL68" s="316"/>
      <c r="EM68" s="317"/>
      <c r="EN68" s="318"/>
      <c r="EO68" s="317"/>
      <c r="EP68" s="317"/>
      <c r="EQ68" s="317"/>
      <c r="ER68" s="317"/>
      <c r="ES68" s="319"/>
      <c r="ET68" s="317"/>
      <c r="EU68" s="317"/>
      <c r="EV68" s="317"/>
      <c r="EW68" s="317"/>
      <c r="EX68" s="317"/>
      <c r="EY68" s="317"/>
      <c r="EZ68" s="320">
        <f t="shared" si="64"/>
        <v>0</v>
      </c>
      <c r="FA68" s="321">
        <f t="shared" si="64"/>
        <v>0</v>
      </c>
      <c r="FB68" s="317">
        <f t="shared" si="64"/>
        <v>0</v>
      </c>
      <c r="FC68" s="322">
        <f t="shared" si="64"/>
        <v>0</v>
      </c>
      <c r="FD68" s="322">
        <f t="shared" si="64"/>
        <v>0</v>
      </c>
      <c r="FE68" s="319">
        <f t="shared" si="64"/>
        <v>0</v>
      </c>
      <c r="FF68" s="322"/>
      <c r="FG68" s="322"/>
      <c r="FH68" s="317"/>
      <c r="FI68" s="322"/>
      <c r="FJ68" s="322"/>
      <c r="FK68" s="317"/>
      <c r="FL68" s="323"/>
      <c r="FM68" s="322"/>
      <c r="FN68" s="317"/>
      <c r="FO68" s="322"/>
      <c r="FP68" s="322"/>
      <c r="FQ68" s="319"/>
      <c r="FR68" s="323"/>
      <c r="FS68" s="322"/>
      <c r="FT68" s="317"/>
      <c r="FU68" s="322"/>
      <c r="FV68" s="322"/>
      <c r="FW68" s="319"/>
      <c r="FX68" s="323">
        <f t="shared" si="65"/>
        <v>0</v>
      </c>
      <c r="FY68" s="322">
        <f t="shared" si="65"/>
        <v>0</v>
      </c>
      <c r="FZ68" s="324">
        <f t="shared" si="65"/>
        <v>0</v>
      </c>
      <c r="GA68" s="322">
        <f t="shared" si="65"/>
        <v>0</v>
      </c>
      <c r="GB68" s="322">
        <f t="shared" si="65"/>
        <v>0</v>
      </c>
      <c r="GC68" s="325">
        <f t="shared" si="65"/>
        <v>0</v>
      </c>
      <c r="GD68" s="323"/>
      <c r="GE68" s="322"/>
      <c r="GF68" s="317"/>
      <c r="GG68" s="322"/>
      <c r="GH68" s="322"/>
      <c r="GI68" s="319"/>
      <c r="GJ68" s="323"/>
      <c r="GK68" s="322"/>
      <c r="GL68" s="317"/>
      <c r="GM68" s="322"/>
      <c r="GN68" s="322"/>
      <c r="GO68" s="319"/>
      <c r="GP68" s="374"/>
      <c r="GQ68" s="322"/>
      <c r="GR68" s="317"/>
      <c r="GS68" s="322"/>
      <c r="GT68" s="322"/>
      <c r="GU68" s="319"/>
      <c r="GV68" s="323">
        <f t="shared" si="66"/>
        <v>0</v>
      </c>
      <c r="GW68" s="322">
        <f t="shared" si="66"/>
        <v>0</v>
      </c>
      <c r="GX68" s="322">
        <f t="shared" si="66"/>
        <v>0</v>
      </c>
      <c r="GY68" s="322">
        <f t="shared" si="66"/>
        <v>0</v>
      </c>
      <c r="GZ68" s="322">
        <f t="shared" si="66"/>
        <v>0</v>
      </c>
      <c r="HA68" s="326">
        <f t="shared" si="66"/>
        <v>0</v>
      </c>
      <c r="HB68" s="323"/>
      <c r="HC68" s="322"/>
      <c r="HD68" s="317"/>
      <c r="HE68" s="322"/>
      <c r="HF68" s="322"/>
      <c r="HG68" s="319"/>
      <c r="HH68" s="323"/>
      <c r="HI68" s="322"/>
      <c r="HJ68" s="317"/>
      <c r="HK68" s="322"/>
      <c r="HL68" s="322"/>
      <c r="HM68" s="319"/>
      <c r="HN68" s="323"/>
      <c r="HO68" s="322"/>
      <c r="HP68" s="317"/>
      <c r="HQ68" s="322"/>
      <c r="HR68" s="322"/>
      <c r="HS68" s="319"/>
      <c r="HT68" s="315">
        <f t="shared" si="67"/>
        <v>0</v>
      </c>
      <c r="HU68" s="316">
        <f t="shared" si="67"/>
        <v>0</v>
      </c>
      <c r="HV68" s="317">
        <f t="shared" si="67"/>
        <v>0</v>
      </c>
      <c r="HW68" s="316">
        <f t="shared" si="67"/>
        <v>0</v>
      </c>
      <c r="HX68" s="316">
        <f t="shared" si="67"/>
        <v>0</v>
      </c>
      <c r="HY68" s="317">
        <f t="shared" si="67"/>
        <v>0</v>
      </c>
      <c r="HZ68" s="327">
        <f t="shared" si="68"/>
        <v>0</v>
      </c>
      <c r="IA68" s="316">
        <f t="shared" si="68"/>
        <v>0</v>
      </c>
      <c r="IB68" s="317">
        <f t="shared" si="68"/>
        <v>0</v>
      </c>
      <c r="IC68" s="316">
        <f t="shared" si="68"/>
        <v>0</v>
      </c>
      <c r="ID68" s="316">
        <f t="shared" si="68"/>
        <v>0</v>
      </c>
      <c r="IE68" s="328">
        <f t="shared" si="68"/>
        <v>0</v>
      </c>
      <c r="IF68" s="327">
        <f>HZ68+IC68</f>
        <v>0</v>
      </c>
      <c r="IG68" s="316">
        <f>IA68+ID68</f>
        <v>0</v>
      </c>
      <c r="IH68" s="317">
        <f>IB68+IE68</f>
        <v>0</v>
      </c>
    </row>
    <row r="69" ht="13.5">
      <c r="A69" s="479"/>
      <c r="B69" s="437"/>
      <c r="C69" s="368"/>
      <c r="D69" s="331">
        <f>D68*100/$AX68</f>
        <v>5.239905470918333</v>
      </c>
      <c r="E69" s="331">
        <f>E68*100/$AX68</f>
        <v>7.7716234347080952</v>
      </c>
      <c r="F69" s="217"/>
      <c r="G69" s="639"/>
      <c r="H69" s="217"/>
      <c r="I69" s="639"/>
      <c r="J69" s="626"/>
      <c r="K69" s="331">
        <f>K68*100/$AX68</f>
        <v>0</v>
      </c>
      <c r="L69" s="258"/>
      <c r="M69" s="333">
        <f>M68*100/$AX68</f>
        <v>0.30599943189355511</v>
      </c>
      <c r="N69" s="258"/>
      <c r="O69" s="331">
        <f>O68*100/$AX68</f>
        <v>1.3922511019828927</v>
      </c>
      <c r="P69" s="626"/>
      <c r="Q69" s="331">
        <f>Q68*100/$AX68</f>
        <v>3.7342370582791835</v>
      </c>
      <c r="R69" s="626"/>
      <c r="S69" s="331">
        <f>S68*100/$AX68</f>
        <v>0.005053152634808337</v>
      </c>
      <c r="T69" s="626"/>
      <c r="U69" s="331">
        <f>U68*100/$AX68</f>
        <v>0</v>
      </c>
      <c r="V69" s="626"/>
      <c r="W69" s="331">
        <f>W68*100/$AX68</f>
        <v>0</v>
      </c>
      <c r="X69" s="626"/>
      <c r="Y69" s="331">
        <f>Y68*100/$AX68</f>
        <v>0</v>
      </c>
      <c r="Z69" s="626"/>
      <c r="AA69" s="331">
        <f>AA68*100/$AX68</f>
        <v>0</v>
      </c>
      <c r="AB69" s="626"/>
      <c r="AC69" s="627"/>
      <c r="AD69" s="364"/>
      <c r="AE69" s="331"/>
      <c r="AF69" s="626"/>
      <c r="AG69" s="332"/>
      <c r="AH69" s="626"/>
      <c r="AI69" s="333"/>
      <c r="AJ69" s="626"/>
      <c r="AK69" s="331">
        <f>AK68*100/$AX68</f>
        <v>72.836586288183682</v>
      </c>
      <c r="AL69" s="626"/>
      <c r="AM69" s="627"/>
      <c r="AN69" s="258"/>
      <c r="AO69" s="332">
        <f>AO68*100/$AX68</f>
        <v>0.28607252078652856</v>
      </c>
      <c r="AP69" s="626"/>
      <c r="AQ69" s="332"/>
      <c r="AR69" s="626"/>
      <c r="AS69" s="332">
        <f>AS68*100/$AX68</f>
        <v>0.67238279439566695</v>
      </c>
      <c r="AT69" s="217"/>
      <c r="AU69" s="331">
        <f>AU68*100/$AX68</f>
        <v>7.7558887462172592</v>
      </c>
      <c r="AV69" s="640"/>
      <c r="AW69" s="640"/>
      <c r="AX69" s="336">
        <f>SUM(D69:AW69)</f>
        <v>100</v>
      </c>
      <c r="AY69" s="336"/>
      <c r="AZ69" s="336"/>
      <c r="BA69" s="336"/>
      <c r="BB69" s="289"/>
      <c r="BC69" s="290"/>
      <c r="BD69" s="286"/>
      <c r="BE69" s="286"/>
      <c r="BF69" s="291"/>
      <c r="BG69" s="287"/>
      <c r="BH69" s="531"/>
      <c r="BI69" s="530"/>
      <c r="BJ69" s="287"/>
      <c r="BK69" s="293"/>
      <c r="BL69" s="293"/>
      <c r="BM69" s="287"/>
      <c r="BN69" s="287"/>
      <c r="BO69" s="217"/>
      <c r="BP69" s="285"/>
      <c r="BQ69" s="285"/>
      <c r="BW69" s="646"/>
      <c r="BX69" s="262"/>
      <c r="BY69" s="263"/>
      <c r="BZ69" s="650"/>
      <c r="CA69" s="298"/>
      <c r="CB69" s="266"/>
      <c r="CC69" s="298"/>
      <c r="CD69" s="370"/>
      <c r="CE69" s="298"/>
      <c r="CF69" s="298"/>
      <c r="CG69" s="650"/>
      <c r="CH69" s="650"/>
      <c r="CI69" s="650"/>
      <c r="CJ69" s="264"/>
      <c r="CK69" s="650"/>
      <c r="CL69" s="264"/>
      <c r="CM69" s="650"/>
      <c r="CN69" s="650"/>
      <c r="CO69" s="651"/>
      <c r="CP69" s="371"/>
      <c r="CQ69" s="371"/>
      <c r="CR69" s="652"/>
      <c r="CS69" s="651"/>
      <c r="CU69" s="648"/>
      <c r="CV69" s="649"/>
      <c r="CW69" s="338"/>
      <c r="DA69" s="653"/>
      <c r="DB69" s="653"/>
      <c r="DC69" s="653"/>
      <c r="DD69" s="654"/>
      <c r="DE69" s="654"/>
      <c r="DF69" s="654"/>
      <c r="EF69" s="437"/>
      <c r="EG69" s="437"/>
      <c r="EH69" s="342"/>
      <c r="EI69" s="343"/>
      <c r="EJ69" s="344"/>
      <c r="EK69" s="343"/>
      <c r="EL69" s="343"/>
      <c r="EM69" s="344"/>
      <c r="EN69" s="345"/>
      <c r="EO69" s="344"/>
      <c r="EP69" s="346"/>
      <c r="EQ69" s="344"/>
      <c r="ER69" s="344"/>
      <c r="ES69" s="347"/>
      <c r="ET69" s="344"/>
      <c r="EU69" s="344"/>
      <c r="EV69" s="344"/>
      <c r="EW69" s="344"/>
      <c r="EX69" s="344"/>
      <c r="EY69" s="344"/>
      <c r="EZ69" s="348"/>
      <c r="FA69" s="349"/>
      <c r="FB69" s="344"/>
      <c r="FC69" s="350"/>
      <c r="FD69" s="350"/>
      <c r="FE69" s="347"/>
      <c r="FF69" s="350"/>
      <c r="FG69" s="350"/>
      <c r="FH69" s="344"/>
      <c r="FI69" s="350"/>
      <c r="FJ69" s="350"/>
      <c r="FK69" s="344"/>
      <c r="FL69" s="351"/>
      <c r="FM69" s="350"/>
      <c r="FN69" s="344"/>
      <c r="FO69" s="350"/>
      <c r="FP69" s="350"/>
      <c r="FQ69" s="347"/>
      <c r="FR69" s="351"/>
      <c r="FS69" s="350"/>
      <c r="FT69" s="344"/>
      <c r="FU69" s="350"/>
      <c r="FV69" s="350"/>
      <c r="FW69" s="347"/>
      <c r="FX69" s="351"/>
      <c r="FY69" s="350"/>
      <c r="FZ69" s="344"/>
      <c r="GA69" s="350"/>
      <c r="GB69" s="350"/>
      <c r="GC69" s="347"/>
      <c r="GD69" s="351"/>
      <c r="GE69" s="350"/>
      <c r="GF69" s="344"/>
      <c r="GG69" s="350"/>
      <c r="GH69" s="350"/>
      <c r="GI69" s="347"/>
      <c r="GJ69" s="351"/>
      <c r="GK69" s="350"/>
      <c r="GL69" s="344"/>
      <c r="GM69" s="350"/>
      <c r="GN69" s="350"/>
      <c r="GO69" s="347"/>
      <c r="GP69" s="353"/>
      <c r="GQ69" s="350"/>
      <c r="GR69" s="344"/>
      <c r="GS69" s="350"/>
      <c r="GT69" s="350"/>
      <c r="GU69" s="347"/>
      <c r="GV69" s="351"/>
      <c r="GW69" s="350"/>
      <c r="GX69" s="344"/>
      <c r="GY69" s="350"/>
      <c r="GZ69" s="350"/>
      <c r="HA69" s="347"/>
      <c r="HB69" s="351"/>
      <c r="HC69" s="350"/>
      <c r="HD69" s="344"/>
      <c r="HE69" s="350"/>
      <c r="HF69" s="350"/>
      <c r="HG69" s="347"/>
      <c r="HH69" s="351"/>
      <c r="HI69" s="350"/>
      <c r="HJ69" s="344"/>
      <c r="HK69" s="350"/>
      <c r="HL69" s="350"/>
      <c r="HM69" s="347"/>
      <c r="HN69" s="351"/>
      <c r="HO69" s="350"/>
      <c r="HP69" s="344"/>
      <c r="HQ69" s="350"/>
      <c r="HR69" s="350"/>
      <c r="HS69" s="347"/>
      <c r="HT69" s="342"/>
      <c r="HU69" s="343"/>
      <c r="HV69" s="344"/>
      <c r="HW69" s="343"/>
      <c r="HX69" s="343"/>
      <c r="HY69" s="344"/>
      <c r="HZ69" s="534"/>
      <c r="IA69" s="343"/>
      <c r="IB69" s="344"/>
      <c r="IC69" s="343"/>
      <c r="ID69" s="343"/>
      <c r="IE69" s="355"/>
      <c r="IF69" s="534"/>
      <c r="IG69" s="343"/>
      <c r="IH69" s="344"/>
    </row>
    <row r="70" ht="38.25">
      <c r="A70" s="283" t="s">
        <v>234</v>
      </c>
      <c r="B70" s="283"/>
      <c r="C70" s="284">
        <f>D70+E70</f>
        <v>2891644.6500000004</v>
      </c>
      <c r="D70" s="272">
        <f>'Расход-2026'!I1230</f>
        <v>1251546.77</v>
      </c>
      <c r="E70" s="272">
        <f>'Расход-2026'!J1230</f>
        <v>1640097.8800000001</v>
      </c>
      <c r="F70" s="285">
        <f>BX45</f>
        <v>0</v>
      </c>
      <c r="G70" s="286"/>
      <c r="H70" s="285">
        <f>BY45</f>
        <v>0</v>
      </c>
      <c r="I70" s="286"/>
      <c r="J70" s="285">
        <f>BZ45</f>
        <v>0</v>
      </c>
      <c r="K70" s="285">
        <f>J70*$AX$142/$J$153</f>
        <v>0</v>
      </c>
      <c r="L70" s="272">
        <f>CA45</f>
        <v>0</v>
      </c>
      <c r="M70" s="285">
        <f>L70*$AX$140/$L$153</f>
        <v>0</v>
      </c>
      <c r="N70" s="272">
        <f>CD45</f>
        <v>0</v>
      </c>
      <c r="O70" s="285">
        <f>N70*$AX$138/$N$153</f>
        <v>0</v>
      </c>
      <c r="P70" s="285">
        <f>CC45+CB45</f>
        <v>0</v>
      </c>
      <c r="Q70" s="285">
        <f>P70*($AX$139+$AX$137)/$P$153</f>
        <v>0</v>
      </c>
      <c r="R70" s="285">
        <f>CE45</f>
        <v>0</v>
      </c>
      <c r="S70" s="285">
        <f>R70*$AX$136/$R$153</f>
        <v>0</v>
      </c>
      <c r="T70" s="285">
        <f>CF45</f>
        <v>0</v>
      </c>
      <c r="U70" s="285">
        <f>T70*$AX$135/$T$153</f>
        <v>0</v>
      </c>
      <c r="V70" s="285">
        <f>CG45</f>
        <v>0</v>
      </c>
      <c r="W70" s="285">
        <f>V70*$AX$134/$V$153</f>
        <v>0</v>
      </c>
      <c r="X70" s="285">
        <f>CH45</f>
        <v>0</v>
      </c>
      <c r="Y70" s="285">
        <f>X70*$AX$148/$X$153</f>
        <v>0</v>
      </c>
      <c r="Z70" s="285">
        <f>CI45</f>
        <v>0</v>
      </c>
      <c r="AA70" s="285">
        <f>Z70*$AX$149/$Z$153</f>
        <v>0</v>
      </c>
      <c r="AB70" s="285">
        <f>CJ45</f>
        <v>0</v>
      </c>
      <c r="AC70" s="285"/>
      <c r="AD70" s="272">
        <f>CK45</f>
        <v>0</v>
      </c>
      <c r="AE70" s="285">
        <f>AD70*$AX$129/$AD$153</f>
        <v>0</v>
      </c>
      <c r="AF70" s="285">
        <f>CL45</f>
        <v>0</v>
      </c>
      <c r="AG70" s="286">
        <f>AF70*($AX$113+$AX$114)/$AF$153</f>
        <v>0</v>
      </c>
      <c r="AH70" s="285">
        <f>CM45</f>
        <v>0</v>
      </c>
      <c r="AI70" s="285">
        <f>AH70*$AX$116/$AH$153</f>
        <v>0</v>
      </c>
      <c r="AJ70" s="285"/>
      <c r="AK70" s="285"/>
      <c r="AL70" s="285">
        <f>CO45</f>
        <v>0</v>
      </c>
      <c r="AM70" s="285"/>
      <c r="AN70" s="272">
        <v>0.29999999999999999</v>
      </c>
      <c r="AO70" s="286">
        <f>$CQ$142*AN70/100</f>
        <v>1161.0294899999999</v>
      </c>
      <c r="AP70" s="285"/>
      <c r="AQ70" s="286"/>
      <c r="AR70" s="285">
        <f>CS45</f>
        <v>86</v>
      </c>
      <c r="AS70" s="286">
        <f>$AX$145*AR70/$AR$153</f>
        <v>1819.2502393347384</v>
      </c>
      <c r="AT70" s="217">
        <f>CT45</f>
        <v>0</v>
      </c>
      <c r="AU70" s="287">
        <f>AT70*$AX$125/$AT$153</f>
        <v>0</v>
      </c>
      <c r="AV70" s="285"/>
      <c r="AW70" s="285"/>
      <c r="AX70" s="286">
        <f>C70+G70+I70+K70+M70+O70+Q70+S70+U70+W70+Y70+AA70+AC70+AE70+AG70+AI70+AK70+AO70+AU70+AS70+AW70+AQ70+AM70</f>
        <v>2894624.929729335</v>
      </c>
      <c r="AY70" s="288">
        <f t="shared" si="37"/>
        <v>2980.2797293346375</v>
      </c>
      <c r="AZ70" s="288">
        <f t="shared" si="62"/>
        <v>2980.2797293346375</v>
      </c>
      <c r="BA70" s="288">
        <f t="shared" si="63"/>
        <v>2980.2797293346375</v>
      </c>
      <c r="BB70" s="472">
        <f>BF70+BH70</f>
        <v>0</v>
      </c>
      <c r="BC70" s="290" t="e">
        <f>AX70/BB70</f>
        <v>#DIV/0!</v>
      </c>
      <c r="BD70" s="286">
        <f>зарплата!CH66</f>
        <v>2120921.0336562977</v>
      </c>
      <c r="BE70" s="286" t="e">
        <f>#REF!</f>
        <v>#REF!</v>
      </c>
      <c r="BF70" s="291">
        <f>HZ70</f>
        <v>0</v>
      </c>
      <c r="BG70" s="287">
        <f>IB70</f>
        <v>0</v>
      </c>
      <c r="BH70" s="292">
        <f>IC70</f>
        <v>0</v>
      </c>
      <c r="BI70" s="287">
        <f>IE70</f>
        <v>0</v>
      </c>
      <c r="BJ70" s="272"/>
      <c r="BK70" s="285">
        <f>BI70+BG70</f>
        <v>0</v>
      </c>
      <c r="BL70" s="475">
        <f>(BG70*15%)+(BI70*52%)</f>
        <v>0</v>
      </c>
      <c r="BM70" s="285" t="e">
        <f>AX70/BB70</f>
        <v>#DIV/0!</v>
      </c>
      <c r="BN70" s="285" t="e">
        <f>BL70/BB70</f>
        <v>#DIV/0!</v>
      </c>
      <c r="BO70" s="285" t="e">
        <f>BN70-BM70</f>
        <v>#DIV/0!</v>
      </c>
      <c r="BP70" s="285">
        <f>BL70-AX70</f>
        <v>-2894624.929729335</v>
      </c>
      <c r="BQ70" s="285" t="e">
        <f>BK70-AX70-BD70-BE70</f>
        <v>#REF!</v>
      </c>
      <c r="BW70" s="655" t="s">
        <v>235</v>
      </c>
      <c r="BX70" s="262"/>
      <c r="BY70" s="263"/>
      <c r="BZ70" s="298">
        <f>'2026'!T140</f>
        <v>0</v>
      </c>
      <c r="CA70" s="296">
        <f>'2026'!T712</f>
        <v>6995</v>
      </c>
      <c r="CB70" s="266">
        <f>'2026'!T571</f>
        <v>1060</v>
      </c>
      <c r="CC70" s="296">
        <f>'2026'!T495+'2026'!T496+'2026'!T497+'2026'!T498</f>
        <v>35348</v>
      </c>
      <c r="CD70" s="294">
        <f>'2026'!T638+'2026'!T639+'2026'!T640+'2026'!T641</f>
        <v>989</v>
      </c>
      <c r="CE70" s="296">
        <f>'2026'!T362</f>
        <v>0</v>
      </c>
      <c r="CF70" s="298"/>
      <c r="CG70" s="558"/>
      <c r="CH70" s="656">
        <f>'2026'!T845</f>
        <v>0</v>
      </c>
      <c r="CI70" s="558"/>
      <c r="CJ70" s="264"/>
      <c r="CK70" s="558"/>
      <c r="CL70" s="264"/>
      <c r="CM70" s="558"/>
      <c r="CN70" s="558"/>
      <c r="CO70" s="557"/>
      <c r="CP70" s="371"/>
      <c r="CQ70" s="371"/>
      <c r="CR70" s="647"/>
      <c r="CS70" s="657">
        <f>'2026'!T1079+'2026'!T1076+'2026'!T1077+'2026'!T1078</f>
        <v>251</v>
      </c>
      <c r="CU70" s="658"/>
      <c r="CV70" s="649"/>
      <c r="CW70" s="338"/>
      <c r="DA70" s="304">
        <f>DB70+DC70</f>
        <v>0</v>
      </c>
      <c r="DB70" s="305"/>
      <c r="DC70" s="305"/>
      <c r="DD70" s="306">
        <f>DE70+DF70</f>
        <v>0</v>
      </c>
      <c r="DE70" s="306"/>
      <c r="DF70" s="306"/>
      <c r="EF70" s="283" t="s">
        <v>222</v>
      </c>
      <c r="EG70" s="283"/>
      <c r="EH70" s="280"/>
      <c r="EI70" s="280"/>
      <c r="EK70" s="280"/>
      <c r="EL70" s="280"/>
      <c r="EN70" s="37"/>
      <c r="ES70" s="38"/>
      <c r="EZ70" s="356">
        <f t="shared" si="64"/>
        <v>0</v>
      </c>
      <c r="FA70" s="357">
        <f t="shared" si="64"/>
        <v>0</v>
      </c>
      <c r="FB70" s="1">
        <f t="shared" si="64"/>
        <v>0</v>
      </c>
      <c r="FC70" s="281">
        <f t="shared" si="64"/>
        <v>0</v>
      </c>
      <c r="FD70" s="281">
        <f t="shared" si="64"/>
        <v>0</v>
      </c>
      <c r="FE70" s="38">
        <f t="shared" si="64"/>
        <v>0</v>
      </c>
      <c r="FF70" s="281"/>
      <c r="FG70" s="281"/>
      <c r="FI70" s="281"/>
      <c r="FJ70" s="281"/>
      <c r="FL70" s="282"/>
      <c r="FM70" s="281"/>
      <c r="FO70" s="281"/>
      <c r="FP70" s="281"/>
      <c r="FQ70" s="38"/>
      <c r="FR70" s="282"/>
      <c r="FS70" s="281"/>
      <c r="FU70" s="281"/>
      <c r="FV70" s="281"/>
      <c r="FW70" s="38"/>
      <c r="FX70" s="323">
        <f t="shared" si="65"/>
        <v>0</v>
      </c>
      <c r="FY70" s="322">
        <f t="shared" si="65"/>
        <v>0</v>
      </c>
      <c r="FZ70" s="324">
        <f t="shared" si="65"/>
        <v>0</v>
      </c>
      <c r="GA70" s="322">
        <f t="shared" si="65"/>
        <v>0</v>
      </c>
      <c r="GB70" s="322">
        <f t="shared" si="65"/>
        <v>0</v>
      </c>
      <c r="GC70" s="325">
        <f t="shared" si="65"/>
        <v>0</v>
      </c>
      <c r="GD70" s="282"/>
      <c r="GE70" s="281"/>
      <c r="GG70" s="281"/>
      <c r="GH70" s="281"/>
      <c r="GI70" s="38"/>
      <c r="GJ70" s="282"/>
      <c r="GK70" s="281"/>
      <c r="GM70" s="281"/>
      <c r="GN70" s="281"/>
      <c r="GO70" s="38"/>
      <c r="GP70" s="363"/>
      <c r="GQ70" s="281"/>
      <c r="GS70" s="281"/>
      <c r="GT70" s="281"/>
      <c r="GU70" s="38"/>
      <c r="GV70" s="323">
        <f t="shared" si="66"/>
        <v>0</v>
      </c>
      <c r="GW70" s="322">
        <f t="shared" si="66"/>
        <v>0</v>
      </c>
      <c r="GX70" s="322">
        <f t="shared" si="66"/>
        <v>0</v>
      </c>
      <c r="GY70" s="322">
        <f t="shared" si="66"/>
        <v>0</v>
      </c>
      <c r="GZ70" s="322">
        <f t="shared" si="66"/>
        <v>0</v>
      </c>
      <c r="HA70" s="326">
        <f t="shared" si="66"/>
        <v>0</v>
      </c>
      <c r="HB70" s="282"/>
      <c r="HC70" s="281"/>
      <c r="HE70" s="281"/>
      <c r="HF70" s="281"/>
      <c r="HG70" s="38"/>
      <c r="HH70" s="282"/>
      <c r="HI70" s="281"/>
      <c r="HK70" s="281"/>
      <c r="HL70" s="281"/>
      <c r="HM70" s="38"/>
      <c r="HN70" s="282"/>
      <c r="HO70" s="281"/>
      <c r="HQ70" s="281"/>
      <c r="HR70" s="281"/>
      <c r="HS70" s="38"/>
      <c r="HT70" s="315">
        <f t="shared" si="67"/>
        <v>0</v>
      </c>
      <c r="HU70" s="316">
        <f t="shared" si="67"/>
        <v>0</v>
      </c>
      <c r="HV70" s="317">
        <f t="shared" si="67"/>
        <v>0</v>
      </c>
      <c r="HW70" s="316">
        <f t="shared" si="67"/>
        <v>0</v>
      </c>
      <c r="HX70" s="316">
        <f t="shared" si="67"/>
        <v>0</v>
      </c>
      <c r="HY70" s="317">
        <f t="shared" si="67"/>
        <v>0</v>
      </c>
      <c r="HZ70" s="327">
        <f t="shared" si="68"/>
        <v>0</v>
      </c>
      <c r="IA70" s="316">
        <f t="shared" si="68"/>
        <v>0</v>
      </c>
      <c r="IB70" s="317">
        <f t="shared" si="68"/>
        <v>0</v>
      </c>
      <c r="IC70" s="316">
        <f t="shared" si="68"/>
        <v>0</v>
      </c>
      <c r="ID70" s="316">
        <f t="shared" si="68"/>
        <v>0</v>
      </c>
      <c r="IE70" s="328">
        <f t="shared" si="68"/>
        <v>0</v>
      </c>
      <c r="IF70" s="327">
        <f>HZ70+IC70</f>
        <v>0</v>
      </c>
      <c r="IG70" s="316">
        <f>IA70+ID70</f>
        <v>0</v>
      </c>
      <c r="IH70" s="317">
        <f>IB70+IE70</f>
        <v>0</v>
      </c>
    </row>
    <row r="71" ht="13.5">
      <c r="A71" s="437"/>
      <c r="B71" s="437"/>
      <c r="C71" s="368"/>
      <c r="D71" s="331">
        <f>D70*100/$AX70</f>
        <v>43.2369236216392</v>
      </c>
      <c r="E71" s="331">
        <f>E70*100/$AX70</f>
        <v>56.660117279973782</v>
      </c>
      <c r="F71" s="217"/>
      <c r="G71" s="639"/>
      <c r="H71" s="217"/>
      <c r="I71" s="639"/>
      <c r="J71" s="626"/>
      <c r="K71" s="627"/>
      <c r="L71" s="258"/>
      <c r="M71" s="333"/>
      <c r="N71" s="258"/>
      <c r="O71" s="331"/>
      <c r="P71" s="626"/>
      <c r="Q71" s="331">
        <f>Q70*100/$AX70</f>
        <v>0</v>
      </c>
      <c r="R71" s="626"/>
      <c r="S71" s="331"/>
      <c r="T71" s="626"/>
      <c r="U71" s="627"/>
      <c r="V71" s="626"/>
      <c r="W71" s="331"/>
      <c r="X71" s="626"/>
      <c r="Y71" s="331"/>
      <c r="Z71" s="626"/>
      <c r="AA71" s="331">
        <f>AA70*100/$AX70</f>
        <v>0</v>
      </c>
      <c r="AB71" s="626"/>
      <c r="AC71" s="627"/>
      <c r="AD71" s="364"/>
      <c r="AE71" s="331"/>
      <c r="AF71" s="626"/>
      <c r="AG71" s="639"/>
      <c r="AH71" s="626"/>
      <c r="AI71" s="333"/>
      <c r="AJ71" s="626"/>
      <c r="AK71" s="331"/>
      <c r="AL71" s="626"/>
      <c r="AM71" s="627"/>
      <c r="AN71" s="258"/>
      <c r="AO71" s="332">
        <f>AO70*100/$AX70</f>
        <v>0.040109842144853053</v>
      </c>
      <c r="AP71" s="626"/>
      <c r="AQ71" s="332"/>
      <c r="AR71" s="626"/>
      <c r="AS71" s="332">
        <f>AS70*100/$AX70</f>
        <v>0.062849256242149792</v>
      </c>
      <c r="AT71" s="217"/>
      <c r="AU71" s="333">
        <f>AU70*100/$AX70</f>
        <v>0</v>
      </c>
      <c r="AV71" s="640"/>
      <c r="AW71" s="640"/>
      <c r="AX71" s="336">
        <f>SUM(D71:AW71)</f>
        <v>99.999999999999986</v>
      </c>
      <c r="AY71" s="336"/>
      <c r="AZ71" s="336"/>
      <c r="BA71" s="336"/>
      <c r="BB71" s="289"/>
      <c r="BC71" s="290"/>
      <c r="BD71" s="286"/>
      <c r="BE71" s="286"/>
      <c r="BF71" s="291"/>
      <c r="BG71" s="287"/>
      <c r="BH71" s="531"/>
      <c r="BI71" s="530"/>
      <c r="BJ71" s="287"/>
      <c r="BK71" s="217"/>
      <c r="BL71" s="293"/>
      <c r="BM71" s="287"/>
      <c r="BN71" s="287"/>
      <c r="BO71" s="217"/>
      <c r="BP71" s="285"/>
      <c r="BQ71" s="285"/>
      <c r="BW71" s="655"/>
      <c r="BX71" s="262"/>
      <c r="BY71" s="263"/>
      <c r="BZ71" s="558"/>
      <c r="CA71" s="558"/>
      <c r="CB71" s="557"/>
      <c r="CC71" s="558"/>
      <c r="CD71" s="647"/>
      <c r="CE71" s="558"/>
      <c r="CF71" s="558"/>
      <c r="CG71" s="558"/>
      <c r="CH71" s="558"/>
      <c r="CI71" s="558"/>
      <c r="CJ71" s="264"/>
      <c r="CK71" s="558"/>
      <c r="CL71" s="264"/>
      <c r="CM71" s="558"/>
      <c r="CN71" s="558"/>
      <c r="CO71" s="557"/>
      <c r="CP71" s="371"/>
      <c r="CQ71" s="371"/>
      <c r="CR71" s="647"/>
      <c r="CS71" s="557"/>
      <c r="CV71" s="649"/>
      <c r="CW71" s="338"/>
      <c r="DA71" s="653"/>
      <c r="DB71" s="653"/>
      <c r="DC71" s="653"/>
      <c r="DD71" s="654"/>
      <c r="DE71" s="654"/>
      <c r="DF71" s="654"/>
      <c r="EF71" s="437"/>
      <c r="EG71" s="437"/>
      <c r="EH71" s="280"/>
      <c r="EI71" s="280"/>
      <c r="EK71" s="280"/>
      <c r="EL71" s="280"/>
      <c r="EN71" s="37"/>
      <c r="EP71" s="15"/>
      <c r="ES71" s="38"/>
      <c r="EZ71" s="356"/>
      <c r="FA71" s="357"/>
      <c r="FC71" s="281"/>
      <c r="FD71" s="281"/>
      <c r="FE71" s="38"/>
      <c r="FF71" s="281"/>
      <c r="FG71" s="281"/>
      <c r="FI71" s="281"/>
      <c r="FJ71" s="281"/>
      <c r="FL71" s="282"/>
      <c r="FM71" s="281"/>
      <c r="FO71" s="281"/>
      <c r="FP71" s="281"/>
      <c r="FQ71" s="38"/>
      <c r="FR71" s="282"/>
      <c r="FS71" s="281"/>
      <c r="FU71" s="281"/>
      <c r="FV71" s="281"/>
      <c r="FW71" s="38"/>
      <c r="FX71" s="351"/>
      <c r="FY71" s="350"/>
      <c r="FZ71" s="344"/>
      <c r="GA71" s="350"/>
      <c r="GB71" s="350"/>
      <c r="GC71" s="347"/>
      <c r="GD71" s="282"/>
      <c r="GE71" s="281"/>
      <c r="GG71" s="281"/>
      <c r="GH71" s="281"/>
      <c r="GI71" s="38"/>
      <c r="GJ71" s="282"/>
      <c r="GK71" s="281"/>
      <c r="GM71" s="281"/>
      <c r="GN71" s="281"/>
      <c r="GO71" s="38"/>
      <c r="GP71" s="282"/>
      <c r="GQ71" s="281"/>
      <c r="GS71" s="281"/>
      <c r="GT71" s="281"/>
      <c r="GU71" s="38"/>
      <c r="GV71" s="351"/>
      <c r="GW71" s="350"/>
      <c r="GX71" s="344"/>
      <c r="GY71" s="350"/>
      <c r="GZ71" s="350"/>
      <c r="HA71" s="347"/>
      <c r="HB71" s="282"/>
      <c r="HC71" s="281"/>
      <c r="HE71" s="281"/>
      <c r="HF71" s="281"/>
      <c r="HG71" s="38"/>
      <c r="HH71" s="282"/>
      <c r="HI71" s="281"/>
      <c r="HK71" s="281"/>
      <c r="HL71" s="281"/>
      <c r="HM71" s="38"/>
      <c r="HN71" s="282"/>
      <c r="HO71" s="281"/>
      <c r="HQ71" s="281"/>
      <c r="HR71" s="281"/>
      <c r="HS71" s="38"/>
      <c r="HT71" s="342"/>
      <c r="HU71" s="343"/>
      <c r="HV71" s="344"/>
      <c r="HW71" s="343"/>
      <c r="HX71" s="343"/>
      <c r="HY71" s="344"/>
      <c r="HZ71" s="534"/>
      <c r="IA71" s="343"/>
      <c r="IB71" s="344"/>
      <c r="IC71" s="343"/>
      <c r="ID71" s="343"/>
      <c r="IE71" s="355"/>
      <c r="IF71" s="534"/>
      <c r="IG71" s="343"/>
      <c r="IH71" s="344"/>
    </row>
    <row r="72">
      <c r="A72" s="483" t="s">
        <v>22</v>
      </c>
      <c r="B72" s="483"/>
      <c r="C72" s="248">
        <f>C64+C66+C70+C68</f>
        <v>3935932.2100000004</v>
      </c>
      <c r="D72" s="484">
        <f>D64+D66+D70+D68</f>
        <v>1869900.8400000003</v>
      </c>
      <c r="E72" s="484">
        <f>E64+E66+E70+E68</f>
        <v>2066031.3700000001</v>
      </c>
      <c r="F72" s="484">
        <f>F64+F66+F70+F68</f>
        <v>0</v>
      </c>
      <c r="G72" s="485">
        <f>G64+G66+G70+G68</f>
        <v>0</v>
      </c>
      <c r="H72" s="484"/>
      <c r="I72" s="485">
        <f>I64+I66+I70+I68</f>
        <v>0</v>
      </c>
      <c r="J72" s="484"/>
      <c r="K72" s="484">
        <f>K64+K66+K70+K68</f>
        <v>0</v>
      </c>
      <c r="L72" s="484"/>
      <c r="M72" s="484">
        <f>M64+M66+M70+M68</f>
        <v>72564.534522708447</v>
      </c>
      <c r="N72" s="484"/>
      <c r="O72" s="484">
        <f>O64+O66+O70+O68</f>
        <v>57454.647961795912</v>
      </c>
      <c r="P72" s="484"/>
      <c r="Q72" s="484">
        <f>Q64+Q66+Q70+Q68</f>
        <v>417727.69043238275</v>
      </c>
      <c r="R72" s="484"/>
      <c r="S72" s="484">
        <f>S64+S66+S70+S68</f>
        <v>7384.2516139974014</v>
      </c>
      <c r="T72" s="484"/>
      <c r="U72" s="484">
        <f>U64+U66+U70+U68</f>
        <v>0</v>
      </c>
      <c r="V72" s="484"/>
      <c r="W72" s="484">
        <f>W64+W66+W70+W68</f>
        <v>918.24052835074997</v>
      </c>
      <c r="X72" s="484"/>
      <c r="Y72" s="484">
        <f>Y64+Y66+Y70+Y68</f>
        <v>30.423129365663897</v>
      </c>
      <c r="Z72" s="484"/>
      <c r="AA72" s="484">
        <f>AA64+AA66+AA70+AA68</f>
        <v>26500.972723631257</v>
      </c>
      <c r="AB72" s="484"/>
      <c r="AC72" s="484">
        <f>AC64+AC66+AC70+AC68</f>
        <v>0</v>
      </c>
      <c r="AD72" s="484"/>
      <c r="AE72" s="484">
        <f>AE64+AE66+AE70+AE68</f>
        <v>1410850.6878849282</v>
      </c>
      <c r="AF72" s="484"/>
      <c r="AG72" s="485">
        <f>AG64+AG66+AG70+AG68</f>
        <v>0</v>
      </c>
      <c r="AH72" s="484"/>
      <c r="AI72" s="484">
        <f>AI64+AI66+AI70+AI68</f>
        <v>848947.90142517164</v>
      </c>
      <c r="AJ72" s="484"/>
      <c r="AK72" s="484">
        <f>AK64+AK66+AK70+AK68</f>
        <v>1872186.1896896202</v>
      </c>
      <c r="AL72" s="484"/>
      <c r="AM72" s="484">
        <f>AM64+AM66+AM70+AM68</f>
        <v>0</v>
      </c>
      <c r="AN72" s="484">
        <f>AN64+AN66+AN70+AN68</f>
        <v>10.600000000000001</v>
      </c>
      <c r="AO72" s="485">
        <f>AO64+AO66+AO70+AO68</f>
        <v>41023.041979999995</v>
      </c>
      <c r="AP72" s="484"/>
      <c r="AQ72" s="485">
        <f>AQ64+AQ66+AQ70+AQ68</f>
        <v>0</v>
      </c>
      <c r="AR72" s="484"/>
      <c r="AS72" s="485">
        <f>AS64+AS66+AS70+AS68</f>
        <v>41038.900747783628</v>
      </c>
      <c r="AT72" s="591"/>
      <c r="AU72" s="484">
        <f t="shared" ref="AU72:BI72" si="70">AU64+AU66+AU70+AU68</f>
        <v>421564.74666114105</v>
      </c>
      <c r="AV72" s="484">
        <f t="shared" si="70"/>
        <v>0</v>
      </c>
      <c r="AW72" s="484">
        <f t="shared" si="70"/>
        <v>0</v>
      </c>
      <c r="AX72" s="485">
        <f t="shared" si="70"/>
        <v>9154124.439300878</v>
      </c>
      <c r="AY72" s="485">
        <f t="shared" si="37"/>
        <v>5218192.2293008771</v>
      </c>
      <c r="AZ72" s="485">
        <f t="shared" si="62"/>
        <v>2497058.138186085</v>
      </c>
      <c r="BA72" s="485">
        <f t="shared" si="63"/>
        <v>2497058.138186085</v>
      </c>
      <c r="BB72" s="592">
        <f t="shared" si="70"/>
        <v>0</v>
      </c>
      <c r="BC72" s="485" t="e">
        <f>AX72/BB72</f>
        <v>#DIV/0!</v>
      </c>
      <c r="BD72" s="489">
        <f>BD64+BD66+BD70+BD68</f>
        <v>96550403.199366286</v>
      </c>
      <c r="BE72" s="489" t="e">
        <f>BE64+BE66+BE70+BE68</f>
        <v>#REF!</v>
      </c>
      <c r="BF72" s="659">
        <f>BF64+BF66+BF70+BF68</f>
        <v>0</v>
      </c>
      <c r="BG72" s="484">
        <f>BG64+BG66+BG70+BG68</f>
        <v>0</v>
      </c>
      <c r="BH72" s="488">
        <f t="shared" si="70"/>
        <v>0</v>
      </c>
      <c r="BI72" s="484">
        <f t="shared" si="70"/>
        <v>0</v>
      </c>
      <c r="BJ72" s="484"/>
      <c r="BK72" s="484">
        <f>BK64+BK66+BK70+BK68</f>
        <v>0</v>
      </c>
      <c r="BL72" s="484">
        <f>SUM(BL64:BL71)</f>
        <v>0</v>
      </c>
      <c r="BM72" s="484"/>
      <c r="BN72" s="484"/>
      <c r="BO72" s="486"/>
      <c r="BP72" s="660"/>
      <c r="BQ72" s="487" t="e">
        <f>SUM(BQ64:BQ71)</f>
        <v>#REF!</v>
      </c>
      <c r="BW72" s="261"/>
      <c r="BX72" s="661"/>
      <c r="BY72" s="662"/>
      <c r="BZ72" s="663"/>
      <c r="CA72" s="663"/>
      <c r="CB72" s="664"/>
      <c r="CC72" s="663"/>
      <c r="CD72" s="665"/>
      <c r="CE72" s="663"/>
      <c r="CF72" s="663"/>
      <c r="CG72" s="663"/>
      <c r="CH72" s="663"/>
      <c r="CI72" s="663"/>
      <c r="CJ72" s="666"/>
      <c r="CK72" s="663"/>
      <c r="CL72" s="666"/>
      <c r="CM72" s="663"/>
      <c r="CN72" s="663"/>
      <c r="CO72" s="664"/>
      <c r="CP72" s="667"/>
      <c r="CQ72" s="667"/>
      <c r="CR72" s="665"/>
      <c r="CS72" s="664"/>
      <c r="CV72" s="649"/>
      <c r="CW72" s="338"/>
      <c r="DA72" s="477">
        <f>DB72+DC72</f>
        <v>0</v>
      </c>
      <c r="DB72" s="478"/>
      <c r="DC72" s="478"/>
      <c r="DD72" s="477">
        <f>DE72+DF72</f>
        <v>0</v>
      </c>
      <c r="DE72" s="477"/>
      <c r="DF72" s="477"/>
      <c r="EF72" s="483" t="s">
        <v>22</v>
      </c>
      <c r="EG72" s="483"/>
      <c r="EH72" s="593">
        <f>SUM(EH64:EH71)</f>
        <v>0</v>
      </c>
      <c r="EI72" s="594">
        <f>SUM(EI64:EI71)</f>
        <v>0</v>
      </c>
      <c r="EJ72" s="595">
        <f>SUM(EJ64:EJ71)</f>
        <v>0</v>
      </c>
      <c r="EK72" s="595">
        <f>SUM(EK64:EK71)</f>
        <v>0</v>
      </c>
      <c r="EL72" s="595">
        <f>SUM(EL64:EL71)</f>
        <v>0</v>
      </c>
      <c r="EM72" s="595">
        <f>SUM(EM63:EM71)</f>
        <v>0</v>
      </c>
      <c r="EN72" s="596">
        <f>SUM(EN64:EN71)</f>
        <v>0</v>
      </c>
      <c r="EO72" s="595">
        <f>SUM(EO64:EO71)</f>
        <v>0</v>
      </c>
      <c r="EP72" s="595">
        <f>SUM(EP64:EP71)</f>
        <v>0</v>
      </c>
      <c r="EQ72" s="595">
        <f>SUM(EQ64:EQ71)</f>
        <v>0</v>
      </c>
      <c r="ER72" s="595">
        <f>SUM(ER64:ER71)</f>
        <v>0</v>
      </c>
      <c r="ES72" s="597">
        <f>SUM(ES63:ES71)</f>
        <v>0</v>
      </c>
      <c r="ET72" s="595">
        <f>SUM(ET64:ET71)</f>
        <v>0</v>
      </c>
      <c r="EU72" s="595">
        <f>SUM(EU64:EU71)</f>
        <v>0</v>
      </c>
      <c r="EV72" s="595">
        <f>SUM(EV64:EV71)</f>
        <v>0</v>
      </c>
      <c r="EW72" s="595">
        <f>SUM(EW64:EW71)</f>
        <v>0</v>
      </c>
      <c r="EX72" s="595">
        <f>SUM(EX64:EX71)</f>
        <v>0</v>
      </c>
      <c r="EY72" s="595">
        <f>SUM(EY63:EY71)</f>
        <v>0</v>
      </c>
      <c r="EZ72" s="494">
        <f>SUM(EZ64:EZ71)</f>
        <v>0</v>
      </c>
      <c r="FA72" s="495">
        <f>SUM(FA64:FA71)</f>
        <v>0</v>
      </c>
      <c r="FB72" s="496">
        <f>SUM(FB64:FB71)</f>
        <v>0</v>
      </c>
      <c r="FC72" s="495">
        <f>SUM(FC64:FC71)</f>
        <v>0</v>
      </c>
      <c r="FD72" s="495">
        <f>SUM(FD64:FD71)</f>
        <v>0</v>
      </c>
      <c r="FE72" s="497">
        <f>SUM(FE63:FE71)</f>
        <v>0</v>
      </c>
      <c r="FF72" s="494">
        <f>SUM(FF64:FF71)</f>
        <v>0</v>
      </c>
      <c r="FG72" s="495">
        <f>SUM(FG64:FG71)</f>
        <v>0</v>
      </c>
      <c r="FH72" s="496">
        <f>SUM(FH64:FH71)</f>
        <v>0</v>
      </c>
      <c r="FI72" s="495">
        <f>SUM(FI64:FI71)</f>
        <v>0</v>
      </c>
      <c r="FJ72" s="495">
        <f>SUM(FJ64:FJ71)</f>
        <v>0</v>
      </c>
      <c r="FK72" s="497">
        <f>SUM(FK63:FK71)</f>
        <v>0</v>
      </c>
      <c r="FL72" s="494">
        <f>SUM(FL64:FL71)</f>
        <v>0</v>
      </c>
      <c r="FM72" s="495">
        <f>SUM(FM64:FM71)</f>
        <v>0</v>
      </c>
      <c r="FN72" s="496">
        <f>SUM(FN64:FN71)</f>
        <v>0</v>
      </c>
      <c r="FO72" s="495">
        <f>SUM(FO64:FO71)</f>
        <v>0</v>
      </c>
      <c r="FP72" s="495">
        <f>SUM(FP64:FP71)</f>
        <v>0</v>
      </c>
      <c r="FQ72" s="497">
        <f>SUM(FQ63:FQ71)</f>
        <v>0</v>
      </c>
      <c r="FR72" s="494">
        <f>SUM(FR64:FR71)</f>
        <v>0</v>
      </c>
      <c r="FS72" s="495">
        <f>SUM(FS64:FS71)</f>
        <v>0</v>
      </c>
      <c r="FT72" s="496">
        <f>SUM(FT64:FT71)</f>
        <v>0</v>
      </c>
      <c r="FU72" s="495">
        <f>SUM(FU64:FU71)</f>
        <v>0</v>
      </c>
      <c r="FV72" s="495">
        <f>SUM(FV64:FV71)</f>
        <v>0</v>
      </c>
      <c r="FW72" s="497">
        <f>SUM(FW63:FW71)</f>
        <v>0</v>
      </c>
      <c r="FX72" s="494">
        <f>SUM(FX64:FX71)</f>
        <v>0</v>
      </c>
      <c r="FY72" s="495">
        <f>SUM(FY64:FY71)</f>
        <v>0</v>
      </c>
      <c r="FZ72" s="496">
        <f>SUM(FZ64:FZ71)</f>
        <v>0</v>
      </c>
      <c r="GA72" s="495">
        <f>SUM(GA64:GA71)</f>
        <v>0</v>
      </c>
      <c r="GB72" s="495">
        <f>SUM(GB64:GB71)</f>
        <v>0</v>
      </c>
      <c r="GC72" s="497">
        <f>SUM(GC63:GC71)</f>
        <v>0</v>
      </c>
      <c r="GD72" s="494">
        <f>SUM(GD64:GD71)</f>
        <v>0</v>
      </c>
      <c r="GE72" s="495">
        <f>SUM(GE64:GE71)</f>
        <v>0</v>
      </c>
      <c r="GF72" s="496">
        <f>SUM(GF64:GF71)</f>
        <v>0</v>
      </c>
      <c r="GG72" s="495">
        <f>SUM(GG64:GG71)</f>
        <v>0</v>
      </c>
      <c r="GH72" s="495">
        <f>SUM(GH64:GH71)</f>
        <v>0</v>
      </c>
      <c r="GI72" s="497">
        <f>SUM(GI63:GI71)</f>
        <v>0</v>
      </c>
      <c r="GJ72" s="494">
        <f>SUM(GJ64:GJ71)</f>
        <v>0</v>
      </c>
      <c r="GK72" s="495">
        <f>SUM(GK64:GK71)</f>
        <v>0</v>
      </c>
      <c r="GL72" s="496">
        <f>SUM(GL64:GL71)</f>
        <v>0</v>
      </c>
      <c r="GM72" s="495">
        <f>SUM(GM64:GM71)</f>
        <v>0</v>
      </c>
      <c r="GN72" s="495">
        <f>SUM(GN64:GN71)</f>
        <v>0</v>
      </c>
      <c r="GO72" s="497">
        <f>SUM(GO63:GO71)</f>
        <v>0</v>
      </c>
      <c r="GP72" s="494">
        <f>SUM(GP64:GP71)</f>
        <v>0</v>
      </c>
      <c r="GQ72" s="495">
        <f>SUM(GQ64:GQ71)</f>
        <v>0</v>
      </c>
      <c r="GR72" s="496">
        <f>SUM(GR64:GR71)</f>
        <v>0</v>
      </c>
      <c r="GS72" s="495">
        <f>SUM(GS64:GS71)</f>
        <v>0</v>
      </c>
      <c r="GT72" s="495">
        <f>SUM(GT64:GT71)</f>
        <v>0</v>
      </c>
      <c r="GU72" s="497">
        <f>SUM(GU63:GU71)</f>
        <v>0</v>
      </c>
      <c r="GV72" s="494">
        <f>SUM(GV64:GV71)</f>
        <v>0</v>
      </c>
      <c r="GW72" s="495">
        <f>SUM(GW64:GW71)</f>
        <v>0</v>
      </c>
      <c r="GX72" s="496">
        <f>SUM(GX64:GX71)</f>
        <v>0</v>
      </c>
      <c r="GY72" s="495">
        <f>SUM(GY64:GY71)</f>
        <v>0</v>
      </c>
      <c r="GZ72" s="495">
        <f>SUM(GZ64:GZ71)</f>
        <v>0</v>
      </c>
      <c r="HA72" s="497">
        <f>SUM(HA63:HA71)</f>
        <v>0</v>
      </c>
      <c r="HB72" s="494">
        <f>SUM(HB64:HB71)</f>
        <v>0</v>
      </c>
      <c r="HC72" s="495">
        <f>SUM(HC64:HC71)</f>
        <v>0</v>
      </c>
      <c r="HD72" s="496">
        <f>SUM(HD64:HD71)</f>
        <v>0</v>
      </c>
      <c r="HE72" s="495">
        <f>SUM(HE64:HE71)</f>
        <v>0</v>
      </c>
      <c r="HF72" s="495">
        <f>SUM(HF64:HF71)</f>
        <v>0</v>
      </c>
      <c r="HG72" s="497">
        <f>SUM(HG63:HG71)</f>
        <v>0</v>
      </c>
      <c r="HH72" s="494">
        <f>SUM(HH64:HH71)</f>
        <v>0</v>
      </c>
      <c r="HI72" s="495">
        <f>SUM(HI64:HI71)</f>
        <v>0</v>
      </c>
      <c r="HJ72" s="496">
        <f>SUM(HJ64:HJ71)</f>
        <v>0</v>
      </c>
      <c r="HK72" s="495">
        <f>SUM(HK64:HK71)</f>
        <v>0</v>
      </c>
      <c r="HL72" s="495">
        <f>SUM(HL64:HL71)</f>
        <v>0</v>
      </c>
      <c r="HM72" s="497">
        <f>SUM(HM63:HM71)</f>
        <v>0</v>
      </c>
      <c r="HN72" s="494">
        <f>SUM(HN64:HN71)</f>
        <v>0</v>
      </c>
      <c r="HO72" s="495">
        <f>SUM(HO64:HO71)</f>
        <v>0</v>
      </c>
      <c r="HP72" s="496">
        <f>SUM(HP64:HP71)</f>
        <v>0</v>
      </c>
      <c r="HQ72" s="495">
        <f>SUM(HQ64:HQ71)</f>
        <v>0</v>
      </c>
      <c r="HR72" s="495">
        <f>SUM(HR64:HR71)</f>
        <v>0</v>
      </c>
      <c r="HS72" s="497">
        <f>SUM(HS63:HS71)</f>
        <v>0</v>
      </c>
      <c r="HT72" s="494">
        <f>SUM(HT64:HT71)</f>
        <v>0</v>
      </c>
      <c r="HU72" s="495">
        <f>SUM(HU64:HU71)</f>
        <v>0</v>
      </c>
      <c r="HV72" s="496">
        <f>SUM(HV64:HV71)</f>
        <v>0</v>
      </c>
      <c r="HW72" s="495">
        <f>SUM(HW64:HW71)</f>
        <v>0</v>
      </c>
      <c r="HX72" s="495">
        <f>SUM(HX64:HX71)</f>
        <v>0</v>
      </c>
      <c r="HY72" s="497">
        <f>SUM(HY63:HY71)</f>
        <v>0</v>
      </c>
      <c r="HZ72" s="494">
        <f>SUM(HZ64:HZ71)</f>
        <v>0</v>
      </c>
      <c r="IA72" s="495">
        <f>SUM(IA64:IA71)</f>
        <v>0</v>
      </c>
      <c r="IB72" s="496">
        <f>SUM(IB64:IB71)</f>
        <v>0</v>
      </c>
      <c r="IC72" s="495">
        <f>SUM(IC64:IC71)</f>
        <v>0</v>
      </c>
      <c r="ID72" s="495">
        <f>SUM(ID64:ID71)</f>
        <v>0</v>
      </c>
      <c r="IE72" s="497">
        <f>SUM(IE63:IE71)</f>
        <v>0</v>
      </c>
      <c r="IF72" s="494">
        <f>SUM(IF64:IF71)</f>
        <v>0</v>
      </c>
      <c r="IG72" s="495">
        <f>SUM(IG64:IG71)</f>
        <v>0</v>
      </c>
      <c r="IH72" s="496">
        <f>SUM(IH64:IH71)</f>
        <v>0</v>
      </c>
    </row>
    <row r="73" ht="13.5">
      <c r="A73" s="598"/>
      <c r="B73" s="598"/>
      <c r="C73" s="248"/>
      <c r="D73" s="599">
        <f>D72*100/$AX$72</f>
        <v>20.426867172266768</v>
      </c>
      <c r="E73" s="599">
        <f>E72*100/$AX$72</f>
        <v>22.569404465707567</v>
      </c>
      <c r="F73" s="599"/>
      <c r="G73" s="600"/>
      <c r="H73" s="599"/>
      <c r="I73" s="600"/>
      <c r="J73" s="599"/>
      <c r="K73" s="599">
        <f>K72*100/$AX$72</f>
        <v>0</v>
      </c>
      <c r="L73" s="599"/>
      <c r="M73" s="599">
        <f>M72*100/$AX$72</f>
        <v>0.79269770696115172</v>
      </c>
      <c r="N73" s="599"/>
      <c r="O73" s="599">
        <f>O72*100/$AX$72</f>
        <v>0.62763673732824909</v>
      </c>
      <c r="P73" s="599"/>
      <c r="Q73" s="599">
        <f>Q72*100/$AX$72</f>
        <v>4.5632730164665052</v>
      </c>
      <c r="R73" s="599"/>
      <c r="S73" s="599">
        <f>S72*100/$AX$72</f>
        <v>0.080665842626030049</v>
      </c>
      <c r="T73" s="599"/>
      <c r="U73" s="599">
        <f>U72*100/$AX$72</f>
        <v>0</v>
      </c>
      <c r="V73" s="599"/>
      <c r="W73" s="599">
        <f>W72*100/$AX$72</f>
        <v>0.010030894100680131</v>
      </c>
      <c r="X73" s="599"/>
      <c r="Y73" s="599">
        <f>Y72*100/$AX$72</f>
        <v>0.00033234341052924756</v>
      </c>
      <c r="Z73" s="599"/>
      <c r="AA73" s="599">
        <f>AA72*100/$AX$72</f>
        <v>0.28949762371435711</v>
      </c>
      <c r="AB73" s="599"/>
      <c r="AC73" s="599">
        <f>AC72*100/$AX$72</f>
        <v>0</v>
      </c>
      <c r="AD73" s="599"/>
      <c r="AE73" s="599">
        <f>AE72*100/$AX$72</f>
        <v>15.412186028712958</v>
      </c>
      <c r="AF73" s="599"/>
      <c r="AG73" s="600">
        <f>AG72*100/$AX$72</f>
        <v>0</v>
      </c>
      <c r="AH73" s="599"/>
      <c r="AI73" s="599">
        <f>AI72*100/$AX$72</f>
        <v>9.2739388354874475</v>
      </c>
      <c r="AJ73" s="599"/>
      <c r="AK73" s="599">
        <f>AK72*100/$AX$72</f>
        <v>20.451832418312673</v>
      </c>
      <c r="AL73" s="599"/>
      <c r="AM73" s="599">
        <f>AM72*100/$AX$72</f>
        <v>0</v>
      </c>
      <c r="AN73" s="599"/>
      <c r="AO73" s="600">
        <f>AO72*100/$AX$72</f>
        <v>0.44813725498288093</v>
      </c>
      <c r="AP73" s="599"/>
      <c r="AQ73" s="600"/>
      <c r="AR73" s="599"/>
      <c r="AS73" s="600">
        <f>AS72*100/$AX$72</f>
        <v>0.44831049675918394</v>
      </c>
      <c r="AT73" s="602"/>
      <c r="AU73" s="599">
        <f>AU72*100/$AX$72</f>
        <v>4.605189163163014</v>
      </c>
      <c r="AV73" s="484"/>
      <c r="AW73" s="484"/>
      <c r="AX73" s="504">
        <f>SUM(D73:AW73)</f>
        <v>99.999999999999986</v>
      </c>
      <c r="AY73" s="504"/>
      <c r="AZ73" s="504"/>
      <c r="BA73" s="504"/>
      <c r="BB73" s="592"/>
      <c r="BC73" s="507"/>
      <c r="BD73" s="507"/>
      <c r="BE73" s="507"/>
      <c r="BF73" s="659"/>
      <c r="BG73" s="484"/>
      <c r="BH73" s="488"/>
      <c r="BI73" s="484"/>
      <c r="BJ73" s="484"/>
      <c r="BK73" s="484"/>
      <c r="BL73" s="484"/>
      <c r="BM73" s="484"/>
      <c r="BN73" s="484"/>
      <c r="BO73" s="486"/>
      <c r="BP73" s="486"/>
      <c r="BQ73" s="487"/>
      <c r="BW73" s="261"/>
      <c r="BX73" s="668"/>
      <c r="BY73" s="669"/>
      <c r="BZ73" s="670"/>
      <c r="CA73" s="670"/>
      <c r="CB73" s="671"/>
      <c r="CC73" s="670"/>
      <c r="CD73" s="672"/>
      <c r="CE73" s="670"/>
      <c r="CF73" s="670"/>
      <c r="CG73" s="670"/>
      <c r="CH73" s="670"/>
      <c r="CI73" s="670"/>
      <c r="CJ73" s="101"/>
      <c r="CK73" s="670"/>
      <c r="CL73" s="101"/>
      <c r="CM73" s="670"/>
      <c r="CN73" s="670"/>
      <c r="CO73" s="671"/>
      <c r="CP73" s="667"/>
      <c r="CQ73" s="667"/>
      <c r="CR73" s="672"/>
      <c r="CS73" s="671"/>
      <c r="CV73" s="673">
        <f>CV53+CV42+CV30</f>
        <v>393</v>
      </c>
      <c r="CW73" s="303">
        <f>$CU$9/$CU$134*CU73</f>
        <v>0</v>
      </c>
      <c r="DA73" s="653"/>
      <c r="DB73" s="653"/>
      <c r="DC73" s="653"/>
      <c r="DD73" s="654"/>
      <c r="DE73" s="654"/>
      <c r="DF73" s="654"/>
      <c r="EF73" s="598"/>
      <c r="EG73" s="598"/>
      <c r="EH73" s="606"/>
      <c r="EI73" s="607"/>
      <c r="EJ73" s="514"/>
      <c r="EK73" s="514"/>
      <c r="EL73" s="514"/>
      <c r="EM73" s="514"/>
      <c r="EN73" s="608"/>
      <c r="EO73" s="514"/>
      <c r="EP73" s="514"/>
      <c r="EQ73" s="514"/>
      <c r="ER73" s="514"/>
      <c r="ES73" s="516"/>
      <c r="ET73" s="514"/>
      <c r="EU73" s="514"/>
      <c r="EV73" s="514"/>
      <c r="EW73" s="514"/>
      <c r="EX73" s="514"/>
      <c r="EY73" s="514"/>
      <c r="EZ73" s="674"/>
      <c r="FA73" s="675"/>
      <c r="FB73" s="12"/>
      <c r="FC73" s="517"/>
      <c r="FD73" s="517"/>
      <c r="FE73" s="493"/>
      <c r="FF73" s="674"/>
      <c r="FG73" s="675"/>
      <c r="FH73" s="12"/>
      <c r="FI73" s="517"/>
      <c r="FJ73" s="517"/>
      <c r="FK73" s="493"/>
      <c r="FL73" s="674"/>
      <c r="FM73" s="675"/>
      <c r="FN73" s="12"/>
      <c r="FO73" s="517"/>
      <c r="FP73" s="517"/>
      <c r="FQ73" s="493"/>
      <c r="FR73" s="674"/>
      <c r="FS73" s="675"/>
      <c r="FT73" s="12"/>
      <c r="FU73" s="517"/>
      <c r="FV73" s="517"/>
      <c r="FW73" s="493"/>
      <c r="FX73" s="674"/>
      <c r="FY73" s="675"/>
      <c r="FZ73" s="12"/>
      <c r="GA73" s="517"/>
      <c r="GB73" s="517"/>
      <c r="GC73" s="493"/>
      <c r="GD73" s="674"/>
      <c r="GE73" s="675"/>
      <c r="GF73" s="12"/>
      <c r="GG73" s="517"/>
      <c r="GH73" s="517"/>
      <c r="GI73" s="493"/>
      <c r="GJ73" s="674"/>
      <c r="GK73" s="675"/>
      <c r="GL73" s="12"/>
      <c r="GM73" s="517"/>
      <c r="GN73" s="517"/>
      <c r="GO73" s="493"/>
      <c r="GP73" s="674"/>
      <c r="GQ73" s="675"/>
      <c r="GR73" s="12"/>
      <c r="GS73" s="517"/>
      <c r="GT73" s="517"/>
      <c r="GU73" s="493"/>
      <c r="GV73" s="674"/>
      <c r="GW73" s="675"/>
      <c r="GX73" s="12"/>
      <c r="GY73" s="517"/>
      <c r="GZ73" s="517"/>
      <c r="HA73" s="493"/>
      <c r="HB73" s="674"/>
      <c r="HC73" s="675"/>
      <c r="HD73" s="12"/>
      <c r="HE73" s="517"/>
      <c r="HF73" s="517"/>
      <c r="HG73" s="493"/>
      <c r="HH73" s="674"/>
      <c r="HI73" s="675"/>
      <c r="HJ73" s="12"/>
      <c r="HK73" s="517"/>
      <c r="HL73" s="517"/>
      <c r="HM73" s="493"/>
      <c r="HN73" s="674"/>
      <c r="HO73" s="675"/>
      <c r="HP73" s="12"/>
      <c r="HQ73" s="517"/>
      <c r="HR73" s="517"/>
      <c r="HS73" s="493"/>
      <c r="HT73" s="674"/>
      <c r="HU73" s="675"/>
      <c r="HV73" s="12"/>
      <c r="HW73" s="517"/>
      <c r="HX73" s="517"/>
      <c r="HY73" s="493"/>
      <c r="HZ73" s="674"/>
      <c r="IA73" s="675"/>
      <c r="IB73" s="12"/>
      <c r="IC73" s="517"/>
      <c r="ID73" s="517"/>
      <c r="IE73" s="493"/>
      <c r="IF73" s="674"/>
      <c r="IG73" s="675"/>
      <c r="IH73" s="12"/>
    </row>
    <row r="74" s="521" customFormat="1" ht="20.25" customHeight="1">
      <c r="A74" s="676" t="s">
        <v>65</v>
      </c>
      <c r="B74" s="676"/>
      <c r="C74" s="330"/>
      <c r="D74" s="676"/>
      <c r="E74" s="676"/>
      <c r="F74" s="676"/>
      <c r="G74" s="676"/>
      <c r="H74" s="676"/>
      <c r="I74" s="676"/>
      <c r="J74" s="676"/>
      <c r="K74" s="676"/>
      <c r="L74" s="676"/>
      <c r="M74" s="676"/>
      <c r="N74" s="676"/>
      <c r="O74" s="676"/>
      <c r="P74" s="676"/>
      <c r="Q74" s="676"/>
      <c r="R74" s="676"/>
      <c r="S74" s="676"/>
      <c r="T74" s="676"/>
      <c r="U74" s="676"/>
      <c r="V74" s="676"/>
      <c r="W74" s="676"/>
      <c r="X74" s="676"/>
      <c r="Y74" s="676"/>
      <c r="Z74" s="676"/>
      <c r="AA74" s="676"/>
      <c r="AB74" s="676"/>
      <c r="AC74" s="676"/>
      <c r="AD74" s="676"/>
      <c r="AE74" s="676"/>
      <c r="AF74" s="676"/>
      <c r="AG74" s="676"/>
      <c r="AH74" s="676"/>
      <c r="AI74" s="676"/>
      <c r="AJ74" s="676"/>
      <c r="AK74" s="676"/>
      <c r="AL74" s="676"/>
      <c r="AM74" s="676"/>
      <c r="AN74" s="676"/>
      <c r="AO74" s="676"/>
      <c r="AP74" s="676"/>
      <c r="AQ74" s="676"/>
      <c r="AR74" s="676"/>
      <c r="AS74" s="676"/>
      <c r="AT74" s="676"/>
      <c r="AU74" s="676"/>
      <c r="AV74" s="676"/>
      <c r="AW74" s="676"/>
      <c r="AX74" s="676">
        <f>AX72+AX61+AX33</f>
        <v>78598119.78039661</v>
      </c>
      <c r="AY74" s="676">
        <f t="shared" si="37"/>
        <v>78598119.78039661</v>
      </c>
      <c r="AZ74" s="676">
        <f t="shared" si="62"/>
        <v>78598119.78039661</v>
      </c>
      <c r="BA74" s="676">
        <f t="shared" si="63"/>
        <v>78598119.78039661</v>
      </c>
      <c r="BB74" s="677">
        <f t="shared" ref="BB74:BG74" si="71">BB72+BB61+BB33</f>
        <v>0</v>
      </c>
      <c r="BC74" s="676" t="e">
        <f t="shared" si="71"/>
        <v>#DIV/0!</v>
      </c>
      <c r="BD74" s="676" t="e">
        <f>BD72+BD61+BD33</f>
        <v>#REF!</v>
      </c>
      <c r="BE74" s="676" t="e">
        <f t="shared" si="71"/>
        <v>#REF!</v>
      </c>
      <c r="BF74" s="677">
        <f t="shared" si="71"/>
        <v>0</v>
      </c>
      <c r="BG74" s="678">
        <f t="shared" si="71"/>
        <v>0</v>
      </c>
      <c r="BH74" s="677">
        <f>BH72+BH61+BH33</f>
        <v>0</v>
      </c>
      <c r="BI74" s="678">
        <f>BI72+BI61+BI33</f>
        <v>0</v>
      </c>
      <c r="BJ74" s="678">
        <f>BJ72+BJ61+BJ33</f>
        <v>0</v>
      </c>
      <c r="BK74" s="678">
        <f>BK72+BK61+BK33</f>
        <v>0</v>
      </c>
      <c r="BL74" s="678">
        <f>BL72+BL61+BL33</f>
        <v>0</v>
      </c>
      <c r="BM74" s="678"/>
      <c r="BN74" s="676"/>
      <c r="BO74" s="676"/>
      <c r="BP74" s="676"/>
      <c r="BQ74" s="678" t="e">
        <f>BQ72+BQ61+BQ33</f>
        <v>#REF!</v>
      </c>
      <c r="BR74" s="1"/>
      <c r="BS74" s="1"/>
      <c r="BT74" s="1"/>
      <c r="BU74" s="1"/>
      <c r="BV74" s="1"/>
      <c r="BW74" s="655" t="s">
        <v>236</v>
      </c>
      <c r="BX74" s="668"/>
      <c r="BY74" s="669"/>
      <c r="BZ74" s="679"/>
      <c r="CA74" s="679"/>
      <c r="CB74" s="680"/>
      <c r="CC74" s="679"/>
      <c r="CD74" s="681"/>
      <c r="CE74" s="679"/>
      <c r="CF74" s="679"/>
      <c r="CG74" s="679"/>
      <c r="CH74" s="679"/>
      <c r="CI74" s="679"/>
      <c r="CJ74" s="101"/>
      <c r="CK74" s="679"/>
      <c r="CL74" s="101"/>
      <c r="CM74" s="679"/>
      <c r="CN74" s="679"/>
      <c r="CO74" s="680"/>
      <c r="CP74" s="667"/>
      <c r="CQ74" s="667"/>
      <c r="CR74" s="681"/>
      <c r="CS74" s="680"/>
      <c r="CT74" s="10"/>
      <c r="CU74" s="10"/>
      <c r="CV74" s="682"/>
      <c r="CW74" s="683"/>
      <c r="CX74" s="684"/>
      <c r="CY74" s="684"/>
      <c r="DA74" s="525">
        <f t="shared" ref="DA74:DF74" si="72">SUM(DA66:DA72)</f>
        <v>0</v>
      </c>
      <c r="DB74" s="526">
        <f t="shared" si="72"/>
        <v>0</v>
      </c>
      <c r="DC74" s="526">
        <f t="shared" si="72"/>
        <v>0</v>
      </c>
      <c r="DD74" s="525">
        <f t="shared" si="72"/>
        <v>0</v>
      </c>
      <c r="DE74" s="525">
        <f t="shared" si="72"/>
        <v>0</v>
      </c>
      <c r="DF74" s="525">
        <f t="shared" si="72"/>
        <v>0</v>
      </c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676" t="s">
        <v>65</v>
      </c>
      <c r="EG74" s="676"/>
      <c r="EH74" s="685">
        <f t="shared" ref="EH74:EM74" si="73">EH33+EH61+EH72</f>
        <v>0</v>
      </c>
      <c r="EI74" s="686">
        <f t="shared" si="73"/>
        <v>0</v>
      </c>
      <c r="EJ74" s="687">
        <f t="shared" si="73"/>
        <v>0</v>
      </c>
      <c r="EK74" s="686">
        <f t="shared" si="73"/>
        <v>0</v>
      </c>
      <c r="EL74" s="686">
        <f t="shared" si="73"/>
        <v>0</v>
      </c>
      <c r="EM74" s="687">
        <f t="shared" si="73"/>
        <v>0</v>
      </c>
      <c r="EN74" s="688">
        <f t="shared" ref="EN74:EY74" si="74">EN33+EN61+EN72</f>
        <v>0</v>
      </c>
      <c r="EO74" s="687">
        <f t="shared" si="74"/>
        <v>0</v>
      </c>
      <c r="EP74" s="687">
        <f t="shared" si="74"/>
        <v>0</v>
      </c>
      <c r="EQ74" s="687">
        <f t="shared" si="74"/>
        <v>0</v>
      </c>
      <c r="ER74" s="687">
        <f t="shared" si="74"/>
        <v>0</v>
      </c>
      <c r="ES74" s="689">
        <f t="shared" si="74"/>
        <v>0</v>
      </c>
      <c r="ET74" s="687">
        <f t="shared" si="74"/>
        <v>0</v>
      </c>
      <c r="EU74" s="686">
        <f t="shared" si="74"/>
        <v>0</v>
      </c>
      <c r="EV74" s="687">
        <f t="shared" si="74"/>
        <v>0</v>
      </c>
      <c r="EW74" s="687">
        <f t="shared" si="74"/>
        <v>0</v>
      </c>
      <c r="EX74" s="687">
        <f t="shared" si="74"/>
        <v>0</v>
      </c>
      <c r="EY74" s="687">
        <f t="shared" si="74"/>
        <v>0</v>
      </c>
      <c r="EZ74" s="690">
        <f t="shared" ref="EZ74:FE74" si="75">EZ33+EZ61+EZ72</f>
        <v>0</v>
      </c>
      <c r="FA74" s="691">
        <f t="shared" si="75"/>
        <v>0</v>
      </c>
      <c r="FB74" s="692">
        <f t="shared" si="75"/>
        <v>0</v>
      </c>
      <c r="FC74" s="693">
        <f t="shared" si="75"/>
        <v>0</v>
      </c>
      <c r="FD74" s="693">
        <f t="shared" si="75"/>
        <v>0</v>
      </c>
      <c r="FE74" s="694">
        <f t="shared" si="75"/>
        <v>0</v>
      </c>
      <c r="FF74" s="695">
        <f t="shared" ref="FF74:HM74" si="76">FF33+FF61+FF72</f>
        <v>0</v>
      </c>
      <c r="FG74" s="693">
        <f t="shared" si="76"/>
        <v>0</v>
      </c>
      <c r="FH74" s="696">
        <f t="shared" si="76"/>
        <v>0</v>
      </c>
      <c r="FI74" s="693">
        <f t="shared" si="76"/>
        <v>0</v>
      </c>
      <c r="FJ74" s="693">
        <f t="shared" si="76"/>
        <v>0</v>
      </c>
      <c r="FK74" s="694">
        <f t="shared" si="76"/>
        <v>0</v>
      </c>
      <c r="FL74" s="695">
        <f t="shared" si="76"/>
        <v>0</v>
      </c>
      <c r="FM74" s="693">
        <f t="shared" si="76"/>
        <v>0</v>
      </c>
      <c r="FN74" s="696">
        <f t="shared" si="76"/>
        <v>0</v>
      </c>
      <c r="FO74" s="693">
        <f t="shared" si="76"/>
        <v>0</v>
      </c>
      <c r="FP74" s="693">
        <f t="shared" si="76"/>
        <v>0</v>
      </c>
      <c r="FQ74" s="694">
        <f t="shared" si="76"/>
        <v>0</v>
      </c>
      <c r="FR74" s="695">
        <f t="shared" si="76"/>
        <v>0</v>
      </c>
      <c r="FS74" s="693">
        <f t="shared" si="76"/>
        <v>0</v>
      </c>
      <c r="FT74" s="696">
        <f t="shared" si="76"/>
        <v>0</v>
      </c>
      <c r="FU74" s="693">
        <f t="shared" si="76"/>
        <v>0</v>
      </c>
      <c r="FV74" s="693">
        <f t="shared" si="76"/>
        <v>0</v>
      </c>
      <c r="FW74" s="694">
        <f t="shared" si="76"/>
        <v>0</v>
      </c>
      <c r="FX74" s="695">
        <f t="shared" si="76"/>
        <v>0</v>
      </c>
      <c r="FY74" s="693">
        <f t="shared" si="76"/>
        <v>0</v>
      </c>
      <c r="FZ74" s="696">
        <f t="shared" si="76"/>
        <v>0</v>
      </c>
      <c r="GA74" s="693">
        <f t="shared" si="76"/>
        <v>0</v>
      </c>
      <c r="GB74" s="693">
        <f t="shared" si="76"/>
        <v>0</v>
      </c>
      <c r="GC74" s="694">
        <f t="shared" si="76"/>
        <v>0</v>
      </c>
      <c r="GD74" s="695">
        <f t="shared" si="76"/>
        <v>0</v>
      </c>
      <c r="GE74" s="693">
        <f t="shared" si="76"/>
        <v>0</v>
      </c>
      <c r="GF74" s="696">
        <f t="shared" si="76"/>
        <v>0</v>
      </c>
      <c r="GG74" s="693">
        <f t="shared" si="76"/>
        <v>0</v>
      </c>
      <c r="GH74" s="693">
        <f t="shared" si="76"/>
        <v>0</v>
      </c>
      <c r="GI74" s="694">
        <f t="shared" si="76"/>
        <v>0</v>
      </c>
      <c r="GJ74" s="695">
        <f t="shared" si="76"/>
        <v>0</v>
      </c>
      <c r="GK74" s="693">
        <f t="shared" si="76"/>
        <v>0</v>
      </c>
      <c r="GL74" s="696">
        <f t="shared" si="76"/>
        <v>0</v>
      </c>
      <c r="GM74" s="693">
        <f t="shared" si="76"/>
        <v>0</v>
      </c>
      <c r="GN74" s="693">
        <f t="shared" si="76"/>
        <v>0</v>
      </c>
      <c r="GO74" s="694">
        <f t="shared" si="76"/>
        <v>0</v>
      </c>
      <c r="GP74" s="695">
        <f t="shared" si="76"/>
        <v>0</v>
      </c>
      <c r="GQ74" s="693">
        <f t="shared" si="76"/>
        <v>0</v>
      </c>
      <c r="GR74" s="696">
        <f t="shared" si="76"/>
        <v>0</v>
      </c>
      <c r="GS74" s="693">
        <f t="shared" si="76"/>
        <v>0</v>
      </c>
      <c r="GT74" s="693">
        <f t="shared" si="76"/>
        <v>0</v>
      </c>
      <c r="GU74" s="694">
        <f t="shared" si="76"/>
        <v>0</v>
      </c>
      <c r="GV74" s="695">
        <f t="shared" si="76"/>
        <v>0</v>
      </c>
      <c r="GW74" s="693">
        <f t="shared" si="76"/>
        <v>0</v>
      </c>
      <c r="GX74" s="696">
        <f t="shared" si="76"/>
        <v>0</v>
      </c>
      <c r="GY74" s="693">
        <f t="shared" si="76"/>
        <v>0</v>
      </c>
      <c r="GZ74" s="693">
        <f t="shared" si="76"/>
        <v>0</v>
      </c>
      <c r="HA74" s="694">
        <f t="shared" si="76"/>
        <v>0</v>
      </c>
      <c r="HB74" s="695">
        <f t="shared" si="76"/>
        <v>0</v>
      </c>
      <c r="HC74" s="693">
        <f t="shared" si="76"/>
        <v>0</v>
      </c>
      <c r="HD74" s="696">
        <f t="shared" si="76"/>
        <v>0</v>
      </c>
      <c r="HE74" s="693">
        <f t="shared" si="76"/>
        <v>0</v>
      </c>
      <c r="HF74" s="693">
        <f t="shared" si="76"/>
        <v>0</v>
      </c>
      <c r="HG74" s="694">
        <f t="shared" si="76"/>
        <v>0</v>
      </c>
      <c r="HH74" s="695">
        <f t="shared" si="76"/>
        <v>0</v>
      </c>
      <c r="HI74" s="693">
        <f t="shared" si="76"/>
        <v>0</v>
      </c>
      <c r="HJ74" s="696">
        <f t="shared" si="76"/>
        <v>0</v>
      </c>
      <c r="HK74" s="693">
        <f t="shared" si="76"/>
        <v>0</v>
      </c>
      <c r="HL74" s="693">
        <f t="shared" si="76"/>
        <v>0</v>
      </c>
      <c r="HM74" s="694">
        <f t="shared" si="76"/>
        <v>0</v>
      </c>
      <c r="HN74" s="695">
        <f t="shared" ref="HN74:IH74" si="77">HN33+HN61+HN72</f>
        <v>0</v>
      </c>
      <c r="HO74" s="693">
        <f t="shared" si="77"/>
        <v>0</v>
      </c>
      <c r="HP74" s="696">
        <f t="shared" si="77"/>
        <v>0</v>
      </c>
      <c r="HQ74" s="693">
        <f t="shared" si="77"/>
        <v>0</v>
      </c>
      <c r="HR74" s="693">
        <f t="shared" si="77"/>
        <v>0</v>
      </c>
      <c r="HS74" s="694">
        <f t="shared" si="77"/>
        <v>0</v>
      </c>
      <c r="HT74" s="695">
        <f t="shared" si="77"/>
        <v>0</v>
      </c>
      <c r="HU74" s="693">
        <f t="shared" si="77"/>
        <v>0</v>
      </c>
      <c r="HV74" s="696">
        <f t="shared" si="77"/>
        <v>0</v>
      </c>
      <c r="HW74" s="693">
        <f t="shared" si="77"/>
        <v>0</v>
      </c>
      <c r="HX74" s="693">
        <f t="shared" si="77"/>
        <v>0</v>
      </c>
      <c r="HY74" s="694">
        <f t="shared" si="77"/>
        <v>0</v>
      </c>
      <c r="HZ74" s="695">
        <f t="shared" si="77"/>
        <v>0</v>
      </c>
      <c r="IA74" s="693">
        <f t="shared" si="77"/>
        <v>0</v>
      </c>
      <c r="IB74" s="696">
        <f t="shared" si="77"/>
        <v>0</v>
      </c>
      <c r="IC74" s="693">
        <f t="shared" si="77"/>
        <v>0</v>
      </c>
      <c r="ID74" s="693">
        <f t="shared" si="77"/>
        <v>0</v>
      </c>
      <c r="IE74" s="694">
        <f t="shared" si="77"/>
        <v>0</v>
      </c>
      <c r="IF74" s="695">
        <f t="shared" si="77"/>
        <v>0</v>
      </c>
      <c r="IG74" s="693">
        <f t="shared" si="77"/>
        <v>0</v>
      </c>
      <c r="IH74" s="696">
        <f t="shared" si="77"/>
        <v>0</v>
      </c>
    </row>
    <row r="75" s="521" customFormat="1" ht="13.5">
      <c r="A75" s="1"/>
      <c r="B75" s="1"/>
      <c r="C75" s="3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281"/>
      <c r="BC75" s="1"/>
      <c r="BD75" s="1"/>
      <c r="BE75" s="1"/>
      <c r="BF75" s="15"/>
      <c r="BG75" s="15"/>
      <c r="BH75" s="362"/>
      <c r="BI75" s="15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261"/>
      <c r="BX75" s="262"/>
      <c r="BY75" s="263"/>
      <c r="BZ75" s="558"/>
      <c r="CA75" s="558"/>
      <c r="CB75" s="557"/>
      <c r="CC75" s="558"/>
      <c r="CD75" s="647"/>
      <c r="CE75" s="558"/>
      <c r="CF75" s="558"/>
      <c r="CG75" s="558"/>
      <c r="CH75" s="558"/>
      <c r="CI75" s="558"/>
      <c r="CJ75" s="264"/>
      <c r="CK75" s="558"/>
      <c r="CL75" s="264"/>
      <c r="CM75" s="558"/>
      <c r="CN75" s="558"/>
      <c r="CO75" s="557"/>
      <c r="CP75" s="667"/>
      <c r="CQ75" s="667"/>
      <c r="CR75" s="647"/>
      <c r="CS75" s="557"/>
      <c r="CT75" s="10"/>
      <c r="CU75" s="10"/>
      <c r="CV75" s="697"/>
      <c r="CW75" s="683"/>
      <c r="CX75" s="684"/>
      <c r="CY75" s="684"/>
      <c r="DA75" s="698"/>
      <c r="DB75" s="699"/>
      <c r="DC75" s="699"/>
      <c r="DD75" s="698"/>
      <c r="DE75" s="698"/>
      <c r="DF75" s="698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272"/>
      <c r="EH75" s="700">
        <f>EH74+EK74</f>
        <v>0</v>
      </c>
      <c r="EI75" s="701">
        <f>EI74+EL74</f>
        <v>0</v>
      </c>
      <c r="EJ75" s="702">
        <f>EJ74+EM74</f>
        <v>0</v>
      </c>
      <c r="EK75" s="1"/>
      <c r="EL75" s="1"/>
      <c r="EM75" s="1"/>
      <c r="EN75" s="700">
        <f>EN74+EQ74</f>
        <v>0</v>
      </c>
      <c r="EO75" s="701">
        <f>EO74+ER74</f>
        <v>0</v>
      </c>
      <c r="EP75" s="702">
        <f>EP74+ES74</f>
        <v>0</v>
      </c>
      <c r="EQ75" s="1"/>
      <c r="ER75" s="1"/>
      <c r="ES75" s="1"/>
      <c r="ET75" s="700">
        <f>ET74+EW74</f>
        <v>0</v>
      </c>
      <c r="EU75" s="701">
        <f>EU74+EX74</f>
        <v>0</v>
      </c>
      <c r="EV75" s="702">
        <f>EV74+EY74</f>
        <v>0</v>
      </c>
      <c r="EW75" s="1"/>
      <c r="EX75" s="1"/>
      <c r="EY75" s="1"/>
      <c r="EZ75" s="700">
        <f>EZ74+FC74</f>
        <v>0</v>
      </c>
      <c r="FA75" s="701">
        <f>FA74+FD74</f>
        <v>0</v>
      </c>
      <c r="FB75" s="702">
        <f>FB74+FE74</f>
        <v>0</v>
      </c>
      <c r="FC75" s="281"/>
      <c r="FD75" s="281"/>
      <c r="FE75" s="1"/>
      <c r="FF75" s="700">
        <f>FF74+FI74</f>
        <v>0</v>
      </c>
      <c r="FG75" s="701">
        <f>FG74+FJ74</f>
        <v>0</v>
      </c>
      <c r="FH75" s="702">
        <f>FH74+FK74</f>
        <v>0</v>
      </c>
      <c r="FI75" s="281"/>
      <c r="FJ75" s="281"/>
      <c r="FK75" s="1"/>
      <c r="FL75" s="700">
        <f>FL74+FO74</f>
        <v>0</v>
      </c>
      <c r="FM75" s="701">
        <f>FM74+FP74</f>
        <v>0</v>
      </c>
      <c r="FN75" s="702">
        <f>FN74+FQ74</f>
        <v>0</v>
      </c>
      <c r="FO75" s="281"/>
      <c r="FP75" s="281"/>
      <c r="FQ75" s="1"/>
      <c r="FR75" s="700">
        <f>FR74+FU74</f>
        <v>0</v>
      </c>
      <c r="FS75" s="701">
        <f>FS74+FV74</f>
        <v>0</v>
      </c>
      <c r="FT75" s="702">
        <f>FT74+FW74</f>
        <v>0</v>
      </c>
      <c r="FU75" s="281"/>
      <c r="FV75" s="281"/>
      <c r="FW75" s="1"/>
      <c r="FX75" s="700">
        <f>FX74+GA74</f>
        <v>0</v>
      </c>
      <c r="FY75" s="701">
        <f>FY74+GB74</f>
        <v>0</v>
      </c>
      <c r="FZ75" s="702">
        <f>FZ74+GC74</f>
        <v>0</v>
      </c>
      <c r="GA75" s="281"/>
      <c r="GB75" s="281"/>
      <c r="GC75" s="1"/>
      <c r="GD75" s="700">
        <f>GD74+GG74</f>
        <v>0</v>
      </c>
      <c r="GE75" s="701">
        <f>GE74+GH74</f>
        <v>0</v>
      </c>
      <c r="GF75" s="702">
        <f>GF74+GI74</f>
        <v>0</v>
      </c>
      <c r="GG75" s="281"/>
      <c r="GH75" s="281"/>
      <c r="GI75" s="1"/>
      <c r="GJ75" s="700">
        <f>GJ74+GM74</f>
        <v>0</v>
      </c>
      <c r="GK75" s="701">
        <f>GK74+GN74</f>
        <v>0</v>
      </c>
      <c r="GL75" s="702">
        <f>GL74+GO74</f>
        <v>0</v>
      </c>
      <c r="GM75" s="281"/>
      <c r="GN75" s="281"/>
      <c r="GO75" s="1"/>
      <c r="GP75" s="700">
        <f>GP74+GS74</f>
        <v>0</v>
      </c>
      <c r="GQ75" s="701">
        <f>GQ74+GT74</f>
        <v>0</v>
      </c>
      <c r="GR75" s="702">
        <f>GR74+GU74</f>
        <v>0</v>
      </c>
      <c r="GS75" s="281"/>
      <c r="GT75" s="281"/>
      <c r="GU75" s="1"/>
      <c r="GV75" s="700">
        <f>GV74+GY74</f>
        <v>0</v>
      </c>
      <c r="GW75" s="701">
        <f>GW74+GZ74</f>
        <v>0</v>
      </c>
      <c r="GX75" s="702">
        <f>GX74+HA74</f>
        <v>0</v>
      </c>
      <c r="GY75" s="281"/>
      <c r="GZ75" s="281"/>
      <c r="HA75" s="1"/>
      <c r="HB75" s="700">
        <f>HB74+HE74</f>
        <v>0</v>
      </c>
      <c r="HC75" s="701">
        <f>HC74+HF74</f>
        <v>0</v>
      </c>
      <c r="HD75" s="702">
        <f>HD74+HG74</f>
        <v>0</v>
      </c>
      <c r="HE75" s="281"/>
      <c r="HF75" s="281"/>
      <c r="HG75" s="1"/>
      <c r="HH75" s="700">
        <f>HH74+HK74</f>
        <v>0</v>
      </c>
      <c r="HI75" s="701">
        <f>HI74+HL74</f>
        <v>0</v>
      </c>
      <c r="HJ75" s="702">
        <f>HJ74+HM74</f>
        <v>0</v>
      </c>
      <c r="HK75" s="281"/>
      <c r="HL75" s="281"/>
      <c r="HM75" s="1"/>
      <c r="HN75" s="700">
        <f>HN74+HQ74</f>
        <v>0</v>
      </c>
      <c r="HO75" s="701">
        <f>HO74+HR74</f>
        <v>0</v>
      </c>
      <c r="HP75" s="702">
        <f>HP74+HS74</f>
        <v>0</v>
      </c>
      <c r="HQ75" s="281"/>
      <c r="HR75" s="281"/>
      <c r="HS75" s="1"/>
      <c r="HT75" s="700">
        <f>HT74+HW74</f>
        <v>0</v>
      </c>
      <c r="HU75" s="701">
        <f>HU74+HX74</f>
        <v>0</v>
      </c>
      <c r="HV75" s="702">
        <f>HV74+HY74</f>
        <v>0</v>
      </c>
      <c r="HW75" s="281"/>
      <c r="HX75" s="281"/>
      <c r="HY75" s="1"/>
      <c r="HZ75" s="700">
        <f>HZ74+IC74</f>
        <v>0</v>
      </c>
      <c r="IA75" s="701">
        <f>IA74+ID74</f>
        <v>0</v>
      </c>
      <c r="IB75" s="702">
        <f>IB74+IE74</f>
        <v>0</v>
      </c>
      <c r="IC75" s="281"/>
      <c r="ID75" s="281"/>
      <c r="IE75" s="1"/>
      <c r="IF75" s="700"/>
      <c r="IG75" s="701"/>
      <c r="IH75" s="702"/>
    </row>
    <row r="76" ht="16.5" customHeight="1">
      <c r="A76" s="247"/>
      <c r="B76" s="247"/>
      <c r="C76" s="248"/>
      <c r="D76" s="331"/>
      <c r="E76" s="331"/>
      <c r="F76" s="250"/>
      <c r="G76" s="251"/>
      <c r="H76" s="250"/>
      <c r="I76" s="251"/>
      <c r="J76" s="250"/>
      <c r="K76" s="331"/>
      <c r="L76" s="258"/>
      <c r="M76" s="333"/>
      <c r="N76" s="258"/>
      <c r="O76" s="331"/>
      <c r="P76" s="250"/>
      <c r="Q76" s="331"/>
      <c r="R76" s="250"/>
      <c r="S76" s="331"/>
      <c r="T76" s="250"/>
      <c r="U76" s="331"/>
      <c r="V76" s="250"/>
      <c r="W76" s="331"/>
      <c r="X76" s="250"/>
      <c r="Y76" s="331"/>
      <c r="Z76" s="250"/>
      <c r="AA76" s="331"/>
      <c r="AB76" s="250"/>
      <c r="AC76" s="252"/>
      <c r="AD76" s="250"/>
      <c r="AE76" s="331"/>
      <c r="AF76" s="250"/>
      <c r="AG76" s="251"/>
      <c r="AH76" s="250"/>
      <c r="AI76" s="333"/>
      <c r="AJ76" s="250"/>
      <c r="AK76" s="331"/>
      <c r="AL76" s="258"/>
      <c r="AM76" s="331"/>
      <c r="AN76" s="250"/>
      <c r="AO76" s="332"/>
      <c r="AP76" s="250"/>
      <c r="AQ76" s="332"/>
      <c r="AR76" s="258"/>
      <c r="AS76" s="332"/>
      <c r="AT76" s="703"/>
      <c r="AU76" s="253"/>
      <c r="AV76" s="253"/>
      <c r="AW76" s="253"/>
      <c r="AX76" s="704"/>
      <c r="AY76" s="704"/>
      <c r="AZ76" s="704"/>
      <c r="BA76" s="704"/>
      <c r="BB76" s="705"/>
      <c r="BC76" s="704"/>
      <c r="BD76" s="704"/>
      <c r="BE76" s="704"/>
      <c r="BF76" s="706"/>
      <c r="BG76" s="707"/>
      <c r="BH76" s="708"/>
      <c r="BI76" s="708"/>
      <c r="BJ76" s="257"/>
      <c r="BK76" s="293"/>
      <c r="BL76" s="293"/>
      <c r="BM76" s="257"/>
      <c r="BN76" s="257"/>
      <c r="BO76" s="709"/>
      <c r="BP76" s="260"/>
      <c r="BQ76" s="285"/>
      <c r="BR76" s="1" t="s">
        <v>237</v>
      </c>
      <c r="BW76" s="710" t="s">
        <v>65</v>
      </c>
      <c r="BX76" s="711">
        <f>SUM(BX69:BX75)</f>
        <v>0</v>
      </c>
      <c r="BY76" s="711">
        <f>SUM(BY69:BY75)</f>
        <v>0</v>
      </c>
      <c r="BZ76" s="711">
        <f t="shared" ref="BZ76:CR76" si="78">SUM(BZ69:BZ75)</f>
        <v>0</v>
      </c>
      <c r="CA76" s="711">
        <f t="shared" si="78"/>
        <v>6995</v>
      </c>
      <c r="CB76" s="711">
        <f t="shared" si="78"/>
        <v>1060</v>
      </c>
      <c r="CC76" s="711">
        <f t="shared" si="78"/>
        <v>35348</v>
      </c>
      <c r="CD76" s="711">
        <f t="shared" si="78"/>
        <v>989</v>
      </c>
      <c r="CE76" s="711">
        <f t="shared" si="78"/>
        <v>0</v>
      </c>
      <c r="CF76" s="711">
        <f>SUM(CF69:CF75)</f>
        <v>0</v>
      </c>
      <c r="CG76" s="711">
        <f t="shared" si="78"/>
        <v>0</v>
      </c>
      <c r="CH76" s="711">
        <f t="shared" si="78"/>
        <v>0</v>
      </c>
      <c r="CI76" s="711">
        <f t="shared" si="78"/>
        <v>0</v>
      </c>
      <c r="CJ76" s="711">
        <f t="shared" si="78"/>
        <v>0</v>
      </c>
      <c r="CK76" s="711">
        <f t="shared" si="78"/>
        <v>0</v>
      </c>
      <c r="CL76" s="711">
        <f t="shared" si="78"/>
        <v>0</v>
      </c>
      <c r="CM76" s="711">
        <f t="shared" si="78"/>
        <v>0</v>
      </c>
      <c r="CN76" s="711">
        <f t="shared" si="78"/>
        <v>0</v>
      </c>
      <c r="CO76" s="712">
        <f t="shared" si="78"/>
        <v>0</v>
      </c>
      <c r="CP76" s="540">
        <f t="shared" si="78"/>
        <v>0</v>
      </c>
      <c r="CQ76" s="540">
        <f t="shared" si="78"/>
        <v>0</v>
      </c>
      <c r="CR76" s="713">
        <f t="shared" si="78"/>
        <v>0</v>
      </c>
      <c r="CS76" s="712">
        <f>SUM(CS69:CS75)</f>
        <v>251</v>
      </c>
      <c r="CV76" s="682"/>
      <c r="CW76" s="122"/>
      <c r="DA76" s="714"/>
      <c r="DB76" s="715"/>
      <c r="DC76" s="715"/>
      <c r="DD76" s="716"/>
      <c r="DE76" s="716"/>
      <c r="DF76" s="716"/>
      <c r="EF76" s="247"/>
      <c r="EG76" s="247"/>
      <c r="EN76" s="37"/>
      <c r="ES76" s="38"/>
      <c r="EZ76" s="356"/>
      <c r="FA76" s="357"/>
      <c r="FC76" s="281"/>
      <c r="FD76" s="281"/>
      <c r="FE76" s="38"/>
      <c r="FF76" s="281"/>
      <c r="FG76" s="281"/>
      <c r="FI76" s="281"/>
      <c r="FJ76" s="281"/>
      <c r="FL76" s="282"/>
      <c r="FM76" s="281"/>
      <c r="FO76" s="281"/>
      <c r="FP76" s="281"/>
      <c r="FQ76" s="38"/>
      <c r="FR76" s="282"/>
      <c r="FS76" s="281"/>
      <c r="FU76" s="281"/>
      <c r="FV76" s="281"/>
      <c r="FW76" s="38"/>
      <c r="FX76" s="282"/>
      <c r="FY76" s="281"/>
      <c r="GA76" s="281"/>
      <c r="GB76" s="281"/>
      <c r="GC76" s="38"/>
      <c r="GD76" s="282"/>
      <c r="GE76" s="281"/>
      <c r="GG76" s="281"/>
      <c r="GH76" s="281"/>
      <c r="GI76" s="38"/>
      <c r="GJ76" s="282"/>
      <c r="GK76" s="281"/>
      <c r="GM76" s="281"/>
      <c r="GN76" s="281"/>
      <c r="GO76" s="38"/>
      <c r="GP76" s="282"/>
      <c r="GQ76" s="281"/>
      <c r="GS76" s="281"/>
      <c r="GT76" s="281"/>
      <c r="GU76" s="38"/>
      <c r="GV76" s="282"/>
      <c r="GW76" s="281"/>
      <c r="GY76" s="281"/>
      <c r="GZ76" s="281"/>
      <c r="HA76" s="38"/>
      <c r="HB76" s="282"/>
      <c r="HC76" s="281"/>
      <c r="HE76" s="281"/>
      <c r="HF76" s="281"/>
      <c r="HG76" s="38"/>
      <c r="HH76" s="282"/>
      <c r="HI76" s="281"/>
      <c r="HK76" s="281"/>
      <c r="HL76" s="281"/>
      <c r="HM76" s="38"/>
      <c r="HN76" s="282"/>
      <c r="HO76" s="281"/>
      <c r="HQ76" s="281"/>
      <c r="HR76" s="281"/>
      <c r="HS76" s="38"/>
      <c r="HT76" s="37"/>
      <c r="HZ76" s="535"/>
      <c r="IA76" s="280"/>
      <c r="IC76" s="280"/>
      <c r="ID76" s="280"/>
      <c r="IE76" s="40"/>
      <c r="IF76" s="535"/>
      <c r="IG76" s="280"/>
    </row>
    <row r="77" s="12" customFormat="1" ht="17.25" customHeight="1">
      <c r="A77" s="283" t="s">
        <v>226</v>
      </c>
      <c r="B77" s="717" t="s">
        <v>238</v>
      </c>
      <c r="C77" s="586">
        <f>D77+E77</f>
        <v>206501.32999999999</v>
      </c>
      <c r="D77" s="510">
        <f>'Расход-2026'!I1224</f>
        <v>15144.68</v>
      </c>
      <c r="E77" s="510">
        <f>'Расход-2026'!J1224</f>
        <v>191356.64999999999</v>
      </c>
      <c r="F77" s="510">
        <f>BX50</f>
        <v>0</v>
      </c>
      <c r="G77" s="718"/>
      <c r="H77" s="510">
        <f>BY50</f>
        <v>0</v>
      </c>
      <c r="I77" s="718"/>
      <c r="J77" s="510"/>
      <c r="K77" s="510">
        <f>SUM(K78:K86)</f>
        <v>209481.43522718726</v>
      </c>
      <c r="L77" s="719"/>
      <c r="M77" s="510">
        <f>SUM(M78:M86)</f>
        <v>172319.62597904247</v>
      </c>
      <c r="N77" s="719">
        <f>CD50</f>
        <v>1465</v>
      </c>
      <c r="O77" s="510">
        <f>N77*$AX$138/$N$153</f>
        <v>23994.030576975769</v>
      </c>
      <c r="P77" s="510"/>
      <c r="Q77" s="510">
        <f>Q78+Q79+Q80+Q81+Q82+Q83+Q84+Q85+Q86</f>
        <v>253189.70587646545</v>
      </c>
      <c r="R77" s="510">
        <f>CE50</f>
        <v>1445</v>
      </c>
      <c r="S77" s="510">
        <f>R77*$AX$136/$R$153</f>
        <v>3475.6493753179943</v>
      </c>
      <c r="T77" s="510"/>
      <c r="U77" s="510">
        <f>U78+U84</f>
        <v>62431.394157627627</v>
      </c>
      <c r="V77" s="510">
        <f>CG50</f>
        <v>16959</v>
      </c>
      <c r="W77" s="510">
        <f>V77*$AX$134/$V$153</f>
        <v>3366.6503340828813</v>
      </c>
      <c r="X77" s="510"/>
      <c r="Y77" s="510">
        <f>Y78+Y81</f>
        <v>16380.319902629537</v>
      </c>
      <c r="Z77" s="510">
        <f>CI50</f>
        <v>0</v>
      </c>
      <c r="AA77" s="510">
        <f>AA78+AA79+AA80+AA81+AA82+AA83+AA84+AA85+AA86</f>
        <v>0</v>
      </c>
      <c r="AB77" s="510">
        <f>CJ50</f>
        <v>0</v>
      </c>
      <c r="AC77" s="510"/>
      <c r="AD77" s="719">
        <f>CK50</f>
        <v>0</v>
      </c>
      <c r="AE77" s="720"/>
      <c r="AF77" s="510">
        <f>CL50</f>
        <v>0</v>
      </c>
      <c r="AG77" s="718"/>
      <c r="AH77" s="510">
        <f>CM50</f>
        <v>0</v>
      </c>
      <c r="AI77" s="510"/>
      <c r="AJ77" s="510"/>
      <c r="AK77" s="510"/>
      <c r="AL77" s="510">
        <f>CO50</f>
        <v>0</v>
      </c>
      <c r="AM77" s="510"/>
      <c r="AN77" s="719"/>
      <c r="AO77" s="718"/>
      <c r="AP77" s="510">
        <f>'2026'!T1190</f>
        <v>344</v>
      </c>
      <c r="AQ77" s="718">
        <f>$AX$133*AP77/$AP$153</f>
        <v>35974.719881953832</v>
      </c>
      <c r="AR77" s="510">
        <f>CS50</f>
        <v>88</v>
      </c>
      <c r="AS77" s="718">
        <f>$AX$145*AR77/$AR$153</f>
        <v>1861.5583844355463</v>
      </c>
      <c r="AT77" s="721"/>
      <c r="AU77" s="510">
        <f>AU79+AU78+AU80+AU81+AU82+AU83+AU84+AU85+AU86</f>
        <v>0</v>
      </c>
      <c r="AV77" s="510"/>
      <c r="AW77" s="510"/>
      <c r="AX77" s="718">
        <f t="shared" ref="AX77:AX88" si="79">C77+G77+I77+K77+M77+O77+Q77+S77+U77+W77+Y77+AA77+AC77+AE77+AG77+AI77+AK77+AO77+AU77+AS77+AW77+AQ77+AM77</f>
        <v>988976.41969571833</v>
      </c>
      <c r="AY77" s="718">
        <f t="shared" si="37"/>
        <v>782475.08969571837</v>
      </c>
      <c r="AZ77" s="718">
        <f t="shared" si="62"/>
        <v>782475.08969571837</v>
      </c>
      <c r="BA77" s="718">
        <f t="shared" si="63"/>
        <v>782475.08969571837</v>
      </c>
      <c r="BB77" s="722">
        <f>SUM(BB78:BB86)</f>
        <v>170870</v>
      </c>
      <c r="BC77" s="718">
        <f t="shared" ref="BC77:BC102" si="80">AX77/BB77</f>
        <v>5.7878879832370709</v>
      </c>
      <c r="BD77" s="487">
        <f>зарплата!CH73</f>
        <v>21765714.866583582</v>
      </c>
      <c r="BE77" s="507" t="e">
        <f>#REF!</f>
        <v>#REF!</v>
      </c>
      <c r="BF77" s="723">
        <f>HZ77</f>
        <v>0</v>
      </c>
      <c r="BG77" s="487">
        <f>IB77</f>
        <v>0</v>
      </c>
      <c r="BH77" s="724"/>
      <c r="BI77" s="724"/>
      <c r="BJ77" s="486"/>
      <c r="BK77" s="487">
        <f t="shared" ref="BK77:BK89" si="81">BI77+BG77</f>
        <v>0</v>
      </c>
      <c r="BL77" s="725">
        <f t="shared" ref="BL77:BL86" si="82">BG77*4%</f>
        <v>0</v>
      </c>
      <c r="BM77" s="487">
        <f t="shared" ref="BM77:BM86" si="83">AX77/BB77</f>
        <v>5.7878879832370709</v>
      </c>
      <c r="BN77" s="487">
        <f t="shared" ref="BN77:BN86" si="84">BL77/BB77</f>
        <v>0</v>
      </c>
      <c r="BO77" s="487">
        <f t="shared" ref="BO77:BO91" si="85">BN77-BM77</f>
        <v>-5.7878879832370709</v>
      </c>
      <c r="BP77" s="487">
        <f t="shared" ref="BP77:BP86" si="86">BL77-AX77</f>
        <v>-988976.41969571833</v>
      </c>
      <c r="BQ77" s="487" t="e">
        <f>BK77-AX77-BD77-BE77</f>
        <v>#REF!</v>
      </c>
      <c r="BR77" s="1" t="s">
        <v>239</v>
      </c>
      <c r="BS77" s="1"/>
      <c r="BT77" s="1"/>
      <c r="BU77" s="1"/>
      <c r="BV77" s="1"/>
      <c r="BW77" s="726"/>
      <c r="BX77" s="727"/>
      <c r="BY77" s="728"/>
      <c r="BZ77" s="728"/>
      <c r="CA77" s="728"/>
      <c r="CB77" s="729"/>
      <c r="CC77" s="728"/>
      <c r="CD77" s="727"/>
      <c r="CE77" s="728"/>
      <c r="CF77" s="728"/>
      <c r="CG77" s="728"/>
      <c r="CH77" s="728"/>
      <c r="CI77" s="728"/>
      <c r="CJ77" s="728"/>
      <c r="CK77" s="728"/>
      <c r="CL77" s="728"/>
      <c r="CM77" s="728"/>
      <c r="CN77" s="728"/>
      <c r="CO77" s="729"/>
      <c r="CP77" s="730"/>
      <c r="CQ77" s="730"/>
      <c r="CR77" s="727"/>
      <c r="CS77" s="729"/>
      <c r="CT77" s="731"/>
      <c r="CU77" s="731"/>
      <c r="CV77" s="732"/>
      <c r="CW77" s="733"/>
      <c r="CX77" s="734"/>
      <c r="CY77" s="734"/>
      <c r="DA77" s="304">
        <f>DB77+DC77</f>
        <v>0</v>
      </c>
      <c r="DB77" s="305"/>
      <c r="DC77" s="305">
        <v>0</v>
      </c>
      <c r="DD77" s="304">
        <f>DE77+DF77</f>
        <v>0</v>
      </c>
      <c r="DE77" s="304"/>
      <c r="DF77" s="304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283" t="s">
        <v>226</v>
      </c>
      <c r="EG77" s="552" t="s">
        <v>238</v>
      </c>
      <c r="EH77" s="735">
        <f>SUM(EH78:EH86)</f>
        <v>0</v>
      </c>
      <c r="EI77" s="736">
        <f>SUM(EI78:EI86)</f>
        <v>0</v>
      </c>
      <c r="EJ77" s="737">
        <f>SUM(EJ78:EJ86)</f>
        <v>0</v>
      </c>
      <c r="EK77" s="738"/>
      <c r="EL77" s="738"/>
      <c r="EM77" s="739"/>
      <c r="EN77" s="735">
        <f>SUM(EN78:EN86)</f>
        <v>0</v>
      </c>
      <c r="EO77" s="736">
        <f>SUM(EO78:EO86)</f>
        <v>0</v>
      </c>
      <c r="EP77" s="737">
        <f>SUM(EP78:EP86)</f>
        <v>0</v>
      </c>
      <c r="EQ77" s="738"/>
      <c r="ER77" s="738"/>
      <c r="ES77" s="739"/>
      <c r="ET77" s="735">
        <f>SUM(ET78:ET86)</f>
        <v>0</v>
      </c>
      <c r="EU77" s="736">
        <f>SUM(EU78:EU86)</f>
        <v>0</v>
      </c>
      <c r="EV77" s="737">
        <f>SUM(EV78:EV86)</f>
        <v>0</v>
      </c>
      <c r="EW77" s="738"/>
      <c r="EX77" s="738"/>
      <c r="EY77" s="739"/>
      <c r="EZ77" s="735">
        <f>SUM(EZ78:EZ86)</f>
        <v>0</v>
      </c>
      <c r="FA77" s="736">
        <f>SUM(FA78:FA86)</f>
        <v>0</v>
      </c>
      <c r="FB77" s="737">
        <f>SUM(FB78:FB86)</f>
        <v>0</v>
      </c>
      <c r="FC77" s="738"/>
      <c r="FD77" s="738"/>
      <c r="FE77" s="739"/>
      <c r="FF77" s="735">
        <f>SUM(FF78:FF86)</f>
        <v>0</v>
      </c>
      <c r="FG77" s="736">
        <f>SUM(FG78:FG86)</f>
        <v>0</v>
      </c>
      <c r="FH77" s="737">
        <f>SUM(FH78:FH86)</f>
        <v>0</v>
      </c>
      <c r="FI77" s="738"/>
      <c r="FJ77" s="738"/>
      <c r="FK77" s="739"/>
      <c r="FL77" s="735">
        <f>SUM(FL78:FL86)</f>
        <v>0</v>
      </c>
      <c r="FM77" s="736">
        <f>SUM(FM78:FM86)</f>
        <v>0</v>
      </c>
      <c r="FN77" s="737">
        <f>SUM(FN78:FN86)</f>
        <v>0</v>
      </c>
      <c r="FO77" s="738"/>
      <c r="FP77" s="738"/>
      <c r="FQ77" s="739"/>
      <c r="FR77" s="735">
        <f>SUM(FR78:FR86)</f>
        <v>0</v>
      </c>
      <c r="FS77" s="736">
        <f>SUM(FS78:FS86)</f>
        <v>0</v>
      </c>
      <c r="FT77" s="737">
        <f>SUM(FT78:FT86)</f>
        <v>0</v>
      </c>
      <c r="FU77" s="738"/>
      <c r="FV77" s="738"/>
      <c r="FW77" s="739"/>
      <c r="FX77" s="735">
        <f>SUM(FX78:FX86)</f>
        <v>0</v>
      </c>
      <c r="FY77" s="736">
        <f>SUM(FY78:FY86)</f>
        <v>0</v>
      </c>
      <c r="FZ77" s="737">
        <f>SUM(FZ78:FZ86)</f>
        <v>0</v>
      </c>
      <c r="GA77" s="738"/>
      <c r="GB77" s="738"/>
      <c r="GC77" s="739"/>
      <c r="GD77" s="735">
        <f>SUM(GD78:GD86)</f>
        <v>0</v>
      </c>
      <c r="GE77" s="736">
        <f>SUM(GE78:GE86)</f>
        <v>0</v>
      </c>
      <c r="GF77" s="737">
        <f>SUM(GF78:GF86)</f>
        <v>0</v>
      </c>
      <c r="GG77" s="738"/>
      <c r="GH77" s="738"/>
      <c r="GI77" s="739"/>
      <c r="GJ77" s="735">
        <f>SUM(GJ78:GJ86)</f>
        <v>0</v>
      </c>
      <c r="GK77" s="736">
        <f>SUM(GK78:GK86)</f>
        <v>0</v>
      </c>
      <c r="GL77" s="737">
        <f>SUM(GL78:GL86)</f>
        <v>0</v>
      </c>
      <c r="GM77" s="738"/>
      <c r="GN77" s="738"/>
      <c r="GO77" s="739"/>
      <c r="GP77" s="735">
        <f>SUM(GP78:GP86)</f>
        <v>0</v>
      </c>
      <c r="GQ77" s="736">
        <f>SUM(GQ78:GQ86)</f>
        <v>0</v>
      </c>
      <c r="GR77" s="737">
        <f>SUM(GR78:GR86)</f>
        <v>0</v>
      </c>
      <c r="GS77" s="738"/>
      <c r="GT77" s="738"/>
      <c r="GU77" s="739"/>
      <c r="GV77" s="735">
        <f>SUM(GV78:GV86)</f>
        <v>0</v>
      </c>
      <c r="GW77" s="736">
        <f>SUM(GW78:GW86)</f>
        <v>0</v>
      </c>
      <c r="GX77" s="737">
        <f>SUM(GX78:GX86)</f>
        <v>0</v>
      </c>
      <c r="GY77" s="738"/>
      <c r="GZ77" s="738"/>
      <c r="HA77" s="739"/>
      <c r="HB77" s="735">
        <f>SUM(HB78:HB86)</f>
        <v>0</v>
      </c>
      <c r="HC77" s="736">
        <f>SUM(HC78:HC86)</f>
        <v>0</v>
      </c>
      <c r="HD77" s="737">
        <f>SUM(HD78:HD86)</f>
        <v>0</v>
      </c>
      <c r="HE77" s="738"/>
      <c r="HF77" s="738"/>
      <c r="HG77" s="739"/>
      <c r="HH77" s="735">
        <f>SUM(HH78:HH86)</f>
        <v>0</v>
      </c>
      <c r="HI77" s="736">
        <f>SUM(HI78:HI86)</f>
        <v>0</v>
      </c>
      <c r="HJ77" s="737">
        <f>SUM(HJ78:HJ86)</f>
        <v>0</v>
      </c>
      <c r="HK77" s="738"/>
      <c r="HL77" s="738"/>
      <c r="HM77" s="739"/>
      <c r="HN77" s="735">
        <f>SUM(HN78:HN86)</f>
        <v>0</v>
      </c>
      <c r="HO77" s="736">
        <f>SUM(HO78:HO86)</f>
        <v>0</v>
      </c>
      <c r="HP77" s="737">
        <f>SUM(HP78:HP86)</f>
        <v>0</v>
      </c>
      <c r="HQ77" s="738"/>
      <c r="HR77" s="738"/>
      <c r="HS77" s="739"/>
      <c r="HT77" s="735">
        <f>SUM(HT78:HT86)</f>
        <v>0</v>
      </c>
      <c r="HU77" s="736">
        <f>SUM(HU78:HU86)</f>
        <v>0</v>
      </c>
      <c r="HV77" s="737">
        <f>SUM(HV78:HV86)</f>
        <v>0</v>
      </c>
      <c r="HW77" s="738"/>
      <c r="HX77" s="738"/>
      <c r="HY77" s="739"/>
      <c r="HZ77" s="735">
        <f>SUM(HZ78:HZ86)</f>
        <v>0</v>
      </c>
      <c r="IA77" s="736">
        <f>SUM(IA78:IA86)</f>
        <v>0</v>
      </c>
      <c r="IB77" s="737">
        <f>SUM(IB78:IB86)</f>
        <v>0</v>
      </c>
      <c r="IC77" s="738"/>
      <c r="ID77" s="738"/>
      <c r="IE77" s="739"/>
      <c r="IF77" s="735">
        <f>SUM(IF78:IF86)</f>
        <v>0</v>
      </c>
      <c r="IG77" s="736">
        <f>SUM(IG78:IG86)</f>
        <v>0</v>
      </c>
      <c r="IH77" s="737">
        <f>SUM(IH78:IH86)</f>
        <v>0</v>
      </c>
    </row>
    <row r="78" s="4" customFormat="1" ht="51" customHeight="1">
      <c r="A78" s="447"/>
      <c r="B78" s="552" t="s">
        <v>240</v>
      </c>
      <c r="C78" s="284"/>
      <c r="D78" s="285"/>
      <c r="E78" s="285"/>
      <c r="F78" s="217"/>
      <c r="G78" s="288"/>
      <c r="H78" s="217"/>
      <c r="I78" s="288"/>
      <c r="J78" s="217">
        <f>BZ50</f>
        <v>8754.5</v>
      </c>
      <c r="K78" s="287">
        <f>J78*$AX$142/$J$153</f>
        <v>209481.43522718726</v>
      </c>
      <c r="L78" s="258">
        <f>CA50</f>
        <v>4075</v>
      </c>
      <c r="M78" s="287">
        <f>L78*$AX$140/$L$153</f>
        <v>172319.62597904247</v>
      </c>
      <c r="N78" s="258"/>
      <c r="O78" s="285"/>
      <c r="P78" s="217">
        <f>CC50+CB50</f>
        <v>10393</v>
      </c>
      <c r="Q78" s="285">
        <f>P78*($AX$139+$AX$137)/$P$153</f>
        <v>253189.70587646545</v>
      </c>
      <c r="R78" s="217"/>
      <c r="S78" s="287"/>
      <c r="T78" s="217">
        <f>CF50</f>
        <v>2268.5</v>
      </c>
      <c r="U78" s="287">
        <f>T78*$AX$135/$T$153</f>
        <v>62431.394157627627</v>
      </c>
      <c r="V78" s="217"/>
      <c r="W78" s="287"/>
      <c r="X78" s="217">
        <f>CH50</f>
        <v>6461</v>
      </c>
      <c r="Y78" s="287">
        <f>X78*$AX$148/$X$153</f>
        <v>16380.319902629537</v>
      </c>
      <c r="Z78" s="217"/>
      <c r="AA78" s="287"/>
      <c r="AB78" s="217"/>
      <c r="AC78" s="287"/>
      <c r="AD78" s="258"/>
      <c r="AE78" s="740"/>
      <c r="AF78" s="217"/>
      <c r="AG78" s="288"/>
      <c r="AH78" s="217"/>
      <c r="AI78" s="287"/>
      <c r="AJ78" s="217"/>
      <c r="AK78" s="287"/>
      <c r="AL78" s="217"/>
      <c r="AM78" s="287"/>
      <c r="AN78" s="258"/>
      <c r="AO78" s="286"/>
      <c r="AP78" s="217"/>
      <c r="AQ78" s="288"/>
      <c r="AR78" s="217"/>
      <c r="AS78" s="288"/>
      <c r="AT78" s="613"/>
      <c r="AU78" s="287"/>
      <c r="AV78" s="287"/>
      <c r="AW78" s="287"/>
      <c r="AX78" s="288">
        <f t="shared" si="79"/>
        <v>713802.48114295234</v>
      </c>
      <c r="AY78" s="288">
        <f t="shared" si="37"/>
        <v>713802.48114295234</v>
      </c>
      <c r="AZ78" s="288">
        <f t="shared" si="62"/>
        <v>713802.48114295234</v>
      </c>
      <c r="BA78" s="288">
        <f t="shared" si="63"/>
        <v>713802.48114295234</v>
      </c>
      <c r="BB78" s="472">
        <f t="shared" ref="BB78:BB86" si="87">BF78+BH78</f>
        <v>83251</v>
      </c>
      <c r="BC78" s="290">
        <f t="shared" si="80"/>
        <v>8.5741009854890908</v>
      </c>
      <c r="BD78" s="365">
        <f>'зарплата'!CH74</f>
        <v>0</v>
      </c>
      <c r="BE78" s="507" t="e">
        <f>#REF!</f>
        <v>#REF!</v>
      </c>
      <c r="BF78" s="741">
        <v>83251</v>
      </c>
      <c r="BG78" s="287">
        <v>76727599</v>
      </c>
      <c r="BH78" s="523"/>
      <c r="BI78" s="523"/>
      <c r="BJ78" s="259"/>
      <c r="BK78" s="217">
        <f t="shared" si="81"/>
        <v>76727599</v>
      </c>
      <c r="BL78" s="742">
        <f t="shared" si="82"/>
        <v>3069103.96</v>
      </c>
      <c r="BM78" s="743">
        <f t="shared" si="83"/>
        <v>8.5741009854890908</v>
      </c>
      <c r="BN78" s="743">
        <f t="shared" si="84"/>
        <v>36.865670802753122</v>
      </c>
      <c r="BO78" s="744">
        <f t="shared" si="85"/>
        <v>28.291569817264033</v>
      </c>
      <c r="BP78" s="745">
        <f t="shared" si="86"/>
        <v>2355301.4788570479</v>
      </c>
      <c r="BQ78" s="285"/>
      <c r="BR78" s="1"/>
      <c r="BS78" s="1"/>
      <c r="BT78" s="1"/>
      <c r="BU78" s="1"/>
      <c r="BV78" s="1"/>
      <c r="BW78" s="1"/>
      <c r="BX78" s="9"/>
      <c r="BY78" s="9"/>
      <c r="BZ78" s="9"/>
      <c r="CA78" s="9"/>
      <c r="CB78" s="9"/>
      <c r="CC78" s="371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371"/>
      <c r="CQ78" s="371"/>
      <c r="CR78" s="9"/>
      <c r="CS78" s="9"/>
      <c r="CT78" s="10"/>
      <c r="CU78" s="10"/>
      <c r="CV78" s="746"/>
      <c r="CW78" s="122"/>
      <c r="CX78" s="11"/>
      <c r="CY78" s="11"/>
      <c r="DA78" s="304"/>
      <c r="DB78" s="305"/>
      <c r="DC78" s="305"/>
      <c r="DD78" s="306"/>
      <c r="DE78" s="306"/>
      <c r="DF78" s="306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447"/>
      <c r="EG78" s="552" t="s">
        <v>240</v>
      </c>
      <c r="EH78" s="280"/>
      <c r="EI78" s="280"/>
      <c r="EJ78" s="1"/>
      <c r="EK78" s="1"/>
      <c r="EL78" s="1"/>
      <c r="EM78" s="1"/>
      <c r="EN78" s="37"/>
      <c r="EO78" s="1"/>
      <c r="EP78" s="1"/>
      <c r="EQ78" s="1"/>
      <c r="ER78" s="1"/>
      <c r="ES78" s="38"/>
      <c r="ET78" s="1"/>
      <c r="EU78" s="1"/>
      <c r="EV78" s="1"/>
      <c r="EW78" s="1"/>
      <c r="EX78" s="1"/>
      <c r="EY78" s="1"/>
      <c r="EZ78" s="356">
        <f t="shared" ref="EZ78:EZ86" si="88">EH78+EN78+ET78</f>
        <v>0</v>
      </c>
      <c r="FA78" s="357">
        <f t="shared" ref="FA78:FE92" si="89">EI78+EO78+EU78</f>
        <v>0</v>
      </c>
      <c r="FB78" s="1">
        <f t="shared" ref="FB78:FB86" si="90">EJ78+EP78+EV78</f>
        <v>0</v>
      </c>
      <c r="FC78" s="281">
        <f t="shared" ref="FC78:FC86" si="91">EK78+EQ78+EW78</f>
        <v>0</v>
      </c>
      <c r="FD78" s="281">
        <f t="shared" ref="FD78:FD86" si="92">EL78+ER78+EX78</f>
        <v>0</v>
      </c>
      <c r="FE78" s="38">
        <f t="shared" ref="FE78:FE86" si="93">EM78+ES78+EY78</f>
        <v>0</v>
      </c>
      <c r="FF78" s="281"/>
      <c r="FG78" s="281"/>
      <c r="FH78" s="358"/>
      <c r="FI78" s="281"/>
      <c r="FJ78" s="281"/>
      <c r="FK78" s="1"/>
      <c r="FL78" s="282"/>
      <c r="FM78" s="281"/>
      <c r="FN78" s="358"/>
      <c r="FO78" s="281"/>
      <c r="FP78" s="281"/>
      <c r="FQ78" s="38"/>
      <c r="FR78" s="282"/>
      <c r="FS78" s="281"/>
      <c r="FT78" s="358"/>
      <c r="FU78" s="281"/>
      <c r="FV78" s="281"/>
      <c r="FW78" s="38"/>
      <c r="FX78" s="323">
        <f t="shared" ref="FX78:FX91" si="94">EZ78+FF78+FL78+FR78</f>
        <v>0</v>
      </c>
      <c r="FY78" s="322"/>
      <c r="FZ78" s="322">
        <f t="shared" ref="FZ78:GA91" si="95">FB78+FH78+FN78+FT78</f>
        <v>0</v>
      </c>
      <c r="GA78" s="322">
        <f t="shared" si="95"/>
        <v>0</v>
      </c>
      <c r="GB78" s="322"/>
      <c r="GC78" s="326">
        <f t="shared" ref="GC78:GC91" si="96">FE78+FK78+FQ78+FW78</f>
        <v>0</v>
      </c>
      <c r="GD78" s="282"/>
      <c r="GE78" s="281"/>
      <c r="GF78" s="358"/>
      <c r="GG78" s="281"/>
      <c r="GH78" s="281"/>
      <c r="GI78" s="38"/>
      <c r="GJ78" s="282"/>
      <c r="GK78" s="281"/>
      <c r="GL78" s="358"/>
      <c r="GM78" s="281"/>
      <c r="GN78" s="281"/>
      <c r="GO78" s="38"/>
      <c r="GP78" s="282"/>
      <c r="GQ78" s="281"/>
      <c r="GR78" s="358"/>
      <c r="GS78" s="281"/>
      <c r="GT78" s="281"/>
      <c r="GU78" s="38"/>
      <c r="GV78" s="323">
        <f t="shared" ref="GV78:HA86" si="97">GD78+GJ78+GP78</f>
        <v>0</v>
      </c>
      <c r="GW78" s="322">
        <f t="shared" si="97"/>
        <v>0</v>
      </c>
      <c r="GX78" s="322">
        <f t="shared" si="97"/>
        <v>0</v>
      </c>
      <c r="GY78" s="322">
        <f t="shared" si="97"/>
        <v>0</v>
      </c>
      <c r="GZ78" s="322">
        <f t="shared" si="97"/>
        <v>0</v>
      </c>
      <c r="HA78" s="326">
        <f t="shared" si="97"/>
        <v>0</v>
      </c>
      <c r="HB78" s="282"/>
      <c r="HC78" s="281"/>
      <c r="HD78" s="358"/>
      <c r="HE78" s="281"/>
      <c r="HF78" s="281"/>
      <c r="HG78" s="38"/>
      <c r="HH78" s="282"/>
      <c r="HI78" s="281"/>
      <c r="HJ78" s="358"/>
      <c r="HK78" s="281"/>
      <c r="HL78" s="281"/>
      <c r="HM78" s="38"/>
      <c r="HN78" s="282"/>
      <c r="HO78" s="281"/>
      <c r="HP78" s="358"/>
      <c r="HQ78" s="281"/>
      <c r="HR78" s="281"/>
      <c r="HS78" s="38"/>
      <c r="HT78" s="315">
        <f t="shared" ref="HT78:HY91" si="98">GV78+HB78+HH78+HN78</f>
        <v>0</v>
      </c>
      <c r="HU78" s="316">
        <f t="shared" si="98"/>
        <v>0</v>
      </c>
      <c r="HV78" s="317">
        <f t="shared" si="98"/>
        <v>0</v>
      </c>
      <c r="HW78" s="316">
        <f t="shared" si="98"/>
        <v>0</v>
      </c>
      <c r="HX78" s="316">
        <f t="shared" si="98"/>
        <v>0</v>
      </c>
      <c r="HY78" s="317">
        <f t="shared" si="98"/>
        <v>0</v>
      </c>
      <c r="HZ78" s="535">
        <f t="shared" ref="HZ78:IE91" si="99">FX78+HT78</f>
        <v>0</v>
      </c>
      <c r="IA78" s="280">
        <f t="shared" si="99"/>
        <v>0</v>
      </c>
      <c r="IB78" s="1">
        <f t="shared" si="99"/>
        <v>0</v>
      </c>
      <c r="IC78" s="280">
        <f t="shared" si="99"/>
        <v>0</v>
      </c>
      <c r="ID78" s="280">
        <f t="shared" si="99"/>
        <v>0</v>
      </c>
      <c r="IE78" s="40">
        <f t="shared" si="99"/>
        <v>0</v>
      </c>
      <c r="IF78" s="535">
        <f t="shared" ref="IF78:IH91" si="100">HZ78+IC78</f>
        <v>0</v>
      </c>
      <c r="IG78" s="280">
        <f>IA78+ID78</f>
        <v>0</v>
      </c>
      <c r="IH78" s="1">
        <f>IB78+IE78</f>
        <v>0</v>
      </c>
      <c r="II78" s="1"/>
      <c r="IJ78" s="1"/>
      <c r="IK78" s="1"/>
    </row>
    <row r="79" s="4" customFormat="1" ht="13.5" customHeight="1">
      <c r="A79" s="447"/>
      <c r="B79" s="552" t="s">
        <v>241</v>
      </c>
      <c r="C79" s="284"/>
      <c r="D79" s="285"/>
      <c r="E79" s="285"/>
      <c r="F79" s="217"/>
      <c r="G79" s="288"/>
      <c r="H79" s="217"/>
      <c r="I79" s="288"/>
      <c r="J79" s="217"/>
      <c r="K79" s="287"/>
      <c r="L79" s="258"/>
      <c r="M79" s="287"/>
      <c r="N79" s="258"/>
      <c r="O79" s="285"/>
      <c r="P79" s="217"/>
      <c r="Q79" s="285"/>
      <c r="R79" s="217"/>
      <c r="S79" s="287"/>
      <c r="T79" s="217"/>
      <c r="U79" s="287"/>
      <c r="V79" s="217"/>
      <c r="W79" s="287"/>
      <c r="X79" s="217"/>
      <c r="Y79" s="287"/>
      <c r="Z79" s="217"/>
      <c r="AA79" s="287"/>
      <c r="AB79" s="217"/>
      <c r="AC79" s="287"/>
      <c r="AD79" s="258"/>
      <c r="AE79" s="740"/>
      <c r="AF79" s="217"/>
      <c r="AG79" s="288"/>
      <c r="AH79" s="217"/>
      <c r="AI79" s="287"/>
      <c r="AJ79" s="217"/>
      <c r="AK79" s="287"/>
      <c r="AL79" s="217"/>
      <c r="AM79" s="287"/>
      <c r="AN79" s="258"/>
      <c r="AO79" s="286"/>
      <c r="AP79" s="217"/>
      <c r="AQ79" s="288"/>
      <c r="AR79" s="217"/>
      <c r="AS79" s="288"/>
      <c r="AT79" s="613"/>
      <c r="AU79" s="287">
        <f>AT79*$AX$125/$AT$153</f>
        <v>0</v>
      </c>
      <c r="AV79" s="287"/>
      <c r="AW79" s="287"/>
      <c r="AX79" s="288">
        <f t="shared" si="79"/>
        <v>0</v>
      </c>
      <c r="AY79" s="288">
        <f t="shared" si="37"/>
        <v>0</v>
      </c>
      <c r="AZ79" s="288">
        <f t="shared" si="62"/>
        <v>0</v>
      </c>
      <c r="BA79" s="288">
        <f t="shared" si="63"/>
        <v>0</v>
      </c>
      <c r="BB79" s="472">
        <f t="shared" si="87"/>
        <v>15160</v>
      </c>
      <c r="BC79" s="290">
        <f t="shared" si="80"/>
        <v>0</v>
      </c>
      <c r="BD79" s="365">
        <f>'зарплата'!CH75</f>
        <v>0</v>
      </c>
      <c r="BE79" s="507" t="e">
        <f>#REF!</f>
        <v>#REF!</v>
      </c>
      <c r="BF79" s="747">
        <v>15160</v>
      </c>
      <c r="BG79" s="287">
        <v>19661856.210000001</v>
      </c>
      <c r="BH79" s="523"/>
      <c r="BI79" s="523"/>
      <c r="BJ79" s="259"/>
      <c r="BK79" s="217">
        <f t="shared" si="81"/>
        <v>19661856.210000001</v>
      </c>
      <c r="BL79" s="742">
        <f t="shared" si="82"/>
        <v>786474.24840000004</v>
      </c>
      <c r="BM79" s="743">
        <f t="shared" si="83"/>
        <v>0</v>
      </c>
      <c r="BN79" s="743">
        <f t="shared" si="84"/>
        <v>51.878248575197894</v>
      </c>
      <c r="BO79" s="744">
        <f t="shared" si="85"/>
        <v>51.878248575197894</v>
      </c>
      <c r="BP79" s="745">
        <f t="shared" si="86"/>
        <v>786474.24840000004</v>
      </c>
      <c r="BQ79" s="285"/>
      <c r="BR79" s="1"/>
      <c r="BS79" s="1"/>
      <c r="BT79" s="1"/>
      <c r="BU79" s="1"/>
      <c r="BV79" s="1"/>
      <c r="BW79" s="459" t="s">
        <v>242</v>
      </c>
      <c r="BX79" s="748"/>
      <c r="BY79" s="749"/>
      <c r="BZ79" s="749"/>
      <c r="CA79" s="749"/>
      <c r="CB79" s="750"/>
      <c r="CC79" s="730"/>
      <c r="CD79" s="751"/>
      <c r="CE79" s="730"/>
      <c r="CF79" s="749"/>
      <c r="CG79" s="730"/>
      <c r="CH79" s="730"/>
      <c r="CI79" s="730"/>
      <c r="CJ79" s="749"/>
      <c r="CK79" s="749"/>
      <c r="CL79" s="749"/>
      <c r="CM79" s="749"/>
      <c r="CN79" s="730"/>
      <c r="CO79" s="750"/>
      <c r="CP79" s="730"/>
      <c r="CQ79" s="730"/>
      <c r="CR79" s="748"/>
      <c r="CS79" s="749"/>
      <c r="CT79" s="10"/>
      <c r="CU79" s="10"/>
      <c r="CV79" s="746"/>
      <c r="CW79" s="122"/>
      <c r="CX79" s="11"/>
      <c r="CY79" s="11"/>
      <c r="DA79" s="304"/>
      <c r="DB79" s="305"/>
      <c r="DC79" s="305"/>
      <c r="DD79" s="306"/>
      <c r="DE79" s="306"/>
      <c r="DF79" s="306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447"/>
      <c r="EG79" s="552" t="s">
        <v>241</v>
      </c>
      <c r="EH79" s="307"/>
      <c r="EI79" s="439"/>
      <c r="EJ79" s="440"/>
      <c r="EK79" s="440"/>
      <c r="EL79" s="440"/>
      <c r="EM79" s="440"/>
      <c r="EN79" s="274"/>
      <c r="EO79" s="440"/>
      <c r="EP79" s="440"/>
      <c r="EQ79" s="440"/>
      <c r="ER79" s="440"/>
      <c r="ES79" s="276"/>
      <c r="ET79" s="440"/>
      <c r="EU79" s="440"/>
      <c r="EV79" s="440"/>
      <c r="EW79" s="440"/>
      <c r="EX79" s="440"/>
      <c r="EY79" s="440"/>
      <c r="EZ79" s="312">
        <f t="shared" si="88"/>
        <v>0</v>
      </c>
      <c r="FA79" s="441">
        <f t="shared" si="89"/>
        <v>0</v>
      </c>
      <c r="FB79" s="440">
        <f t="shared" si="90"/>
        <v>0</v>
      </c>
      <c r="FC79" s="442">
        <f t="shared" si="91"/>
        <v>0</v>
      </c>
      <c r="FD79" s="442">
        <f t="shared" si="92"/>
        <v>0</v>
      </c>
      <c r="FE79" s="276">
        <f t="shared" si="93"/>
        <v>0</v>
      </c>
      <c r="FF79" s="442"/>
      <c r="FG79" s="442"/>
      <c r="FH79" s="752"/>
      <c r="FI79" s="442"/>
      <c r="FJ79" s="442"/>
      <c r="FK79" s="440"/>
      <c r="FL79" s="443"/>
      <c r="FM79" s="442"/>
      <c r="FN79" s="752"/>
      <c r="FO79" s="442"/>
      <c r="FP79" s="442"/>
      <c r="FQ79" s="276"/>
      <c r="FR79" s="443"/>
      <c r="FS79" s="442"/>
      <c r="FT79" s="752"/>
      <c r="FU79" s="442"/>
      <c r="FV79" s="442"/>
      <c r="FW79" s="276"/>
      <c r="FX79" s="443">
        <f t="shared" si="94"/>
        <v>0</v>
      </c>
      <c r="FY79" s="442"/>
      <c r="FZ79" s="442">
        <f t="shared" si="95"/>
        <v>0</v>
      </c>
      <c r="GA79" s="442">
        <f t="shared" si="95"/>
        <v>0</v>
      </c>
      <c r="GB79" s="442"/>
      <c r="GC79" s="279">
        <f t="shared" si="96"/>
        <v>0</v>
      </c>
      <c r="GD79" s="443"/>
      <c r="GE79" s="442"/>
      <c r="GF79" s="752"/>
      <c r="GG79" s="442"/>
      <c r="GH79" s="442"/>
      <c r="GI79" s="276"/>
      <c r="GJ79" s="443"/>
      <c r="GK79" s="442"/>
      <c r="GL79" s="752"/>
      <c r="GM79" s="442"/>
      <c r="GN79" s="442"/>
      <c r="GO79" s="276"/>
      <c r="GP79" s="443"/>
      <c r="GQ79" s="442"/>
      <c r="GR79" s="752"/>
      <c r="GS79" s="442"/>
      <c r="GT79" s="442"/>
      <c r="GU79" s="276"/>
      <c r="GV79" s="323">
        <f t="shared" si="97"/>
        <v>0</v>
      </c>
      <c r="GW79" s="322">
        <f t="shared" si="97"/>
        <v>0</v>
      </c>
      <c r="GX79" s="322">
        <f t="shared" si="97"/>
        <v>0</v>
      </c>
      <c r="GY79" s="322">
        <f t="shared" si="97"/>
        <v>0</v>
      </c>
      <c r="GZ79" s="322">
        <f t="shared" si="97"/>
        <v>0</v>
      </c>
      <c r="HA79" s="326">
        <f t="shared" si="97"/>
        <v>0</v>
      </c>
      <c r="HB79" s="443"/>
      <c r="HC79" s="442"/>
      <c r="HD79" s="752"/>
      <c r="HE79" s="442"/>
      <c r="HF79" s="442"/>
      <c r="HG79" s="276"/>
      <c r="HH79" s="443"/>
      <c r="HI79" s="442"/>
      <c r="HJ79" s="752"/>
      <c r="HK79" s="442"/>
      <c r="HL79" s="442"/>
      <c r="HM79" s="276"/>
      <c r="HN79" s="443"/>
      <c r="HO79" s="442"/>
      <c r="HP79" s="752"/>
      <c r="HQ79" s="442"/>
      <c r="HR79" s="442"/>
      <c r="HS79" s="276"/>
      <c r="HT79" s="315">
        <f t="shared" si="98"/>
        <v>0</v>
      </c>
      <c r="HU79" s="316">
        <f t="shared" si="98"/>
        <v>0</v>
      </c>
      <c r="HV79" s="317">
        <f t="shared" si="98"/>
        <v>0</v>
      </c>
      <c r="HW79" s="316">
        <f t="shared" si="98"/>
        <v>0</v>
      </c>
      <c r="HX79" s="316">
        <f t="shared" si="98"/>
        <v>0</v>
      </c>
      <c r="HY79" s="317">
        <f t="shared" si="98"/>
        <v>0</v>
      </c>
      <c r="HZ79" s="445">
        <f t="shared" si="99"/>
        <v>0</v>
      </c>
      <c r="IA79" s="439">
        <f t="shared" si="99"/>
        <v>0</v>
      </c>
      <c r="IB79" s="440">
        <f t="shared" si="99"/>
        <v>0</v>
      </c>
      <c r="IC79" s="439">
        <f t="shared" si="99"/>
        <v>0</v>
      </c>
      <c r="ID79" s="439">
        <f t="shared" si="99"/>
        <v>0</v>
      </c>
      <c r="IE79" s="446">
        <f t="shared" si="99"/>
        <v>0</v>
      </c>
      <c r="IF79" s="535">
        <f t="shared" si="100"/>
        <v>0</v>
      </c>
      <c r="IG79" s="280">
        <f t="shared" si="100"/>
        <v>0</v>
      </c>
      <c r="IH79" s="1">
        <f t="shared" si="100"/>
        <v>0</v>
      </c>
      <c r="II79" s="1"/>
      <c r="IJ79" s="1"/>
      <c r="IK79" s="1"/>
    </row>
    <row r="80" s="4" customFormat="1" ht="29.25" customHeight="1">
      <c r="A80" s="447"/>
      <c r="B80" s="753" t="s">
        <v>243</v>
      </c>
      <c r="C80" s="284"/>
      <c r="D80" s="285"/>
      <c r="E80" s="285"/>
      <c r="F80" s="217"/>
      <c r="G80" s="288"/>
      <c r="H80" s="217"/>
      <c r="I80" s="288"/>
      <c r="J80" s="217"/>
      <c r="K80" s="287">
        <f>J80*$AX$142/$J$153</f>
        <v>0</v>
      </c>
      <c r="L80" s="258"/>
      <c r="M80" s="287"/>
      <c r="N80" s="258"/>
      <c r="O80" s="285"/>
      <c r="P80" s="217"/>
      <c r="Q80" s="285"/>
      <c r="R80" s="217"/>
      <c r="S80" s="287"/>
      <c r="T80" s="217"/>
      <c r="U80" s="287"/>
      <c r="V80" s="217"/>
      <c r="W80" s="287"/>
      <c r="X80" s="217"/>
      <c r="Y80" s="287"/>
      <c r="Z80" s="217"/>
      <c r="AA80" s="287"/>
      <c r="AB80" s="217"/>
      <c r="AC80" s="287"/>
      <c r="AD80" s="258"/>
      <c r="AE80" s="740"/>
      <c r="AF80" s="217"/>
      <c r="AG80" s="288"/>
      <c r="AH80" s="217"/>
      <c r="AI80" s="287"/>
      <c r="AJ80" s="217"/>
      <c r="AK80" s="287"/>
      <c r="AL80" s="217"/>
      <c r="AM80" s="287"/>
      <c r="AN80" s="258"/>
      <c r="AO80" s="286"/>
      <c r="AP80" s="217"/>
      <c r="AQ80" s="288"/>
      <c r="AR80" s="217"/>
      <c r="AS80" s="288"/>
      <c r="AT80" s="613"/>
      <c r="AU80" s="287"/>
      <c r="AV80" s="287"/>
      <c r="AW80" s="287"/>
      <c r="AX80" s="288">
        <f t="shared" si="79"/>
        <v>0</v>
      </c>
      <c r="AY80" s="288">
        <f t="shared" si="37"/>
        <v>0</v>
      </c>
      <c r="AZ80" s="288">
        <f t="shared" si="62"/>
        <v>0</v>
      </c>
      <c r="BA80" s="288">
        <f t="shared" si="63"/>
        <v>0</v>
      </c>
      <c r="BB80" s="472">
        <f t="shared" si="87"/>
        <v>8502</v>
      </c>
      <c r="BC80" s="290">
        <f t="shared" si="80"/>
        <v>0</v>
      </c>
      <c r="BD80" s="365">
        <f>'зарплата'!CH76</f>
        <v>0</v>
      </c>
      <c r="BE80" s="507" t="e">
        <f>#REF!</f>
        <v>#REF!</v>
      </c>
      <c r="BF80" s="747">
        <v>8502</v>
      </c>
      <c r="BG80" s="287">
        <v>29137948</v>
      </c>
      <c r="BH80" s="523"/>
      <c r="BI80" s="523"/>
      <c r="BJ80" s="259"/>
      <c r="BK80" s="217">
        <f t="shared" si="81"/>
        <v>29137948</v>
      </c>
      <c r="BL80" s="742">
        <f t="shared" si="82"/>
        <v>1165517.9199999999</v>
      </c>
      <c r="BM80" s="743">
        <f t="shared" si="83"/>
        <v>0</v>
      </c>
      <c r="BN80" s="743">
        <f t="shared" si="84"/>
        <v>137.08749941190308</v>
      </c>
      <c r="BO80" s="744">
        <f t="shared" si="85"/>
        <v>137.08749941190308</v>
      </c>
      <c r="BP80" s="745">
        <f t="shared" si="86"/>
        <v>1165517.9199999999</v>
      </c>
      <c r="BQ80" s="285"/>
      <c r="BR80" s="1"/>
      <c r="BS80" s="1"/>
      <c r="BT80" s="1"/>
      <c r="BU80" s="1"/>
      <c r="BV80" s="1"/>
      <c r="BW80" s="1"/>
      <c r="BX80" s="5"/>
      <c r="BY80" s="5"/>
      <c r="BZ80" s="5"/>
      <c r="CA80" s="5"/>
      <c r="CB80" s="5"/>
      <c r="CC80" s="667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10"/>
      <c r="CU80" s="10"/>
      <c r="CV80" s="746"/>
      <c r="CW80" s="122"/>
      <c r="CX80" s="11"/>
      <c r="CY80" s="11"/>
      <c r="DA80" s="304"/>
      <c r="DB80" s="305"/>
      <c r="DC80" s="305"/>
      <c r="DD80" s="306"/>
      <c r="DE80" s="306"/>
      <c r="DF80" s="306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447"/>
      <c r="EG80" s="753" t="s">
        <v>243</v>
      </c>
      <c r="EH80" s="280"/>
      <c r="EI80" s="280"/>
      <c r="EJ80" s="1"/>
      <c r="EK80" s="1"/>
      <c r="EL80" s="1"/>
      <c r="EM80" s="1"/>
      <c r="EN80" s="37"/>
      <c r="EO80" s="1"/>
      <c r="EP80" s="1"/>
      <c r="EQ80" s="1"/>
      <c r="ER80" s="1"/>
      <c r="ES80" s="38"/>
      <c r="ET80" s="1"/>
      <c r="EU80" s="1"/>
      <c r="EV80" s="1"/>
      <c r="EW80" s="1"/>
      <c r="EX80" s="1"/>
      <c r="EY80" s="1"/>
      <c r="EZ80" s="356">
        <f t="shared" si="88"/>
        <v>0</v>
      </c>
      <c r="FA80" s="357">
        <f t="shared" si="89"/>
        <v>0</v>
      </c>
      <c r="FB80" s="1">
        <f t="shared" si="90"/>
        <v>0</v>
      </c>
      <c r="FC80" s="281">
        <f t="shared" si="91"/>
        <v>0</v>
      </c>
      <c r="FD80" s="281">
        <f t="shared" si="92"/>
        <v>0</v>
      </c>
      <c r="FE80" s="38">
        <f t="shared" si="93"/>
        <v>0</v>
      </c>
      <c r="FF80" s="281"/>
      <c r="FG80" s="281"/>
      <c r="FH80" s="358"/>
      <c r="FI80" s="281"/>
      <c r="FJ80" s="281"/>
      <c r="FK80" s="1"/>
      <c r="FL80" s="282"/>
      <c r="FM80" s="281"/>
      <c r="FN80" s="358"/>
      <c r="FO80" s="281"/>
      <c r="FP80" s="281"/>
      <c r="FQ80" s="38"/>
      <c r="FR80" s="282"/>
      <c r="FS80" s="281"/>
      <c r="FT80" s="358"/>
      <c r="FU80" s="281"/>
      <c r="FV80" s="281"/>
      <c r="FW80" s="38"/>
      <c r="FX80" s="443">
        <f t="shared" si="94"/>
        <v>0</v>
      </c>
      <c r="FY80" s="442"/>
      <c r="FZ80" s="442">
        <f t="shared" si="95"/>
        <v>0</v>
      </c>
      <c r="GA80" s="442">
        <f t="shared" si="95"/>
        <v>0</v>
      </c>
      <c r="GB80" s="442"/>
      <c r="GC80" s="279">
        <f t="shared" si="96"/>
        <v>0</v>
      </c>
      <c r="GD80" s="282"/>
      <c r="GE80" s="281"/>
      <c r="GF80" s="358"/>
      <c r="GG80" s="281"/>
      <c r="GH80" s="281"/>
      <c r="GI80" s="38"/>
      <c r="GJ80" s="282"/>
      <c r="GK80" s="281"/>
      <c r="GL80" s="358"/>
      <c r="GM80" s="281"/>
      <c r="GN80" s="281"/>
      <c r="GO80" s="38"/>
      <c r="GP80" s="282"/>
      <c r="GQ80" s="281"/>
      <c r="GR80" s="358"/>
      <c r="GS80" s="281"/>
      <c r="GT80" s="281"/>
      <c r="GU80" s="38"/>
      <c r="GV80" s="323">
        <f t="shared" si="97"/>
        <v>0</v>
      </c>
      <c r="GW80" s="322">
        <f t="shared" si="97"/>
        <v>0</v>
      </c>
      <c r="GX80" s="322">
        <f t="shared" si="97"/>
        <v>0</v>
      </c>
      <c r="GY80" s="322">
        <f t="shared" si="97"/>
        <v>0</v>
      </c>
      <c r="GZ80" s="322">
        <f t="shared" si="97"/>
        <v>0</v>
      </c>
      <c r="HA80" s="326">
        <f t="shared" si="97"/>
        <v>0</v>
      </c>
      <c r="HB80" s="282"/>
      <c r="HC80" s="281"/>
      <c r="HD80" s="358"/>
      <c r="HE80" s="281"/>
      <c r="HF80" s="281"/>
      <c r="HG80" s="38"/>
      <c r="HH80" s="282"/>
      <c r="HI80" s="281"/>
      <c r="HJ80" s="358"/>
      <c r="HK80" s="281"/>
      <c r="HL80" s="281"/>
      <c r="HM80" s="38"/>
      <c r="HN80" s="282"/>
      <c r="HO80" s="281"/>
      <c r="HP80" s="358"/>
      <c r="HQ80" s="281"/>
      <c r="HR80" s="281"/>
      <c r="HS80" s="38"/>
      <c r="HT80" s="315">
        <f t="shared" si="98"/>
        <v>0</v>
      </c>
      <c r="HU80" s="316">
        <f t="shared" si="98"/>
        <v>0</v>
      </c>
      <c r="HV80" s="317">
        <f t="shared" si="98"/>
        <v>0</v>
      </c>
      <c r="HW80" s="316">
        <f t="shared" si="98"/>
        <v>0</v>
      </c>
      <c r="HX80" s="316">
        <f t="shared" si="98"/>
        <v>0</v>
      </c>
      <c r="HY80" s="317">
        <f t="shared" si="98"/>
        <v>0</v>
      </c>
      <c r="HZ80" s="445">
        <f t="shared" si="99"/>
        <v>0</v>
      </c>
      <c r="IA80" s="439">
        <f t="shared" si="99"/>
        <v>0</v>
      </c>
      <c r="IB80" s="440">
        <f t="shared" si="99"/>
        <v>0</v>
      </c>
      <c r="IC80" s="439">
        <f t="shared" si="99"/>
        <v>0</v>
      </c>
      <c r="ID80" s="439">
        <f t="shared" si="99"/>
        <v>0</v>
      </c>
      <c r="IE80" s="446">
        <f t="shared" si="99"/>
        <v>0</v>
      </c>
      <c r="IF80" s="535">
        <f t="shared" si="100"/>
        <v>0</v>
      </c>
      <c r="IG80" s="280">
        <f t="shared" si="100"/>
        <v>0</v>
      </c>
      <c r="IH80" s="1">
        <f t="shared" si="100"/>
        <v>0</v>
      </c>
      <c r="II80" s="1"/>
      <c r="IJ80" s="1"/>
      <c r="IK80" s="1"/>
    </row>
    <row r="81" s="4" customFormat="1" ht="63.75" customHeight="1">
      <c r="A81" s="447"/>
      <c r="B81" s="552" t="s">
        <v>244</v>
      </c>
      <c r="C81" s="284"/>
      <c r="D81" s="285"/>
      <c r="E81" s="285"/>
      <c r="F81" s="217"/>
      <c r="G81" s="288"/>
      <c r="H81" s="217"/>
      <c r="I81" s="288"/>
      <c r="J81" s="217"/>
      <c r="K81" s="287"/>
      <c r="L81" s="258"/>
      <c r="M81" s="287"/>
      <c r="N81" s="258"/>
      <c r="O81" s="285"/>
      <c r="P81" s="217"/>
      <c r="Q81" s="285"/>
      <c r="R81" s="217"/>
      <c r="S81" s="287"/>
      <c r="T81" s="217"/>
      <c r="U81" s="287"/>
      <c r="V81" s="217"/>
      <c r="W81" s="287"/>
      <c r="X81" s="217"/>
      <c r="Y81" s="287">
        <f>X81*$AX$148/$X$153</f>
        <v>0</v>
      </c>
      <c r="Z81" s="217"/>
      <c r="AA81" s="287"/>
      <c r="AB81" s="217"/>
      <c r="AC81" s="287"/>
      <c r="AD81" s="258"/>
      <c r="AE81" s="740"/>
      <c r="AF81" s="217"/>
      <c r="AG81" s="288"/>
      <c r="AH81" s="217"/>
      <c r="AI81" s="287"/>
      <c r="AJ81" s="217"/>
      <c r="AK81" s="287"/>
      <c r="AL81" s="217"/>
      <c r="AM81" s="287"/>
      <c r="AN81" s="258"/>
      <c r="AO81" s="286"/>
      <c r="AP81" s="217"/>
      <c r="AQ81" s="288"/>
      <c r="AR81" s="217"/>
      <c r="AS81" s="288"/>
      <c r="AT81" s="613"/>
      <c r="AU81" s="287"/>
      <c r="AV81" s="287"/>
      <c r="AW81" s="287"/>
      <c r="AX81" s="288">
        <f t="shared" si="79"/>
        <v>0</v>
      </c>
      <c r="AY81" s="288">
        <f t="shared" si="37"/>
        <v>0</v>
      </c>
      <c r="AZ81" s="288">
        <f t="shared" si="62"/>
        <v>0</v>
      </c>
      <c r="BA81" s="288">
        <f t="shared" si="63"/>
        <v>0</v>
      </c>
      <c r="BB81" s="472">
        <f t="shared" si="87"/>
        <v>8068</v>
      </c>
      <c r="BC81" s="290">
        <f t="shared" si="80"/>
        <v>0</v>
      </c>
      <c r="BD81" s="365">
        <f>'зарплата'!CH77</f>
        <v>0</v>
      </c>
      <c r="BE81" s="507" t="e">
        <f>#REF!</f>
        <v>#REF!</v>
      </c>
      <c r="BF81" s="747">
        <v>8068</v>
      </c>
      <c r="BG81" s="287">
        <v>5955087</v>
      </c>
      <c r="BH81" s="523"/>
      <c r="BI81" s="523"/>
      <c r="BJ81" s="259"/>
      <c r="BK81" s="217">
        <f t="shared" si="81"/>
        <v>5955087</v>
      </c>
      <c r="BL81" s="742">
        <f t="shared" si="82"/>
        <v>238203.48000000001</v>
      </c>
      <c r="BM81" s="743">
        <f t="shared" si="83"/>
        <v>0</v>
      </c>
      <c r="BN81" s="743">
        <f t="shared" si="84"/>
        <v>29.524476945959346</v>
      </c>
      <c r="BO81" s="744">
        <f t="shared" si="85"/>
        <v>29.524476945959346</v>
      </c>
      <c r="BP81" s="745">
        <f t="shared" si="86"/>
        <v>238203.48000000001</v>
      </c>
      <c r="BQ81" s="285"/>
      <c r="BR81" s="1"/>
      <c r="BS81" s="1"/>
      <c r="BT81" s="1"/>
      <c r="BU81" s="1"/>
      <c r="BV81" s="1"/>
      <c r="BW81" s="1"/>
      <c r="BX81" s="5"/>
      <c r="BY81" s="5"/>
      <c r="BZ81" s="5"/>
      <c r="CA81" s="5"/>
      <c r="CB81" s="5"/>
      <c r="CC81" s="667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10"/>
      <c r="CU81" s="10"/>
      <c r="CV81" s="746"/>
      <c r="CW81" s="122"/>
      <c r="CX81" s="11"/>
      <c r="CY81" s="11"/>
      <c r="DA81" s="304"/>
      <c r="DB81" s="305"/>
      <c r="DC81" s="305"/>
      <c r="DD81" s="306"/>
      <c r="DE81" s="306"/>
      <c r="DF81" s="306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447"/>
      <c r="EG81" s="552" t="s">
        <v>244</v>
      </c>
      <c r="EH81" s="307"/>
      <c r="EI81" s="439"/>
      <c r="EJ81" s="440"/>
      <c r="EK81" s="440"/>
      <c r="EL81" s="440"/>
      <c r="EM81" s="440"/>
      <c r="EN81" s="274"/>
      <c r="EO81" s="440"/>
      <c r="EP81" s="440"/>
      <c r="EQ81" s="440"/>
      <c r="ER81" s="440"/>
      <c r="ES81" s="276"/>
      <c r="ET81" s="440"/>
      <c r="EU81" s="440"/>
      <c r="EV81" s="440"/>
      <c r="EW81" s="440"/>
      <c r="EX81" s="440"/>
      <c r="EY81" s="440"/>
      <c r="EZ81" s="312">
        <f t="shared" si="88"/>
        <v>0</v>
      </c>
      <c r="FA81" s="441">
        <f t="shared" si="89"/>
        <v>0</v>
      </c>
      <c r="FB81" s="440">
        <f t="shared" si="90"/>
        <v>0</v>
      </c>
      <c r="FC81" s="442">
        <f t="shared" si="91"/>
        <v>0</v>
      </c>
      <c r="FD81" s="442">
        <f t="shared" si="92"/>
        <v>0</v>
      </c>
      <c r="FE81" s="276">
        <f t="shared" si="93"/>
        <v>0</v>
      </c>
      <c r="FF81" s="442"/>
      <c r="FG81" s="442"/>
      <c r="FH81" s="752"/>
      <c r="FI81" s="442"/>
      <c r="FJ81" s="442"/>
      <c r="FK81" s="440"/>
      <c r="FL81" s="443"/>
      <c r="FM81" s="442"/>
      <c r="FN81" s="752"/>
      <c r="FO81" s="442"/>
      <c r="FP81" s="442"/>
      <c r="FQ81" s="276"/>
      <c r="FR81" s="443"/>
      <c r="FS81" s="442"/>
      <c r="FT81" s="752"/>
      <c r="FU81" s="442"/>
      <c r="FV81" s="442"/>
      <c r="FW81" s="276"/>
      <c r="FX81" s="443">
        <f t="shared" si="94"/>
        <v>0</v>
      </c>
      <c r="FY81" s="442"/>
      <c r="FZ81" s="442">
        <f t="shared" si="95"/>
        <v>0</v>
      </c>
      <c r="GA81" s="442">
        <f t="shared" si="95"/>
        <v>0</v>
      </c>
      <c r="GB81" s="442"/>
      <c r="GC81" s="279">
        <f t="shared" si="96"/>
        <v>0</v>
      </c>
      <c r="GD81" s="443"/>
      <c r="GE81" s="442"/>
      <c r="GF81" s="752"/>
      <c r="GG81" s="442"/>
      <c r="GH81" s="442"/>
      <c r="GI81" s="276"/>
      <c r="GJ81" s="443"/>
      <c r="GK81" s="442"/>
      <c r="GL81" s="752"/>
      <c r="GM81" s="442"/>
      <c r="GN81" s="442"/>
      <c r="GO81" s="276"/>
      <c r="GP81" s="443"/>
      <c r="GQ81" s="442"/>
      <c r="GR81" s="752"/>
      <c r="GS81" s="442"/>
      <c r="GT81" s="442"/>
      <c r="GU81" s="276"/>
      <c r="GV81" s="323">
        <f t="shared" si="97"/>
        <v>0</v>
      </c>
      <c r="GW81" s="322">
        <f t="shared" si="97"/>
        <v>0</v>
      </c>
      <c r="GX81" s="322">
        <f t="shared" si="97"/>
        <v>0</v>
      </c>
      <c r="GY81" s="322">
        <f t="shared" si="97"/>
        <v>0</v>
      </c>
      <c r="GZ81" s="322">
        <f t="shared" si="97"/>
        <v>0</v>
      </c>
      <c r="HA81" s="326">
        <f t="shared" si="97"/>
        <v>0</v>
      </c>
      <c r="HB81" s="443"/>
      <c r="HC81" s="442"/>
      <c r="HD81" s="752"/>
      <c r="HE81" s="442"/>
      <c r="HF81" s="442"/>
      <c r="HG81" s="276"/>
      <c r="HH81" s="443"/>
      <c r="HI81" s="442"/>
      <c r="HJ81" s="752"/>
      <c r="HK81" s="442"/>
      <c r="HL81" s="442"/>
      <c r="HM81" s="276"/>
      <c r="HN81" s="443"/>
      <c r="HO81" s="442"/>
      <c r="HP81" s="752"/>
      <c r="HQ81" s="442"/>
      <c r="HR81" s="442"/>
      <c r="HS81" s="276"/>
      <c r="HT81" s="315">
        <f t="shared" si="98"/>
        <v>0</v>
      </c>
      <c r="HU81" s="316">
        <f t="shared" si="98"/>
        <v>0</v>
      </c>
      <c r="HV81" s="317">
        <f t="shared" si="98"/>
        <v>0</v>
      </c>
      <c r="HW81" s="316">
        <f t="shared" si="98"/>
        <v>0</v>
      </c>
      <c r="HX81" s="316">
        <f t="shared" si="98"/>
        <v>0</v>
      </c>
      <c r="HY81" s="317">
        <f t="shared" si="98"/>
        <v>0</v>
      </c>
      <c r="HZ81" s="445">
        <f t="shared" si="99"/>
        <v>0</v>
      </c>
      <c r="IA81" s="439">
        <f t="shared" si="99"/>
        <v>0</v>
      </c>
      <c r="IB81" s="440">
        <f t="shared" si="99"/>
        <v>0</v>
      </c>
      <c r="IC81" s="439">
        <f t="shared" si="99"/>
        <v>0</v>
      </c>
      <c r="ID81" s="439">
        <f t="shared" si="99"/>
        <v>0</v>
      </c>
      <c r="IE81" s="446">
        <f t="shared" si="99"/>
        <v>0</v>
      </c>
      <c r="IF81" s="535">
        <f t="shared" si="100"/>
        <v>0</v>
      </c>
      <c r="IG81" s="280">
        <f t="shared" si="100"/>
        <v>0</v>
      </c>
      <c r="IH81" s="1">
        <f t="shared" si="100"/>
        <v>0</v>
      </c>
      <c r="II81" s="1"/>
      <c r="IJ81" s="1"/>
      <c r="IK81" s="1"/>
    </row>
    <row r="82" s="4" customFormat="1" ht="53.25" customHeight="1">
      <c r="A82" s="447"/>
      <c r="B82" s="552" t="s">
        <v>245</v>
      </c>
      <c r="C82" s="284"/>
      <c r="D82" s="285"/>
      <c r="E82" s="285"/>
      <c r="F82" s="217"/>
      <c r="G82" s="288"/>
      <c r="H82" s="217"/>
      <c r="I82" s="288"/>
      <c r="J82" s="217"/>
      <c r="K82" s="287"/>
      <c r="L82" s="258"/>
      <c r="M82" s="287"/>
      <c r="N82" s="258"/>
      <c r="O82" s="285"/>
      <c r="P82" s="217"/>
      <c r="Q82" s="285"/>
      <c r="R82" s="217"/>
      <c r="S82" s="287"/>
      <c r="T82" s="217"/>
      <c r="U82" s="287"/>
      <c r="V82" s="217"/>
      <c r="W82" s="287"/>
      <c r="X82" s="217"/>
      <c r="Y82" s="287"/>
      <c r="Z82" s="217"/>
      <c r="AA82" s="287">
        <f>Z82*$AX$149/$Z$153</f>
        <v>0</v>
      </c>
      <c r="AB82" s="217"/>
      <c r="AC82" s="287"/>
      <c r="AD82" s="258"/>
      <c r="AE82" s="740"/>
      <c r="AF82" s="217"/>
      <c r="AG82" s="288"/>
      <c r="AH82" s="217"/>
      <c r="AI82" s="287"/>
      <c r="AJ82" s="217"/>
      <c r="AK82" s="287"/>
      <c r="AL82" s="217"/>
      <c r="AM82" s="287"/>
      <c r="AN82" s="258"/>
      <c r="AO82" s="286"/>
      <c r="AP82" s="217"/>
      <c r="AQ82" s="288"/>
      <c r="AR82" s="217"/>
      <c r="AS82" s="288"/>
      <c r="AT82" s="613"/>
      <c r="AU82" s="287"/>
      <c r="AV82" s="287"/>
      <c r="AW82" s="287"/>
      <c r="AX82" s="288">
        <f t="shared" si="79"/>
        <v>0</v>
      </c>
      <c r="AY82" s="288">
        <f t="shared" si="37"/>
        <v>0</v>
      </c>
      <c r="AZ82" s="288">
        <f t="shared" si="62"/>
        <v>0</v>
      </c>
      <c r="BA82" s="288">
        <f t="shared" si="63"/>
        <v>0</v>
      </c>
      <c r="BB82" s="472">
        <f t="shared" si="87"/>
        <v>8015</v>
      </c>
      <c r="BC82" s="290">
        <f t="shared" si="80"/>
        <v>0</v>
      </c>
      <c r="BD82" s="365">
        <f>'зарплата'!CH78</f>
        <v>0</v>
      </c>
      <c r="BE82" s="507" t="e">
        <f>#REF!</f>
        <v>#REF!</v>
      </c>
      <c r="BF82" s="747">
        <v>8015</v>
      </c>
      <c r="BG82" s="287">
        <v>10916713</v>
      </c>
      <c r="BH82" s="523"/>
      <c r="BI82" s="523"/>
      <c r="BJ82" s="259"/>
      <c r="BK82" s="217">
        <f t="shared" si="81"/>
        <v>10916713</v>
      </c>
      <c r="BL82" s="742">
        <f t="shared" si="82"/>
        <v>436668.52000000002</v>
      </c>
      <c r="BM82" s="743">
        <f t="shared" si="83"/>
        <v>0</v>
      </c>
      <c r="BN82" s="743">
        <f t="shared" si="84"/>
        <v>54.481412351840305</v>
      </c>
      <c r="BO82" s="744">
        <f t="shared" si="85"/>
        <v>54.481412351840305</v>
      </c>
      <c r="BP82" s="745">
        <f t="shared" si="86"/>
        <v>436668.52000000002</v>
      </c>
      <c r="BQ82" s="285"/>
      <c r="BR82" s="1"/>
      <c r="BS82" s="1"/>
      <c r="BT82" s="1"/>
      <c r="BU82" s="1"/>
      <c r="BV82" s="1"/>
      <c r="BW82" s="1"/>
      <c r="BX82" s="5"/>
      <c r="BY82" s="5"/>
      <c r="BZ82" s="5"/>
      <c r="CA82" s="5"/>
      <c r="CB82" s="5"/>
      <c r="CC82" s="667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10"/>
      <c r="CU82" s="10"/>
      <c r="CV82" s="746"/>
      <c r="CW82" s="122"/>
      <c r="CX82" s="11"/>
      <c r="CY82" s="11"/>
      <c r="DA82" s="304"/>
      <c r="DB82" s="305"/>
      <c r="DC82" s="305"/>
      <c r="DD82" s="306"/>
      <c r="DE82" s="306"/>
      <c r="DF82" s="306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447"/>
      <c r="EG82" s="552" t="s">
        <v>245</v>
      </c>
      <c r="EH82" s="280"/>
      <c r="EI82" s="280"/>
      <c r="EJ82" s="1"/>
      <c r="EK82" s="1"/>
      <c r="EL82" s="1"/>
      <c r="EM82" s="1"/>
      <c r="EN82" s="37"/>
      <c r="EO82" s="1"/>
      <c r="EP82" s="1"/>
      <c r="EQ82" s="1"/>
      <c r="ER82" s="1"/>
      <c r="ES82" s="38"/>
      <c r="ET82" s="1"/>
      <c r="EU82" s="1"/>
      <c r="EV82" s="1"/>
      <c r="EW82" s="1"/>
      <c r="EX82" s="1"/>
      <c r="EY82" s="1"/>
      <c r="EZ82" s="356">
        <f t="shared" si="88"/>
        <v>0</v>
      </c>
      <c r="FA82" s="357">
        <f t="shared" si="89"/>
        <v>0</v>
      </c>
      <c r="FB82" s="1">
        <f t="shared" si="90"/>
        <v>0</v>
      </c>
      <c r="FC82" s="281">
        <f t="shared" si="91"/>
        <v>0</v>
      </c>
      <c r="FD82" s="281">
        <f t="shared" si="92"/>
        <v>0</v>
      </c>
      <c r="FE82" s="38">
        <f t="shared" si="93"/>
        <v>0</v>
      </c>
      <c r="FF82" s="281"/>
      <c r="FG82" s="281"/>
      <c r="FH82" s="358"/>
      <c r="FI82" s="281"/>
      <c r="FJ82" s="281"/>
      <c r="FK82" s="1"/>
      <c r="FL82" s="282"/>
      <c r="FM82" s="281"/>
      <c r="FN82" s="358"/>
      <c r="FO82" s="281"/>
      <c r="FP82" s="281"/>
      <c r="FQ82" s="38"/>
      <c r="FR82" s="282"/>
      <c r="FS82" s="281"/>
      <c r="FT82" s="358"/>
      <c r="FU82" s="281"/>
      <c r="FV82" s="281"/>
      <c r="FW82" s="38"/>
      <c r="FX82" s="443">
        <f t="shared" si="94"/>
        <v>0</v>
      </c>
      <c r="FY82" s="442"/>
      <c r="FZ82" s="442">
        <f t="shared" si="95"/>
        <v>0</v>
      </c>
      <c r="GA82" s="442">
        <f t="shared" si="95"/>
        <v>0</v>
      </c>
      <c r="GB82" s="442"/>
      <c r="GC82" s="279">
        <f t="shared" si="96"/>
        <v>0</v>
      </c>
      <c r="GD82" s="282"/>
      <c r="GE82" s="281"/>
      <c r="GF82" s="358"/>
      <c r="GG82" s="281"/>
      <c r="GH82" s="281"/>
      <c r="GI82" s="38"/>
      <c r="GJ82" s="282"/>
      <c r="GK82" s="281"/>
      <c r="GL82" s="358"/>
      <c r="GM82" s="281"/>
      <c r="GN82" s="281"/>
      <c r="GO82" s="38"/>
      <c r="GP82" s="282"/>
      <c r="GQ82" s="281"/>
      <c r="GR82" s="358"/>
      <c r="GS82" s="281"/>
      <c r="GT82" s="281"/>
      <c r="GU82" s="38"/>
      <c r="GV82" s="323">
        <f t="shared" si="97"/>
        <v>0</v>
      </c>
      <c r="GW82" s="322">
        <f t="shared" si="97"/>
        <v>0</v>
      </c>
      <c r="GX82" s="322">
        <f t="shared" si="97"/>
        <v>0</v>
      </c>
      <c r="GY82" s="322">
        <f t="shared" si="97"/>
        <v>0</v>
      </c>
      <c r="GZ82" s="322">
        <f t="shared" si="97"/>
        <v>0</v>
      </c>
      <c r="HA82" s="326">
        <f t="shared" si="97"/>
        <v>0</v>
      </c>
      <c r="HB82" s="282"/>
      <c r="HC82" s="281"/>
      <c r="HD82" s="358"/>
      <c r="HE82" s="281"/>
      <c r="HF82" s="281"/>
      <c r="HG82" s="38"/>
      <c r="HH82" s="282"/>
      <c r="HI82" s="281"/>
      <c r="HJ82" s="358"/>
      <c r="HK82" s="281"/>
      <c r="HL82" s="281"/>
      <c r="HM82" s="38"/>
      <c r="HN82" s="282"/>
      <c r="HO82" s="281"/>
      <c r="HP82" s="358"/>
      <c r="HQ82" s="281"/>
      <c r="HR82" s="281"/>
      <c r="HS82" s="38"/>
      <c r="HT82" s="315">
        <f t="shared" si="98"/>
        <v>0</v>
      </c>
      <c r="HU82" s="316">
        <f t="shared" si="98"/>
        <v>0</v>
      </c>
      <c r="HV82" s="317">
        <f t="shared" si="98"/>
        <v>0</v>
      </c>
      <c r="HW82" s="316">
        <f t="shared" si="98"/>
        <v>0</v>
      </c>
      <c r="HX82" s="316">
        <f t="shared" si="98"/>
        <v>0</v>
      </c>
      <c r="HY82" s="317">
        <f t="shared" si="98"/>
        <v>0</v>
      </c>
      <c r="HZ82" s="445">
        <f t="shared" si="99"/>
        <v>0</v>
      </c>
      <c r="IA82" s="439">
        <f t="shared" si="99"/>
        <v>0</v>
      </c>
      <c r="IB82" s="440">
        <f t="shared" si="99"/>
        <v>0</v>
      </c>
      <c r="IC82" s="439">
        <f t="shared" si="99"/>
        <v>0</v>
      </c>
      <c r="ID82" s="439">
        <f t="shared" si="99"/>
        <v>0</v>
      </c>
      <c r="IE82" s="446">
        <f t="shared" si="99"/>
        <v>0</v>
      </c>
      <c r="IF82" s="535">
        <f t="shared" si="100"/>
        <v>0</v>
      </c>
      <c r="IG82" s="280">
        <f t="shared" si="100"/>
        <v>0</v>
      </c>
      <c r="IH82" s="1">
        <f t="shared" si="100"/>
        <v>0</v>
      </c>
      <c r="II82" s="1"/>
      <c r="IJ82" s="1"/>
      <c r="IK82" s="1"/>
    </row>
    <row r="83" s="4" customFormat="1" ht="45" customHeight="1">
      <c r="A83" s="447"/>
      <c r="B83" s="552" t="s">
        <v>246</v>
      </c>
      <c r="C83" s="284"/>
      <c r="D83" s="285"/>
      <c r="E83" s="285"/>
      <c r="F83" s="217"/>
      <c r="G83" s="288"/>
      <c r="H83" s="217"/>
      <c r="I83" s="288"/>
      <c r="J83" s="217"/>
      <c r="K83" s="287"/>
      <c r="L83" s="258"/>
      <c r="M83" s="287">
        <f>L83*$AX$140/$L$153</f>
        <v>0</v>
      </c>
      <c r="N83" s="258"/>
      <c r="O83" s="285"/>
      <c r="P83" s="217"/>
      <c r="Q83" s="285"/>
      <c r="R83" s="217"/>
      <c r="S83" s="287"/>
      <c r="T83" s="217"/>
      <c r="U83" s="287"/>
      <c r="V83" s="217"/>
      <c r="W83" s="287"/>
      <c r="X83" s="217"/>
      <c r="Y83" s="287"/>
      <c r="Z83" s="217"/>
      <c r="AA83" s="287"/>
      <c r="AB83" s="217"/>
      <c r="AC83" s="287"/>
      <c r="AD83" s="258"/>
      <c r="AE83" s="740"/>
      <c r="AF83" s="217"/>
      <c r="AG83" s="288"/>
      <c r="AH83" s="217"/>
      <c r="AI83" s="287"/>
      <c r="AJ83" s="217"/>
      <c r="AK83" s="287"/>
      <c r="AL83" s="217"/>
      <c r="AM83" s="287"/>
      <c r="AN83" s="258"/>
      <c r="AO83" s="286"/>
      <c r="AP83" s="217"/>
      <c r="AQ83" s="288"/>
      <c r="AR83" s="217"/>
      <c r="AS83" s="288"/>
      <c r="AT83" s="613"/>
      <c r="AU83" s="287"/>
      <c r="AV83" s="287"/>
      <c r="AW83" s="287"/>
      <c r="AX83" s="288">
        <f t="shared" si="79"/>
        <v>0</v>
      </c>
      <c r="AY83" s="288">
        <f t="shared" si="37"/>
        <v>0</v>
      </c>
      <c r="AZ83" s="288">
        <f t="shared" si="62"/>
        <v>0</v>
      </c>
      <c r="BA83" s="288">
        <f t="shared" si="63"/>
        <v>0</v>
      </c>
      <c r="BB83" s="472">
        <f t="shared" si="87"/>
        <v>3110</v>
      </c>
      <c r="BC83" s="290">
        <f t="shared" si="80"/>
        <v>0</v>
      </c>
      <c r="BD83" s="365">
        <f>'зарплата'!CH79</f>
        <v>0</v>
      </c>
      <c r="BE83" s="507" t="e">
        <f>#REF!</f>
        <v>#REF!</v>
      </c>
      <c r="BF83" s="747">
        <v>3110</v>
      </c>
      <c r="BG83" s="287">
        <v>2859239</v>
      </c>
      <c r="BH83" s="287"/>
      <c r="BI83" s="523"/>
      <c r="BJ83" s="259"/>
      <c r="BK83" s="217">
        <f t="shared" si="81"/>
        <v>2859239</v>
      </c>
      <c r="BL83" s="742">
        <f t="shared" si="82"/>
        <v>114369.56</v>
      </c>
      <c r="BM83" s="743">
        <f t="shared" si="83"/>
        <v>0</v>
      </c>
      <c r="BN83" s="743">
        <f t="shared" si="84"/>
        <v>36.77477813504823</v>
      </c>
      <c r="BO83" s="744">
        <f t="shared" si="85"/>
        <v>36.77477813504823</v>
      </c>
      <c r="BP83" s="745">
        <f t="shared" si="86"/>
        <v>114369.56</v>
      </c>
      <c r="BQ83" s="285"/>
      <c r="BR83" s="1"/>
      <c r="BS83" s="1"/>
      <c r="BT83" s="1"/>
      <c r="BU83" s="1"/>
      <c r="BV83" s="1"/>
      <c r="BW83" s="344"/>
      <c r="BX83" s="5"/>
      <c r="BY83" s="5"/>
      <c r="BZ83" s="754"/>
      <c r="CA83" s="754"/>
      <c r="CB83" s="754"/>
      <c r="CC83" s="755"/>
      <c r="CD83" s="754"/>
      <c r="CE83" s="754"/>
      <c r="CF83" s="5"/>
      <c r="CG83" s="756"/>
      <c r="CH83" s="754"/>
      <c r="CI83" s="754"/>
      <c r="CJ83" s="754"/>
      <c r="CK83" s="754"/>
      <c r="CL83" s="5"/>
      <c r="CM83" s="5"/>
      <c r="CN83" s="754"/>
      <c r="CO83" s="754"/>
      <c r="CP83" s="5"/>
      <c r="CQ83" s="5"/>
      <c r="CR83" s="754"/>
      <c r="CS83" s="754"/>
      <c r="CT83" s="10"/>
      <c r="CU83" s="10"/>
      <c r="CV83" s="746"/>
      <c r="CW83" s="122"/>
      <c r="CX83" s="11"/>
      <c r="CY83" s="11"/>
      <c r="DA83" s="304"/>
      <c r="DB83" s="305"/>
      <c r="DC83" s="305"/>
      <c r="DD83" s="306"/>
      <c r="DE83" s="306"/>
      <c r="DF83" s="306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447"/>
      <c r="EG83" s="552" t="s">
        <v>246</v>
      </c>
      <c r="EH83" s="307"/>
      <c r="EI83" s="439"/>
      <c r="EJ83" s="440"/>
      <c r="EK83" s="440"/>
      <c r="EL83" s="440"/>
      <c r="EM83" s="440"/>
      <c r="EN83" s="274"/>
      <c r="EO83" s="440"/>
      <c r="EP83" s="440"/>
      <c r="EQ83" s="440"/>
      <c r="ER83" s="440"/>
      <c r="ES83" s="276"/>
      <c r="ET83" s="440"/>
      <c r="EU83" s="440"/>
      <c r="EV83" s="440"/>
      <c r="EW83" s="440"/>
      <c r="EX83" s="440"/>
      <c r="EY83" s="440"/>
      <c r="EZ83" s="312">
        <f t="shared" si="88"/>
        <v>0</v>
      </c>
      <c r="FA83" s="441">
        <f t="shared" si="89"/>
        <v>0</v>
      </c>
      <c r="FB83" s="440">
        <f t="shared" si="90"/>
        <v>0</v>
      </c>
      <c r="FC83" s="442">
        <f t="shared" si="91"/>
        <v>0</v>
      </c>
      <c r="FD83" s="442">
        <f t="shared" si="92"/>
        <v>0</v>
      </c>
      <c r="FE83" s="276">
        <f t="shared" si="93"/>
        <v>0</v>
      </c>
      <c r="FF83" s="442"/>
      <c r="FG83" s="442"/>
      <c r="FH83" s="752"/>
      <c r="FI83" s="442"/>
      <c r="FJ83" s="442"/>
      <c r="FK83" s="440"/>
      <c r="FL83" s="443"/>
      <c r="FM83" s="442"/>
      <c r="FN83" s="752"/>
      <c r="FO83" s="442"/>
      <c r="FP83" s="442"/>
      <c r="FQ83" s="276"/>
      <c r="FR83" s="443"/>
      <c r="FS83" s="442"/>
      <c r="FT83" s="752"/>
      <c r="FU83" s="442"/>
      <c r="FV83" s="442"/>
      <c r="FW83" s="276"/>
      <c r="FX83" s="443">
        <f t="shared" si="94"/>
        <v>0</v>
      </c>
      <c r="FY83" s="442"/>
      <c r="FZ83" s="442">
        <f t="shared" si="95"/>
        <v>0</v>
      </c>
      <c r="GA83" s="442">
        <f t="shared" si="95"/>
        <v>0</v>
      </c>
      <c r="GB83" s="442"/>
      <c r="GC83" s="279">
        <f t="shared" si="96"/>
        <v>0</v>
      </c>
      <c r="GD83" s="443"/>
      <c r="GE83" s="442"/>
      <c r="GF83" s="752"/>
      <c r="GG83" s="442"/>
      <c r="GH83" s="442"/>
      <c r="GI83" s="276"/>
      <c r="GJ83" s="443"/>
      <c r="GK83" s="442"/>
      <c r="GL83" s="752"/>
      <c r="GM83" s="442"/>
      <c r="GN83" s="442"/>
      <c r="GO83" s="276"/>
      <c r="GP83" s="443"/>
      <c r="GQ83" s="442"/>
      <c r="GR83" s="752"/>
      <c r="GS83" s="442"/>
      <c r="GT83" s="442"/>
      <c r="GU83" s="276"/>
      <c r="GV83" s="323">
        <f t="shared" si="97"/>
        <v>0</v>
      </c>
      <c r="GW83" s="322">
        <f t="shared" si="97"/>
        <v>0</v>
      </c>
      <c r="GX83" s="322">
        <f t="shared" si="97"/>
        <v>0</v>
      </c>
      <c r="GY83" s="322">
        <f t="shared" si="97"/>
        <v>0</v>
      </c>
      <c r="GZ83" s="322">
        <f t="shared" si="97"/>
        <v>0</v>
      </c>
      <c r="HA83" s="326">
        <f t="shared" si="97"/>
        <v>0</v>
      </c>
      <c r="HB83" s="443"/>
      <c r="HC83" s="442"/>
      <c r="HD83" s="752"/>
      <c r="HE83" s="442"/>
      <c r="HF83" s="442"/>
      <c r="HG83" s="276"/>
      <c r="HH83" s="443"/>
      <c r="HI83" s="442"/>
      <c r="HJ83" s="752"/>
      <c r="HK83" s="442"/>
      <c r="HL83" s="442"/>
      <c r="HM83" s="276"/>
      <c r="HN83" s="443"/>
      <c r="HO83" s="442"/>
      <c r="HP83" s="752"/>
      <c r="HQ83" s="442"/>
      <c r="HR83" s="442"/>
      <c r="HS83" s="276"/>
      <c r="HT83" s="315">
        <f t="shared" si="98"/>
        <v>0</v>
      </c>
      <c r="HU83" s="316">
        <f t="shared" si="98"/>
        <v>0</v>
      </c>
      <c r="HV83" s="317">
        <f t="shared" si="98"/>
        <v>0</v>
      </c>
      <c r="HW83" s="316">
        <f t="shared" si="98"/>
        <v>0</v>
      </c>
      <c r="HX83" s="316">
        <f t="shared" si="98"/>
        <v>0</v>
      </c>
      <c r="HY83" s="317">
        <f t="shared" si="98"/>
        <v>0</v>
      </c>
      <c r="HZ83" s="445">
        <f t="shared" si="99"/>
        <v>0</v>
      </c>
      <c r="IA83" s="439">
        <f t="shared" si="99"/>
        <v>0</v>
      </c>
      <c r="IB83" s="440">
        <f t="shared" si="99"/>
        <v>0</v>
      </c>
      <c r="IC83" s="439">
        <f t="shared" si="99"/>
        <v>0</v>
      </c>
      <c r="ID83" s="439">
        <f t="shared" si="99"/>
        <v>0</v>
      </c>
      <c r="IE83" s="446">
        <f t="shared" si="99"/>
        <v>0</v>
      </c>
      <c r="IF83" s="535">
        <f t="shared" si="100"/>
        <v>0</v>
      </c>
      <c r="IG83" s="280">
        <f t="shared" si="100"/>
        <v>0</v>
      </c>
      <c r="IH83" s="1">
        <f t="shared" si="100"/>
        <v>0</v>
      </c>
      <c r="II83" s="1"/>
      <c r="IJ83" s="1"/>
      <c r="IK83" s="1"/>
    </row>
    <row r="84" s="4" customFormat="1" ht="27.75" customHeight="1">
      <c r="A84" s="447"/>
      <c r="B84" s="552" t="s">
        <v>247</v>
      </c>
      <c r="C84" s="284"/>
      <c r="D84" s="285"/>
      <c r="E84" s="285"/>
      <c r="F84" s="217"/>
      <c r="G84" s="288"/>
      <c r="H84" s="217"/>
      <c r="I84" s="288"/>
      <c r="J84" s="217"/>
      <c r="K84" s="287"/>
      <c r="L84" s="258"/>
      <c r="M84" s="287"/>
      <c r="N84" s="258"/>
      <c r="O84" s="285"/>
      <c r="P84" s="217"/>
      <c r="Q84" s="285"/>
      <c r="R84" s="217"/>
      <c r="S84" s="287"/>
      <c r="T84" s="217"/>
      <c r="U84" s="287">
        <f>T84*$AX$135/$T$153</f>
        <v>0</v>
      </c>
      <c r="V84" s="217"/>
      <c r="W84" s="287"/>
      <c r="X84" s="217"/>
      <c r="Y84" s="287"/>
      <c r="Z84" s="217"/>
      <c r="AA84" s="287"/>
      <c r="AB84" s="217"/>
      <c r="AC84" s="287"/>
      <c r="AD84" s="258"/>
      <c r="AE84" s="740"/>
      <c r="AF84" s="217"/>
      <c r="AG84" s="288"/>
      <c r="AH84" s="217"/>
      <c r="AI84" s="287"/>
      <c r="AJ84" s="217"/>
      <c r="AK84" s="287"/>
      <c r="AL84" s="217"/>
      <c r="AM84" s="287"/>
      <c r="AN84" s="258"/>
      <c r="AO84" s="286"/>
      <c r="AP84" s="217"/>
      <c r="AQ84" s="288"/>
      <c r="AR84" s="217"/>
      <c r="AS84" s="288"/>
      <c r="AT84" s="613"/>
      <c r="AU84" s="287"/>
      <c r="AV84" s="287"/>
      <c r="AW84" s="287"/>
      <c r="AX84" s="288">
        <f t="shared" si="79"/>
        <v>0</v>
      </c>
      <c r="AY84" s="288">
        <f t="shared" si="37"/>
        <v>0</v>
      </c>
      <c r="AZ84" s="288">
        <f t="shared" si="62"/>
        <v>0</v>
      </c>
      <c r="BA84" s="288">
        <f t="shared" si="63"/>
        <v>0</v>
      </c>
      <c r="BB84" s="472">
        <f t="shared" si="87"/>
        <v>2487</v>
      </c>
      <c r="BC84" s="290">
        <f t="shared" si="80"/>
        <v>0</v>
      </c>
      <c r="BD84" s="365">
        <f>'зарплата'!CH80</f>
        <v>0</v>
      </c>
      <c r="BE84" s="507" t="e">
        <f>#REF!</f>
        <v>#REF!</v>
      </c>
      <c r="BF84" s="747">
        <v>2487</v>
      </c>
      <c r="BG84" s="287">
        <v>3423489</v>
      </c>
      <c r="BH84" s="523"/>
      <c r="BI84" s="523"/>
      <c r="BJ84" s="259"/>
      <c r="BK84" s="217">
        <f t="shared" si="81"/>
        <v>3423489</v>
      </c>
      <c r="BL84" s="742">
        <f t="shared" si="82"/>
        <v>136939.56</v>
      </c>
      <c r="BM84" s="743">
        <f t="shared" si="83"/>
        <v>0</v>
      </c>
      <c r="BN84" s="743">
        <f t="shared" si="84"/>
        <v>55.062147165259347</v>
      </c>
      <c r="BO84" s="744">
        <f t="shared" si="85"/>
        <v>55.062147165259347</v>
      </c>
      <c r="BP84" s="745">
        <f t="shared" si="86"/>
        <v>136939.56</v>
      </c>
      <c r="BQ84" s="285"/>
      <c r="BR84" s="1"/>
      <c r="BS84" s="1"/>
      <c r="BT84" s="1"/>
      <c r="BU84" s="1"/>
      <c r="BV84" s="1"/>
      <c r="BW84" s="1"/>
      <c r="BX84" s="5"/>
      <c r="BY84" s="5"/>
      <c r="BZ84" s="5"/>
      <c r="CA84" s="5"/>
      <c r="CB84" s="5"/>
      <c r="CC84" s="667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10"/>
      <c r="CU84" s="10"/>
      <c r="CV84" s="10"/>
      <c r="CW84" s="122"/>
      <c r="CX84" s="11"/>
      <c r="CY84" s="11"/>
      <c r="DA84" s="304"/>
      <c r="DB84" s="305"/>
      <c r="DC84" s="305"/>
      <c r="DD84" s="306"/>
      <c r="DE84" s="306"/>
      <c r="DF84" s="306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447"/>
      <c r="EG84" s="552" t="s">
        <v>247</v>
      </c>
      <c r="EH84" s="315"/>
      <c r="EI84" s="316"/>
      <c r="EJ84" s="317"/>
      <c r="EK84" s="317"/>
      <c r="EL84" s="317"/>
      <c r="EM84" s="317"/>
      <c r="EN84" s="318"/>
      <c r="EO84" s="317"/>
      <c r="EP84" s="317"/>
      <c r="EQ84" s="317"/>
      <c r="ER84" s="317"/>
      <c r="ES84" s="319"/>
      <c r="ET84" s="317"/>
      <c r="EU84" s="317"/>
      <c r="EV84" s="317"/>
      <c r="EW84" s="317"/>
      <c r="EX84" s="317"/>
      <c r="EY84" s="317"/>
      <c r="EZ84" s="320">
        <f t="shared" si="88"/>
        <v>0</v>
      </c>
      <c r="FA84" s="321">
        <f t="shared" si="89"/>
        <v>0</v>
      </c>
      <c r="FB84" s="317">
        <f t="shared" si="90"/>
        <v>0</v>
      </c>
      <c r="FC84" s="322">
        <f t="shared" si="91"/>
        <v>0</v>
      </c>
      <c r="FD84" s="322">
        <f t="shared" si="92"/>
        <v>0</v>
      </c>
      <c r="FE84" s="319">
        <f t="shared" si="93"/>
        <v>0</v>
      </c>
      <c r="FF84" s="322"/>
      <c r="FG84" s="322"/>
      <c r="FH84" s="752"/>
      <c r="FI84" s="322"/>
      <c r="FJ84" s="322"/>
      <c r="FK84" s="317"/>
      <c r="FL84" s="323"/>
      <c r="FM84" s="322"/>
      <c r="FN84" s="752"/>
      <c r="FO84" s="322"/>
      <c r="FP84" s="322"/>
      <c r="FQ84" s="319"/>
      <c r="FR84" s="323"/>
      <c r="FS84" s="322"/>
      <c r="FT84" s="752"/>
      <c r="FU84" s="322"/>
      <c r="FV84" s="322"/>
      <c r="FW84" s="319"/>
      <c r="FX84" s="443">
        <f t="shared" si="94"/>
        <v>0</v>
      </c>
      <c r="FY84" s="442"/>
      <c r="FZ84" s="442">
        <f t="shared" si="95"/>
        <v>0</v>
      </c>
      <c r="GA84" s="442">
        <f t="shared" si="95"/>
        <v>0</v>
      </c>
      <c r="GB84" s="442"/>
      <c r="GC84" s="279">
        <f t="shared" si="96"/>
        <v>0</v>
      </c>
      <c r="GD84" s="323"/>
      <c r="GE84" s="322"/>
      <c r="GF84" s="752"/>
      <c r="GG84" s="322"/>
      <c r="GH84" s="322"/>
      <c r="GI84" s="319"/>
      <c r="GJ84" s="323"/>
      <c r="GK84" s="322"/>
      <c r="GL84" s="752"/>
      <c r="GM84" s="322"/>
      <c r="GN84" s="322"/>
      <c r="GO84" s="319"/>
      <c r="GP84" s="323"/>
      <c r="GQ84" s="322"/>
      <c r="GR84" s="752"/>
      <c r="GS84" s="322"/>
      <c r="GT84" s="322"/>
      <c r="GU84" s="319"/>
      <c r="GV84" s="323">
        <f t="shared" si="97"/>
        <v>0</v>
      </c>
      <c r="GW84" s="322">
        <f t="shared" si="97"/>
        <v>0</v>
      </c>
      <c r="GX84" s="322">
        <f t="shared" si="97"/>
        <v>0</v>
      </c>
      <c r="GY84" s="322">
        <f t="shared" si="97"/>
        <v>0</v>
      </c>
      <c r="GZ84" s="322">
        <f t="shared" si="97"/>
        <v>0</v>
      </c>
      <c r="HA84" s="326">
        <f t="shared" si="97"/>
        <v>0</v>
      </c>
      <c r="HB84" s="323"/>
      <c r="HC84" s="322"/>
      <c r="HD84" s="752"/>
      <c r="HE84" s="322"/>
      <c r="HF84" s="322"/>
      <c r="HG84" s="319"/>
      <c r="HH84" s="323"/>
      <c r="HI84" s="322"/>
      <c r="HJ84" s="752"/>
      <c r="HK84" s="322"/>
      <c r="HL84" s="322"/>
      <c r="HM84" s="319"/>
      <c r="HN84" s="323"/>
      <c r="HO84" s="322"/>
      <c r="HP84" s="752"/>
      <c r="HQ84" s="322"/>
      <c r="HR84" s="322"/>
      <c r="HS84" s="319"/>
      <c r="HT84" s="315">
        <f t="shared" si="98"/>
        <v>0</v>
      </c>
      <c r="HU84" s="316">
        <f t="shared" si="98"/>
        <v>0</v>
      </c>
      <c r="HV84" s="317">
        <f t="shared" si="98"/>
        <v>0</v>
      </c>
      <c r="HW84" s="316">
        <f t="shared" si="98"/>
        <v>0</v>
      </c>
      <c r="HX84" s="316">
        <f t="shared" si="98"/>
        <v>0</v>
      </c>
      <c r="HY84" s="317">
        <f t="shared" si="98"/>
        <v>0</v>
      </c>
      <c r="HZ84" s="445">
        <f t="shared" si="99"/>
        <v>0</v>
      </c>
      <c r="IA84" s="439">
        <f t="shared" si="99"/>
        <v>0</v>
      </c>
      <c r="IB84" s="440">
        <f t="shared" si="99"/>
        <v>0</v>
      </c>
      <c r="IC84" s="439">
        <f t="shared" si="99"/>
        <v>0</v>
      </c>
      <c r="ID84" s="439">
        <f t="shared" si="99"/>
        <v>0</v>
      </c>
      <c r="IE84" s="446">
        <f t="shared" si="99"/>
        <v>0</v>
      </c>
      <c r="IF84" s="535">
        <f t="shared" si="100"/>
        <v>0</v>
      </c>
      <c r="IG84" s="280">
        <f t="shared" si="100"/>
        <v>0</v>
      </c>
      <c r="IH84" s="1">
        <f t="shared" si="100"/>
        <v>0</v>
      </c>
      <c r="II84" s="1"/>
      <c r="IJ84" s="1"/>
      <c r="IK84" s="1"/>
    </row>
    <row r="85" s="4" customFormat="1" ht="64.5" customHeight="1">
      <c r="A85" s="447"/>
      <c r="B85" s="552" t="s">
        <v>248</v>
      </c>
      <c r="C85" s="284"/>
      <c r="D85" s="285"/>
      <c r="E85" s="285"/>
      <c r="F85" s="217"/>
      <c r="G85" s="288"/>
      <c r="H85" s="217"/>
      <c r="I85" s="288"/>
      <c r="J85" s="217"/>
      <c r="K85" s="287"/>
      <c r="L85" s="258"/>
      <c r="M85" s="287"/>
      <c r="N85" s="258"/>
      <c r="O85" s="285"/>
      <c r="P85" s="217"/>
      <c r="Q85" s="285">
        <f>P85*($AX$139+$AX$137)/$P$153</f>
        <v>0</v>
      </c>
      <c r="R85" s="217"/>
      <c r="S85" s="287"/>
      <c r="T85" s="217"/>
      <c r="U85" s="287"/>
      <c r="V85" s="217"/>
      <c r="W85" s="287"/>
      <c r="X85" s="217"/>
      <c r="Y85" s="287"/>
      <c r="Z85" s="217"/>
      <c r="AA85" s="287"/>
      <c r="AB85" s="217"/>
      <c r="AC85" s="287"/>
      <c r="AD85" s="258"/>
      <c r="AE85" s="740"/>
      <c r="AF85" s="217"/>
      <c r="AG85" s="288"/>
      <c r="AH85" s="217"/>
      <c r="AI85" s="287"/>
      <c r="AJ85" s="217"/>
      <c r="AK85" s="287"/>
      <c r="AL85" s="217"/>
      <c r="AM85" s="287"/>
      <c r="AN85" s="258"/>
      <c r="AO85" s="286"/>
      <c r="AP85" s="217"/>
      <c r="AQ85" s="288"/>
      <c r="AR85" s="217"/>
      <c r="AS85" s="288"/>
      <c r="AT85" s="613"/>
      <c r="AU85" s="287"/>
      <c r="AV85" s="287"/>
      <c r="AW85" s="287"/>
      <c r="AX85" s="288">
        <f t="shared" si="79"/>
        <v>0</v>
      </c>
      <c r="AY85" s="288">
        <f t="shared" si="37"/>
        <v>0</v>
      </c>
      <c r="AZ85" s="288">
        <f t="shared" si="62"/>
        <v>0</v>
      </c>
      <c r="BA85" s="288">
        <f t="shared" si="63"/>
        <v>0</v>
      </c>
      <c r="BB85" s="472">
        <f t="shared" si="87"/>
        <v>40953</v>
      </c>
      <c r="BC85" s="290">
        <f t="shared" si="80"/>
        <v>0</v>
      </c>
      <c r="BD85" s="365">
        <f>'зарплата'!CH81</f>
        <v>0</v>
      </c>
      <c r="BE85" s="507" t="e">
        <f>#REF!</f>
        <v>#REF!</v>
      </c>
      <c r="BF85" s="747">
        <v>40953</v>
      </c>
      <c r="BG85" s="287">
        <v>35941896.909999996</v>
      </c>
      <c r="BH85" s="523"/>
      <c r="BI85" s="523"/>
      <c r="BJ85" s="259"/>
      <c r="BK85" s="217">
        <f t="shared" si="81"/>
        <v>35941896.909999996</v>
      </c>
      <c r="BL85" s="742">
        <f t="shared" si="82"/>
        <v>1437675.8764</v>
      </c>
      <c r="BM85" s="743">
        <f t="shared" si="83"/>
        <v>0</v>
      </c>
      <c r="BN85" s="743">
        <f t="shared" si="84"/>
        <v>35.105508177667083</v>
      </c>
      <c r="BO85" s="744">
        <f t="shared" si="85"/>
        <v>35.105508177667083</v>
      </c>
      <c r="BP85" s="745">
        <f t="shared" si="86"/>
        <v>1437675.8764</v>
      </c>
      <c r="BQ85" s="285"/>
      <c r="BR85" s="1"/>
      <c r="BS85" s="1"/>
      <c r="BT85" s="1"/>
      <c r="BU85" s="1"/>
      <c r="BV85" s="1"/>
      <c r="BW85" s="1"/>
      <c r="BX85" s="5"/>
      <c r="BY85" s="5"/>
      <c r="BZ85" s="5"/>
      <c r="CA85" s="5"/>
      <c r="CB85" s="5"/>
      <c r="CC85" s="667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10"/>
      <c r="CU85" s="10"/>
      <c r="CV85" s="10"/>
      <c r="CW85" s="122"/>
      <c r="CX85" s="11"/>
      <c r="CY85" s="11"/>
      <c r="DA85" s="304"/>
      <c r="DB85" s="305"/>
      <c r="DC85" s="305"/>
      <c r="DD85" s="306"/>
      <c r="DE85" s="306"/>
      <c r="DF85" s="306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447"/>
      <c r="EG85" s="552" t="s">
        <v>248</v>
      </c>
      <c r="EH85" s="315"/>
      <c r="EI85" s="316"/>
      <c r="EJ85" s="317"/>
      <c r="EK85" s="317"/>
      <c r="EL85" s="317"/>
      <c r="EM85" s="317"/>
      <c r="EN85" s="318"/>
      <c r="EO85" s="317"/>
      <c r="EP85" s="317"/>
      <c r="EQ85" s="317"/>
      <c r="ER85" s="317"/>
      <c r="ES85" s="319"/>
      <c r="ET85" s="317"/>
      <c r="EU85" s="317"/>
      <c r="EV85" s="317"/>
      <c r="EW85" s="317"/>
      <c r="EX85" s="317"/>
      <c r="EY85" s="317"/>
      <c r="EZ85" s="320">
        <f t="shared" si="88"/>
        <v>0</v>
      </c>
      <c r="FA85" s="321">
        <f t="shared" si="89"/>
        <v>0</v>
      </c>
      <c r="FB85" s="317">
        <f t="shared" si="90"/>
        <v>0</v>
      </c>
      <c r="FC85" s="322">
        <f t="shared" si="91"/>
        <v>0</v>
      </c>
      <c r="FD85" s="322">
        <f t="shared" si="92"/>
        <v>0</v>
      </c>
      <c r="FE85" s="319">
        <f t="shared" si="93"/>
        <v>0</v>
      </c>
      <c r="FF85" s="322"/>
      <c r="FG85" s="322"/>
      <c r="FH85" s="752"/>
      <c r="FI85" s="322"/>
      <c r="FJ85" s="322"/>
      <c r="FK85" s="317"/>
      <c r="FL85" s="323"/>
      <c r="FM85" s="322"/>
      <c r="FN85" s="752"/>
      <c r="FO85" s="322"/>
      <c r="FP85" s="322"/>
      <c r="FQ85" s="319"/>
      <c r="FR85" s="323"/>
      <c r="FS85" s="322"/>
      <c r="FT85" s="752"/>
      <c r="FU85" s="322"/>
      <c r="FV85" s="322"/>
      <c r="FW85" s="319"/>
      <c r="FX85" s="443">
        <f t="shared" si="94"/>
        <v>0</v>
      </c>
      <c r="FY85" s="442"/>
      <c r="FZ85" s="442">
        <f t="shared" si="95"/>
        <v>0</v>
      </c>
      <c r="GA85" s="442">
        <f t="shared" si="95"/>
        <v>0</v>
      </c>
      <c r="GB85" s="442"/>
      <c r="GC85" s="279">
        <f t="shared" si="96"/>
        <v>0</v>
      </c>
      <c r="GD85" s="323"/>
      <c r="GE85" s="322"/>
      <c r="GF85" s="752"/>
      <c r="GG85" s="322"/>
      <c r="GH85" s="322"/>
      <c r="GI85" s="319"/>
      <c r="GJ85" s="323"/>
      <c r="GK85" s="322"/>
      <c r="GL85" s="752"/>
      <c r="GM85" s="322"/>
      <c r="GN85" s="322"/>
      <c r="GO85" s="319"/>
      <c r="GP85" s="323"/>
      <c r="GQ85" s="322"/>
      <c r="GR85" s="752"/>
      <c r="GS85" s="322"/>
      <c r="GT85" s="322"/>
      <c r="GU85" s="319"/>
      <c r="GV85" s="323">
        <f t="shared" si="97"/>
        <v>0</v>
      </c>
      <c r="GW85" s="322">
        <f t="shared" si="97"/>
        <v>0</v>
      </c>
      <c r="GX85" s="322">
        <f t="shared" si="97"/>
        <v>0</v>
      </c>
      <c r="GY85" s="322">
        <f t="shared" si="97"/>
        <v>0</v>
      </c>
      <c r="GZ85" s="322">
        <f t="shared" si="97"/>
        <v>0</v>
      </c>
      <c r="HA85" s="326">
        <f t="shared" si="97"/>
        <v>0</v>
      </c>
      <c r="HB85" s="323"/>
      <c r="HC85" s="322"/>
      <c r="HD85" s="752"/>
      <c r="HE85" s="322"/>
      <c r="HF85" s="322"/>
      <c r="HG85" s="319"/>
      <c r="HH85" s="323"/>
      <c r="HI85" s="322"/>
      <c r="HJ85" s="752"/>
      <c r="HK85" s="322"/>
      <c r="HL85" s="322"/>
      <c r="HM85" s="319"/>
      <c r="HN85" s="323"/>
      <c r="HO85" s="322"/>
      <c r="HP85" s="752"/>
      <c r="HQ85" s="322"/>
      <c r="HR85" s="322"/>
      <c r="HS85" s="319"/>
      <c r="HT85" s="315">
        <f t="shared" si="98"/>
        <v>0</v>
      </c>
      <c r="HU85" s="316">
        <f t="shared" si="98"/>
        <v>0</v>
      </c>
      <c r="HV85" s="317">
        <f t="shared" si="98"/>
        <v>0</v>
      </c>
      <c r="HW85" s="316">
        <f t="shared" si="98"/>
        <v>0</v>
      </c>
      <c r="HX85" s="316">
        <f t="shared" si="98"/>
        <v>0</v>
      </c>
      <c r="HY85" s="317">
        <f t="shared" si="98"/>
        <v>0</v>
      </c>
      <c r="HZ85" s="445">
        <f t="shared" si="99"/>
        <v>0</v>
      </c>
      <c r="IA85" s="439">
        <f t="shared" si="99"/>
        <v>0</v>
      </c>
      <c r="IB85" s="440">
        <f t="shared" si="99"/>
        <v>0</v>
      </c>
      <c r="IC85" s="439">
        <f t="shared" si="99"/>
        <v>0</v>
      </c>
      <c r="ID85" s="439">
        <f t="shared" si="99"/>
        <v>0</v>
      </c>
      <c r="IE85" s="446">
        <f t="shared" si="99"/>
        <v>0</v>
      </c>
      <c r="IF85" s="535">
        <f t="shared" si="100"/>
        <v>0</v>
      </c>
      <c r="IG85" s="280">
        <f t="shared" si="100"/>
        <v>0</v>
      </c>
      <c r="IH85" s="1">
        <f t="shared" si="100"/>
        <v>0</v>
      </c>
      <c r="II85" s="1"/>
      <c r="IJ85" s="1"/>
      <c r="IK85" s="1"/>
    </row>
    <row r="86" s="4" customFormat="1" ht="51.75" customHeight="1">
      <c r="A86" s="437"/>
      <c r="B86" s="334" t="s">
        <v>249</v>
      </c>
      <c r="C86" s="284"/>
      <c r="D86" s="331"/>
      <c r="E86" s="331"/>
      <c r="F86" s="217"/>
      <c r="G86" s="288"/>
      <c r="H86" s="217"/>
      <c r="I86" s="288"/>
      <c r="J86" s="217"/>
      <c r="K86" s="333"/>
      <c r="L86" s="258"/>
      <c r="M86" s="333"/>
      <c r="N86" s="258"/>
      <c r="O86" s="331"/>
      <c r="P86" s="217"/>
      <c r="Q86" s="333"/>
      <c r="R86" s="217"/>
      <c r="S86" s="333"/>
      <c r="T86" s="217"/>
      <c r="U86" s="333"/>
      <c r="V86" s="217"/>
      <c r="W86" s="333"/>
      <c r="X86" s="217"/>
      <c r="Y86" s="333"/>
      <c r="Z86" s="217"/>
      <c r="AA86" s="333"/>
      <c r="AB86" s="217"/>
      <c r="AC86" s="333"/>
      <c r="AD86" s="258"/>
      <c r="AE86" s="740"/>
      <c r="AF86" s="217"/>
      <c r="AG86" s="288"/>
      <c r="AH86" s="217"/>
      <c r="AI86" s="287"/>
      <c r="AJ86" s="217"/>
      <c r="AK86" s="287"/>
      <c r="AL86" s="217"/>
      <c r="AM86" s="287"/>
      <c r="AN86" s="258"/>
      <c r="AO86" s="286"/>
      <c r="AP86" s="217"/>
      <c r="AQ86" s="288">
        <f>AP86*$AX$133/$AP$153</f>
        <v>0</v>
      </c>
      <c r="AR86" s="217"/>
      <c r="AS86" s="336"/>
      <c r="AT86" s="613"/>
      <c r="AU86" s="333"/>
      <c r="AV86" s="287"/>
      <c r="AW86" s="287"/>
      <c r="AX86" s="336">
        <f t="shared" si="79"/>
        <v>0</v>
      </c>
      <c r="AY86" s="288">
        <f t="shared" si="37"/>
        <v>0</v>
      </c>
      <c r="AZ86" s="288">
        <f t="shared" si="62"/>
        <v>0</v>
      </c>
      <c r="BA86" s="288">
        <f t="shared" si="63"/>
        <v>0</v>
      </c>
      <c r="BB86" s="472">
        <f t="shared" si="87"/>
        <v>1324</v>
      </c>
      <c r="BC86" s="290">
        <f t="shared" si="80"/>
        <v>0</v>
      </c>
      <c r="BD86" s="365">
        <f>'зарплата'!CH82</f>
        <v>0</v>
      </c>
      <c r="BE86" s="507" t="e">
        <f>#REF!</f>
        <v>#REF!</v>
      </c>
      <c r="BF86" s="741">
        <v>1324</v>
      </c>
      <c r="BG86" s="287">
        <v>1490132</v>
      </c>
      <c r="BH86" s="530"/>
      <c r="BI86" s="530"/>
      <c r="BJ86" s="259"/>
      <c r="BK86" s="293">
        <f t="shared" si="81"/>
        <v>1490132</v>
      </c>
      <c r="BL86" s="742">
        <f t="shared" si="82"/>
        <v>59605.279999999999</v>
      </c>
      <c r="BM86" s="757">
        <f t="shared" si="83"/>
        <v>0</v>
      </c>
      <c r="BN86" s="757">
        <f t="shared" si="84"/>
        <v>45.019093655589124</v>
      </c>
      <c r="BO86" s="758">
        <f t="shared" si="85"/>
        <v>45.019093655589124</v>
      </c>
      <c r="BP86" s="757">
        <f t="shared" si="86"/>
        <v>59605.279999999999</v>
      </c>
      <c r="BQ86" s="285"/>
      <c r="BR86" s="1" t="s">
        <v>250</v>
      </c>
      <c r="BS86" s="1"/>
      <c r="BT86" s="1"/>
      <c r="BU86" s="1"/>
      <c r="BV86" s="1"/>
      <c r="BW86" s="344"/>
      <c r="BX86" s="754"/>
      <c r="BY86" s="754"/>
      <c r="BZ86" s="754"/>
      <c r="CA86" s="754"/>
      <c r="CB86" s="754"/>
      <c r="CC86" s="755"/>
      <c r="CD86" s="754"/>
      <c r="CE86" s="754"/>
      <c r="CF86" s="754"/>
      <c r="CG86" s="754"/>
      <c r="CH86" s="754"/>
      <c r="CI86" s="754"/>
      <c r="CJ86" s="754"/>
      <c r="CK86" s="754"/>
      <c r="CL86" s="754"/>
      <c r="CM86" s="754"/>
      <c r="CN86" s="754"/>
      <c r="CO86" s="754"/>
      <c r="CP86" s="5"/>
      <c r="CQ86" s="5"/>
      <c r="CR86" s="754"/>
      <c r="CS86" s="754"/>
      <c r="CT86" s="10"/>
      <c r="CU86" s="10"/>
      <c r="CV86" s="10"/>
      <c r="CW86" s="122"/>
      <c r="CX86" s="11"/>
      <c r="CY86" s="11"/>
      <c r="DA86" s="304">
        <f t="shared" ref="DA86:DA88" si="101">DB86+DC86</f>
        <v>0</v>
      </c>
      <c r="DB86" s="305"/>
      <c r="DC86" s="305"/>
      <c r="DD86" s="306"/>
      <c r="DE86" s="306"/>
      <c r="DF86" s="306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437"/>
      <c r="EG86" s="334" t="s">
        <v>249</v>
      </c>
      <c r="EH86" s="307"/>
      <c r="EI86" s="439"/>
      <c r="EJ86" s="440"/>
      <c r="EK86" s="440"/>
      <c r="EL86" s="440"/>
      <c r="EM86" s="440"/>
      <c r="EN86" s="274"/>
      <c r="EO86" s="440"/>
      <c r="EP86" s="440"/>
      <c r="EQ86" s="440"/>
      <c r="ER86" s="440"/>
      <c r="ES86" s="276"/>
      <c r="ET86" s="440"/>
      <c r="EU86" s="440"/>
      <c r="EV86" s="440"/>
      <c r="EW86" s="440"/>
      <c r="EX86" s="440"/>
      <c r="EY86" s="440"/>
      <c r="EZ86" s="312">
        <f t="shared" si="88"/>
        <v>0</v>
      </c>
      <c r="FA86" s="441">
        <f t="shared" si="89"/>
        <v>0</v>
      </c>
      <c r="FB86" s="440">
        <f t="shared" si="90"/>
        <v>0</v>
      </c>
      <c r="FC86" s="442">
        <f t="shared" si="91"/>
        <v>0</v>
      </c>
      <c r="FD86" s="442">
        <f t="shared" si="92"/>
        <v>0</v>
      </c>
      <c r="FE86" s="276">
        <f t="shared" si="93"/>
        <v>0</v>
      </c>
      <c r="FF86" s="442"/>
      <c r="FG86" s="442"/>
      <c r="FH86" s="752"/>
      <c r="FI86" s="442"/>
      <c r="FJ86" s="442"/>
      <c r="FK86" s="440"/>
      <c r="FL86" s="443"/>
      <c r="FM86" s="442"/>
      <c r="FN86" s="752"/>
      <c r="FO86" s="442"/>
      <c r="FP86" s="442"/>
      <c r="FQ86" s="276"/>
      <c r="FR86" s="443"/>
      <c r="FS86" s="442"/>
      <c r="FT86" s="752"/>
      <c r="FU86" s="442"/>
      <c r="FV86" s="442"/>
      <c r="FW86" s="276"/>
      <c r="FX86" s="443">
        <f t="shared" si="94"/>
        <v>0</v>
      </c>
      <c r="FY86" s="442"/>
      <c r="FZ86" s="442">
        <f t="shared" si="95"/>
        <v>0</v>
      </c>
      <c r="GA86" s="442">
        <f t="shared" si="95"/>
        <v>0</v>
      </c>
      <c r="GB86" s="442"/>
      <c r="GC86" s="279">
        <f t="shared" si="96"/>
        <v>0</v>
      </c>
      <c r="GD86" s="443"/>
      <c r="GE86" s="442"/>
      <c r="GF86" s="752"/>
      <c r="GG86" s="442"/>
      <c r="GH86" s="442"/>
      <c r="GI86" s="276"/>
      <c r="GJ86" s="443"/>
      <c r="GK86" s="442"/>
      <c r="GL86" s="752"/>
      <c r="GM86" s="442"/>
      <c r="GN86" s="442"/>
      <c r="GO86" s="276"/>
      <c r="GP86" s="443"/>
      <c r="GQ86" s="442"/>
      <c r="GR86" s="752"/>
      <c r="GS86" s="442"/>
      <c r="GT86" s="442"/>
      <c r="GU86" s="276"/>
      <c r="GV86" s="323">
        <f t="shared" si="97"/>
        <v>0</v>
      </c>
      <c r="GW86" s="322">
        <f t="shared" si="97"/>
        <v>0</v>
      </c>
      <c r="GX86" s="322">
        <f t="shared" si="97"/>
        <v>0</v>
      </c>
      <c r="GY86" s="322">
        <f t="shared" si="97"/>
        <v>0</v>
      </c>
      <c r="GZ86" s="322">
        <f t="shared" si="97"/>
        <v>0</v>
      </c>
      <c r="HA86" s="326">
        <f t="shared" si="97"/>
        <v>0</v>
      </c>
      <c r="HB86" s="443"/>
      <c r="HC86" s="442"/>
      <c r="HD86" s="752"/>
      <c r="HE86" s="442"/>
      <c r="HF86" s="442"/>
      <c r="HG86" s="276"/>
      <c r="HH86" s="443"/>
      <c r="HI86" s="442"/>
      <c r="HJ86" s="752"/>
      <c r="HK86" s="442"/>
      <c r="HL86" s="442"/>
      <c r="HM86" s="276"/>
      <c r="HN86" s="443"/>
      <c r="HO86" s="442"/>
      <c r="HP86" s="752"/>
      <c r="HQ86" s="442"/>
      <c r="HR86" s="442"/>
      <c r="HS86" s="276"/>
      <c r="HT86" s="307">
        <f t="shared" si="98"/>
        <v>0</v>
      </c>
      <c r="HU86" s="439">
        <f t="shared" si="98"/>
        <v>0</v>
      </c>
      <c r="HV86" s="440">
        <f t="shared" si="98"/>
        <v>0</v>
      </c>
      <c r="HW86" s="439">
        <f t="shared" si="98"/>
        <v>0</v>
      </c>
      <c r="HX86" s="439">
        <f t="shared" si="98"/>
        <v>0</v>
      </c>
      <c r="HY86" s="276">
        <f t="shared" si="98"/>
        <v>0</v>
      </c>
      <c r="HZ86" s="445">
        <f t="shared" si="99"/>
        <v>0</v>
      </c>
      <c r="IA86" s="439">
        <f t="shared" si="99"/>
        <v>0</v>
      </c>
      <c r="IB86" s="440">
        <f t="shared" si="99"/>
        <v>0</v>
      </c>
      <c r="IC86" s="439">
        <f t="shared" si="99"/>
        <v>0</v>
      </c>
      <c r="ID86" s="439">
        <f t="shared" si="99"/>
        <v>0</v>
      </c>
      <c r="IE86" s="446">
        <f t="shared" si="99"/>
        <v>0</v>
      </c>
      <c r="IF86" s="535">
        <f t="shared" si="100"/>
        <v>0</v>
      </c>
      <c r="IG86" s="280">
        <f t="shared" si="100"/>
        <v>0</v>
      </c>
      <c r="IH86" s="1">
        <f t="shared" si="100"/>
        <v>0</v>
      </c>
      <c r="II86" s="1"/>
      <c r="IJ86" s="1"/>
      <c r="IK86" s="1"/>
    </row>
    <row r="87" s="4" customFormat="1">
      <c r="A87" s="759"/>
      <c r="B87" s="759"/>
      <c r="C87" s="284"/>
      <c r="D87" s="331"/>
      <c r="E87" s="331"/>
      <c r="F87" s="217"/>
      <c r="G87" s="288"/>
      <c r="H87" s="217"/>
      <c r="I87" s="288"/>
      <c r="J87" s="217"/>
      <c r="K87" s="333"/>
      <c r="L87" s="258"/>
      <c r="M87" s="333"/>
      <c r="N87" s="258"/>
      <c r="O87" s="331"/>
      <c r="P87" s="217"/>
      <c r="Q87" s="333"/>
      <c r="R87" s="217"/>
      <c r="S87" s="333"/>
      <c r="T87" s="217"/>
      <c r="U87" s="333"/>
      <c r="V87" s="217"/>
      <c r="W87" s="333"/>
      <c r="X87" s="217"/>
      <c r="Y87" s="333"/>
      <c r="Z87" s="217"/>
      <c r="AA87" s="333"/>
      <c r="AB87" s="217"/>
      <c r="AC87" s="333"/>
      <c r="AD87" s="258"/>
      <c r="AE87" s="740"/>
      <c r="AF87" s="217"/>
      <c r="AG87" s="288"/>
      <c r="AH87" s="217"/>
      <c r="AI87" s="287"/>
      <c r="AJ87" s="217"/>
      <c r="AK87" s="287"/>
      <c r="AL87" s="217"/>
      <c r="AM87" s="287"/>
      <c r="AN87" s="258"/>
      <c r="AO87" s="286"/>
      <c r="AP87" s="217"/>
      <c r="AQ87" s="288"/>
      <c r="AR87" s="217"/>
      <c r="AS87" s="336"/>
      <c r="AT87" s="613"/>
      <c r="AU87" s="333"/>
      <c r="AV87" s="287"/>
      <c r="AW87" s="287"/>
      <c r="AX87" s="760"/>
      <c r="AY87" s="288">
        <f t="shared" si="37"/>
        <v>0</v>
      </c>
      <c r="AZ87" s="288">
        <f t="shared" si="62"/>
        <v>0</v>
      </c>
      <c r="BA87" s="288">
        <f t="shared" si="63"/>
        <v>0</v>
      </c>
      <c r="BB87" s="472"/>
      <c r="BC87" s="290"/>
      <c r="BD87" s="365"/>
      <c r="BE87" s="286"/>
      <c r="BF87" s="761"/>
      <c r="BG87" s="530"/>
      <c r="BH87" s="530"/>
      <c r="BI87" s="530"/>
      <c r="BJ87" s="259"/>
      <c r="BK87" s="293"/>
      <c r="BL87" s="293"/>
      <c r="BM87" s="259"/>
      <c r="BN87" s="259"/>
      <c r="BO87" s="258"/>
      <c r="BP87" s="259"/>
      <c r="BQ87" s="285"/>
      <c r="BR87" s="1"/>
      <c r="BS87" s="1"/>
      <c r="BT87" s="1"/>
      <c r="BU87" s="1"/>
      <c r="BV87" s="1"/>
      <c r="BW87" s="261" t="s">
        <v>251</v>
      </c>
      <c r="BX87" s="762"/>
      <c r="BY87" s="762">
        <f>'2026'!T82</f>
        <v>0</v>
      </c>
      <c r="BZ87" s="763">
        <f>'2026'!T134</f>
        <v>695</v>
      </c>
      <c r="CA87" s="763">
        <f>'2026'!T692</f>
        <v>359</v>
      </c>
      <c r="CB87" s="764">
        <f>'2026'!T551</f>
        <v>15029</v>
      </c>
      <c r="CC87" s="763">
        <f>'2026'!T479</f>
        <v>52</v>
      </c>
      <c r="CD87" s="763">
        <f>'2026'!T622</f>
        <v>498</v>
      </c>
      <c r="CE87" s="763">
        <f>'2026'!T352</f>
        <v>113</v>
      </c>
      <c r="CF87" s="762">
        <f>'2026'!T897</f>
        <v>45</v>
      </c>
      <c r="CG87" s="763">
        <f>'2026'!T951</f>
        <v>576</v>
      </c>
      <c r="CH87" s="763">
        <f>'2026'!T833</f>
        <v>239</v>
      </c>
      <c r="CI87" s="762"/>
      <c r="CJ87" s="762"/>
      <c r="CK87" s="762"/>
      <c r="CL87" s="762"/>
      <c r="CM87" s="762"/>
      <c r="CN87" s="762"/>
      <c r="CO87" s="765"/>
      <c r="CP87" s="5"/>
      <c r="CQ87" s="766"/>
      <c r="CR87" s="370"/>
      <c r="CS87" s="296">
        <f>'2026'!T1052</f>
        <v>1415</v>
      </c>
      <c r="CT87" s="10"/>
      <c r="CU87" s="10"/>
      <c r="CV87" s="10"/>
      <c r="CW87" s="122"/>
      <c r="CX87" s="11"/>
      <c r="CY87" s="11"/>
      <c r="DA87" s="304">
        <f t="shared" si="101"/>
        <v>63</v>
      </c>
      <c r="DB87" s="305">
        <v>63</v>
      </c>
      <c r="DC87" s="305">
        <v>0</v>
      </c>
      <c r="DD87" s="306"/>
      <c r="DE87" s="306"/>
      <c r="DF87" s="306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759"/>
      <c r="EG87" s="759"/>
      <c r="EH87" s="280"/>
      <c r="EI87" s="280"/>
      <c r="EJ87" s="1"/>
      <c r="EK87" s="1"/>
      <c r="EL87" s="1"/>
      <c r="EM87" s="1"/>
      <c r="EN87" s="37"/>
      <c r="EO87" s="1"/>
      <c r="EP87" s="1"/>
      <c r="EQ87" s="1"/>
      <c r="ER87" s="1"/>
      <c r="ES87" s="38"/>
      <c r="ET87" s="1"/>
      <c r="EU87" s="1"/>
      <c r="EV87" s="1"/>
      <c r="EW87" s="1"/>
      <c r="EX87" s="1"/>
      <c r="EY87" s="1"/>
      <c r="EZ87" s="356"/>
      <c r="FA87" s="357"/>
      <c r="FB87" s="1"/>
      <c r="FC87" s="281"/>
      <c r="FD87" s="281"/>
      <c r="FE87" s="38"/>
      <c r="FF87" s="281"/>
      <c r="FG87" s="281"/>
      <c r="FH87" s="1"/>
      <c r="FI87" s="281"/>
      <c r="FJ87" s="281"/>
      <c r="FK87" s="1"/>
      <c r="FL87" s="282"/>
      <c r="FM87" s="281"/>
      <c r="FN87" s="1"/>
      <c r="FO87" s="281"/>
      <c r="FP87" s="281"/>
      <c r="FQ87" s="38"/>
      <c r="FR87" s="282"/>
      <c r="FS87" s="281"/>
      <c r="FT87" s="1"/>
      <c r="FU87" s="281"/>
      <c r="FV87" s="281"/>
      <c r="FW87" s="38"/>
      <c r="FX87" s="282"/>
      <c r="FY87" s="281"/>
      <c r="FZ87" s="1"/>
      <c r="GA87" s="281"/>
      <c r="GB87" s="281"/>
      <c r="GC87" s="38"/>
      <c r="GD87" s="282"/>
      <c r="GE87" s="281"/>
      <c r="GF87" s="1"/>
      <c r="GG87" s="281"/>
      <c r="GH87" s="281"/>
      <c r="GI87" s="38"/>
      <c r="GJ87" s="282"/>
      <c r="GK87" s="281"/>
      <c r="GL87" s="1"/>
      <c r="GM87" s="281"/>
      <c r="GN87" s="281"/>
      <c r="GO87" s="38"/>
      <c r="GP87" s="443"/>
      <c r="GQ87" s="281"/>
      <c r="GR87" s="1"/>
      <c r="GS87" s="281"/>
      <c r="GT87" s="281"/>
      <c r="GU87" s="38"/>
      <c r="GV87" s="323"/>
      <c r="GW87" s="322"/>
      <c r="GX87" s="317"/>
      <c r="GY87" s="322"/>
      <c r="GZ87" s="322"/>
      <c r="HA87" s="319"/>
      <c r="HB87" s="282"/>
      <c r="HC87" s="281"/>
      <c r="HD87" s="1"/>
      <c r="HE87" s="281"/>
      <c r="HF87" s="281"/>
      <c r="HG87" s="38"/>
      <c r="HH87" s="282"/>
      <c r="HI87" s="281"/>
      <c r="HJ87" s="1"/>
      <c r="HK87" s="281"/>
      <c r="HL87" s="281"/>
      <c r="HM87" s="38"/>
      <c r="HN87" s="282"/>
      <c r="HO87" s="281"/>
      <c r="HP87" s="1"/>
      <c r="HQ87" s="281"/>
      <c r="HR87" s="281"/>
      <c r="HS87" s="38"/>
      <c r="HT87" s="37"/>
      <c r="HU87" s="1"/>
      <c r="HV87" s="1"/>
      <c r="HW87" s="1"/>
      <c r="HX87" s="1"/>
      <c r="HY87" s="1"/>
      <c r="HZ87" s="445"/>
      <c r="IA87" s="439"/>
      <c r="IB87" s="440"/>
      <c r="IC87" s="439"/>
      <c r="ID87" s="439"/>
      <c r="IE87" s="446"/>
      <c r="IF87" s="445"/>
      <c r="IG87" s="439"/>
      <c r="IH87" s="440"/>
      <c r="II87" s="1"/>
      <c r="IJ87" s="1"/>
      <c r="IK87" s="1"/>
    </row>
    <row r="88" s="4" customFormat="1">
      <c r="A88" s="283" t="s">
        <v>228</v>
      </c>
      <c r="B88" s="283"/>
      <c r="C88" s="284">
        <f>D88+E88</f>
        <v>63504.669999999991</v>
      </c>
      <c r="D88" s="285">
        <f>'Расход-2026'!I1225</f>
        <v>16818.360000000001</v>
      </c>
      <c r="E88" s="285">
        <f>'Расход-2026'!J1225</f>
        <v>46686.30999999999</v>
      </c>
      <c r="F88" s="217">
        <f>BX62</f>
        <v>0</v>
      </c>
      <c r="G88" s="288"/>
      <c r="H88" s="217">
        <f>BY62</f>
        <v>0</v>
      </c>
      <c r="I88" s="288"/>
      <c r="J88" s="217">
        <f>BZ62</f>
        <v>538.5</v>
      </c>
      <c r="K88" s="287">
        <f>J88*$AX$142/$J$153</f>
        <v>12885.45923466107</v>
      </c>
      <c r="L88" s="258">
        <f>CA62</f>
        <v>1324</v>
      </c>
      <c r="M88" s="287">
        <f>L88*$AX$140/$L$153</f>
        <v>55988.020808896254</v>
      </c>
      <c r="N88" s="258">
        <f>CD62</f>
        <v>155</v>
      </c>
      <c r="O88" s="285">
        <f>N88*$AX$138/$N$153</f>
        <v>2538.617569577641</v>
      </c>
      <c r="P88" s="217">
        <f>CC62+CB62</f>
        <v>2942</v>
      </c>
      <c r="Q88" s="285">
        <f>P88*($AX$139+$AX$137)/$P$153</f>
        <v>71671.713142361346</v>
      </c>
      <c r="R88" s="217">
        <f>CE62</f>
        <v>251</v>
      </c>
      <c r="S88" s="287">
        <f>R88*$AX$136/$R$153</f>
        <v>603.72871502063435</v>
      </c>
      <c r="T88" s="217">
        <f>CF62</f>
        <v>0</v>
      </c>
      <c r="U88" s="287">
        <f>T88*$AX$135/$T$153</f>
        <v>0</v>
      </c>
      <c r="V88" s="217">
        <f>CG62</f>
        <v>461</v>
      </c>
      <c r="W88" s="287">
        <f>V88*$AX$134/$V$153</f>
        <v>91.516351436535658</v>
      </c>
      <c r="X88" s="217">
        <f>CH62</f>
        <v>4248.3000000000002</v>
      </c>
      <c r="Y88" s="287">
        <f>X88*$AX$148/$X$153</f>
        <v>10770.548373679161</v>
      </c>
      <c r="Z88" s="217">
        <f>CI62</f>
        <v>0</v>
      </c>
      <c r="AA88" s="287">
        <f>Z88*$AX$149/$Z$153</f>
        <v>0</v>
      </c>
      <c r="AB88" s="217">
        <f>CJ62</f>
        <v>0</v>
      </c>
      <c r="AC88" s="285"/>
      <c r="AD88" s="258">
        <f>CK62</f>
        <v>0</v>
      </c>
      <c r="AE88" s="740"/>
      <c r="AF88" s="217">
        <f>CL62</f>
        <v>0</v>
      </c>
      <c r="AG88" s="288"/>
      <c r="AH88" s="217">
        <f>CM62</f>
        <v>0</v>
      </c>
      <c r="AI88" s="287"/>
      <c r="AJ88" s="217"/>
      <c r="AK88" s="287"/>
      <c r="AL88" s="217">
        <f>CO62</f>
        <v>0</v>
      </c>
      <c r="AM88" s="287"/>
      <c r="AN88" s="258"/>
      <c r="AO88" s="286"/>
      <c r="AP88" s="217">
        <f>'2026'!T1191</f>
        <v>4</v>
      </c>
      <c r="AQ88" s="288">
        <f>AP88*$AX$133/$AP$153</f>
        <v>418.31069630178877</v>
      </c>
      <c r="AR88" s="217">
        <f>CS62</f>
        <v>293</v>
      </c>
      <c r="AS88" s="288">
        <f>$AX$145*AR88/$AR$153</f>
        <v>6198.1432572683525</v>
      </c>
      <c r="AT88" s="613">
        <f>CT51</f>
        <v>0</v>
      </c>
      <c r="AU88" s="287"/>
      <c r="AV88" s="287"/>
      <c r="AW88" s="287"/>
      <c r="AX88" s="288">
        <f t="shared" si="79"/>
        <v>224670.72814920277</v>
      </c>
      <c r="AY88" s="288">
        <f t="shared" si="37"/>
        <v>161166.05814920278</v>
      </c>
      <c r="AZ88" s="288">
        <f t="shared" si="62"/>
        <v>161166.05814920278</v>
      </c>
      <c r="BA88" s="288">
        <f t="shared" si="63"/>
        <v>161166.05814920278</v>
      </c>
      <c r="BB88" s="289">
        <f t="shared" ref="BB88:BB89" si="102">BF88</f>
        <v>0</v>
      </c>
      <c r="BC88" s="290" t="e">
        <f t="shared" si="80"/>
        <v>#DIV/0!</v>
      </c>
      <c r="BD88" s="365">
        <f>'зарплата'!CH84</f>
        <v>3105749.3200000003</v>
      </c>
      <c r="BE88" s="286" t="e">
        <f>#REF!</f>
        <v>#REF!</v>
      </c>
      <c r="BF88" s="291">
        <f t="shared" ref="BF88:BF91" si="103">HZ88</f>
        <v>0</v>
      </c>
      <c r="BG88" s="287">
        <f t="shared" ref="BG88:BG91" si="104">IB88</f>
        <v>0</v>
      </c>
      <c r="BH88" s="292"/>
      <c r="BI88" s="287"/>
      <c r="BJ88" s="259"/>
      <c r="BK88" s="217">
        <f t="shared" si="81"/>
        <v>0</v>
      </c>
      <c r="BL88" s="293">
        <f>BK88*4%</f>
        <v>0</v>
      </c>
      <c r="BM88" s="287" t="e">
        <f>AX88/(BB88+BB89)</f>
        <v>#DIV/0!</v>
      </c>
      <c r="BN88" s="287" t="e">
        <f>(BL88+BL89)/(BB88+BB89)</f>
        <v>#DIV/0!</v>
      </c>
      <c r="BO88" s="217" t="e">
        <f t="shared" si="85"/>
        <v>#DIV/0!</v>
      </c>
      <c r="BP88" s="285">
        <f>(BL88+BL89)-AX88</f>
        <v>-224670.72814920277</v>
      </c>
      <c r="BQ88" s="285" t="e">
        <f>(BK88+BK89)-AX88-BD88-(BE88+BE89)</f>
        <v>#REF!</v>
      </c>
      <c r="BR88" s="1"/>
      <c r="BS88" s="1"/>
      <c r="BT88" s="1"/>
      <c r="BU88" s="1"/>
      <c r="BV88" s="1"/>
      <c r="BW88" s="261" t="s">
        <v>80</v>
      </c>
      <c r="BX88" s="762"/>
      <c r="BY88" s="762"/>
      <c r="BZ88" s="767"/>
      <c r="CA88" s="767"/>
      <c r="CB88" s="730"/>
      <c r="CC88" s="762"/>
      <c r="CD88" s="762"/>
      <c r="CE88" s="762"/>
      <c r="CF88" s="730"/>
      <c r="CG88" s="762"/>
      <c r="CH88" s="762"/>
      <c r="CI88" s="762"/>
      <c r="CJ88" s="762"/>
      <c r="CK88" s="762"/>
      <c r="CL88" s="762"/>
      <c r="CM88" s="762"/>
      <c r="CN88" s="762"/>
      <c r="CO88" s="765"/>
      <c r="CP88" s="5"/>
      <c r="CQ88" s="766"/>
      <c r="CR88" s="370"/>
      <c r="CS88" s="558"/>
      <c r="CT88" s="10"/>
      <c r="CU88" s="10"/>
      <c r="CV88" s="10"/>
      <c r="CW88" s="122"/>
      <c r="CX88" s="11"/>
      <c r="CY88" s="11"/>
      <c r="DA88" s="304">
        <f t="shared" si="101"/>
        <v>0</v>
      </c>
      <c r="DB88" s="305"/>
      <c r="DC88" s="305">
        <v>0</v>
      </c>
      <c r="DD88" s="306">
        <f>DE88+DF88</f>
        <v>0</v>
      </c>
      <c r="DE88" s="306"/>
      <c r="DF88" s="306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283" t="s">
        <v>228</v>
      </c>
      <c r="EG88" s="414" t="s">
        <v>252</v>
      </c>
      <c r="EH88" s="307"/>
      <c r="EI88" s="439"/>
      <c r="EJ88" s="440"/>
      <c r="EK88" s="440"/>
      <c r="EL88" s="440"/>
      <c r="EM88" s="440"/>
      <c r="EN88" s="274"/>
      <c r="EO88" s="440"/>
      <c r="EP88" s="440"/>
      <c r="EQ88" s="440"/>
      <c r="ER88" s="440"/>
      <c r="ES88" s="276"/>
      <c r="ET88" s="440"/>
      <c r="EU88" s="440"/>
      <c r="EV88" s="440"/>
      <c r="EW88" s="440"/>
      <c r="EX88" s="440"/>
      <c r="EY88" s="440"/>
      <c r="EZ88" s="312">
        <f>EH88+EN88+ET95</f>
        <v>0</v>
      </c>
      <c r="FA88" s="441">
        <f t="shared" si="89"/>
        <v>0</v>
      </c>
      <c r="FB88" s="440">
        <f t="shared" si="89"/>
        <v>0</v>
      </c>
      <c r="FC88" s="442">
        <f t="shared" si="89"/>
        <v>0</v>
      </c>
      <c r="FD88" s="442">
        <f t="shared" si="89"/>
        <v>0</v>
      </c>
      <c r="FE88" s="276">
        <f t="shared" si="89"/>
        <v>0</v>
      </c>
      <c r="FF88" s="442"/>
      <c r="FG88" s="442"/>
      <c r="FH88" s="440"/>
      <c r="FI88" s="442"/>
      <c r="FJ88" s="442"/>
      <c r="FK88" s="440"/>
      <c r="FL88" s="443"/>
      <c r="FM88" s="442"/>
      <c r="FN88" s="440"/>
      <c r="FO88" s="442"/>
      <c r="FP88" s="442"/>
      <c r="FQ88" s="276"/>
      <c r="FR88" s="443"/>
      <c r="FS88" s="442"/>
      <c r="FT88" s="440"/>
      <c r="FU88" s="442"/>
      <c r="FV88" s="442"/>
      <c r="FW88" s="276"/>
      <c r="FX88" s="443">
        <f t="shared" si="94"/>
        <v>0</v>
      </c>
      <c r="FY88" s="442"/>
      <c r="FZ88" s="442">
        <f t="shared" si="95"/>
        <v>0</v>
      </c>
      <c r="GA88" s="442">
        <f t="shared" ref="GA88:GA91" si="105">FC88+FI88+FO88+FU88</f>
        <v>0</v>
      </c>
      <c r="GB88" s="442"/>
      <c r="GC88" s="279">
        <f t="shared" si="96"/>
        <v>0</v>
      </c>
      <c r="GD88" s="443"/>
      <c r="GE88" s="442"/>
      <c r="GF88" s="440"/>
      <c r="GG88" s="442"/>
      <c r="GH88" s="442"/>
      <c r="GI88" s="276"/>
      <c r="GJ88" s="443"/>
      <c r="GK88" s="442"/>
      <c r="GL88" s="440"/>
      <c r="GM88" s="442"/>
      <c r="GN88" s="442"/>
      <c r="GO88" s="276"/>
      <c r="GQ88" s="442"/>
      <c r="GR88" s="440"/>
      <c r="GS88" s="442"/>
      <c r="GT88" s="442"/>
      <c r="GU88" s="276"/>
      <c r="GV88" s="323">
        <f>GD88+GJ88+GP95</f>
        <v>0</v>
      </c>
      <c r="GW88" s="322">
        <f t="shared" ref="GV88:HA92" si="106">GE88+GK88+GQ88</f>
        <v>0</v>
      </c>
      <c r="GX88" s="322">
        <f t="shared" si="106"/>
        <v>0</v>
      </c>
      <c r="GY88" s="322">
        <f t="shared" si="106"/>
        <v>0</v>
      </c>
      <c r="GZ88" s="322">
        <f t="shared" si="106"/>
        <v>0</v>
      </c>
      <c r="HA88" s="326">
        <f t="shared" si="106"/>
        <v>0</v>
      </c>
      <c r="HB88" s="443"/>
      <c r="HC88" s="442"/>
      <c r="HD88" s="440"/>
      <c r="HE88" s="442"/>
      <c r="HF88" s="442"/>
      <c r="HG88" s="276"/>
      <c r="HH88" s="443"/>
      <c r="HI88" s="442"/>
      <c r="HJ88" s="440"/>
      <c r="HK88" s="442"/>
      <c r="HL88" s="442"/>
      <c r="HM88" s="276"/>
      <c r="HN88" s="443"/>
      <c r="HO88" s="442"/>
      <c r="HP88" s="440"/>
      <c r="HQ88" s="442"/>
      <c r="HR88" s="442"/>
      <c r="HS88" s="276"/>
      <c r="HT88" s="315">
        <f t="shared" si="98"/>
        <v>0</v>
      </c>
      <c r="HU88" s="316">
        <f t="shared" si="98"/>
        <v>0</v>
      </c>
      <c r="HV88" s="317">
        <f t="shared" si="98"/>
        <v>0</v>
      </c>
      <c r="HW88" s="316">
        <f t="shared" si="98"/>
        <v>0</v>
      </c>
      <c r="HX88" s="316">
        <f t="shared" si="98"/>
        <v>0</v>
      </c>
      <c r="HY88" s="317">
        <f t="shared" si="98"/>
        <v>0</v>
      </c>
      <c r="HZ88" s="445">
        <f t="shared" si="99"/>
        <v>0</v>
      </c>
      <c r="IA88" s="439">
        <f t="shared" si="99"/>
        <v>0</v>
      </c>
      <c r="IB88" s="440">
        <f t="shared" si="99"/>
        <v>0</v>
      </c>
      <c r="IC88" s="439">
        <f t="shared" si="99"/>
        <v>0</v>
      </c>
      <c r="ID88" s="439">
        <f t="shared" si="99"/>
        <v>0</v>
      </c>
      <c r="IE88" s="446">
        <f t="shared" si="99"/>
        <v>0</v>
      </c>
      <c r="IF88" s="445">
        <f t="shared" si="100"/>
        <v>0</v>
      </c>
      <c r="IG88" s="439">
        <f t="shared" si="100"/>
        <v>0</v>
      </c>
      <c r="IH88" s="440">
        <f t="shared" si="100"/>
        <v>0</v>
      </c>
      <c r="II88" s="1"/>
      <c r="IJ88" s="1"/>
      <c r="IK88" s="1"/>
    </row>
    <row r="89" s="4" customFormat="1" ht="13.5">
      <c r="A89" s="437"/>
      <c r="B89" s="768" t="s">
        <v>253</v>
      </c>
      <c r="C89" s="248"/>
      <c r="D89" s="331">
        <f>D88*100/$AX88</f>
        <v>7.4857815873686073</v>
      </c>
      <c r="E89" s="331">
        <f>E88*100/$AX88</f>
        <v>20.779881021703829</v>
      </c>
      <c r="F89" s="250"/>
      <c r="G89" s="254"/>
      <c r="H89" s="250"/>
      <c r="I89" s="254"/>
      <c r="J89" s="250"/>
      <c r="K89" s="333">
        <f>K88*100/$AX88</f>
        <v>5.7352639308240887</v>
      </c>
      <c r="L89" s="258"/>
      <c r="M89" s="333">
        <f>M88*100/$AX88</f>
        <v>24.920033539800912</v>
      </c>
      <c r="N89" s="258"/>
      <c r="O89" s="331">
        <f>O88*100/$AX88</f>
        <v>1.1299280464750874</v>
      </c>
      <c r="P89" s="250"/>
      <c r="Q89" s="333">
        <f>Q88*100/$AX88</f>
        <v>31.900779301682991</v>
      </c>
      <c r="R89" s="250"/>
      <c r="S89" s="333">
        <f>S88*100/$AX88</f>
        <v>0.26871712216097016</v>
      </c>
      <c r="T89" s="250"/>
      <c r="U89" s="333">
        <f>U88*100/$AX88</f>
        <v>0</v>
      </c>
      <c r="V89" s="250"/>
      <c r="W89" s="333">
        <f>W88*100/$AX88</f>
        <v>0.040733544681334756</v>
      </c>
      <c r="X89" s="250"/>
      <c r="Y89" s="333">
        <f>Y88*100/$AX88</f>
        <v>4.7939259655251973</v>
      </c>
      <c r="Z89" s="250"/>
      <c r="AA89" s="333">
        <f>AA88*100/$AX88</f>
        <v>0</v>
      </c>
      <c r="AB89" s="250"/>
      <c r="AC89" s="331"/>
      <c r="AD89" s="250"/>
      <c r="AE89" s="333"/>
      <c r="AF89" s="250"/>
      <c r="AG89" s="254"/>
      <c r="AH89" s="250"/>
      <c r="AI89" s="333"/>
      <c r="AJ89" s="250"/>
      <c r="AK89" s="333"/>
      <c r="AL89" s="258"/>
      <c r="AM89" s="333"/>
      <c r="AN89" s="250"/>
      <c r="AO89" s="332"/>
      <c r="AP89" s="250"/>
      <c r="AQ89" s="336">
        <f>AQ88*100/$AX88</f>
        <v>0.18618833870694121</v>
      </c>
      <c r="AR89" s="258"/>
      <c r="AS89" s="336">
        <f>AS88*100/$AX88</f>
        <v>2.7587676010700402</v>
      </c>
      <c r="AT89" s="703"/>
      <c r="AU89" s="253"/>
      <c r="AV89" s="253"/>
      <c r="AW89" s="253"/>
      <c r="AX89" s="336">
        <f>SUM(D89:AW89)</f>
        <v>99.999999999999972</v>
      </c>
      <c r="AY89" s="288">
        <f t="shared" si="37"/>
        <v>99.999999999999972</v>
      </c>
      <c r="AZ89" s="288">
        <f t="shared" si="62"/>
        <v>99.999999999999972</v>
      </c>
      <c r="BA89" s="288">
        <f t="shared" si="63"/>
        <v>99.999999999999972</v>
      </c>
      <c r="BB89" s="289">
        <f t="shared" si="102"/>
        <v>0</v>
      </c>
      <c r="BC89" s="290"/>
      <c r="BD89" s="365"/>
      <c r="BE89" s="286" t="e">
        <f>#REF!</f>
        <v>#REF!</v>
      </c>
      <c r="BF89" s="291">
        <f t="shared" si="103"/>
        <v>0</v>
      </c>
      <c r="BG89" s="287">
        <f t="shared" si="104"/>
        <v>0</v>
      </c>
      <c r="BH89" s="292"/>
      <c r="BI89" s="287"/>
      <c r="BJ89" s="257"/>
      <c r="BK89" s="293">
        <f t="shared" si="81"/>
        <v>0</v>
      </c>
      <c r="BL89" s="293">
        <f>BK89*15%</f>
        <v>0</v>
      </c>
      <c r="BM89" s="287"/>
      <c r="BN89" s="287"/>
      <c r="BO89" s="217"/>
      <c r="BP89" s="257"/>
      <c r="BQ89" s="285"/>
      <c r="BR89" s="1"/>
      <c r="BS89" s="1"/>
      <c r="BT89" s="1"/>
      <c r="BU89" s="1"/>
      <c r="BV89" s="1"/>
      <c r="BW89" s="261"/>
      <c r="BX89" s="762"/>
      <c r="BY89" s="762"/>
      <c r="BZ89" s="767"/>
      <c r="CA89" s="767"/>
      <c r="CB89" s="730"/>
      <c r="CC89" s="762"/>
      <c r="CD89" s="762"/>
      <c r="CE89" s="762"/>
      <c r="CF89" s="730"/>
      <c r="CG89" s="762"/>
      <c r="CH89" s="762"/>
      <c r="CI89" s="762"/>
      <c r="CJ89" s="762"/>
      <c r="CK89" s="762"/>
      <c r="CL89" s="762"/>
      <c r="CM89" s="762"/>
      <c r="CN89" s="762"/>
      <c r="CO89" s="765"/>
      <c r="CP89" s="5"/>
      <c r="CQ89" s="766"/>
      <c r="CR89" s="370"/>
      <c r="CS89" s="558"/>
      <c r="CT89" s="10"/>
      <c r="CU89" s="10"/>
      <c r="CV89" s="10"/>
      <c r="CW89" s="122"/>
      <c r="CX89" s="11"/>
      <c r="CY89" s="11"/>
      <c r="DA89" s="769"/>
      <c r="DB89" s="770"/>
      <c r="DC89" s="770"/>
      <c r="DD89" s="771"/>
      <c r="DE89" s="771"/>
      <c r="DF89" s="77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437"/>
      <c r="EG89" s="768" t="s">
        <v>253</v>
      </c>
      <c r="EH89" s="307"/>
      <c r="EI89" s="439"/>
      <c r="EJ89" s="440"/>
      <c r="EK89" s="440"/>
      <c r="EL89" s="440"/>
      <c r="EM89" s="440"/>
      <c r="EN89" s="274"/>
      <c r="EO89" s="440"/>
      <c r="EP89" s="440"/>
      <c r="EQ89" s="440"/>
      <c r="ER89" s="440"/>
      <c r="ES89" s="276"/>
      <c r="ET89" s="440"/>
      <c r="EU89" s="440"/>
      <c r="EV89" s="440"/>
      <c r="EW89" s="440"/>
      <c r="EX89" s="440"/>
      <c r="EY89" s="440"/>
      <c r="EZ89" s="312">
        <f t="shared" ref="EZ89:EZ92" si="107">EH89+EN89+ET89</f>
        <v>0</v>
      </c>
      <c r="FA89" s="772">
        <f t="shared" si="89"/>
        <v>0</v>
      </c>
      <c r="FB89" s="440">
        <f t="shared" si="89"/>
        <v>0</v>
      </c>
      <c r="FC89" s="442">
        <f t="shared" si="89"/>
        <v>0</v>
      </c>
      <c r="FD89" s="442">
        <f t="shared" si="89"/>
        <v>0</v>
      </c>
      <c r="FE89" s="276">
        <f t="shared" si="89"/>
        <v>0</v>
      </c>
      <c r="FF89" s="442"/>
      <c r="FG89" s="752"/>
      <c r="FH89" s="440"/>
      <c r="FI89" s="442"/>
      <c r="FJ89" s="442"/>
      <c r="FK89" s="440"/>
      <c r="FL89" s="443"/>
      <c r="FM89" s="752"/>
      <c r="FN89" s="440"/>
      <c r="FO89" s="442"/>
      <c r="FP89" s="442"/>
      <c r="FQ89" s="276"/>
      <c r="FR89" s="443"/>
      <c r="FS89" s="752"/>
      <c r="FT89" s="440"/>
      <c r="FU89" s="442"/>
      <c r="FV89" s="442"/>
      <c r="FW89" s="276"/>
      <c r="FX89" s="443">
        <f t="shared" si="94"/>
        <v>0</v>
      </c>
      <c r="FY89" s="442">
        <f>FA89+FG89+FM89+FS89</f>
        <v>0</v>
      </c>
      <c r="FZ89" s="442">
        <f t="shared" si="95"/>
        <v>0</v>
      </c>
      <c r="GA89" s="442">
        <f t="shared" si="105"/>
        <v>0</v>
      </c>
      <c r="GB89" s="442"/>
      <c r="GC89" s="279">
        <f t="shared" si="96"/>
        <v>0</v>
      </c>
      <c r="GD89" s="443"/>
      <c r="GE89" s="752"/>
      <c r="GF89" s="440"/>
      <c r="GG89" s="442"/>
      <c r="GH89" s="442"/>
      <c r="GI89" s="276"/>
      <c r="GJ89" s="443"/>
      <c r="GK89" s="442"/>
      <c r="GL89" s="440"/>
      <c r="GM89" s="442"/>
      <c r="GN89" s="442"/>
      <c r="GO89" s="276"/>
      <c r="GP89" s="443"/>
      <c r="GQ89" s="752"/>
      <c r="GR89" s="440"/>
      <c r="GS89" s="442"/>
      <c r="GT89" s="442"/>
      <c r="GU89" s="276"/>
      <c r="GV89" s="323">
        <f t="shared" si="106"/>
        <v>0</v>
      </c>
      <c r="GW89" s="322">
        <f t="shared" si="106"/>
        <v>0</v>
      </c>
      <c r="GX89" s="322">
        <f t="shared" si="106"/>
        <v>0</v>
      </c>
      <c r="GY89" s="322">
        <f t="shared" si="106"/>
        <v>0</v>
      </c>
      <c r="GZ89" s="322">
        <f t="shared" si="106"/>
        <v>0</v>
      </c>
      <c r="HA89" s="326">
        <f t="shared" si="106"/>
        <v>0</v>
      </c>
      <c r="HB89" s="443"/>
      <c r="HC89" s="752"/>
      <c r="HD89" s="440"/>
      <c r="HE89" s="442"/>
      <c r="HF89" s="442"/>
      <c r="HG89" s="276"/>
      <c r="HH89" s="443"/>
      <c r="HI89" s="752"/>
      <c r="HJ89" s="440"/>
      <c r="HK89" s="442"/>
      <c r="HL89" s="442"/>
      <c r="HM89" s="276"/>
      <c r="HN89" s="443"/>
      <c r="HO89" s="442"/>
      <c r="HP89" s="440"/>
      <c r="HQ89" s="442"/>
      <c r="HR89" s="442"/>
      <c r="HS89" s="276"/>
      <c r="HT89" s="307">
        <f t="shared" si="98"/>
        <v>0</v>
      </c>
      <c r="HU89" s="439">
        <f t="shared" si="98"/>
        <v>0</v>
      </c>
      <c r="HV89" s="440">
        <f t="shared" si="98"/>
        <v>0</v>
      </c>
      <c r="HW89" s="439">
        <f t="shared" si="98"/>
        <v>0</v>
      </c>
      <c r="HX89" s="439">
        <f t="shared" si="98"/>
        <v>0</v>
      </c>
      <c r="HY89" s="446">
        <f t="shared" si="98"/>
        <v>0</v>
      </c>
      <c r="HZ89" s="445">
        <f t="shared" si="99"/>
        <v>0</v>
      </c>
      <c r="IA89" s="440">
        <f t="shared" si="99"/>
        <v>0</v>
      </c>
      <c r="IB89" s="440">
        <f t="shared" si="99"/>
        <v>0</v>
      </c>
      <c r="IC89" s="439">
        <f t="shared" si="99"/>
        <v>0</v>
      </c>
      <c r="ID89" s="439">
        <f t="shared" si="99"/>
        <v>0</v>
      </c>
      <c r="IE89" s="446">
        <f t="shared" si="99"/>
        <v>0</v>
      </c>
      <c r="IF89" s="445">
        <f t="shared" si="100"/>
        <v>0</v>
      </c>
      <c r="IG89" s="439">
        <f t="shared" si="100"/>
        <v>0</v>
      </c>
      <c r="IH89" s="440">
        <f t="shared" si="100"/>
        <v>0</v>
      </c>
      <c r="II89" s="1"/>
      <c r="IJ89" s="1"/>
      <c r="IK89" s="1"/>
    </row>
    <row r="90" s="4" customFormat="1" ht="13.5">
      <c r="A90" s="247"/>
      <c r="B90" s="247"/>
      <c r="C90" s="248"/>
      <c r="D90" s="331"/>
      <c r="E90" s="331"/>
      <c r="F90" s="250"/>
      <c r="G90" s="254"/>
      <c r="H90" s="250"/>
      <c r="I90" s="254"/>
      <c r="J90" s="250"/>
      <c r="K90" s="333"/>
      <c r="L90" s="258"/>
      <c r="M90" s="333"/>
      <c r="N90" s="258"/>
      <c r="O90" s="331"/>
      <c r="P90" s="250"/>
      <c r="Q90" s="333"/>
      <c r="R90" s="250"/>
      <c r="S90" s="333"/>
      <c r="T90" s="250"/>
      <c r="U90" s="333"/>
      <c r="V90" s="250"/>
      <c r="W90" s="333"/>
      <c r="X90" s="250"/>
      <c r="Y90" s="333"/>
      <c r="Z90" s="250"/>
      <c r="AA90" s="333"/>
      <c r="AB90" s="250"/>
      <c r="AC90" s="253"/>
      <c r="AD90" s="250"/>
      <c r="AE90" s="333"/>
      <c r="AF90" s="250"/>
      <c r="AG90" s="254"/>
      <c r="AH90" s="250"/>
      <c r="AI90" s="333"/>
      <c r="AJ90" s="250"/>
      <c r="AK90" s="333"/>
      <c r="AL90" s="258"/>
      <c r="AM90" s="333"/>
      <c r="AN90" s="250"/>
      <c r="AO90" s="332"/>
      <c r="AP90" s="250"/>
      <c r="AQ90" s="288"/>
      <c r="AR90" s="258"/>
      <c r="AS90" s="336"/>
      <c r="AT90" s="703"/>
      <c r="AU90" s="253"/>
      <c r="AV90" s="253"/>
      <c r="AW90" s="253"/>
      <c r="AX90" s="336"/>
      <c r="AY90" s="288">
        <f t="shared" si="37"/>
        <v>0</v>
      </c>
      <c r="AZ90" s="288">
        <f t="shared" si="62"/>
        <v>0</v>
      </c>
      <c r="BA90" s="288">
        <f t="shared" si="63"/>
        <v>0</v>
      </c>
      <c r="BB90" s="337"/>
      <c r="BC90" s="290"/>
      <c r="BD90" s="365"/>
      <c r="BE90" s="286"/>
      <c r="BF90" s="291"/>
      <c r="BG90" s="287">
        <f t="shared" si="104"/>
        <v>0</v>
      </c>
      <c r="BH90" s="292"/>
      <c r="BI90" s="287"/>
      <c r="BJ90" s="257"/>
      <c r="BK90" s="293"/>
      <c r="BL90" s="293"/>
      <c r="BM90" s="257"/>
      <c r="BN90" s="257"/>
      <c r="BO90" s="709"/>
      <c r="BP90" s="257"/>
      <c r="BQ90" s="285"/>
      <c r="BR90" s="773" t="s">
        <v>254</v>
      </c>
      <c r="BS90" s="1"/>
      <c r="BT90" s="1"/>
      <c r="BU90" s="1"/>
      <c r="BV90" s="1"/>
      <c r="BW90" s="261"/>
      <c r="BX90" s="762"/>
      <c r="BY90" s="762"/>
      <c r="BZ90" s="767"/>
      <c r="CA90" s="767"/>
      <c r="CB90" s="730"/>
      <c r="CC90" s="762"/>
      <c r="CD90" s="762"/>
      <c r="CE90" s="762"/>
      <c r="CF90" s="730"/>
      <c r="CG90" s="762"/>
      <c r="CH90" s="762"/>
      <c r="CI90" s="762"/>
      <c r="CJ90" s="762"/>
      <c r="CK90" s="762"/>
      <c r="CL90" s="762"/>
      <c r="CM90" s="762"/>
      <c r="CN90" s="762"/>
      <c r="CO90" s="765"/>
      <c r="CP90" s="5"/>
      <c r="CQ90" s="766"/>
      <c r="CR90" s="370"/>
      <c r="CS90" s="558"/>
      <c r="CT90" s="10"/>
      <c r="CU90" s="10"/>
      <c r="CV90" s="10"/>
      <c r="CW90" s="122"/>
      <c r="CX90" s="11"/>
      <c r="CY90" s="11"/>
      <c r="DA90" s="774"/>
      <c r="DB90" s="775"/>
      <c r="DC90" s="775"/>
      <c r="DD90" s="776"/>
      <c r="DE90" s="776"/>
      <c r="DF90" s="776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247"/>
      <c r="EG90" s="247"/>
      <c r="EH90" s="280"/>
      <c r="EI90" s="280"/>
      <c r="EJ90" s="1"/>
      <c r="EK90" s="1"/>
      <c r="EL90" s="1"/>
      <c r="EM90" s="1"/>
      <c r="EN90" s="37"/>
      <c r="EO90" s="1"/>
      <c r="EP90" s="1"/>
      <c r="EQ90" s="1"/>
      <c r="ER90" s="1"/>
      <c r="ES90" s="38"/>
      <c r="ET90" s="1"/>
      <c r="EU90" s="1"/>
      <c r="EV90" s="1"/>
      <c r="EW90" s="1"/>
      <c r="EX90" s="1"/>
      <c r="EY90" s="1"/>
      <c r="EZ90" s="356">
        <f t="shared" si="107"/>
        <v>0</v>
      </c>
      <c r="FA90" s="357">
        <f t="shared" si="89"/>
        <v>0</v>
      </c>
      <c r="FB90" s="1">
        <f t="shared" si="89"/>
        <v>0</v>
      </c>
      <c r="FC90" s="281">
        <f t="shared" si="89"/>
        <v>0</v>
      </c>
      <c r="FD90" s="281">
        <f t="shared" si="89"/>
        <v>0</v>
      </c>
      <c r="FE90" s="38">
        <f t="shared" si="89"/>
        <v>0</v>
      </c>
      <c r="FF90" s="281"/>
      <c r="FG90" s="281"/>
      <c r="FH90" s="1"/>
      <c r="FI90" s="281"/>
      <c r="FJ90" s="281"/>
      <c r="FK90" s="1"/>
      <c r="FL90" s="282"/>
      <c r="FM90" s="281"/>
      <c r="FN90" s="1"/>
      <c r="FO90" s="281"/>
      <c r="FP90" s="281"/>
      <c r="FQ90" s="38"/>
      <c r="FR90" s="282"/>
      <c r="FS90" s="281"/>
      <c r="FT90" s="1"/>
      <c r="FU90" s="281"/>
      <c r="FV90" s="281"/>
      <c r="FW90" s="38"/>
      <c r="FX90" s="443"/>
      <c r="FY90" s="442"/>
      <c r="FZ90" s="442"/>
      <c r="GA90" s="281"/>
      <c r="GB90" s="281"/>
      <c r="GC90" s="38"/>
      <c r="GD90" s="282"/>
      <c r="GE90" s="281"/>
      <c r="GF90" s="1"/>
      <c r="GG90" s="281"/>
      <c r="GH90" s="281"/>
      <c r="GI90" s="38"/>
      <c r="GJ90" s="282"/>
      <c r="GK90" s="281"/>
      <c r="GL90" s="1"/>
      <c r="GM90" s="281"/>
      <c r="GN90" s="281"/>
      <c r="GO90" s="38"/>
      <c r="GP90" s="282"/>
      <c r="GQ90" s="281"/>
      <c r="GR90" s="1"/>
      <c r="GS90" s="281"/>
      <c r="GT90" s="281"/>
      <c r="GU90" s="38"/>
      <c r="GV90" s="323">
        <f t="shared" si="106"/>
        <v>0</v>
      </c>
      <c r="GW90" s="322">
        <f t="shared" si="106"/>
        <v>0</v>
      </c>
      <c r="GX90" s="322">
        <f t="shared" si="106"/>
        <v>0</v>
      </c>
      <c r="GY90" s="322">
        <f t="shared" si="106"/>
        <v>0</v>
      </c>
      <c r="GZ90" s="322">
        <f t="shared" si="106"/>
        <v>0</v>
      </c>
      <c r="HA90" s="326">
        <f t="shared" si="106"/>
        <v>0</v>
      </c>
      <c r="HB90" s="282"/>
      <c r="HC90" s="281"/>
      <c r="HD90" s="1"/>
      <c r="HE90" s="281"/>
      <c r="HF90" s="281"/>
      <c r="HG90" s="38"/>
      <c r="HH90" s="282"/>
      <c r="HI90" s="281"/>
      <c r="HJ90" s="1"/>
      <c r="HK90" s="281"/>
      <c r="HL90" s="281"/>
      <c r="HM90" s="38"/>
      <c r="HN90" s="282"/>
      <c r="HO90" s="281"/>
      <c r="HP90" s="1"/>
      <c r="HQ90" s="281"/>
      <c r="HR90" s="281"/>
      <c r="HS90" s="38"/>
      <c r="HT90" s="307"/>
      <c r="HU90" s="439"/>
      <c r="HV90" s="440"/>
      <c r="HW90" s="439"/>
      <c r="HX90" s="439"/>
      <c r="HY90" s="446"/>
      <c r="HZ90" s="445"/>
      <c r="IA90" s="439"/>
      <c r="IB90" s="440"/>
      <c r="IC90" s="439"/>
      <c r="ID90" s="439"/>
      <c r="IE90" s="446"/>
      <c r="IF90" s="445"/>
      <c r="IG90" s="439"/>
      <c r="IH90" s="440"/>
      <c r="II90" s="1"/>
      <c r="IJ90" s="1"/>
      <c r="IK90" s="1"/>
    </row>
    <row r="91" s="4" customFormat="1" ht="13.5">
      <c r="A91" s="283" t="s">
        <v>255</v>
      </c>
      <c r="B91" s="283"/>
      <c r="C91" s="284">
        <f>D91+E91</f>
        <v>0</v>
      </c>
      <c r="D91" s="777">
        <f>'Расход-2026'!I1228</f>
        <v>0</v>
      </c>
      <c r="E91" s="777">
        <f>'Расход-2026'!J1228</f>
        <v>0</v>
      </c>
      <c r="F91" s="250"/>
      <c r="G91" s="254"/>
      <c r="H91" s="250"/>
      <c r="I91" s="254"/>
      <c r="J91" s="250"/>
      <c r="K91" s="333"/>
      <c r="L91" s="258">
        <f>АНАЛИЗ!CA65</f>
        <v>1792</v>
      </c>
      <c r="M91" s="333">
        <f>L91*$AX$140/$L$153</f>
        <v>75778.348405998549</v>
      </c>
      <c r="N91" s="258"/>
      <c r="O91" s="331"/>
      <c r="P91" s="217">
        <f>CC65+CB65</f>
        <v>114</v>
      </c>
      <c r="Q91" s="285">
        <f>P91*($AX$139+$AX$137)/$P$153</f>
        <v>2777.2179803634235</v>
      </c>
      <c r="R91" s="217">
        <f>CE65</f>
        <v>316</v>
      </c>
      <c r="S91" s="287">
        <f>R91*$AX$136/$R$153</f>
        <v>760.07280456781064</v>
      </c>
      <c r="T91" s="250"/>
      <c r="U91" s="333"/>
      <c r="V91" s="250"/>
      <c r="W91" s="333"/>
      <c r="X91" s="250"/>
      <c r="Y91" s="333"/>
      <c r="Z91" s="217">
        <f>CI65</f>
        <v>8946.5</v>
      </c>
      <c r="AA91" s="287">
        <f>Z91*$AX$149/$Z$153</f>
        <v>13345.207276368741</v>
      </c>
      <c r="AB91" s="217">
        <f>CJ65</f>
        <v>0</v>
      </c>
      <c r="AC91" s="253"/>
      <c r="AD91" s="250"/>
      <c r="AE91" s="333"/>
      <c r="AF91" s="250"/>
      <c r="AG91" s="254"/>
      <c r="AH91" s="250"/>
      <c r="AI91" s="333"/>
      <c r="AJ91" s="250"/>
      <c r="AK91" s="333"/>
      <c r="AL91" s="217">
        <f>CO65</f>
        <v>0</v>
      </c>
      <c r="AM91" s="333"/>
      <c r="AN91" s="250"/>
      <c r="AO91" s="332"/>
      <c r="AP91" s="250"/>
      <c r="AQ91" s="288">
        <f>AP91*$AX$133/$AP$153</f>
        <v>0</v>
      </c>
      <c r="AR91" s="217">
        <f>CS65</f>
        <v>19</v>
      </c>
      <c r="AS91" s="288">
        <f>$AX$145*AR91/$AR$153</f>
        <v>401.92737845767471</v>
      </c>
      <c r="AT91" s="703"/>
      <c r="AU91" s="253"/>
      <c r="AV91" s="253"/>
      <c r="AW91" s="253"/>
      <c r="AX91" s="288">
        <f>C91+G91+I91+K91+M91+O91+Q91+S91+U91+W91+Y91+AA91+AC91+AE91+AG91+AI91+AK91+AO91+AU91+AS91+AW91+AQ91+AM91</f>
        <v>93062.773845756208</v>
      </c>
      <c r="AY91" s="288">
        <f t="shared" si="37"/>
        <v>93062.773845756208</v>
      </c>
      <c r="AZ91" s="288">
        <f t="shared" si="62"/>
        <v>93062.773845756208</v>
      </c>
      <c r="BA91" s="288">
        <f t="shared" si="63"/>
        <v>93062.773845756208</v>
      </c>
      <c r="BB91" s="289">
        <f>BF91+BF90+BF92</f>
        <v>0</v>
      </c>
      <c r="BC91" s="290" t="e">
        <f t="shared" si="80"/>
        <v>#DIV/0!</v>
      </c>
      <c r="BD91" s="365">
        <f>'зарплата'!CH87</f>
        <v>2858234.1600000001</v>
      </c>
      <c r="BE91" s="286" t="e">
        <f>#REF!</f>
        <v>#REF!</v>
      </c>
      <c r="BF91" s="291">
        <f t="shared" si="103"/>
        <v>0</v>
      </c>
      <c r="BG91" s="287">
        <f t="shared" si="104"/>
        <v>0</v>
      </c>
      <c r="BH91" s="292"/>
      <c r="BI91" s="287"/>
      <c r="BJ91" s="257"/>
      <c r="BK91" s="217">
        <f>BG90+BG91+BG92</f>
        <v>0</v>
      </c>
      <c r="BL91" s="293">
        <f>BK91*4%</f>
        <v>0</v>
      </c>
      <c r="BM91" s="287" t="e">
        <f>AX91/BB91</f>
        <v>#DIV/0!</v>
      </c>
      <c r="BN91" s="287" t="e">
        <f>BL91/BB91</f>
        <v>#DIV/0!</v>
      </c>
      <c r="BO91" s="217" t="e">
        <f t="shared" si="85"/>
        <v>#DIV/0!</v>
      </c>
      <c r="BP91" s="285">
        <f>BL91-AX91</f>
        <v>-93062.773845756208</v>
      </c>
      <c r="BQ91" s="285" t="e">
        <f>BK91-AX91-BD91-BE91</f>
        <v>#REF!</v>
      </c>
      <c r="BR91" s="773" t="s">
        <v>256</v>
      </c>
      <c r="BS91" s="1"/>
      <c r="BT91" s="1"/>
      <c r="BU91" s="1"/>
      <c r="BV91" s="1"/>
      <c r="BW91" s="261"/>
      <c r="BX91" s="762"/>
      <c r="BY91" s="762"/>
      <c r="BZ91" s="767"/>
      <c r="CA91" s="767"/>
      <c r="CB91" s="730"/>
      <c r="CC91" s="762"/>
      <c r="CD91" s="762"/>
      <c r="CE91" s="762"/>
      <c r="CF91" s="730"/>
      <c r="CG91" s="762"/>
      <c r="CH91" s="762"/>
      <c r="CI91" s="762"/>
      <c r="CJ91" s="762"/>
      <c r="CK91" s="762"/>
      <c r="CL91" s="762"/>
      <c r="CM91" s="762"/>
      <c r="CN91" s="762"/>
      <c r="CO91" s="765"/>
      <c r="CP91" s="5"/>
      <c r="CQ91" s="766"/>
      <c r="CR91" s="370"/>
      <c r="CS91" s="558"/>
      <c r="CT91" s="10"/>
      <c r="CU91" s="10"/>
      <c r="CV91" s="10"/>
      <c r="CW91" s="122"/>
      <c r="CX91" s="11"/>
      <c r="CY91" s="11"/>
      <c r="DA91" s="774"/>
      <c r="DB91" s="775"/>
      <c r="DC91" s="775"/>
      <c r="DD91" s="776"/>
      <c r="DE91" s="776"/>
      <c r="DF91" s="776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283" t="s">
        <v>257</v>
      </c>
      <c r="EG91" s="283"/>
      <c r="EH91" s="280"/>
      <c r="EI91" s="280"/>
      <c r="EJ91" s="1"/>
      <c r="EK91" s="1"/>
      <c r="EL91" s="1"/>
      <c r="EM91" s="1"/>
      <c r="EN91" s="37"/>
      <c r="EO91" s="1"/>
      <c r="EP91" s="1"/>
      <c r="EQ91" s="1"/>
      <c r="ER91" s="1"/>
      <c r="ES91" s="38"/>
      <c r="ET91" s="1"/>
      <c r="EU91" s="1"/>
      <c r="EV91" s="1"/>
      <c r="EW91" s="1"/>
      <c r="EX91" s="1"/>
      <c r="EY91" s="1"/>
      <c r="EZ91" s="356">
        <f t="shared" si="107"/>
        <v>0</v>
      </c>
      <c r="FA91" s="357">
        <f t="shared" si="89"/>
        <v>0</v>
      </c>
      <c r="FB91" s="1">
        <f t="shared" si="89"/>
        <v>0</v>
      </c>
      <c r="FC91" s="281">
        <f t="shared" si="89"/>
        <v>0</v>
      </c>
      <c r="FD91" s="281">
        <f t="shared" si="89"/>
        <v>0</v>
      </c>
      <c r="FE91" s="38">
        <f t="shared" si="89"/>
        <v>0</v>
      </c>
      <c r="FF91" s="281"/>
      <c r="FG91" s="281"/>
      <c r="FH91" s="1"/>
      <c r="FI91" s="281"/>
      <c r="FJ91" s="281"/>
      <c r="FK91" s="1"/>
      <c r="FL91" s="282"/>
      <c r="FM91" s="281"/>
      <c r="FN91" s="1"/>
      <c r="FO91" s="281"/>
      <c r="FP91" s="281"/>
      <c r="FQ91" s="38"/>
      <c r="FR91" s="282"/>
      <c r="FS91" s="281"/>
      <c r="FT91" s="1"/>
      <c r="FU91" s="281"/>
      <c r="FV91" s="281"/>
      <c r="FW91" s="38"/>
      <c r="FX91" s="443">
        <f t="shared" si="94"/>
        <v>0</v>
      </c>
      <c r="FY91" s="442"/>
      <c r="FZ91" s="442">
        <f t="shared" si="95"/>
        <v>0</v>
      </c>
      <c r="GA91" s="442">
        <f t="shared" si="105"/>
        <v>0</v>
      </c>
      <c r="GB91" s="442"/>
      <c r="GC91" s="442">
        <f t="shared" si="96"/>
        <v>0</v>
      </c>
      <c r="GD91" s="323"/>
      <c r="GE91" s="322"/>
      <c r="GF91" s="317"/>
      <c r="GG91" s="322"/>
      <c r="GH91" s="322"/>
      <c r="GI91" s="319"/>
      <c r="GJ91" s="282"/>
      <c r="GK91" s="281"/>
      <c r="GL91" s="1"/>
      <c r="GM91" s="281"/>
      <c r="GN91" s="281"/>
      <c r="GO91" s="38"/>
      <c r="GP91" s="282"/>
      <c r="GQ91" s="281"/>
      <c r="GR91" s="1"/>
      <c r="GS91" s="281"/>
      <c r="GT91" s="281"/>
      <c r="GU91" s="38"/>
      <c r="GV91" s="323">
        <f t="shared" si="106"/>
        <v>0</v>
      </c>
      <c r="GW91" s="322">
        <f t="shared" si="106"/>
        <v>0</v>
      </c>
      <c r="GX91" s="322">
        <f t="shared" si="106"/>
        <v>0</v>
      </c>
      <c r="GY91" s="322">
        <f t="shared" si="106"/>
        <v>0</v>
      </c>
      <c r="GZ91" s="322">
        <f t="shared" si="106"/>
        <v>0</v>
      </c>
      <c r="HA91" s="326">
        <f t="shared" si="106"/>
        <v>0</v>
      </c>
      <c r="HB91" s="282"/>
      <c r="HC91" s="281"/>
      <c r="HD91" s="1"/>
      <c r="HE91" s="281"/>
      <c r="HF91" s="281"/>
      <c r="HG91" s="38"/>
      <c r="HH91" s="282"/>
      <c r="HI91" s="281"/>
      <c r="HJ91" s="1"/>
      <c r="HK91" s="281"/>
      <c r="HL91" s="281"/>
      <c r="HM91" s="38"/>
      <c r="HN91" s="282"/>
      <c r="HO91" s="281"/>
      <c r="HP91" s="1"/>
      <c r="HQ91" s="281"/>
      <c r="HR91" s="281"/>
      <c r="HS91" s="38"/>
      <c r="HT91" s="307">
        <f t="shared" si="98"/>
        <v>0</v>
      </c>
      <c r="HU91" s="439">
        <f t="shared" si="98"/>
        <v>0</v>
      </c>
      <c r="HV91" s="440">
        <f t="shared" si="98"/>
        <v>0</v>
      </c>
      <c r="HW91" s="439">
        <f t="shared" si="98"/>
        <v>0</v>
      </c>
      <c r="HX91" s="439">
        <f t="shared" si="98"/>
        <v>0</v>
      </c>
      <c r="HY91" s="446">
        <f t="shared" si="98"/>
        <v>0</v>
      </c>
      <c r="HZ91" s="445">
        <f t="shared" si="99"/>
        <v>0</v>
      </c>
      <c r="IA91" s="439">
        <f t="shared" si="99"/>
        <v>0</v>
      </c>
      <c r="IB91" s="440">
        <f t="shared" si="99"/>
        <v>0</v>
      </c>
      <c r="IC91" s="439">
        <f t="shared" si="99"/>
        <v>0</v>
      </c>
      <c r="ID91" s="439">
        <f t="shared" si="99"/>
        <v>0</v>
      </c>
      <c r="IE91" s="446">
        <f t="shared" si="99"/>
        <v>0</v>
      </c>
      <c r="IF91" s="445">
        <f t="shared" si="100"/>
        <v>0</v>
      </c>
      <c r="IG91" s="439">
        <f>IA91+ID91</f>
        <v>0</v>
      </c>
      <c r="IH91" s="440">
        <f>IB91+IE91</f>
        <v>0</v>
      </c>
      <c r="II91" s="1"/>
      <c r="IJ91" s="1"/>
      <c r="IK91" s="1"/>
    </row>
    <row r="92" s="4" customFormat="1" ht="13.5">
      <c r="A92" s="437"/>
      <c r="B92" s="437"/>
      <c r="C92" s="248"/>
      <c r="D92" s="331">
        <f>D91*100/$AX91</f>
        <v>0</v>
      </c>
      <c r="E92" s="331">
        <f>E91*100/$AX91</f>
        <v>0</v>
      </c>
      <c r="F92" s="250"/>
      <c r="G92" s="254"/>
      <c r="H92" s="250"/>
      <c r="I92" s="254"/>
      <c r="J92" s="250"/>
      <c r="K92" s="333"/>
      <c r="L92" s="258"/>
      <c r="M92" s="333">
        <f>M91*100/$AX91</f>
        <v>81.42713275621341</v>
      </c>
      <c r="N92" s="258"/>
      <c r="O92" s="333"/>
      <c r="P92" s="250"/>
      <c r="Q92" s="333">
        <f>Q91*100/$AX91</f>
        <v>2.9842415668443656</v>
      </c>
      <c r="R92" s="250"/>
      <c r="S92" s="333">
        <f>S91*100/$AX91</f>
        <v>0.81673130206452693</v>
      </c>
      <c r="T92" s="250"/>
      <c r="U92" s="333"/>
      <c r="V92" s="250"/>
      <c r="W92" s="333"/>
      <c r="X92" s="250"/>
      <c r="Y92" s="333"/>
      <c r="Z92" s="250"/>
      <c r="AA92" s="333">
        <f>AA91*100/$AX91</f>
        <v>14.34000591739003</v>
      </c>
      <c r="AB92" s="250"/>
      <c r="AC92" s="253"/>
      <c r="AD92" s="250"/>
      <c r="AE92" s="333"/>
      <c r="AF92" s="250"/>
      <c r="AG92" s="254"/>
      <c r="AH92" s="250"/>
      <c r="AI92" s="333"/>
      <c r="AJ92" s="250"/>
      <c r="AK92" s="333"/>
      <c r="AL92" s="258"/>
      <c r="AM92" s="333"/>
      <c r="AN92" s="250"/>
      <c r="AO92" s="332"/>
      <c r="AP92" s="250"/>
      <c r="AQ92" s="336"/>
      <c r="AR92" s="258"/>
      <c r="AS92" s="336">
        <f>AS91*100/$AX91</f>
        <v>0.43188845748766941</v>
      </c>
      <c r="AT92" s="703"/>
      <c r="AU92" s="253"/>
      <c r="AV92" s="253"/>
      <c r="AW92" s="253"/>
      <c r="AX92" s="336">
        <f>SUM(D92:AW92)</f>
        <v>100</v>
      </c>
      <c r="AY92" s="288">
        <f t="shared" si="37"/>
        <v>100</v>
      </c>
      <c r="AZ92" s="288">
        <f t="shared" si="62"/>
        <v>100</v>
      </c>
      <c r="BA92" s="288">
        <f t="shared" si="63"/>
        <v>100</v>
      </c>
      <c r="BB92" s="337"/>
      <c r="BC92" s="290"/>
      <c r="BD92" s="365"/>
      <c r="BE92" s="286"/>
      <c r="BF92" s="741"/>
      <c r="BG92" s="287"/>
      <c r="BH92" s="259"/>
      <c r="BI92" s="259"/>
      <c r="BJ92" s="257"/>
      <c r="BK92" s="293"/>
      <c r="BL92" s="293"/>
      <c r="BM92" s="257"/>
      <c r="BN92" s="257"/>
      <c r="BO92" s="709"/>
      <c r="BP92" s="257"/>
      <c r="BQ92" s="285"/>
      <c r="BR92" s="773" t="s">
        <v>258</v>
      </c>
      <c r="BS92" s="1"/>
      <c r="BT92" s="1"/>
      <c r="BU92" s="1"/>
      <c r="BV92" s="1"/>
      <c r="BW92" s="261"/>
      <c r="BX92" s="762"/>
      <c r="BY92" s="762"/>
      <c r="BZ92" s="767"/>
      <c r="CA92" s="767"/>
      <c r="CB92" s="730"/>
      <c r="CC92" s="762"/>
      <c r="CD92" s="762"/>
      <c r="CE92" s="762"/>
      <c r="CF92" s="730"/>
      <c r="CG92" s="762"/>
      <c r="CH92" s="762"/>
      <c r="CI92" s="762"/>
      <c r="CJ92" s="762"/>
      <c r="CK92" s="762"/>
      <c r="CL92" s="762"/>
      <c r="CM92" s="762"/>
      <c r="CN92" s="762"/>
      <c r="CO92" s="765"/>
      <c r="CP92" s="5"/>
      <c r="CQ92" s="766"/>
      <c r="CR92" s="370"/>
      <c r="CS92" s="558"/>
      <c r="CT92" s="10"/>
      <c r="CU92" s="10"/>
      <c r="CV92" s="10"/>
      <c r="CW92" s="122"/>
      <c r="CX92" s="11"/>
      <c r="CY92" s="11"/>
      <c r="DA92" s="774"/>
      <c r="DB92" s="775"/>
      <c r="DC92" s="775"/>
      <c r="DD92" s="776"/>
      <c r="DE92" s="776"/>
      <c r="DF92" s="776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437"/>
      <c r="EG92" s="437"/>
      <c r="EH92" s="280"/>
      <c r="EI92" s="280"/>
      <c r="EJ92" s="1"/>
      <c r="EK92" s="1"/>
      <c r="EL92" s="1"/>
      <c r="EM92" s="1"/>
      <c r="EN92" s="37"/>
      <c r="EO92" s="1"/>
      <c r="EP92" s="1"/>
      <c r="EQ92" s="1"/>
      <c r="ER92" s="1"/>
      <c r="ES92" s="38"/>
      <c r="ET92" s="1"/>
      <c r="EU92" s="1"/>
      <c r="EV92" s="1"/>
      <c r="EW92" s="1"/>
      <c r="EX92" s="1"/>
      <c r="EY92" s="1"/>
      <c r="EZ92" s="356">
        <f t="shared" si="107"/>
        <v>0</v>
      </c>
      <c r="FA92" s="357">
        <f t="shared" si="89"/>
        <v>0</v>
      </c>
      <c r="FB92" s="1">
        <f t="shared" si="89"/>
        <v>0</v>
      </c>
      <c r="FC92" s="281">
        <f t="shared" si="89"/>
        <v>0</v>
      </c>
      <c r="FD92" s="281">
        <f t="shared" si="89"/>
        <v>0</v>
      </c>
      <c r="FE92" s="38">
        <f t="shared" si="89"/>
        <v>0</v>
      </c>
      <c r="FF92" s="281"/>
      <c r="FG92" s="281"/>
      <c r="FH92" s="1"/>
      <c r="FI92" s="281"/>
      <c r="FJ92" s="281"/>
      <c r="FK92" s="1"/>
      <c r="FL92" s="282"/>
      <c r="FM92" s="281"/>
      <c r="FN92" s="1"/>
      <c r="FO92" s="281"/>
      <c r="FP92" s="281"/>
      <c r="FQ92" s="38"/>
      <c r="FR92" s="282"/>
      <c r="FS92" s="281"/>
      <c r="FT92" s="1"/>
      <c r="FU92" s="281"/>
      <c r="FV92" s="281"/>
      <c r="FW92" s="38"/>
      <c r="FX92" s="443"/>
      <c r="FY92" s="442"/>
      <c r="FZ92" s="442"/>
      <c r="GA92" s="281"/>
      <c r="GB92" s="281"/>
      <c r="GC92" s="38"/>
      <c r="GD92" s="282"/>
      <c r="GE92" s="281"/>
      <c r="GF92" s="1"/>
      <c r="GG92" s="281"/>
      <c r="GH92" s="281"/>
      <c r="GI92" s="38"/>
      <c r="GJ92" s="282"/>
      <c r="GK92" s="281"/>
      <c r="GL92" s="1"/>
      <c r="GM92" s="281"/>
      <c r="GN92" s="281"/>
      <c r="GO92" s="38"/>
      <c r="GP92" s="282"/>
      <c r="GQ92" s="281"/>
      <c r="GR92" s="1"/>
      <c r="GS92" s="281"/>
      <c r="GT92" s="281"/>
      <c r="GU92" s="38"/>
      <c r="GV92" s="323">
        <f t="shared" si="106"/>
        <v>0</v>
      </c>
      <c r="GW92" s="322">
        <f t="shared" si="106"/>
        <v>0</v>
      </c>
      <c r="GX92" s="322">
        <f t="shared" si="106"/>
        <v>0</v>
      </c>
      <c r="GY92" s="322">
        <f t="shared" si="106"/>
        <v>0</v>
      </c>
      <c r="GZ92" s="322">
        <f t="shared" si="106"/>
        <v>0</v>
      </c>
      <c r="HA92" s="326">
        <f t="shared" si="106"/>
        <v>0</v>
      </c>
      <c r="HB92" s="282"/>
      <c r="HC92" s="281"/>
      <c r="HD92" s="1"/>
      <c r="HE92" s="281"/>
      <c r="HF92" s="281"/>
      <c r="HG92" s="38"/>
      <c r="HH92" s="282"/>
      <c r="HI92" s="281"/>
      <c r="HJ92" s="1"/>
      <c r="HK92" s="281"/>
      <c r="HL92" s="281"/>
      <c r="HM92" s="38"/>
      <c r="HN92" s="282"/>
      <c r="HO92" s="281"/>
      <c r="HP92" s="1"/>
      <c r="HQ92" s="281"/>
      <c r="HR92" s="281"/>
      <c r="HS92" s="38"/>
      <c r="HT92" s="307"/>
      <c r="HU92" s="439"/>
      <c r="HV92" s="440"/>
      <c r="HW92" s="439"/>
      <c r="HX92" s="439"/>
      <c r="HY92" s="446"/>
      <c r="HZ92" s="445"/>
      <c r="IA92" s="439"/>
      <c r="IB92" s="440"/>
      <c r="IC92" s="439"/>
      <c r="ID92" s="439"/>
      <c r="IE92" s="446"/>
      <c r="IF92" s="445"/>
      <c r="IG92" s="439"/>
      <c r="IH92" s="440"/>
      <c r="II92" s="1"/>
      <c r="IJ92" s="1"/>
      <c r="IK92" s="1"/>
    </row>
    <row r="93" s="521" customFormat="1" ht="13.5">
      <c r="A93" s="778" t="s">
        <v>259</v>
      </c>
      <c r="B93" s="778"/>
      <c r="C93" s="248">
        <f>C77+C88+C91</f>
        <v>270006</v>
      </c>
      <c r="D93" s="249">
        <f>D77+D88+D91</f>
        <v>31963.040000000001</v>
      </c>
      <c r="E93" s="249">
        <f>E77+E88+E91</f>
        <v>238042.95999999999</v>
      </c>
      <c r="F93" s="641">
        <f>F70+F72+F88+F77</f>
        <v>0</v>
      </c>
      <c r="G93" s="644">
        <f>G77+G88+G91</f>
        <v>0</v>
      </c>
      <c r="H93" s="641"/>
      <c r="I93" s="644">
        <f>I77+I88+I91</f>
        <v>0</v>
      </c>
      <c r="J93" s="641"/>
      <c r="K93" s="641">
        <f>K77+K88+K91</f>
        <v>222366.89446184834</v>
      </c>
      <c r="L93" s="641"/>
      <c r="M93" s="641">
        <f>M77+M88+M91</f>
        <v>304085.99519393727</v>
      </c>
      <c r="N93" s="641"/>
      <c r="O93" s="641">
        <f>O77+O88+O91</f>
        <v>26532.648146553409</v>
      </c>
      <c r="P93" s="641"/>
      <c r="Q93" s="641">
        <f>Q77+Q88+Q91</f>
        <v>327638.6369991902</v>
      </c>
      <c r="R93" s="641"/>
      <c r="S93" s="641">
        <f>S77+S88+S91</f>
        <v>4839.4508949064393</v>
      </c>
      <c r="T93" s="641"/>
      <c r="U93" s="641">
        <f>U77+U88+U91</f>
        <v>62431.394157627627</v>
      </c>
      <c r="V93" s="641"/>
      <c r="W93" s="641">
        <f>W77+W88+W91</f>
        <v>3458.1666855194171</v>
      </c>
      <c r="X93" s="641"/>
      <c r="Y93" s="641">
        <f>Y77+Y88+Y91</f>
        <v>27150.868276308698</v>
      </c>
      <c r="Z93" s="641"/>
      <c r="AA93" s="641">
        <f>AA77+AA88+AA91</f>
        <v>13345.207276368741</v>
      </c>
      <c r="AB93" s="641"/>
      <c r="AC93" s="641"/>
      <c r="AD93" s="641"/>
      <c r="AE93" s="641">
        <f>AE77+AE88+AE91</f>
        <v>0</v>
      </c>
      <c r="AF93" s="641"/>
      <c r="AG93" s="644">
        <f>AG77+AG88+AG91</f>
        <v>0</v>
      </c>
      <c r="AH93" s="641"/>
      <c r="AI93" s="641">
        <f>AI77+AI88+AI91</f>
        <v>0</v>
      </c>
      <c r="AJ93" s="641"/>
      <c r="AK93" s="641">
        <f>AK77+AK88+AK91</f>
        <v>0</v>
      </c>
      <c r="AL93" s="641"/>
      <c r="AM93" s="641">
        <f>AM77+AM88+AM91</f>
        <v>0</v>
      </c>
      <c r="AN93" s="641"/>
      <c r="AO93" s="779">
        <f>AO77+AO88+AO91</f>
        <v>0</v>
      </c>
      <c r="AP93" s="641"/>
      <c r="AQ93" s="644">
        <f>AQ77+AQ88+AQ91</f>
        <v>36393.030578255617</v>
      </c>
      <c r="AR93" s="641"/>
      <c r="AS93" s="644">
        <f>AS77+AS88+AS91</f>
        <v>8461.6290201615739</v>
      </c>
      <c r="AT93" s="780"/>
      <c r="AU93" s="641">
        <f>AU77+AU88+AU91</f>
        <v>0</v>
      </c>
      <c r="AV93" s="641">
        <f>AV77+AV88+AV91</f>
        <v>0</v>
      </c>
      <c r="AW93" s="641">
        <f>AW77+AW88+AW91</f>
        <v>0</v>
      </c>
      <c r="AX93" s="644">
        <f>AX77+AX88+AX91</f>
        <v>1306709.9216906773</v>
      </c>
      <c r="AY93" s="288">
        <f t="shared" si="37"/>
        <v>1036703.9216906773</v>
      </c>
      <c r="AZ93" s="288">
        <f t="shared" si="62"/>
        <v>1036703.9216906773</v>
      </c>
      <c r="BA93" s="288">
        <f t="shared" si="63"/>
        <v>1036703.9216906773</v>
      </c>
      <c r="BB93" s="781">
        <f>BB77+BB88+BB91+BB89</f>
        <v>170870</v>
      </c>
      <c r="BC93" s="782">
        <f t="shared" si="80"/>
        <v>7.647392296428146</v>
      </c>
      <c r="BD93" s="627">
        <f>'зарплата'!CH89</f>
        <v>27729698.346583582</v>
      </c>
      <c r="BE93" s="783" t="e">
        <f>BE77+BE88+BE89+BE91</f>
        <v>#REF!</v>
      </c>
      <c r="BF93" s="784">
        <f>BF77+BF88+BF91+BF90+BF92+BF89</f>
        <v>0</v>
      </c>
      <c r="BG93" s="641">
        <f>BG77+BG88+BG91+BG90+BG92+BG89</f>
        <v>0</v>
      </c>
      <c r="BH93" s="641">
        <f>BH77+BH88+BH91+BH90+BH92+BH89+BH78+BH79+BH80+BH81+BH82+BH83</f>
        <v>0</v>
      </c>
      <c r="BI93" s="641">
        <f>BI77+BI88+BI91+BI90+BI92+BI89</f>
        <v>0</v>
      </c>
      <c r="BJ93" s="641"/>
      <c r="BK93" s="641">
        <f>BK77+BK88+BK91+BK89</f>
        <v>0</v>
      </c>
      <c r="BL93" s="641">
        <f>BL77+BL88+BL91+BL89</f>
        <v>0</v>
      </c>
      <c r="BM93" s="641" t="e">
        <f>BM77+BM88+BM91+BM89</f>
        <v>#DIV/0!</v>
      </c>
      <c r="BN93" s="641" t="e">
        <f>BN77+BN88+BN91+BN89</f>
        <v>#DIV/0!</v>
      </c>
      <c r="BO93" s="641" t="e">
        <f>BO77+BO88+BO91+BO89</f>
        <v>#DIV/0!</v>
      </c>
      <c r="BP93" s="785">
        <f>BP77+BP88+BP89+BP91</f>
        <v>-1306709.9216906773</v>
      </c>
      <c r="BQ93" s="785" t="e">
        <f>BQ77+BQ88+BQ89+BQ91</f>
        <v>#REF!</v>
      </c>
      <c r="BR93" s="773"/>
      <c r="BS93" s="1"/>
      <c r="BT93" s="1"/>
      <c r="BU93" s="1"/>
      <c r="BV93" s="1"/>
      <c r="BW93" s="261"/>
      <c r="BX93" s="762"/>
      <c r="BY93" s="762"/>
      <c r="BZ93" s="767"/>
      <c r="CA93" s="767"/>
      <c r="CB93" s="730"/>
      <c r="CC93" s="762"/>
      <c r="CD93" s="762"/>
      <c r="CE93" s="762"/>
      <c r="CF93" s="730"/>
      <c r="CG93" s="762"/>
      <c r="CH93" s="762"/>
      <c r="CI93" s="762"/>
      <c r="CJ93" s="762"/>
      <c r="CK93" s="762"/>
      <c r="CL93" s="762"/>
      <c r="CM93" s="762"/>
      <c r="CN93" s="762"/>
      <c r="CO93" s="765"/>
      <c r="CP93" s="5"/>
      <c r="CQ93" s="766"/>
      <c r="CR93" s="370"/>
      <c r="CS93" s="558"/>
      <c r="CT93" s="10"/>
      <c r="CU93" s="10"/>
      <c r="CV93" s="10"/>
      <c r="CW93" s="683"/>
      <c r="CX93" s="684"/>
      <c r="CY93" s="684"/>
      <c r="DA93" s="525">
        <f t="shared" ref="DA93:DF93" si="108">SUM(DA77:DA88)</f>
        <v>63</v>
      </c>
      <c r="DB93" s="526">
        <f t="shared" si="108"/>
        <v>63</v>
      </c>
      <c r="DC93" s="526">
        <f t="shared" si="108"/>
        <v>0</v>
      </c>
      <c r="DD93" s="525">
        <f t="shared" si="108"/>
        <v>0</v>
      </c>
      <c r="DE93" s="525">
        <f t="shared" si="108"/>
        <v>0</v>
      </c>
      <c r="DF93" s="525">
        <f t="shared" si="108"/>
        <v>0</v>
      </c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786" t="s">
        <v>260</v>
      </c>
      <c r="EG93" s="786"/>
      <c r="EH93" s="787">
        <f t="shared" ref="EH93:EY93" si="109">EH77+EH88+EH89+EH91</f>
        <v>0</v>
      </c>
      <c r="EI93" s="788">
        <f t="shared" si="109"/>
        <v>0</v>
      </c>
      <c r="EJ93" s="789">
        <f t="shared" si="109"/>
        <v>0</v>
      </c>
      <c r="EK93" s="789">
        <f t="shared" si="109"/>
        <v>0</v>
      </c>
      <c r="EL93" s="789">
        <f t="shared" si="109"/>
        <v>0</v>
      </c>
      <c r="EM93" s="789">
        <f t="shared" si="109"/>
        <v>0</v>
      </c>
      <c r="EN93" s="787">
        <f t="shared" si="109"/>
        <v>0</v>
      </c>
      <c r="EO93" s="788">
        <f t="shared" si="109"/>
        <v>0</v>
      </c>
      <c r="EP93" s="789">
        <f t="shared" si="109"/>
        <v>0</v>
      </c>
      <c r="EQ93" s="789">
        <f t="shared" si="109"/>
        <v>0</v>
      </c>
      <c r="ER93" s="789">
        <f t="shared" si="109"/>
        <v>0</v>
      </c>
      <c r="ES93" s="789">
        <f t="shared" si="109"/>
        <v>0</v>
      </c>
      <c r="ET93" s="787">
        <f t="shared" si="109"/>
        <v>0</v>
      </c>
      <c r="EU93" s="788">
        <f t="shared" si="109"/>
        <v>0</v>
      </c>
      <c r="EV93" s="789">
        <f t="shared" si="109"/>
        <v>0</v>
      </c>
      <c r="EW93" s="789">
        <f t="shared" si="109"/>
        <v>0</v>
      </c>
      <c r="EX93" s="789">
        <f t="shared" si="109"/>
        <v>0</v>
      </c>
      <c r="EY93" s="789">
        <f t="shared" si="109"/>
        <v>0</v>
      </c>
      <c r="EZ93" s="790">
        <f t="shared" ref="EZ93:FE93" si="110">EZ77+EZ88+EZ89+EZ91</f>
        <v>0</v>
      </c>
      <c r="FA93" s="791">
        <f t="shared" si="110"/>
        <v>0</v>
      </c>
      <c r="FB93" s="792">
        <f t="shared" si="110"/>
        <v>0</v>
      </c>
      <c r="FC93" s="791">
        <f t="shared" si="110"/>
        <v>0</v>
      </c>
      <c r="FD93" s="791">
        <f t="shared" si="110"/>
        <v>0</v>
      </c>
      <c r="FE93" s="793">
        <f t="shared" si="110"/>
        <v>0</v>
      </c>
      <c r="FF93" s="790">
        <f t="shared" ref="FF93:HK93" si="111">FF77+FF88+FF89+FF91</f>
        <v>0</v>
      </c>
      <c r="FG93" s="791">
        <f t="shared" si="111"/>
        <v>0</v>
      </c>
      <c r="FH93" s="792">
        <f t="shared" si="111"/>
        <v>0</v>
      </c>
      <c r="FI93" s="791">
        <f t="shared" si="111"/>
        <v>0</v>
      </c>
      <c r="FJ93" s="791">
        <f t="shared" si="111"/>
        <v>0</v>
      </c>
      <c r="FK93" s="793">
        <f t="shared" si="111"/>
        <v>0</v>
      </c>
      <c r="FL93" s="790">
        <f t="shared" si="111"/>
        <v>0</v>
      </c>
      <c r="FM93" s="791">
        <f t="shared" si="111"/>
        <v>0</v>
      </c>
      <c r="FN93" s="792">
        <f t="shared" si="111"/>
        <v>0</v>
      </c>
      <c r="FO93" s="791">
        <f t="shared" si="111"/>
        <v>0</v>
      </c>
      <c r="FP93" s="791">
        <f t="shared" si="111"/>
        <v>0</v>
      </c>
      <c r="FQ93" s="793">
        <f t="shared" si="111"/>
        <v>0</v>
      </c>
      <c r="FR93" s="790">
        <f t="shared" si="111"/>
        <v>0</v>
      </c>
      <c r="FS93" s="791">
        <f t="shared" si="111"/>
        <v>0</v>
      </c>
      <c r="FT93" s="792">
        <f t="shared" si="111"/>
        <v>0</v>
      </c>
      <c r="FU93" s="791">
        <f t="shared" si="111"/>
        <v>0</v>
      </c>
      <c r="FV93" s="791">
        <f t="shared" si="111"/>
        <v>0</v>
      </c>
      <c r="FW93" s="793">
        <f t="shared" si="111"/>
        <v>0</v>
      </c>
      <c r="FX93" s="790">
        <f t="shared" si="111"/>
        <v>0</v>
      </c>
      <c r="FY93" s="791">
        <f t="shared" si="111"/>
        <v>0</v>
      </c>
      <c r="FZ93" s="792">
        <f t="shared" si="111"/>
        <v>0</v>
      </c>
      <c r="GA93" s="791">
        <f t="shared" si="111"/>
        <v>0</v>
      </c>
      <c r="GB93" s="791">
        <f t="shared" si="111"/>
        <v>0</v>
      </c>
      <c r="GC93" s="793">
        <f t="shared" si="111"/>
        <v>0</v>
      </c>
      <c r="GD93" s="790">
        <f t="shared" si="111"/>
        <v>0</v>
      </c>
      <c r="GE93" s="791">
        <f t="shared" si="111"/>
        <v>0</v>
      </c>
      <c r="GF93" s="792">
        <f t="shared" si="111"/>
        <v>0</v>
      </c>
      <c r="GG93" s="791">
        <f t="shared" si="111"/>
        <v>0</v>
      </c>
      <c r="GH93" s="791">
        <f t="shared" si="111"/>
        <v>0</v>
      </c>
      <c r="GI93" s="793">
        <f t="shared" si="111"/>
        <v>0</v>
      </c>
      <c r="GJ93" s="790">
        <f t="shared" si="111"/>
        <v>0</v>
      </c>
      <c r="GK93" s="791">
        <f t="shared" si="111"/>
        <v>0</v>
      </c>
      <c r="GL93" s="792">
        <f t="shared" si="111"/>
        <v>0</v>
      </c>
      <c r="GM93" s="791">
        <f t="shared" si="111"/>
        <v>0</v>
      </c>
      <c r="GN93" s="791">
        <f t="shared" si="111"/>
        <v>0</v>
      </c>
      <c r="GO93" s="793">
        <f t="shared" si="111"/>
        <v>0</v>
      </c>
      <c r="GP93" s="790">
        <f>GP77+GP95+GP89+GP91</f>
        <v>0</v>
      </c>
      <c r="GQ93" s="791">
        <f t="shared" si="111"/>
        <v>0</v>
      </c>
      <c r="GR93" s="792">
        <f t="shared" si="111"/>
        <v>0</v>
      </c>
      <c r="GS93" s="791">
        <f t="shared" si="111"/>
        <v>0</v>
      </c>
      <c r="GT93" s="791">
        <f t="shared" si="111"/>
        <v>0</v>
      </c>
      <c r="GU93" s="793">
        <f t="shared" si="111"/>
        <v>0</v>
      </c>
      <c r="GV93" s="790">
        <f t="shared" si="111"/>
        <v>0</v>
      </c>
      <c r="GW93" s="791">
        <f t="shared" si="111"/>
        <v>0</v>
      </c>
      <c r="GX93" s="792">
        <f t="shared" si="111"/>
        <v>0</v>
      </c>
      <c r="GY93" s="791">
        <f t="shared" si="111"/>
        <v>0</v>
      </c>
      <c r="GZ93" s="791">
        <f t="shared" si="111"/>
        <v>0</v>
      </c>
      <c r="HA93" s="793">
        <f t="shared" si="111"/>
        <v>0</v>
      </c>
      <c r="HB93" s="790">
        <f t="shared" si="111"/>
        <v>0</v>
      </c>
      <c r="HC93" s="792">
        <f t="shared" si="111"/>
        <v>0</v>
      </c>
      <c r="HD93" s="792">
        <f t="shared" si="111"/>
        <v>0</v>
      </c>
      <c r="HE93" s="791">
        <f t="shared" si="111"/>
        <v>0</v>
      </c>
      <c r="HF93" s="791">
        <f t="shared" si="111"/>
        <v>0</v>
      </c>
      <c r="HG93" s="793">
        <f t="shared" si="111"/>
        <v>0</v>
      </c>
      <c r="HH93" s="790">
        <f t="shared" si="111"/>
        <v>0</v>
      </c>
      <c r="HI93" s="791">
        <f t="shared" si="111"/>
        <v>0</v>
      </c>
      <c r="HJ93" s="792">
        <f t="shared" si="111"/>
        <v>0</v>
      </c>
      <c r="HK93" s="791">
        <f t="shared" si="111"/>
        <v>0</v>
      </c>
      <c r="HL93" s="791">
        <f t="shared" ref="HL93:IH93" si="112">HL77+HL88+HL89+HL91</f>
        <v>0</v>
      </c>
      <c r="HM93" s="793">
        <f t="shared" si="112"/>
        <v>0</v>
      </c>
      <c r="HN93" s="790">
        <f t="shared" si="112"/>
        <v>0</v>
      </c>
      <c r="HO93" s="791">
        <f t="shared" si="112"/>
        <v>0</v>
      </c>
      <c r="HP93" s="792">
        <f t="shared" si="112"/>
        <v>0</v>
      </c>
      <c r="HQ93" s="791">
        <f t="shared" si="112"/>
        <v>0</v>
      </c>
      <c r="HR93" s="791">
        <f t="shared" si="112"/>
        <v>0</v>
      </c>
      <c r="HS93" s="793">
        <f t="shared" si="112"/>
        <v>0</v>
      </c>
      <c r="HT93" s="790">
        <f t="shared" si="112"/>
        <v>0</v>
      </c>
      <c r="HU93" s="791">
        <f t="shared" si="112"/>
        <v>0</v>
      </c>
      <c r="HV93" s="792">
        <f t="shared" si="112"/>
        <v>0</v>
      </c>
      <c r="HW93" s="791">
        <f t="shared" si="112"/>
        <v>0</v>
      </c>
      <c r="HX93" s="791">
        <f t="shared" si="112"/>
        <v>0</v>
      </c>
      <c r="HY93" s="793">
        <f t="shared" si="112"/>
        <v>0</v>
      </c>
      <c r="HZ93" s="790">
        <f t="shared" si="112"/>
        <v>0</v>
      </c>
      <c r="IA93" s="791">
        <f t="shared" si="112"/>
        <v>0</v>
      </c>
      <c r="IB93" s="792">
        <f t="shared" si="112"/>
        <v>0</v>
      </c>
      <c r="IC93" s="791">
        <f t="shared" si="112"/>
        <v>0</v>
      </c>
      <c r="ID93" s="791">
        <f t="shared" si="112"/>
        <v>0</v>
      </c>
      <c r="IE93" s="793">
        <f t="shared" si="112"/>
        <v>0</v>
      </c>
      <c r="IF93" s="790">
        <f t="shared" si="112"/>
        <v>0</v>
      </c>
      <c r="IG93" s="791">
        <f t="shared" si="112"/>
        <v>0</v>
      </c>
      <c r="IH93" s="792">
        <f t="shared" si="112"/>
        <v>0</v>
      </c>
      <c r="II93" s="1"/>
      <c r="IJ93" s="1"/>
      <c r="IK93" s="1"/>
    </row>
    <row r="94" s="521" customFormat="1" ht="13.5">
      <c r="A94" s="794"/>
      <c r="B94" s="794"/>
      <c r="C94" s="248"/>
      <c r="D94" s="627">
        <f>D93*100/$AX$93</f>
        <v>2.446070047332682</v>
      </c>
      <c r="E94" s="627">
        <f>E93*100/$AX$93</f>
        <v>18.216970426918458</v>
      </c>
      <c r="F94" s="641"/>
      <c r="G94" s="644"/>
      <c r="H94" s="641"/>
      <c r="I94" s="644"/>
      <c r="J94" s="641"/>
      <c r="K94" s="626">
        <f>K93*100/$AX$93</f>
        <v>17.017311246411943</v>
      </c>
      <c r="L94" s="641"/>
      <c r="M94" s="626">
        <f>M93*100/$AX$93</f>
        <v>23.271117035714994</v>
      </c>
      <c r="N94" s="641"/>
      <c r="O94" s="626">
        <f>O93*100/$AX$93</f>
        <v>2.0304925910583376</v>
      </c>
      <c r="P94" s="641"/>
      <c r="Q94" s="626">
        <f>Q93*100/$AX$93</f>
        <v>25.073555466333129</v>
      </c>
      <c r="R94" s="626"/>
      <c r="S94" s="626">
        <f>S93*100/$AX$93</f>
        <v>0.37035387996786234</v>
      </c>
      <c r="T94" s="626"/>
      <c r="U94" s="626">
        <f>U93*100/$AX$93</f>
        <v>4.7777546585742012</v>
      </c>
      <c r="V94" s="626"/>
      <c r="W94" s="626">
        <f>W93*100/$AX$93</f>
        <v>0.26464685299435797</v>
      </c>
      <c r="X94" s="626"/>
      <c r="Y94" s="626">
        <f>Y93*100/$AX$93</f>
        <v>2.0778037899321791</v>
      </c>
      <c r="Z94" s="626"/>
      <c r="AA94" s="626">
        <f>AA93*100/$AX$93</f>
        <v>1.0212830755200926</v>
      </c>
      <c r="AB94" s="626"/>
      <c r="AC94" s="626"/>
      <c r="AD94" s="626"/>
      <c r="AE94" s="626"/>
      <c r="AF94" s="626"/>
      <c r="AG94" s="795"/>
      <c r="AH94" s="626"/>
      <c r="AI94" s="626"/>
      <c r="AJ94" s="626"/>
      <c r="AK94" s="626"/>
      <c r="AL94" s="626"/>
      <c r="AM94" s="626"/>
      <c r="AN94" s="626"/>
      <c r="AO94" s="639"/>
      <c r="AP94" s="626"/>
      <c r="AQ94" s="795">
        <f>AQ93*100/$AX$93</f>
        <v>2.7850887158772588</v>
      </c>
      <c r="AR94" s="626"/>
      <c r="AS94" s="795">
        <f>AS93*100/$AX$93</f>
        <v>0.64755221336450519</v>
      </c>
      <c r="AT94" s="796"/>
      <c r="AU94" s="626">
        <f>AU93*100/$AX$93</f>
        <v>0</v>
      </c>
      <c r="AV94" s="640"/>
      <c r="AW94" s="640"/>
      <c r="AX94" s="797">
        <f>SUM(D94:AW94)</f>
        <v>100</v>
      </c>
      <c r="AY94" s="288">
        <f t="shared" si="37"/>
        <v>100</v>
      </c>
      <c r="AZ94" s="288">
        <f t="shared" si="62"/>
        <v>100</v>
      </c>
      <c r="BA94" s="288">
        <f t="shared" si="63"/>
        <v>100</v>
      </c>
      <c r="BB94" s="798"/>
      <c r="BC94" s="782"/>
      <c r="BD94" s="779"/>
      <c r="BE94" s="779"/>
      <c r="BF94" s="784"/>
      <c r="BG94" s="641"/>
      <c r="BH94" s="641"/>
      <c r="BI94" s="641"/>
      <c r="BJ94" s="641"/>
      <c r="BK94" s="641"/>
      <c r="BL94" s="641"/>
      <c r="BM94" s="641"/>
      <c r="BN94" s="641"/>
      <c r="BO94" s="258"/>
      <c r="BP94" s="258"/>
      <c r="BQ94" s="285"/>
      <c r="BR94" s="773"/>
      <c r="BS94" s="1"/>
      <c r="BT94" s="1"/>
      <c r="BU94" s="1"/>
      <c r="BV94" s="1"/>
      <c r="BW94" s="261"/>
      <c r="BX94" s="762"/>
      <c r="BY94" s="762"/>
      <c r="BZ94" s="767"/>
      <c r="CA94" s="767"/>
      <c r="CB94" s="730"/>
      <c r="CC94" s="762"/>
      <c r="CD94" s="762"/>
      <c r="CE94" s="762"/>
      <c r="CF94" s="730"/>
      <c r="CG94" s="762"/>
      <c r="CH94" s="762"/>
      <c r="CI94" s="762"/>
      <c r="CJ94" s="762"/>
      <c r="CK94" s="762"/>
      <c r="CL94" s="762"/>
      <c r="CM94" s="762"/>
      <c r="CN94" s="762"/>
      <c r="CO94" s="765"/>
      <c r="CP94" s="5"/>
      <c r="CQ94" s="766"/>
      <c r="CR94" s="370"/>
      <c r="CS94" s="558"/>
      <c r="CT94" s="10"/>
      <c r="CU94" s="10"/>
      <c r="CV94" s="10"/>
      <c r="CW94" s="683"/>
      <c r="CX94" s="684"/>
      <c r="CY94" s="684"/>
      <c r="DA94" s="799"/>
      <c r="DB94" s="618"/>
      <c r="DC94" s="618"/>
      <c r="DD94" s="799"/>
      <c r="DE94" s="799"/>
      <c r="DF94" s="799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800"/>
      <c r="EG94" s="794"/>
      <c r="EH94" s="280"/>
      <c r="EI94" s="280"/>
      <c r="EJ94" s="1"/>
      <c r="EK94" s="1"/>
      <c r="EL94" s="1"/>
      <c r="EM94" s="1"/>
      <c r="EN94" s="37"/>
      <c r="EO94" s="1"/>
      <c r="EP94" s="1"/>
      <c r="EQ94" s="1"/>
      <c r="ER94" s="1"/>
      <c r="ES94" s="38"/>
      <c r="ET94" s="1"/>
      <c r="EU94" s="1"/>
      <c r="EV94" s="1"/>
      <c r="EW94" s="1"/>
      <c r="EX94" s="1"/>
      <c r="EY94" s="1"/>
      <c r="EZ94" s="356"/>
      <c r="FA94" s="357"/>
      <c r="FB94" s="1"/>
      <c r="FC94" s="281"/>
      <c r="FD94" s="281"/>
      <c r="FE94" s="38"/>
      <c r="FF94" s="281"/>
      <c r="FG94" s="281"/>
      <c r="FH94" s="1"/>
      <c r="FI94" s="281"/>
      <c r="FJ94" s="281"/>
      <c r="FK94" s="1"/>
      <c r="FL94" s="282"/>
      <c r="FM94" s="281"/>
      <c r="FN94" s="1"/>
      <c r="FO94" s="281"/>
      <c r="FP94" s="281"/>
      <c r="FQ94" s="38"/>
      <c r="FR94" s="282"/>
      <c r="FS94" s="281"/>
      <c r="FT94" s="1"/>
      <c r="FU94" s="281"/>
      <c r="FV94" s="281"/>
      <c r="FW94" s="38"/>
      <c r="FX94" s="282"/>
      <c r="FY94" s="281"/>
      <c r="FZ94" s="1"/>
      <c r="GA94" s="281"/>
      <c r="GB94" s="281"/>
      <c r="GC94" s="38"/>
      <c r="GD94" s="282"/>
      <c r="GE94" s="281"/>
      <c r="GF94" s="1"/>
      <c r="GG94" s="281"/>
      <c r="GH94" s="281"/>
      <c r="GI94" s="38"/>
      <c r="GJ94" s="282"/>
      <c r="GK94" s="281"/>
      <c r="GL94" s="1"/>
      <c r="GM94" s="281"/>
      <c r="GN94" s="281"/>
      <c r="GO94" s="38"/>
      <c r="GP94" s="282"/>
      <c r="GQ94" s="281"/>
      <c r="GR94" s="1"/>
      <c r="GS94" s="281"/>
      <c r="GT94" s="281"/>
      <c r="GU94" s="38"/>
      <c r="GV94" s="282"/>
      <c r="GW94" s="281"/>
      <c r="GX94" s="1"/>
      <c r="GY94" s="281"/>
      <c r="GZ94" s="281"/>
      <c r="HA94" s="38"/>
      <c r="HB94" s="282"/>
      <c r="HC94" s="281"/>
      <c r="HD94" s="1"/>
      <c r="HE94" s="281"/>
      <c r="HF94" s="281"/>
      <c r="HG94" s="38"/>
      <c r="HH94" s="282"/>
      <c r="HI94" s="281"/>
      <c r="HJ94" s="1"/>
      <c r="HK94" s="281"/>
      <c r="HL94" s="281"/>
      <c r="HM94" s="38"/>
      <c r="HN94" s="282"/>
      <c r="HO94" s="281"/>
      <c r="HP94" s="1"/>
      <c r="HQ94" s="281"/>
      <c r="HR94" s="281"/>
      <c r="HS94" s="38"/>
      <c r="HT94" s="37"/>
      <c r="HU94" s="1"/>
      <c r="HV94" s="1"/>
      <c r="HW94" s="1"/>
      <c r="HX94" s="1"/>
      <c r="HY94" s="1"/>
      <c r="HZ94" s="535"/>
      <c r="IA94" s="280"/>
      <c r="IB94" s="1"/>
      <c r="IC94" s="280"/>
      <c r="ID94" s="280"/>
      <c r="IE94" s="40"/>
      <c r="IF94" s="535"/>
      <c r="IG94" s="280"/>
      <c r="IH94" s="1"/>
      <c r="II94" s="1"/>
      <c r="IJ94" s="1"/>
      <c r="IK94" s="1"/>
    </row>
    <row r="95" ht="13.5">
      <c r="A95" s="247"/>
      <c r="B95" s="414" t="s">
        <v>252</v>
      </c>
      <c r="C95" s="248"/>
      <c r="D95" s="331"/>
      <c r="E95" s="331"/>
      <c r="F95" s="250"/>
      <c r="G95" s="251"/>
      <c r="H95" s="250"/>
      <c r="I95" s="251"/>
      <c r="J95" s="250"/>
      <c r="K95" s="331"/>
      <c r="L95" s="258"/>
      <c r="M95" s="333"/>
      <c r="N95" s="258"/>
      <c r="O95" s="331"/>
      <c r="P95" s="250"/>
      <c r="Q95" s="331"/>
      <c r="R95" s="250"/>
      <c r="S95" s="331"/>
      <c r="T95" s="250"/>
      <c r="U95" s="331"/>
      <c r="V95" s="250"/>
      <c r="W95" s="331"/>
      <c r="X95" s="250"/>
      <c r="Y95" s="331"/>
      <c r="Z95" s="250"/>
      <c r="AA95" s="331"/>
      <c r="AB95" s="250"/>
      <c r="AC95" s="252"/>
      <c r="AD95" s="250"/>
      <c r="AE95" s="331"/>
      <c r="AF95" s="250"/>
      <c r="AG95" s="251"/>
      <c r="AH95" s="250"/>
      <c r="AI95" s="333"/>
      <c r="AJ95" s="250"/>
      <c r="AK95" s="331"/>
      <c r="AL95" s="258"/>
      <c r="AM95" s="331"/>
      <c r="AN95" s="250"/>
      <c r="AO95" s="332"/>
      <c r="AP95" s="250"/>
      <c r="AQ95" s="332"/>
      <c r="AR95" s="258"/>
      <c r="AS95" s="332"/>
      <c r="AT95" s="703"/>
      <c r="AU95" s="253"/>
      <c r="AV95" s="253"/>
      <c r="AW95" s="253"/>
      <c r="AX95" s="336"/>
      <c r="AY95" s="288">
        <f t="shared" si="37"/>
        <v>0</v>
      </c>
      <c r="AZ95" s="288">
        <f t="shared" si="62"/>
        <v>0</v>
      </c>
      <c r="BA95" s="288">
        <f t="shared" si="63"/>
        <v>0</v>
      </c>
      <c r="BB95" s="337"/>
      <c r="BC95" s="290"/>
      <c r="BD95" s="286">
        <f>зарплата!CJ92</f>
        <v>22471633.837293025</v>
      </c>
      <c r="BE95" s="286" t="e">
        <f>#REF!</f>
        <v>#REF!</v>
      </c>
      <c r="BF95" s="291">
        <f t="shared" ref="BF95:BF98" si="113">HZ95</f>
        <v>0</v>
      </c>
      <c r="BG95" s="287">
        <f t="shared" ref="BG95:BG98" si="114">IB95</f>
        <v>0</v>
      </c>
      <c r="BH95" s="292"/>
      <c r="BI95" s="287"/>
      <c r="BJ95" s="257"/>
      <c r="BK95" s="293">
        <f t="shared" ref="BK95:BK98" si="115">BI95+BG95</f>
        <v>0</v>
      </c>
      <c r="BL95" s="293">
        <f>BG95*4%</f>
        <v>0</v>
      </c>
      <c r="BM95" s="287"/>
      <c r="BN95" s="257"/>
      <c r="BO95" s="217"/>
      <c r="BP95" s="260"/>
      <c r="BQ95" s="285"/>
      <c r="BR95" s="773" t="s">
        <v>261</v>
      </c>
      <c r="BW95" s="261"/>
      <c r="BX95" s="762"/>
      <c r="BY95" s="762"/>
      <c r="BZ95" s="767"/>
      <c r="CA95" s="767"/>
      <c r="CB95" s="730"/>
      <c r="CC95" s="762"/>
      <c r="CD95" s="762"/>
      <c r="CE95" s="762"/>
      <c r="CF95" s="730"/>
      <c r="CG95" s="762"/>
      <c r="CH95" s="762"/>
      <c r="CI95" s="762"/>
      <c r="CJ95" s="762"/>
      <c r="CK95" s="762"/>
      <c r="CL95" s="762"/>
      <c r="CM95" s="762"/>
      <c r="CN95" s="762"/>
      <c r="CO95" s="765"/>
      <c r="CP95" s="5"/>
      <c r="CQ95" s="766"/>
      <c r="CR95" s="370"/>
      <c r="CS95" s="558"/>
      <c r="CW95" s="122"/>
      <c r="DA95" s="269"/>
      <c r="DB95" s="270"/>
      <c r="DC95" s="270"/>
      <c r="DD95" s="271"/>
      <c r="DE95" s="271"/>
      <c r="DF95" s="271"/>
      <c r="EF95" s="247"/>
      <c r="EG95" s="414" t="s">
        <v>252</v>
      </c>
      <c r="EH95" s="315"/>
      <c r="EI95" s="316"/>
      <c r="EJ95" s="317"/>
      <c r="EK95" s="317"/>
      <c r="EL95" s="317"/>
      <c r="EM95" s="317"/>
      <c r="EN95" s="318"/>
      <c r="EO95" s="317"/>
      <c r="EP95" s="317"/>
      <c r="EQ95" s="317"/>
      <c r="ER95" s="317"/>
      <c r="ES95" s="319"/>
      <c r="ET95" s="317"/>
      <c r="EU95" s="317"/>
      <c r="EV95" s="317"/>
      <c r="EW95" s="317"/>
      <c r="EX95" s="317"/>
      <c r="EY95" s="317"/>
      <c r="EZ95" s="320">
        <f t="shared" ref="EZ95:FE98" si="116">EH95+EN95+ET95</f>
        <v>0</v>
      </c>
      <c r="FA95" s="321">
        <f t="shared" si="116"/>
        <v>0</v>
      </c>
      <c r="FB95" s="317">
        <f t="shared" si="116"/>
        <v>0</v>
      </c>
      <c r="FC95" s="322">
        <f t="shared" si="116"/>
        <v>0</v>
      </c>
      <c r="FD95" s="322">
        <f t="shared" si="116"/>
        <v>0</v>
      </c>
      <c r="FE95" s="319">
        <f t="shared" si="116"/>
        <v>0</v>
      </c>
      <c r="FF95" s="322"/>
      <c r="FG95" s="322"/>
      <c r="FH95" s="317"/>
      <c r="FI95" s="322"/>
      <c r="FJ95" s="322"/>
      <c r="FK95" s="317"/>
      <c r="FL95" s="323"/>
      <c r="FM95" s="322"/>
      <c r="FN95" s="317"/>
      <c r="FO95" s="322"/>
      <c r="FP95" s="322"/>
      <c r="FQ95" s="319"/>
      <c r="FR95" s="323"/>
      <c r="FS95" s="322"/>
      <c r="FT95" s="317"/>
      <c r="FU95" s="322"/>
      <c r="FV95" s="322"/>
      <c r="FW95" s="319"/>
      <c r="FX95" s="443">
        <f t="shared" ref="FX95:GA98" si="117">EZ95+FF95+FL95+FR95</f>
        <v>0</v>
      </c>
      <c r="FY95" s="442">
        <f t="shared" si="117"/>
        <v>0</v>
      </c>
      <c r="FZ95" s="442">
        <f t="shared" si="117"/>
        <v>0</v>
      </c>
      <c r="GA95" s="442">
        <f t="shared" si="117"/>
        <v>0</v>
      </c>
      <c r="GB95" s="442"/>
      <c r="GC95" s="279">
        <f t="shared" ref="GC95:GC98" si="118">FE95+FK95+FQ95+FW95</f>
        <v>0</v>
      </c>
      <c r="GD95" s="323"/>
      <c r="GE95" s="322"/>
      <c r="GF95" s="317"/>
      <c r="GG95" s="322"/>
      <c r="GH95" s="322"/>
      <c r="GI95" s="319"/>
      <c r="GJ95" s="323"/>
      <c r="GK95" s="322"/>
      <c r="GL95" s="317"/>
      <c r="GM95" s="322"/>
      <c r="GN95" s="322"/>
      <c r="GO95" s="319"/>
      <c r="GP95" s="443"/>
      <c r="GQ95" s="322"/>
      <c r="GR95" s="317"/>
      <c r="GS95" s="322"/>
      <c r="GT95" s="322"/>
      <c r="GU95" s="319"/>
      <c r="GV95" s="323">
        <f>GD95+GJ95+GP95</f>
        <v>0</v>
      </c>
      <c r="GW95" s="322">
        <f t="shared" ref="GV95:HA98" si="119">GE95+GK95+GQ95</f>
        <v>0</v>
      </c>
      <c r="GX95" s="322">
        <f t="shared" si="119"/>
        <v>0</v>
      </c>
      <c r="GY95" s="322">
        <f t="shared" si="119"/>
        <v>0</v>
      </c>
      <c r="GZ95" s="322">
        <f t="shared" si="119"/>
        <v>0</v>
      </c>
      <c r="HA95" s="326">
        <f t="shared" si="119"/>
        <v>0</v>
      </c>
      <c r="HB95" s="317"/>
      <c r="HC95" s="322"/>
      <c r="HD95" s="317"/>
      <c r="HE95" s="322"/>
      <c r="HF95" s="322"/>
      <c r="HG95" s="319"/>
      <c r="HH95" s="323"/>
      <c r="HI95" s="322"/>
      <c r="HJ95" s="317"/>
      <c r="HK95" s="322"/>
      <c r="HL95" s="322"/>
      <c r="HM95" s="319"/>
      <c r="HN95" s="323"/>
      <c r="HO95" s="322"/>
      <c r="HP95" s="317"/>
      <c r="HQ95" s="322"/>
      <c r="HR95" s="322"/>
      <c r="HS95" s="319"/>
      <c r="HT95" s="315">
        <f t="shared" ref="HT95:HY98" si="120">GV95+HB95+HH95+HN95</f>
        <v>0</v>
      </c>
      <c r="HU95" s="316">
        <f t="shared" si="120"/>
        <v>0</v>
      </c>
      <c r="HV95" s="317">
        <f t="shared" si="120"/>
        <v>0</v>
      </c>
      <c r="HW95" s="316">
        <f t="shared" si="120"/>
        <v>0</v>
      </c>
      <c r="HX95" s="316">
        <f t="shared" si="120"/>
        <v>0</v>
      </c>
      <c r="HY95" s="317">
        <f t="shared" si="120"/>
        <v>0</v>
      </c>
      <c r="HZ95" s="327">
        <f t="shared" ref="HZ95:IE98" si="121">FX95+HT95</f>
        <v>0</v>
      </c>
      <c r="IA95" s="316">
        <f t="shared" si="121"/>
        <v>0</v>
      </c>
      <c r="IB95" s="317">
        <f t="shared" si="121"/>
        <v>0</v>
      </c>
      <c r="IC95" s="316">
        <f t="shared" si="121"/>
        <v>0</v>
      </c>
      <c r="ID95" s="316">
        <f t="shared" si="121"/>
        <v>0</v>
      </c>
      <c r="IE95" s="328">
        <f t="shared" si="121"/>
        <v>0</v>
      </c>
      <c r="IF95" s="327">
        <f t="shared" ref="IF95:IH98" si="122">HZ95+IC95</f>
        <v>0</v>
      </c>
      <c r="IG95" s="316">
        <f t="shared" si="122"/>
        <v>0</v>
      </c>
      <c r="IH95" s="317">
        <f t="shared" si="122"/>
        <v>0</v>
      </c>
    </row>
    <row r="96" s="4" customFormat="1">
      <c r="A96" s="247" t="s">
        <v>235</v>
      </c>
      <c r="B96" s="414" t="s">
        <v>262</v>
      </c>
      <c r="C96" s="284">
        <f>D96+E96</f>
        <v>620322.43999999994</v>
      </c>
      <c r="D96" s="285">
        <f>'Расход-2026'!I1256+'Расход-2026'!I1257+'Расход-2026'!I1258+'Расход-2026'!I1259</f>
        <v>273660.73999999999</v>
      </c>
      <c r="E96" s="285">
        <f>'Расход-2026'!J1256+'Расход-2026'!J1257+'Расход-2026'!J1258+'Расход-2026'!J1259</f>
        <v>346661.70000000001</v>
      </c>
      <c r="F96" s="217">
        <f>BX72</f>
        <v>0</v>
      </c>
      <c r="G96" s="801"/>
      <c r="H96" s="217">
        <f>BY72</f>
        <v>0</v>
      </c>
      <c r="I96" s="801"/>
      <c r="J96" s="217">
        <f>BZ70</f>
        <v>0</v>
      </c>
      <c r="K96" s="287">
        <f>J96*$AX$142/$J$153</f>
        <v>0</v>
      </c>
      <c r="L96" s="258">
        <f>CA70</f>
        <v>6995</v>
      </c>
      <c r="M96" s="287">
        <f>L96*$AX$140/$L$153</f>
        <v>295797.73833703122</v>
      </c>
      <c r="N96" s="258">
        <f>CD70</f>
        <v>989</v>
      </c>
      <c r="O96" s="285">
        <f>N96*$AX$138/$N$153</f>
        <v>16198.017911692174</v>
      </c>
      <c r="P96" s="217">
        <f>CC70+CB70</f>
        <v>36408</v>
      </c>
      <c r="Q96" s="285">
        <f>P96*($AX$139+$AX$137)/$P$153</f>
        <v>886955.72130764497</v>
      </c>
      <c r="R96" s="217">
        <f>CE70</f>
        <v>0</v>
      </c>
      <c r="S96" s="287">
        <f>R96*$AX$136/$R$153</f>
        <v>0</v>
      </c>
      <c r="T96" s="217">
        <f>CF70</f>
        <v>0</v>
      </c>
      <c r="U96" s="802">
        <v>0</v>
      </c>
      <c r="V96" s="217">
        <f>CG70</f>
        <v>0</v>
      </c>
      <c r="W96" s="802">
        <v>0</v>
      </c>
      <c r="X96" s="217">
        <f>CH70</f>
        <v>0</v>
      </c>
      <c r="Y96" s="285">
        <f>X96*$AX$148/$X$153</f>
        <v>0</v>
      </c>
      <c r="Z96" s="217">
        <f>CI70</f>
        <v>0</v>
      </c>
      <c r="AA96" s="802">
        <v>0</v>
      </c>
      <c r="AB96" s="217">
        <f>CJ70</f>
        <v>0</v>
      </c>
      <c r="AC96" s="802">
        <v>0</v>
      </c>
      <c r="AD96" s="258">
        <f>CK70</f>
        <v>0</v>
      </c>
      <c r="AE96" s="802">
        <v>0</v>
      </c>
      <c r="AF96" s="217">
        <f>CL70</f>
        <v>0</v>
      </c>
      <c r="AG96" s="803">
        <v>0</v>
      </c>
      <c r="AH96" s="217">
        <f>CM70</f>
        <v>0</v>
      </c>
      <c r="AI96" s="802">
        <v>0</v>
      </c>
      <c r="AJ96" s="258"/>
      <c r="AK96" s="802">
        <v>0</v>
      </c>
      <c r="AL96" s="217">
        <f>CO70</f>
        <v>0</v>
      </c>
      <c r="AM96" s="802">
        <v>0</v>
      </c>
      <c r="AN96" s="785"/>
      <c r="AO96" s="804">
        <v>0</v>
      </c>
      <c r="AP96" s="217">
        <f>'2026'!T1194</f>
        <v>0</v>
      </c>
      <c r="AQ96" s="803">
        <f>AP96*$AX$133/$AP$153</f>
        <v>0</v>
      </c>
      <c r="AR96" s="217">
        <f>CS70</f>
        <v>251</v>
      </c>
      <c r="AS96" s="288">
        <f>$AX$145*AR96/$AR$153</f>
        <v>5309.6722101513878</v>
      </c>
      <c r="AT96" s="613">
        <f>CT59</f>
        <v>0</v>
      </c>
      <c r="AU96" s="802">
        <v>0</v>
      </c>
      <c r="AV96" s="253"/>
      <c r="AW96" s="253"/>
      <c r="AX96" s="288">
        <f>C96+G96+I96+K96+M96+O96+Q96+S96+U96+W96+Y96+AA96+AC96+AE96+AG96+AI96+AK96+AO96+AU96+AS96+AW96+AQ96+AM96</f>
        <v>1824583.5897665196</v>
      </c>
      <c r="AY96" s="288">
        <f t="shared" si="37"/>
        <v>1204261.1497665197</v>
      </c>
      <c r="AZ96" s="288">
        <f t="shared" si="62"/>
        <v>1204261.1497665197</v>
      </c>
      <c r="BA96" s="288">
        <f t="shared" si="63"/>
        <v>1204261.1497665197</v>
      </c>
      <c r="BB96" s="472">
        <f>BF96+BF95+BF97+BF98</f>
        <v>0</v>
      </c>
      <c r="BC96" s="290" t="e">
        <f t="shared" si="80"/>
        <v>#DIV/0!</v>
      </c>
      <c r="BD96" s="286">
        <f>'зарплата'!CJ93</f>
        <v>2107109.9667759323</v>
      </c>
      <c r="BE96" s="286" t="e">
        <f>#REF!</f>
        <v>#REF!</v>
      </c>
      <c r="BF96" s="291">
        <f t="shared" si="113"/>
        <v>0</v>
      </c>
      <c r="BG96" s="287">
        <f t="shared" si="114"/>
        <v>0</v>
      </c>
      <c r="BH96" s="292"/>
      <c r="BI96" s="287"/>
      <c r="BJ96" s="257"/>
      <c r="BK96" s="293">
        <f t="shared" si="115"/>
        <v>0</v>
      </c>
      <c r="BL96" s="293">
        <f t="shared" ref="BL96:BL97" si="123">BG96*15%</f>
        <v>0</v>
      </c>
      <c r="BM96" s="287" t="e">
        <f>AX96/(BB95+BB96+BB97+BB98)</f>
        <v>#DIV/0!</v>
      </c>
      <c r="BN96" s="287" t="e">
        <f>(BL95+BL96+BL97+BL98)/(BB95+BB96+BB97+BB98)</f>
        <v>#DIV/0!</v>
      </c>
      <c r="BO96" s="217" t="e">
        <f>BN96-BM96</f>
        <v>#DIV/0!</v>
      </c>
      <c r="BP96" s="249">
        <f>(BL96+BL95+BL97+BL98)-AX96</f>
        <v>-1824583.5897665196</v>
      </c>
      <c r="BQ96" s="285" t="e">
        <f>(BK96+BK95+BK97+BK98)-AX96-(BD95+BD96+BD97+BD98)-(BE95+BE96+BE97+BE98)</f>
        <v>#REF!</v>
      </c>
      <c r="BR96" s="773" t="s">
        <v>263</v>
      </c>
      <c r="BS96" s="1"/>
      <c r="BT96" s="1"/>
      <c r="BU96" s="1"/>
      <c r="BV96" s="1"/>
      <c r="BW96" s="261"/>
      <c r="BX96" s="762"/>
      <c r="BY96" s="762"/>
      <c r="BZ96" s="767"/>
      <c r="CA96" s="767"/>
      <c r="CB96" s="730"/>
      <c r="CC96" s="762"/>
      <c r="CD96" s="762"/>
      <c r="CE96" s="762"/>
      <c r="CF96" s="730"/>
      <c r="CG96" s="762"/>
      <c r="CH96" s="762"/>
      <c r="CI96" s="762"/>
      <c r="CJ96" s="762"/>
      <c r="CK96" s="762"/>
      <c r="CL96" s="762"/>
      <c r="CM96" s="762"/>
      <c r="CN96" s="762"/>
      <c r="CO96" s="765"/>
      <c r="CP96" s="5"/>
      <c r="CQ96" s="766"/>
      <c r="CR96" s="370"/>
      <c r="CS96" s="558"/>
      <c r="CT96" s="10"/>
      <c r="CU96" s="10"/>
      <c r="CV96" s="10"/>
      <c r="CW96" s="122"/>
      <c r="CX96" s="11"/>
      <c r="CY96" s="11"/>
      <c r="DA96" s="304">
        <f>DB96+DC96</f>
        <v>0</v>
      </c>
      <c r="DB96" s="305"/>
      <c r="DC96" s="305">
        <v>0</v>
      </c>
      <c r="DD96" s="306">
        <f>DE96+DF96</f>
        <v>0</v>
      </c>
      <c r="DE96" s="306"/>
      <c r="DF96" s="27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247" t="s">
        <v>235</v>
      </c>
      <c r="EG96" s="414" t="s">
        <v>262</v>
      </c>
      <c r="EH96" s="315"/>
      <c r="EI96" s="316"/>
      <c r="EJ96" s="317"/>
      <c r="EK96" s="317"/>
      <c r="EL96" s="317"/>
      <c r="EM96" s="317"/>
      <c r="EN96" s="318"/>
      <c r="EO96" s="317"/>
      <c r="EP96" s="317"/>
      <c r="EQ96" s="317"/>
      <c r="ER96" s="317"/>
      <c r="ES96" s="319"/>
      <c r="ET96" s="317"/>
      <c r="EU96" s="317"/>
      <c r="EV96" s="317"/>
      <c r="EW96" s="317"/>
      <c r="EX96" s="317"/>
      <c r="EY96" s="317"/>
      <c r="EZ96" s="320">
        <f t="shared" si="116"/>
        <v>0</v>
      </c>
      <c r="FA96" s="321">
        <f t="shared" si="116"/>
        <v>0</v>
      </c>
      <c r="FB96" s="317">
        <f t="shared" si="116"/>
        <v>0</v>
      </c>
      <c r="FC96" s="322">
        <f t="shared" si="116"/>
        <v>0</v>
      </c>
      <c r="FD96" s="322">
        <f t="shared" si="116"/>
        <v>0</v>
      </c>
      <c r="FE96" s="319">
        <f t="shared" si="116"/>
        <v>0</v>
      </c>
      <c r="FF96" s="322"/>
      <c r="FG96" s="322"/>
      <c r="FH96" s="317"/>
      <c r="FI96" s="322"/>
      <c r="FJ96" s="322"/>
      <c r="FK96" s="317"/>
      <c r="FL96" s="323"/>
      <c r="FM96" s="322"/>
      <c r="FN96" s="317"/>
      <c r="FO96" s="322"/>
      <c r="FP96" s="322"/>
      <c r="FQ96" s="319"/>
      <c r="FR96" s="323"/>
      <c r="FS96" s="322"/>
      <c r="FT96" s="317"/>
      <c r="FU96" s="322"/>
      <c r="FV96" s="322"/>
      <c r="FW96" s="319"/>
      <c r="FX96" s="443">
        <f t="shared" si="117"/>
        <v>0</v>
      </c>
      <c r="FY96" s="442">
        <f t="shared" si="117"/>
        <v>0</v>
      </c>
      <c r="FZ96" s="442">
        <f t="shared" si="117"/>
        <v>0</v>
      </c>
      <c r="GA96" s="442">
        <f t="shared" si="117"/>
        <v>0</v>
      </c>
      <c r="GB96" s="442"/>
      <c r="GC96" s="279">
        <f t="shared" si="118"/>
        <v>0</v>
      </c>
      <c r="GD96" s="323"/>
      <c r="GE96" s="322"/>
      <c r="GF96" s="322"/>
      <c r="GG96" s="322"/>
      <c r="GH96" s="322"/>
      <c r="GI96" s="319"/>
      <c r="GJ96" s="323"/>
      <c r="GK96" s="322"/>
      <c r="GL96" s="317"/>
      <c r="GM96" s="322"/>
      <c r="GN96" s="322"/>
      <c r="GO96" s="319"/>
      <c r="GP96" s="323"/>
      <c r="GQ96" s="322"/>
      <c r="GR96" s="317"/>
      <c r="GS96" s="322"/>
      <c r="GT96" s="322"/>
      <c r="GU96" s="319"/>
      <c r="GV96" s="323">
        <f t="shared" si="119"/>
        <v>0</v>
      </c>
      <c r="GW96" s="322">
        <f t="shared" si="119"/>
        <v>0</v>
      </c>
      <c r="GX96" s="322">
        <f t="shared" si="119"/>
        <v>0</v>
      </c>
      <c r="GY96" s="322">
        <f t="shared" si="119"/>
        <v>0</v>
      </c>
      <c r="GZ96" s="322">
        <f t="shared" si="119"/>
        <v>0</v>
      </c>
      <c r="HA96" s="326">
        <f t="shared" si="119"/>
        <v>0</v>
      </c>
      <c r="HB96" s="323"/>
      <c r="HC96" s="322"/>
      <c r="HD96" s="317"/>
      <c r="HE96" s="322"/>
      <c r="HF96" s="322"/>
      <c r="HG96" s="319"/>
      <c r="HH96" s="323"/>
      <c r="HI96" s="322"/>
      <c r="HJ96" s="317"/>
      <c r="HK96" s="322"/>
      <c r="HL96" s="322"/>
      <c r="HM96" s="319"/>
      <c r="HN96" s="323"/>
      <c r="HO96" s="322"/>
      <c r="HP96" s="317"/>
      <c r="HQ96" s="322"/>
      <c r="HR96" s="322"/>
      <c r="HS96" s="319"/>
      <c r="HT96" s="315">
        <f t="shared" si="120"/>
        <v>0</v>
      </c>
      <c r="HU96" s="316">
        <f t="shared" si="120"/>
        <v>0</v>
      </c>
      <c r="HV96" s="317">
        <f t="shared" si="120"/>
        <v>0</v>
      </c>
      <c r="HW96" s="316">
        <f t="shared" si="120"/>
        <v>0</v>
      </c>
      <c r="HX96" s="316">
        <f t="shared" si="120"/>
        <v>0</v>
      </c>
      <c r="HY96" s="317">
        <f t="shared" si="120"/>
        <v>0</v>
      </c>
      <c r="HZ96" s="327">
        <f t="shared" si="121"/>
        <v>0</v>
      </c>
      <c r="IA96" s="316">
        <f t="shared" si="121"/>
        <v>0</v>
      </c>
      <c r="IB96" s="317">
        <f t="shared" si="121"/>
        <v>0</v>
      </c>
      <c r="IC96" s="316">
        <f t="shared" si="121"/>
        <v>0</v>
      </c>
      <c r="ID96" s="316">
        <f t="shared" si="121"/>
        <v>0</v>
      </c>
      <c r="IE96" s="328">
        <f t="shared" si="121"/>
        <v>0</v>
      </c>
      <c r="IF96" s="327">
        <f t="shared" si="122"/>
        <v>0</v>
      </c>
      <c r="IG96" s="316">
        <f t="shared" si="122"/>
        <v>0</v>
      </c>
      <c r="IH96" s="317">
        <f t="shared" si="122"/>
        <v>0</v>
      </c>
      <c r="II96" s="1"/>
      <c r="IJ96" s="1"/>
      <c r="IK96" s="1"/>
    </row>
    <row r="97" s="4" customFormat="1">
      <c r="A97" s="247"/>
      <c r="B97" s="414" t="s">
        <v>253</v>
      </c>
      <c r="C97" s="248"/>
      <c r="D97" s="285"/>
      <c r="E97" s="285"/>
      <c r="F97" s="217"/>
      <c r="G97" s="801"/>
      <c r="H97" s="217"/>
      <c r="I97" s="801"/>
      <c r="J97" s="217"/>
      <c r="K97" s="333"/>
      <c r="L97" s="258"/>
      <c r="M97" s="287"/>
      <c r="N97" s="258"/>
      <c r="O97" s="285"/>
      <c r="P97" s="217"/>
      <c r="Q97" s="285"/>
      <c r="R97" s="217"/>
      <c r="S97" s="287"/>
      <c r="T97" s="217"/>
      <c r="U97" s="802"/>
      <c r="V97" s="217"/>
      <c r="W97" s="802"/>
      <c r="X97" s="217"/>
      <c r="Y97" s="285"/>
      <c r="Z97" s="217"/>
      <c r="AA97" s="802"/>
      <c r="AB97" s="217"/>
      <c r="AC97" s="802"/>
      <c r="AD97" s="258"/>
      <c r="AE97" s="802"/>
      <c r="AF97" s="217"/>
      <c r="AG97" s="803"/>
      <c r="AH97" s="217"/>
      <c r="AI97" s="802"/>
      <c r="AJ97" s="258"/>
      <c r="AK97" s="802"/>
      <c r="AL97" s="217"/>
      <c r="AM97" s="802"/>
      <c r="AN97" s="785"/>
      <c r="AO97" s="804"/>
      <c r="AP97" s="217"/>
      <c r="AQ97" s="803"/>
      <c r="AR97" s="217"/>
      <c r="AS97" s="288"/>
      <c r="AT97" s="613"/>
      <c r="AU97" s="802"/>
      <c r="AV97" s="253"/>
      <c r="AW97" s="253"/>
      <c r="AX97" s="288"/>
      <c r="AY97" s="288">
        <f t="shared" si="37"/>
        <v>0</v>
      </c>
      <c r="AZ97" s="288">
        <f t="shared" si="62"/>
        <v>0</v>
      </c>
      <c r="BA97" s="288">
        <f t="shared" si="63"/>
        <v>0</v>
      </c>
      <c r="BB97" s="289"/>
      <c r="BC97" s="290"/>
      <c r="BD97" s="286">
        <f>'зарплата'!CJ94</f>
        <v>275059.86392643908</v>
      </c>
      <c r="BE97" s="286" t="e">
        <f>#REF!</f>
        <v>#REF!</v>
      </c>
      <c r="BF97" s="291">
        <f t="shared" si="113"/>
        <v>0</v>
      </c>
      <c r="BG97" s="287">
        <f t="shared" si="114"/>
        <v>0</v>
      </c>
      <c r="BH97" s="292"/>
      <c r="BI97" s="287"/>
      <c r="BJ97" s="257"/>
      <c r="BK97" s="293">
        <f t="shared" si="115"/>
        <v>0</v>
      </c>
      <c r="BL97" s="293">
        <f t="shared" si="123"/>
        <v>0</v>
      </c>
      <c r="BM97" s="287"/>
      <c r="BN97" s="257"/>
      <c r="BO97" s="217"/>
      <c r="BP97" s="249"/>
      <c r="BQ97" s="285"/>
      <c r="BR97" s="773" t="s">
        <v>264</v>
      </c>
      <c r="BS97" s="1"/>
      <c r="BT97" s="1"/>
      <c r="BU97" s="1"/>
      <c r="BV97" s="1"/>
      <c r="BW97" s="261" t="s">
        <v>265</v>
      </c>
      <c r="BX97" s="762"/>
      <c r="BY97" s="763">
        <f>'2026'!T79</f>
        <v>122482.09700000001</v>
      </c>
      <c r="BZ97" s="764">
        <f>'2026'!T131</f>
        <v>1101.5</v>
      </c>
      <c r="CA97" s="763">
        <f>'2026'!T689</f>
        <v>1198</v>
      </c>
      <c r="CB97" s="764">
        <f>'2026'!T548</f>
        <v>9121</v>
      </c>
      <c r="CC97" s="763">
        <f>'2026'!T476</f>
        <v>498</v>
      </c>
      <c r="CD97" s="763">
        <f>'2026'!T619</f>
        <v>0</v>
      </c>
      <c r="CE97" s="763">
        <f>'2026'!T348</f>
        <v>271</v>
      </c>
      <c r="CF97" s="730">
        <f>'2026'!T894</f>
        <v>0</v>
      </c>
      <c r="CG97" s="762">
        <f>'2026'!T948</f>
        <v>0</v>
      </c>
      <c r="CH97" s="763">
        <f>'2026'!T829</f>
        <v>3358.5</v>
      </c>
      <c r="CI97" s="762"/>
      <c r="CJ97" s="762"/>
      <c r="CK97" s="762"/>
      <c r="CL97" s="762"/>
      <c r="CM97" s="762"/>
      <c r="CN97" s="762"/>
      <c r="CO97" s="765"/>
      <c r="CP97" s="5"/>
      <c r="CQ97" s="766"/>
      <c r="CR97" s="370"/>
      <c r="CS97" s="296">
        <f>'2026'!T1049</f>
        <v>809</v>
      </c>
      <c r="CT97" s="10"/>
      <c r="CU97" s="10"/>
      <c r="CV97" s="10"/>
      <c r="CW97" s="122"/>
      <c r="CX97" s="11"/>
      <c r="CY97" s="11"/>
      <c r="DA97" s="304"/>
      <c r="DB97" s="305"/>
      <c r="DC97" s="305"/>
      <c r="DD97" s="306"/>
      <c r="DE97" s="306"/>
      <c r="DF97" s="27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247"/>
      <c r="EG97" s="414" t="s">
        <v>253</v>
      </c>
      <c r="EH97" s="315"/>
      <c r="EI97" s="316"/>
      <c r="EJ97" s="317"/>
      <c r="EK97" s="317"/>
      <c r="EL97" s="317"/>
      <c r="EM97" s="317"/>
      <c r="EN97" s="318"/>
      <c r="EO97" s="317"/>
      <c r="EP97" s="317"/>
      <c r="EQ97" s="317"/>
      <c r="ER97" s="317"/>
      <c r="ES97" s="319"/>
      <c r="ET97" s="317"/>
      <c r="EU97" s="317"/>
      <c r="EV97" s="317"/>
      <c r="EW97" s="317"/>
      <c r="EX97" s="317"/>
      <c r="EY97" s="317"/>
      <c r="EZ97" s="320">
        <f t="shared" si="116"/>
        <v>0</v>
      </c>
      <c r="FA97" s="623">
        <f t="shared" si="116"/>
        <v>0</v>
      </c>
      <c r="FB97" s="317">
        <f t="shared" si="116"/>
        <v>0</v>
      </c>
      <c r="FC97" s="322">
        <f t="shared" si="116"/>
        <v>0</v>
      </c>
      <c r="FD97" s="322">
        <f t="shared" si="116"/>
        <v>0</v>
      </c>
      <c r="FE97" s="319">
        <f t="shared" si="116"/>
        <v>0</v>
      </c>
      <c r="FF97" s="322"/>
      <c r="FG97" s="324"/>
      <c r="FH97" s="317"/>
      <c r="FI97" s="322"/>
      <c r="FJ97" s="322"/>
      <c r="FK97" s="317"/>
      <c r="FL97" s="323"/>
      <c r="FM97" s="324"/>
      <c r="FN97" s="317"/>
      <c r="FO97" s="322"/>
      <c r="FP97" s="322"/>
      <c r="FQ97" s="319"/>
      <c r="FR97" s="323"/>
      <c r="FS97" s="324"/>
      <c r="FT97" s="317"/>
      <c r="FU97" s="322"/>
      <c r="FV97" s="322"/>
      <c r="FW97" s="319"/>
      <c r="FX97" s="443">
        <f t="shared" si="117"/>
        <v>0</v>
      </c>
      <c r="FY97" s="442">
        <f t="shared" si="117"/>
        <v>0</v>
      </c>
      <c r="FZ97" s="442">
        <f t="shared" si="117"/>
        <v>0</v>
      </c>
      <c r="GA97" s="442">
        <f t="shared" si="117"/>
        <v>0</v>
      </c>
      <c r="GB97" s="442"/>
      <c r="GC97" s="279">
        <f t="shared" si="118"/>
        <v>0</v>
      </c>
      <c r="GD97" s="443"/>
      <c r="GE97" s="322"/>
      <c r="GF97" s="440"/>
      <c r="GG97" s="442"/>
      <c r="GH97" s="442"/>
      <c r="GI97" s="276"/>
      <c r="GJ97" s="323"/>
      <c r="GK97" s="322"/>
      <c r="GL97" s="317"/>
      <c r="GM97" s="322"/>
      <c r="GN97" s="322"/>
      <c r="GO97" s="319"/>
      <c r="GP97" s="323"/>
      <c r="GQ97" s="324"/>
      <c r="GR97" s="317"/>
      <c r="GS97" s="322"/>
      <c r="GT97" s="322"/>
      <c r="GU97" s="319"/>
      <c r="GV97" s="323">
        <f t="shared" si="119"/>
        <v>0</v>
      </c>
      <c r="GW97" s="322">
        <f>GF96+GK97+GQ97</f>
        <v>0</v>
      </c>
      <c r="GX97" s="322">
        <f t="shared" si="119"/>
        <v>0</v>
      </c>
      <c r="GY97" s="322">
        <f t="shared" si="119"/>
        <v>0</v>
      </c>
      <c r="GZ97" s="322">
        <f t="shared" si="119"/>
        <v>0</v>
      </c>
      <c r="HA97" s="326">
        <f t="shared" si="119"/>
        <v>0</v>
      </c>
      <c r="HB97" s="323"/>
      <c r="HC97" s="324"/>
      <c r="HD97" s="317"/>
      <c r="HE97" s="322"/>
      <c r="HF97" s="322"/>
      <c r="HG97" s="319"/>
      <c r="HH97" s="323"/>
      <c r="HI97" s="322"/>
      <c r="HJ97" s="317"/>
      <c r="HK97" s="322"/>
      <c r="HL97" s="322"/>
      <c r="HM97" s="319"/>
      <c r="HN97" s="323"/>
      <c r="HO97" s="322"/>
      <c r="HP97" s="317"/>
      <c r="HQ97" s="322"/>
      <c r="HR97" s="322"/>
      <c r="HS97" s="319"/>
      <c r="HT97" s="315">
        <f t="shared" si="120"/>
        <v>0</v>
      </c>
      <c r="HU97" s="316">
        <f t="shared" si="120"/>
        <v>0</v>
      </c>
      <c r="HV97" s="317">
        <f t="shared" si="120"/>
        <v>0</v>
      </c>
      <c r="HW97" s="316">
        <f t="shared" si="120"/>
        <v>0</v>
      </c>
      <c r="HX97" s="316">
        <f t="shared" si="120"/>
        <v>0</v>
      </c>
      <c r="HY97" s="317">
        <f t="shared" si="120"/>
        <v>0</v>
      </c>
      <c r="HZ97" s="327">
        <f t="shared" si="121"/>
        <v>0</v>
      </c>
      <c r="IA97" s="316">
        <f t="shared" si="121"/>
        <v>0</v>
      </c>
      <c r="IB97" s="317">
        <f t="shared" si="121"/>
        <v>0</v>
      </c>
      <c r="IC97" s="316">
        <f t="shared" si="121"/>
        <v>0</v>
      </c>
      <c r="ID97" s="316">
        <f t="shared" si="121"/>
        <v>0</v>
      </c>
      <c r="IE97" s="328">
        <f t="shared" si="121"/>
        <v>0</v>
      </c>
      <c r="IF97" s="327">
        <f t="shared" si="122"/>
        <v>0</v>
      </c>
      <c r="IG97" s="316">
        <f t="shared" si="122"/>
        <v>0</v>
      </c>
      <c r="IH97" s="317">
        <f t="shared" si="122"/>
        <v>0</v>
      </c>
      <c r="II97" s="1"/>
      <c r="IJ97" s="1"/>
      <c r="IK97" s="1"/>
    </row>
    <row r="98">
      <c r="A98" s="247"/>
      <c r="B98" s="414" t="s">
        <v>266</v>
      </c>
      <c r="C98" s="248"/>
      <c r="D98" s="331">
        <f>D96*100/$AX96</f>
        <v>14.99853125583677</v>
      </c>
      <c r="E98" s="331">
        <f>E96*100/$AX96</f>
        <v>18.999496758839101</v>
      </c>
      <c r="F98" s="250"/>
      <c r="G98" s="251"/>
      <c r="H98" s="250"/>
      <c r="I98" s="251"/>
      <c r="J98" s="250"/>
      <c r="K98" s="333">
        <f>K96*100/$AX96</f>
        <v>0</v>
      </c>
      <c r="L98" s="258"/>
      <c r="M98" s="333">
        <f>M96*100/$AX96</f>
        <v>16.211794296302017</v>
      </c>
      <c r="N98" s="258"/>
      <c r="O98" s="331">
        <f>O96*100/$AX96</f>
        <v>0.88776518667280846</v>
      </c>
      <c r="P98" s="250"/>
      <c r="Q98" s="331">
        <f>Q96*100/$AX96</f>
        <v>48.611405160184688</v>
      </c>
      <c r="R98" s="250"/>
      <c r="S98" s="333">
        <f>S96*100/$AX96</f>
        <v>0</v>
      </c>
      <c r="T98" s="250"/>
      <c r="U98" s="331"/>
      <c r="V98" s="250"/>
      <c r="W98" s="331"/>
      <c r="X98" s="250"/>
      <c r="Y98" s="331">
        <f>Y96*100/$AX96</f>
        <v>0</v>
      </c>
      <c r="Z98" s="250"/>
      <c r="AA98" s="331"/>
      <c r="AB98" s="250"/>
      <c r="AC98" s="252"/>
      <c r="AD98" s="250"/>
      <c r="AE98" s="331"/>
      <c r="AF98" s="250"/>
      <c r="AG98" s="251"/>
      <c r="AH98" s="250"/>
      <c r="AI98" s="333"/>
      <c r="AJ98" s="250"/>
      <c r="AK98" s="331"/>
      <c r="AL98" s="258"/>
      <c r="AM98" s="331"/>
      <c r="AN98" s="250"/>
      <c r="AO98" s="332"/>
      <c r="AP98" s="250"/>
      <c r="AQ98" s="332"/>
      <c r="AR98" s="258"/>
      <c r="AS98" s="332">
        <f>AS96*100/$AX96</f>
        <v>0.29100734216462143</v>
      </c>
      <c r="AT98" s="703"/>
      <c r="AU98" s="253"/>
      <c r="AV98" s="253"/>
      <c r="AW98" s="253"/>
      <c r="AX98" s="336">
        <f>SUM(D98:AW98)</f>
        <v>100</v>
      </c>
      <c r="AY98" s="336"/>
      <c r="AZ98" s="336"/>
      <c r="BA98" s="336"/>
      <c r="BB98" s="337"/>
      <c r="BC98" s="290"/>
      <c r="BD98" s="286">
        <f>'зарплата'!CJ95</f>
        <v>381046.23351277335</v>
      </c>
      <c r="BE98" s="286" t="e">
        <f>#REF!</f>
        <v>#REF!</v>
      </c>
      <c r="BF98" s="291">
        <f t="shared" si="113"/>
        <v>0</v>
      </c>
      <c r="BG98" s="287">
        <f t="shared" si="114"/>
        <v>0</v>
      </c>
      <c r="BH98" s="292"/>
      <c r="BI98" s="287"/>
      <c r="BJ98" s="257"/>
      <c r="BK98" s="293">
        <f t="shared" si="115"/>
        <v>0</v>
      </c>
      <c r="BL98" s="293">
        <f>BG98*6%</f>
        <v>0</v>
      </c>
      <c r="BM98" s="287"/>
      <c r="BN98" s="257"/>
      <c r="BO98" s="217"/>
      <c r="BP98" s="260"/>
      <c r="BQ98" s="285"/>
      <c r="BR98" s="773" t="s">
        <v>266</v>
      </c>
      <c r="BW98" s="261" t="s">
        <v>267</v>
      </c>
      <c r="BX98" s="762"/>
      <c r="BY98" s="762"/>
      <c r="BZ98" s="805"/>
      <c r="CA98" s="763">
        <f>'2026'!T693</f>
        <v>0</v>
      </c>
      <c r="CB98" s="806">
        <f>'2026'!T552</f>
        <v>0</v>
      </c>
      <c r="CC98" s="763">
        <f>'2026'!T480</f>
        <v>2333</v>
      </c>
      <c r="CD98" s="763">
        <f>'2026'!T623</f>
        <v>0</v>
      </c>
      <c r="CE98" s="763">
        <f>'2026'!T353</f>
        <v>35</v>
      </c>
      <c r="CF98" s="764">
        <f>'2026'!T898</f>
        <v>0</v>
      </c>
      <c r="CG98" s="762">
        <f>'2026'!T952</f>
        <v>0</v>
      </c>
      <c r="CH98" s="762"/>
      <c r="CI98" s="762"/>
      <c r="CJ98" s="762"/>
      <c r="CK98" s="762">
        <f>'2026'!T300</f>
        <v>0</v>
      </c>
      <c r="CL98" s="762"/>
      <c r="CM98" s="762"/>
      <c r="CN98" s="762"/>
      <c r="CO98" s="765"/>
      <c r="CP98" s="5"/>
      <c r="CQ98" s="766"/>
      <c r="CR98" s="370"/>
      <c r="CS98" s="296">
        <f>'2026'!T1053</f>
        <v>519</v>
      </c>
      <c r="CW98" s="122"/>
      <c r="DA98" s="269"/>
      <c r="DB98" s="305"/>
      <c r="DC98" s="305"/>
      <c r="DD98" s="271"/>
      <c r="DE98" s="306"/>
      <c r="DF98" s="271"/>
      <c r="EF98" s="247"/>
      <c r="EG98" s="414" t="s">
        <v>266</v>
      </c>
      <c r="EH98" s="307"/>
      <c r="EI98" s="439"/>
      <c r="EJ98" s="440"/>
      <c r="EK98" s="440"/>
      <c r="EL98" s="440"/>
      <c r="EM98" s="440"/>
      <c r="EN98" s="274"/>
      <c r="EO98" s="440"/>
      <c r="EP98" s="440"/>
      <c r="EQ98" s="440"/>
      <c r="ER98" s="440"/>
      <c r="ES98" s="276"/>
      <c r="ET98" s="440"/>
      <c r="EU98" s="440"/>
      <c r="EV98" s="440"/>
      <c r="EW98" s="440"/>
      <c r="EX98" s="440"/>
      <c r="EY98" s="440"/>
      <c r="EZ98" s="312">
        <f t="shared" si="116"/>
        <v>0</v>
      </c>
      <c r="FA98" s="441">
        <f t="shared" si="116"/>
        <v>0</v>
      </c>
      <c r="FB98" s="440">
        <f t="shared" si="116"/>
        <v>0</v>
      </c>
      <c r="FC98" s="442">
        <f t="shared" si="116"/>
        <v>0</v>
      </c>
      <c r="FD98" s="442">
        <f t="shared" si="116"/>
        <v>0</v>
      </c>
      <c r="FE98" s="276">
        <f t="shared" si="116"/>
        <v>0</v>
      </c>
      <c r="FF98" s="442"/>
      <c r="FG98" s="442"/>
      <c r="FH98" s="440"/>
      <c r="FI98" s="442"/>
      <c r="FJ98" s="442"/>
      <c r="FK98" s="440"/>
      <c r="FL98" s="443"/>
      <c r="FM98" s="442"/>
      <c r="FN98" s="440"/>
      <c r="FO98" s="442"/>
      <c r="FP98" s="442"/>
      <c r="FQ98" s="276"/>
      <c r="FR98" s="443"/>
      <c r="FS98" s="442"/>
      <c r="FT98" s="440"/>
      <c r="FU98" s="442"/>
      <c r="FV98" s="442"/>
      <c r="FW98" s="276"/>
      <c r="FX98" s="443">
        <f t="shared" si="117"/>
        <v>0</v>
      </c>
      <c r="FY98" s="442">
        <f t="shared" si="117"/>
        <v>0</v>
      </c>
      <c r="FZ98" s="442">
        <f t="shared" si="117"/>
        <v>0</v>
      </c>
      <c r="GA98" s="442">
        <f t="shared" si="117"/>
        <v>0</v>
      </c>
      <c r="GB98" s="442"/>
      <c r="GC98" s="279">
        <f t="shared" si="118"/>
        <v>0</v>
      </c>
      <c r="GD98" s="443"/>
      <c r="GE98" s="442"/>
      <c r="GF98" s="440"/>
      <c r="GG98" s="442"/>
      <c r="GH98" s="442"/>
      <c r="GI98" s="276"/>
      <c r="GJ98" s="443"/>
      <c r="GK98" s="442"/>
      <c r="GL98" s="440"/>
      <c r="GM98" s="442"/>
      <c r="GN98" s="442"/>
      <c r="GO98" s="276"/>
      <c r="GP98" s="443"/>
      <c r="GQ98" s="442"/>
      <c r="GR98" s="440"/>
      <c r="GS98" s="442"/>
      <c r="GT98" s="442"/>
      <c r="GU98" s="276"/>
      <c r="GV98" s="323">
        <f t="shared" si="119"/>
        <v>0</v>
      </c>
      <c r="GW98" s="322">
        <f t="shared" si="119"/>
        <v>0</v>
      </c>
      <c r="GX98" s="322">
        <f t="shared" si="119"/>
        <v>0</v>
      </c>
      <c r="GY98" s="322">
        <f t="shared" si="119"/>
        <v>0</v>
      </c>
      <c r="GZ98" s="322">
        <f t="shared" si="119"/>
        <v>0</v>
      </c>
      <c r="HA98" s="326">
        <f t="shared" si="119"/>
        <v>0</v>
      </c>
      <c r="HB98" s="443"/>
      <c r="HC98" s="442"/>
      <c r="HD98" s="440"/>
      <c r="HE98" s="442"/>
      <c r="HF98" s="442"/>
      <c r="HG98" s="276"/>
      <c r="HH98" s="443"/>
      <c r="HI98" s="442"/>
      <c r="HJ98" s="440"/>
      <c r="HK98" s="442"/>
      <c r="HL98" s="442"/>
      <c r="HM98" s="276"/>
      <c r="HN98" s="443"/>
      <c r="HO98" s="442"/>
      <c r="HP98" s="440"/>
      <c r="HQ98" s="442"/>
      <c r="HR98" s="442"/>
      <c r="HS98" s="276"/>
      <c r="HT98" s="315">
        <f t="shared" si="120"/>
        <v>0</v>
      </c>
      <c r="HU98" s="316">
        <f t="shared" si="120"/>
        <v>0</v>
      </c>
      <c r="HV98" s="317">
        <f t="shared" si="120"/>
        <v>0</v>
      </c>
      <c r="HW98" s="316">
        <f t="shared" si="120"/>
        <v>0</v>
      </c>
      <c r="HX98" s="316">
        <f t="shared" si="120"/>
        <v>0</v>
      </c>
      <c r="HY98" s="317">
        <f t="shared" si="120"/>
        <v>0</v>
      </c>
      <c r="HZ98" s="327">
        <f t="shared" si="121"/>
        <v>0</v>
      </c>
      <c r="IA98" s="316">
        <f t="shared" si="121"/>
        <v>0</v>
      </c>
      <c r="IB98" s="317">
        <f t="shared" si="121"/>
        <v>0</v>
      </c>
      <c r="IC98" s="316">
        <f t="shared" si="121"/>
        <v>0</v>
      </c>
      <c r="ID98" s="316">
        <f t="shared" si="121"/>
        <v>0</v>
      </c>
      <c r="IE98" s="328">
        <f t="shared" si="121"/>
        <v>0</v>
      </c>
      <c r="IF98" s="327">
        <f t="shared" si="122"/>
        <v>0</v>
      </c>
      <c r="IG98" s="316">
        <f t="shared" si="122"/>
        <v>0</v>
      </c>
      <c r="IH98" s="317">
        <f t="shared" si="122"/>
        <v>0</v>
      </c>
    </row>
    <row r="99">
      <c r="A99" s="247"/>
      <c r="B99" s="807" t="s">
        <v>268</v>
      </c>
      <c r="C99" s="248"/>
      <c r="D99" s="503"/>
      <c r="E99" s="503"/>
      <c r="F99" s="808"/>
      <c r="G99" s="809"/>
      <c r="H99" s="808"/>
      <c r="I99" s="809"/>
      <c r="J99" s="808"/>
      <c r="K99" s="503"/>
      <c r="L99" s="486"/>
      <c r="M99" s="503"/>
      <c r="N99" s="486"/>
      <c r="O99" s="503"/>
      <c r="P99" s="808"/>
      <c r="Q99" s="503"/>
      <c r="R99" s="808"/>
      <c r="S99" s="503"/>
      <c r="T99" s="808"/>
      <c r="U99" s="503"/>
      <c r="V99" s="808"/>
      <c r="W99" s="503"/>
      <c r="X99" s="808"/>
      <c r="Y99" s="503"/>
      <c r="Z99" s="808"/>
      <c r="AA99" s="503"/>
      <c r="AB99" s="808"/>
      <c r="AC99" s="808"/>
      <c r="AD99" s="808"/>
      <c r="AE99" s="503"/>
      <c r="AF99" s="808"/>
      <c r="AG99" s="809"/>
      <c r="AH99" s="808"/>
      <c r="AI99" s="503"/>
      <c r="AJ99" s="808"/>
      <c r="AK99" s="503"/>
      <c r="AL99" s="486"/>
      <c r="AM99" s="503"/>
      <c r="AN99" s="808"/>
      <c r="AO99" s="504"/>
      <c r="AP99" s="808"/>
      <c r="AQ99" s="504"/>
      <c r="AR99" s="486"/>
      <c r="AS99" s="504"/>
      <c r="AT99" s="810"/>
      <c r="AU99" s="808"/>
      <c r="AV99" s="808"/>
      <c r="AW99" s="808"/>
      <c r="AX99" s="504"/>
      <c r="AY99" s="504"/>
      <c r="AZ99" s="504"/>
      <c r="BA99" s="504"/>
      <c r="BB99" s="811"/>
      <c r="BC99" s="507"/>
      <c r="BD99" s="718">
        <f>SUM(BD95:BD98)</f>
        <v>25234849.901508171</v>
      </c>
      <c r="BE99" s="718" t="e">
        <f>SUM(BE95:BE98)</f>
        <v>#REF!</v>
      </c>
      <c r="BF99" s="487"/>
      <c r="BG99" s="487"/>
      <c r="BH99" s="812"/>
      <c r="BI99" s="812"/>
      <c r="BJ99" s="813"/>
      <c r="BK99" s="814">
        <f t="shared" ref="BK99:BP99" si="124">SUM(BK95:BK98)</f>
        <v>0</v>
      </c>
      <c r="BL99" s="814">
        <f t="shared" si="124"/>
        <v>0</v>
      </c>
      <c r="BM99" s="814" t="e">
        <f t="shared" si="124"/>
        <v>#DIV/0!</v>
      </c>
      <c r="BN99" s="814" t="e">
        <f t="shared" si="124"/>
        <v>#DIV/0!</v>
      </c>
      <c r="BO99" s="814" t="e">
        <f t="shared" si="124"/>
        <v>#DIV/0!</v>
      </c>
      <c r="BP99" s="814">
        <f t="shared" si="124"/>
        <v>-1824583.5897665196</v>
      </c>
      <c r="BQ99" s="815" t="e">
        <f>SUM(BQ95:BQ98)</f>
        <v>#REF!</v>
      </c>
      <c r="BR99" s="773" t="s">
        <v>269</v>
      </c>
      <c r="BW99" s="261" t="s">
        <v>270</v>
      </c>
      <c r="BX99" s="762"/>
      <c r="BY99" s="762"/>
      <c r="BZ99" s="805"/>
      <c r="CA99" s="763">
        <f>'2026'!T694</f>
        <v>534</v>
      </c>
      <c r="CB99" s="806">
        <f>'2026'!T553</f>
        <v>0</v>
      </c>
      <c r="CC99" s="763">
        <f>'2026'!T481</f>
        <v>4716</v>
      </c>
      <c r="CD99" s="763">
        <f>'2026'!T624</f>
        <v>1238</v>
      </c>
      <c r="CE99" s="763">
        <f>'2026'!T354</f>
        <v>11</v>
      </c>
      <c r="CF99" s="730"/>
      <c r="CG99" s="762">
        <f>'2026'!T953</f>
        <v>0</v>
      </c>
      <c r="CH99" s="762"/>
      <c r="CI99" s="762"/>
      <c r="CJ99" s="762"/>
      <c r="CK99" s="762"/>
      <c r="CL99" s="762"/>
      <c r="CM99" s="762"/>
      <c r="CN99" s="762"/>
      <c r="CO99" s="765"/>
      <c r="CP99" s="5"/>
      <c r="CQ99" s="766"/>
      <c r="CR99" s="370"/>
      <c r="CS99" s="296">
        <f>'2026'!T1054</f>
        <v>761</v>
      </c>
      <c r="CW99" s="122"/>
      <c r="DA99" s="269"/>
      <c r="DB99" s="305"/>
      <c r="DC99" s="305"/>
      <c r="DD99" s="271"/>
      <c r="DE99" s="306"/>
      <c r="DF99" s="271"/>
      <c r="EF99" s="247"/>
      <c r="EG99" s="816" t="s">
        <v>271</v>
      </c>
      <c r="EH99" s="817">
        <f t="shared" ref="EH99:EM99" si="125">SUM(EH95:EH98)</f>
        <v>0</v>
      </c>
      <c r="EI99" s="818">
        <f t="shared" si="125"/>
        <v>0</v>
      </c>
      <c r="EJ99" s="819">
        <f t="shared" si="125"/>
        <v>0</v>
      </c>
      <c r="EK99" s="819">
        <f t="shared" si="125"/>
        <v>0</v>
      </c>
      <c r="EL99" s="819">
        <f t="shared" si="125"/>
        <v>0</v>
      </c>
      <c r="EM99" s="819">
        <f t="shared" si="125"/>
        <v>0</v>
      </c>
      <c r="EN99" s="817">
        <f t="shared" ref="EN99:EY99" si="126">SUM(EN95:EN98)</f>
        <v>0</v>
      </c>
      <c r="EO99" s="818">
        <f t="shared" si="126"/>
        <v>0</v>
      </c>
      <c r="EP99" s="819">
        <f t="shared" si="126"/>
        <v>0</v>
      </c>
      <c r="EQ99" s="819">
        <f t="shared" si="126"/>
        <v>0</v>
      </c>
      <c r="ER99" s="819">
        <f t="shared" si="126"/>
        <v>0</v>
      </c>
      <c r="ES99" s="819">
        <f t="shared" si="126"/>
        <v>0</v>
      </c>
      <c r="ET99" s="817">
        <f t="shared" si="126"/>
        <v>0</v>
      </c>
      <c r="EU99" s="818">
        <f t="shared" si="126"/>
        <v>0</v>
      </c>
      <c r="EV99" s="819">
        <f t="shared" si="126"/>
        <v>0</v>
      </c>
      <c r="EW99" s="819">
        <f t="shared" si="126"/>
        <v>0</v>
      </c>
      <c r="EX99" s="819">
        <f t="shared" si="126"/>
        <v>0</v>
      </c>
      <c r="EY99" s="819">
        <f t="shared" si="126"/>
        <v>0</v>
      </c>
      <c r="EZ99" s="820">
        <f t="shared" ref="EZ99:FE99" si="127">SUM(EZ95:EZ98)</f>
        <v>0</v>
      </c>
      <c r="FA99" s="821">
        <f t="shared" si="127"/>
        <v>0</v>
      </c>
      <c r="FB99" s="819">
        <f t="shared" si="127"/>
        <v>0</v>
      </c>
      <c r="FC99" s="820">
        <f t="shared" si="127"/>
        <v>0</v>
      </c>
      <c r="FD99" s="821">
        <f t="shared" si="127"/>
        <v>0</v>
      </c>
      <c r="FE99" s="819">
        <f t="shared" si="127"/>
        <v>0</v>
      </c>
      <c r="FF99" s="820">
        <f t="shared" ref="FF99:HK99" si="128">SUM(FF95:FF98)</f>
        <v>0</v>
      </c>
      <c r="FG99" s="821">
        <f t="shared" si="128"/>
        <v>0</v>
      </c>
      <c r="FH99" s="819">
        <f t="shared" si="128"/>
        <v>0</v>
      </c>
      <c r="FI99" s="820">
        <f t="shared" si="128"/>
        <v>0</v>
      </c>
      <c r="FJ99" s="821">
        <f t="shared" si="128"/>
        <v>0</v>
      </c>
      <c r="FK99" s="819">
        <f t="shared" si="128"/>
        <v>0</v>
      </c>
      <c r="FL99" s="820">
        <f t="shared" si="128"/>
        <v>0</v>
      </c>
      <c r="FM99" s="821">
        <f t="shared" si="128"/>
        <v>0</v>
      </c>
      <c r="FN99" s="819">
        <f t="shared" si="128"/>
        <v>0</v>
      </c>
      <c r="FO99" s="820">
        <f t="shared" si="128"/>
        <v>0</v>
      </c>
      <c r="FP99" s="821">
        <f t="shared" si="128"/>
        <v>0</v>
      </c>
      <c r="FQ99" s="819">
        <f t="shared" si="128"/>
        <v>0</v>
      </c>
      <c r="FR99" s="820">
        <f t="shared" si="128"/>
        <v>0</v>
      </c>
      <c r="FS99" s="821">
        <f t="shared" si="128"/>
        <v>0</v>
      </c>
      <c r="FT99" s="819">
        <f>SUM(FT95:FT98)</f>
        <v>0</v>
      </c>
      <c r="FU99" s="820">
        <f t="shared" si="128"/>
        <v>0</v>
      </c>
      <c r="FV99" s="821">
        <f t="shared" si="128"/>
        <v>0</v>
      </c>
      <c r="FW99" s="819">
        <f t="shared" si="128"/>
        <v>0</v>
      </c>
      <c r="FX99" s="820">
        <f t="shared" si="128"/>
        <v>0</v>
      </c>
      <c r="FY99" s="821">
        <f t="shared" si="128"/>
        <v>0</v>
      </c>
      <c r="FZ99" s="819">
        <f t="shared" si="128"/>
        <v>0</v>
      </c>
      <c r="GA99" s="820">
        <f t="shared" si="128"/>
        <v>0</v>
      </c>
      <c r="GB99" s="821">
        <f t="shared" si="128"/>
        <v>0</v>
      </c>
      <c r="GC99" s="819">
        <f t="shared" si="128"/>
        <v>0</v>
      </c>
      <c r="GD99" s="820">
        <f t="shared" si="128"/>
        <v>0</v>
      </c>
      <c r="GE99" s="821">
        <f t="shared" si="128"/>
        <v>0</v>
      </c>
      <c r="GF99" s="819">
        <f t="shared" si="128"/>
        <v>0</v>
      </c>
      <c r="GG99" s="820">
        <f t="shared" si="128"/>
        <v>0</v>
      </c>
      <c r="GH99" s="821">
        <f t="shared" si="128"/>
        <v>0</v>
      </c>
      <c r="GI99" s="819">
        <f t="shared" si="128"/>
        <v>0</v>
      </c>
      <c r="GJ99" s="820">
        <f t="shared" si="128"/>
        <v>0</v>
      </c>
      <c r="GK99" s="821">
        <f t="shared" si="128"/>
        <v>0</v>
      </c>
      <c r="GL99" s="819">
        <f t="shared" si="128"/>
        <v>0</v>
      </c>
      <c r="GM99" s="820">
        <f t="shared" si="128"/>
        <v>0</v>
      </c>
      <c r="GN99" s="821">
        <f t="shared" si="128"/>
        <v>0</v>
      </c>
      <c r="GO99" s="819">
        <f t="shared" si="128"/>
        <v>0</v>
      </c>
      <c r="GP99" s="820">
        <f>SUM(GP95:GP98)</f>
        <v>0</v>
      </c>
      <c r="GQ99" s="821">
        <f t="shared" si="128"/>
        <v>0</v>
      </c>
      <c r="GR99" s="819">
        <f t="shared" si="128"/>
        <v>0</v>
      </c>
      <c r="GS99" s="820">
        <f t="shared" si="128"/>
        <v>0</v>
      </c>
      <c r="GT99" s="821">
        <f t="shared" si="128"/>
        <v>0</v>
      </c>
      <c r="GU99" s="819">
        <f t="shared" si="128"/>
        <v>0</v>
      </c>
      <c r="GV99" s="820">
        <f t="shared" si="128"/>
        <v>0</v>
      </c>
      <c r="GW99" s="821">
        <f t="shared" si="128"/>
        <v>0</v>
      </c>
      <c r="GX99" s="819">
        <f t="shared" si="128"/>
        <v>0</v>
      </c>
      <c r="GY99" s="820">
        <f t="shared" si="128"/>
        <v>0</v>
      </c>
      <c r="GZ99" s="821">
        <f t="shared" si="128"/>
        <v>0</v>
      </c>
      <c r="HA99" s="819">
        <f t="shared" si="128"/>
        <v>0</v>
      </c>
      <c r="HB99" s="820">
        <f t="shared" si="128"/>
        <v>0</v>
      </c>
      <c r="HC99" s="821">
        <f t="shared" si="128"/>
        <v>0</v>
      </c>
      <c r="HD99" s="819">
        <f t="shared" si="128"/>
        <v>0</v>
      </c>
      <c r="HE99" s="820">
        <f t="shared" si="128"/>
        <v>0</v>
      </c>
      <c r="HF99" s="821">
        <f t="shared" si="128"/>
        <v>0</v>
      </c>
      <c r="HG99" s="819">
        <f t="shared" si="128"/>
        <v>0</v>
      </c>
      <c r="HH99" s="820">
        <f t="shared" si="128"/>
        <v>0</v>
      </c>
      <c r="HI99" s="821">
        <f t="shared" si="128"/>
        <v>0</v>
      </c>
      <c r="HJ99" s="819">
        <f t="shared" si="128"/>
        <v>0</v>
      </c>
      <c r="HK99" s="820">
        <f t="shared" si="128"/>
        <v>0</v>
      </c>
      <c r="HL99" s="821">
        <f t="shared" ref="HL99:IH99" si="129">SUM(HL95:HL98)</f>
        <v>0</v>
      </c>
      <c r="HM99" s="819">
        <f t="shared" si="129"/>
        <v>0</v>
      </c>
      <c r="HN99" s="820">
        <f t="shared" si="129"/>
        <v>0</v>
      </c>
      <c r="HO99" s="821">
        <f t="shared" si="129"/>
        <v>0</v>
      </c>
      <c r="HP99" s="819">
        <f t="shared" si="129"/>
        <v>0</v>
      </c>
      <c r="HQ99" s="820">
        <f t="shared" si="129"/>
        <v>0</v>
      </c>
      <c r="HR99" s="821">
        <f t="shared" si="129"/>
        <v>0</v>
      </c>
      <c r="HS99" s="819">
        <f t="shared" si="129"/>
        <v>0</v>
      </c>
      <c r="HT99" s="820">
        <f t="shared" si="129"/>
        <v>0</v>
      </c>
      <c r="HU99" s="821">
        <f t="shared" si="129"/>
        <v>0</v>
      </c>
      <c r="HV99" s="819">
        <f t="shared" si="129"/>
        <v>0</v>
      </c>
      <c r="HW99" s="820">
        <f t="shared" si="129"/>
        <v>0</v>
      </c>
      <c r="HX99" s="821">
        <f t="shared" si="129"/>
        <v>0</v>
      </c>
      <c r="HY99" s="819">
        <f t="shared" si="129"/>
        <v>0</v>
      </c>
      <c r="HZ99" s="820">
        <f t="shared" si="129"/>
        <v>0</v>
      </c>
      <c r="IA99" s="821">
        <f t="shared" si="129"/>
        <v>0</v>
      </c>
      <c r="IB99" s="819">
        <f t="shared" si="129"/>
        <v>0</v>
      </c>
      <c r="IC99" s="820">
        <f t="shared" si="129"/>
        <v>0</v>
      </c>
      <c r="ID99" s="821">
        <f t="shared" si="129"/>
        <v>0</v>
      </c>
      <c r="IE99" s="819">
        <f t="shared" si="129"/>
        <v>0</v>
      </c>
      <c r="IF99" s="820">
        <f>SUM(IF95:IF98)</f>
        <v>0</v>
      </c>
      <c r="IG99" s="821">
        <f t="shared" si="129"/>
        <v>0</v>
      </c>
      <c r="IH99" s="819">
        <f t="shared" si="129"/>
        <v>0</v>
      </c>
    </row>
    <row r="100" s="4" customFormat="1" ht="14.25" hidden="1" customHeight="1">
      <c r="A100" s="247" t="s">
        <v>236</v>
      </c>
      <c r="B100" s="247"/>
      <c r="C100" s="248">
        <f>D100+E100</f>
        <v>0</v>
      </c>
      <c r="D100" s="285"/>
      <c r="E100" s="285"/>
      <c r="F100" s="217">
        <f>BX75</f>
        <v>0</v>
      </c>
      <c r="G100" s="801"/>
      <c r="H100" s="217">
        <f>BY75</f>
        <v>0</v>
      </c>
      <c r="I100" s="801"/>
      <c r="J100" s="217">
        <f>BZ74</f>
        <v>0</v>
      </c>
      <c r="K100" s="822"/>
      <c r="L100" s="258">
        <f>CA74</f>
        <v>0</v>
      </c>
      <c r="M100" s="822"/>
      <c r="N100" s="258">
        <f>CD74</f>
        <v>0</v>
      </c>
      <c r="O100" s="287">
        <f>N100*$AX$138/$N$153</f>
        <v>0</v>
      </c>
      <c r="P100" s="217">
        <f>CC74+CB74</f>
        <v>0</v>
      </c>
      <c r="Q100" s="287">
        <f>P100*($AX$139+$AX$137)/$P$153</f>
        <v>0</v>
      </c>
      <c r="R100" s="217">
        <f>CE74</f>
        <v>0</v>
      </c>
      <c r="S100" s="802">
        <v>0</v>
      </c>
      <c r="T100" s="217">
        <f>CF74</f>
        <v>0</v>
      </c>
      <c r="U100" s="802">
        <v>0</v>
      </c>
      <c r="V100" s="217">
        <f>CG74</f>
        <v>0</v>
      </c>
      <c r="W100" s="802">
        <v>0</v>
      </c>
      <c r="X100" s="217">
        <f>CH74</f>
        <v>0</v>
      </c>
      <c r="Y100" s="285">
        <f>X100*$AX$148/$X$153</f>
        <v>0</v>
      </c>
      <c r="Z100" s="217">
        <f>CI74</f>
        <v>0</v>
      </c>
      <c r="AA100" s="802">
        <v>0</v>
      </c>
      <c r="AB100" s="217">
        <f>CJ74</f>
        <v>0</v>
      </c>
      <c r="AC100" s="802">
        <v>0</v>
      </c>
      <c r="AD100" s="258">
        <f>CK74</f>
        <v>0</v>
      </c>
      <c r="AE100" s="802">
        <v>0</v>
      </c>
      <c r="AF100" s="217">
        <f>CL74</f>
        <v>0</v>
      </c>
      <c r="AG100" s="803">
        <v>0</v>
      </c>
      <c r="AH100" s="217">
        <f>CM74</f>
        <v>0</v>
      </c>
      <c r="AI100" s="802">
        <v>0</v>
      </c>
      <c r="AJ100" s="258"/>
      <c r="AK100" s="802">
        <v>0</v>
      </c>
      <c r="AL100" s="217">
        <f>CO74</f>
        <v>0</v>
      </c>
      <c r="AM100" s="802">
        <v>0</v>
      </c>
      <c r="AN100" s="785"/>
      <c r="AO100" s="804">
        <v>0</v>
      </c>
      <c r="AP100" s="217"/>
      <c r="AQ100" s="803"/>
      <c r="AR100" s="217">
        <f>CS74</f>
        <v>0</v>
      </c>
      <c r="AS100" s="288">
        <f>$AX$145*AR100/$AR$153</f>
        <v>0</v>
      </c>
      <c r="AT100" s="217">
        <f>CT59</f>
        <v>0</v>
      </c>
      <c r="AU100" s="802">
        <v>0</v>
      </c>
      <c r="AV100" s="253"/>
      <c r="AW100" s="253"/>
      <c r="AX100" s="288">
        <f>C100+G100+I100+K100+M100+O100+Q100+S100+U100+W100+Y100+AA100+AC100+AE100+AG100+AI100+AK100+AO100+AU100+AS100+AW100+AQ100+AM100</f>
        <v>0</v>
      </c>
      <c r="AY100" s="288"/>
      <c r="AZ100" s="288"/>
      <c r="BA100" s="288"/>
      <c r="BB100" s="289">
        <f>BF100+BF99+BF101</f>
        <v>0</v>
      </c>
      <c r="BC100" s="290"/>
      <c r="BD100" s="286"/>
      <c r="BE100" s="286"/>
      <c r="BF100" s="747"/>
      <c r="BG100" s="287"/>
      <c r="BH100" s="523"/>
      <c r="BI100" s="287"/>
      <c r="BJ100" s="257"/>
      <c r="BK100" s="217">
        <f>BG100+BG99+BG101</f>
        <v>0</v>
      </c>
      <c r="BL100" s="293">
        <f>BG100*20%</f>
        <v>0</v>
      </c>
      <c r="BM100" s="287" t="e">
        <f>AX100/BB100</f>
        <v>#DIV/0!</v>
      </c>
      <c r="BN100" s="287" t="e">
        <f>(BL100+BL99+BL101)/BB100</f>
        <v>#DIV/0!</v>
      </c>
      <c r="BO100" s="217" t="e">
        <f>BN100-BM100</f>
        <v>#DIV/0!</v>
      </c>
      <c r="BP100" s="287">
        <f>(BL100+BL99+BL101)-AX100</f>
        <v>0</v>
      </c>
      <c r="BQ100" s="285"/>
      <c r="BR100" s="773" t="s">
        <v>264</v>
      </c>
      <c r="BS100" s="1"/>
      <c r="BT100" s="1"/>
      <c r="BU100" s="1"/>
      <c r="BV100" s="1"/>
      <c r="BW100" s="347" t="s">
        <v>272</v>
      </c>
      <c r="BX100" s="762"/>
      <c r="BY100" s="762"/>
      <c r="BZ100" s="762"/>
      <c r="CA100" s="762">
        <f>'2026'!T684</f>
        <v>0</v>
      </c>
      <c r="CB100" s="762">
        <f>'2026'!T543</f>
        <v>0</v>
      </c>
      <c r="CC100" s="763">
        <f>'2026'!T471</f>
        <v>7742</v>
      </c>
      <c r="CD100" s="763">
        <f>'2026'!T614</f>
        <v>238</v>
      </c>
      <c r="CE100" s="763">
        <f>'2026'!T343</f>
        <v>303</v>
      </c>
      <c r="CF100" s="730"/>
      <c r="CG100" s="763">
        <f>'2026'!T943</f>
        <v>190</v>
      </c>
      <c r="CH100" s="762"/>
      <c r="CI100" s="762"/>
      <c r="CJ100" s="762"/>
      <c r="CK100" s="762"/>
      <c r="CL100" s="762"/>
      <c r="CM100" s="762"/>
      <c r="CN100" s="762"/>
      <c r="CO100" s="765"/>
      <c r="CP100" s="5"/>
      <c r="CQ100" s="766"/>
      <c r="CR100" s="823"/>
      <c r="CS100" s="824">
        <f>'2026'!T1044</f>
        <v>1797</v>
      </c>
      <c r="CT100" s="10"/>
      <c r="CU100" s="10"/>
      <c r="CV100" s="10"/>
      <c r="CW100" s="122"/>
      <c r="CX100" s="11"/>
      <c r="CY100" s="11"/>
      <c r="DA100" s="304">
        <f>DB100+DC100</f>
        <v>0</v>
      </c>
      <c r="DB100" s="305"/>
      <c r="DC100" s="305">
        <v>0</v>
      </c>
      <c r="DD100" s="306">
        <f>DE100+DF100</f>
        <v>0</v>
      </c>
      <c r="DE100" s="306"/>
      <c r="DF100" s="27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247" t="s">
        <v>273</v>
      </c>
      <c r="EG100" s="247"/>
      <c r="EH100" s="280"/>
      <c r="EI100" s="280"/>
      <c r="EJ100" s="1"/>
      <c r="EK100" s="1"/>
      <c r="EL100" s="1"/>
      <c r="EM100" s="1"/>
      <c r="EN100" s="280"/>
      <c r="EO100" s="280"/>
      <c r="EP100" s="1"/>
      <c r="EQ100" s="1"/>
      <c r="ER100" s="1"/>
      <c r="ES100" s="1"/>
      <c r="ET100" s="280"/>
      <c r="EU100" s="280"/>
      <c r="EV100" s="1"/>
      <c r="EW100" s="1"/>
      <c r="EX100" s="1"/>
      <c r="EY100" s="1"/>
      <c r="EZ100" s="356"/>
      <c r="FA100" s="357"/>
      <c r="FB100" s="1"/>
      <c r="FC100" s="281"/>
      <c r="FD100" s="281"/>
      <c r="FE100" s="38"/>
      <c r="FF100" s="356"/>
      <c r="FG100" s="357"/>
      <c r="FH100" s="1"/>
      <c r="FI100" s="281"/>
      <c r="FJ100" s="281"/>
      <c r="FK100" s="38"/>
      <c r="FL100" s="356"/>
      <c r="FM100" s="357"/>
      <c r="FN100" s="1"/>
      <c r="FO100" s="281"/>
      <c r="FP100" s="281"/>
      <c r="FQ100" s="38"/>
      <c r="FR100" s="356"/>
      <c r="FS100" s="357"/>
      <c r="FT100" s="1"/>
      <c r="FU100" s="281"/>
      <c r="FV100" s="281"/>
      <c r="FW100" s="38"/>
      <c r="FX100" s="356"/>
      <c r="FY100" s="357"/>
      <c r="FZ100" s="1"/>
      <c r="GA100" s="281"/>
      <c r="GB100" s="281"/>
      <c r="GC100" s="38"/>
      <c r="GD100" s="356"/>
      <c r="GE100" s="357"/>
      <c r="GF100" s="1"/>
      <c r="GG100" s="281"/>
      <c r="GH100" s="281"/>
      <c r="GI100" s="38"/>
      <c r="GJ100" s="356"/>
      <c r="GK100" s="357"/>
      <c r="GL100" s="1"/>
      <c r="GM100" s="281"/>
      <c r="GN100" s="281"/>
      <c r="GO100" s="38"/>
      <c r="GP100" s="356"/>
      <c r="GQ100" s="357"/>
      <c r="GR100" s="1"/>
      <c r="GS100" s="281"/>
      <c r="GT100" s="281"/>
      <c r="GU100" s="38"/>
      <c r="GV100" s="356"/>
      <c r="GW100" s="357"/>
      <c r="GX100" s="1"/>
      <c r="GY100" s="281"/>
      <c r="GZ100" s="281"/>
      <c r="HA100" s="38"/>
      <c r="HB100" s="356"/>
      <c r="HC100" s="357"/>
      <c r="HD100" s="1"/>
      <c r="HE100" s="281"/>
      <c r="HF100" s="281"/>
      <c r="HG100" s="38"/>
      <c r="HH100" s="356"/>
      <c r="HI100" s="357"/>
      <c r="HJ100" s="1"/>
      <c r="HK100" s="281"/>
      <c r="HL100" s="281"/>
      <c r="HM100" s="38"/>
      <c r="HN100" s="356"/>
      <c r="HO100" s="357"/>
      <c r="HP100" s="1"/>
      <c r="HQ100" s="281"/>
      <c r="HR100" s="281"/>
      <c r="HS100" s="38"/>
      <c r="HT100" s="356"/>
      <c r="HU100" s="357"/>
      <c r="HV100" s="1"/>
      <c r="HW100" s="281"/>
      <c r="HX100" s="281"/>
      <c r="HY100" s="38"/>
      <c r="HZ100" s="356"/>
      <c r="IA100" s="357"/>
      <c r="IB100" s="1"/>
      <c r="IC100" s="281"/>
      <c r="ID100" s="281"/>
      <c r="IE100" s="38"/>
      <c r="IF100" s="356"/>
      <c r="IG100" s="357"/>
      <c r="IH100" s="1"/>
      <c r="II100" s="1"/>
      <c r="IJ100" s="1"/>
      <c r="IK100" s="1"/>
    </row>
    <row r="101" s="4" customFormat="1" ht="13.5" hidden="1">
      <c r="A101" s="247"/>
      <c r="B101" s="247"/>
      <c r="C101" s="248"/>
      <c r="D101" s="331" t="e">
        <f>D100*100/$AX100</f>
        <v>#DIV/0!</v>
      </c>
      <c r="E101" s="331" t="e">
        <f>E100*100/$AX100</f>
        <v>#DIV/0!</v>
      </c>
      <c r="F101" s="250"/>
      <c r="G101" s="254"/>
      <c r="H101" s="250"/>
      <c r="I101" s="254"/>
      <c r="J101" s="250"/>
      <c r="K101" s="333"/>
      <c r="L101" s="258"/>
      <c r="M101" s="333"/>
      <c r="N101" s="258"/>
      <c r="O101" s="333" t="e">
        <f>O100*100/$AX100</f>
        <v>#DIV/0!</v>
      </c>
      <c r="P101" s="250"/>
      <c r="Q101" s="333" t="e">
        <f>Q100*100/$AX100</f>
        <v>#DIV/0!</v>
      </c>
      <c r="R101" s="250"/>
      <c r="S101" s="333"/>
      <c r="T101" s="250"/>
      <c r="U101" s="333"/>
      <c r="V101" s="250"/>
      <c r="W101" s="333"/>
      <c r="X101" s="250"/>
      <c r="Y101" s="333"/>
      <c r="Z101" s="250"/>
      <c r="AA101" s="333"/>
      <c r="AB101" s="250"/>
      <c r="AC101" s="253"/>
      <c r="AD101" s="250"/>
      <c r="AE101" s="333"/>
      <c r="AF101" s="250"/>
      <c r="AG101" s="254"/>
      <c r="AH101" s="250"/>
      <c r="AI101" s="333"/>
      <c r="AJ101" s="250"/>
      <c r="AK101" s="333"/>
      <c r="AL101" s="258"/>
      <c r="AM101" s="333"/>
      <c r="AN101" s="250"/>
      <c r="AO101" s="332"/>
      <c r="AP101" s="250"/>
      <c r="AQ101" s="336"/>
      <c r="AR101" s="258"/>
      <c r="AS101" s="336" t="e">
        <f>AS100*100/$AX100</f>
        <v>#DIV/0!</v>
      </c>
      <c r="AT101" s="250"/>
      <c r="AU101" s="253"/>
      <c r="AV101" s="253"/>
      <c r="AW101" s="253"/>
      <c r="AX101" s="336" t="e">
        <f>SUM(D101:AW101)</f>
        <v>#DIV/0!</v>
      </c>
      <c r="AY101" s="336"/>
      <c r="AZ101" s="336"/>
      <c r="BA101" s="336"/>
      <c r="BB101" s="337"/>
      <c r="BC101" s="290"/>
      <c r="BD101" s="286"/>
      <c r="BE101" s="286"/>
      <c r="BF101" s="747"/>
      <c r="BG101" s="287"/>
      <c r="BH101" s="259"/>
      <c r="BI101" s="259"/>
      <c r="BJ101" s="257"/>
      <c r="BK101" s="293"/>
      <c r="BL101" s="293">
        <f>BG101*22%</f>
        <v>0</v>
      </c>
      <c r="BM101" s="257"/>
      <c r="BN101" s="257"/>
      <c r="BO101" s="709"/>
      <c r="BP101" s="257"/>
      <c r="BQ101" s="272"/>
      <c r="BR101" s="773" t="s">
        <v>263</v>
      </c>
      <c r="BS101" s="1"/>
      <c r="BT101" s="1"/>
      <c r="BU101" s="1"/>
      <c r="BV101" s="1"/>
      <c r="BW101" s="38"/>
      <c r="BX101" s="762"/>
      <c r="BY101" s="762"/>
      <c r="BZ101" s="762"/>
      <c r="CA101" s="762"/>
      <c r="CB101" s="762"/>
      <c r="CC101" s="730"/>
      <c r="CD101" s="730"/>
      <c r="CE101" s="762"/>
      <c r="CF101" s="762"/>
      <c r="CG101" s="762"/>
      <c r="CH101" s="762"/>
      <c r="CI101" s="762"/>
      <c r="CJ101" s="762"/>
      <c r="CK101" s="762"/>
      <c r="CL101" s="762"/>
      <c r="CM101" s="762"/>
      <c r="CN101" s="762"/>
      <c r="CO101" s="765"/>
      <c r="CP101" s="5"/>
      <c r="CQ101" s="766"/>
      <c r="CR101" s="370"/>
      <c r="CS101" s="298"/>
      <c r="CT101" s="10"/>
      <c r="CU101" s="10"/>
      <c r="CV101" s="10"/>
      <c r="CW101" s="122"/>
      <c r="CX101" s="11"/>
      <c r="CY101" s="11"/>
      <c r="DA101" s="269"/>
      <c r="DB101" s="270"/>
      <c r="DC101" s="270"/>
      <c r="DD101" s="271"/>
      <c r="DE101" s="271"/>
      <c r="DF101" s="27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247"/>
      <c r="EG101" s="247"/>
      <c r="EH101" s="280"/>
      <c r="EI101" s="280"/>
      <c r="EJ101" s="1"/>
      <c r="EK101" s="1"/>
      <c r="EL101" s="1"/>
      <c r="EM101" s="1"/>
      <c r="EN101" s="280"/>
      <c r="EO101" s="280"/>
      <c r="EP101" s="1"/>
      <c r="EQ101" s="1"/>
      <c r="ER101" s="1"/>
      <c r="ES101" s="1"/>
      <c r="ET101" s="280"/>
      <c r="EU101" s="280"/>
      <c r="EV101" s="1"/>
      <c r="EW101" s="1"/>
      <c r="EX101" s="1"/>
      <c r="EY101" s="1"/>
      <c r="EZ101" s="356"/>
      <c r="FA101" s="357"/>
      <c r="FB101" s="1"/>
      <c r="FC101" s="281"/>
      <c r="FD101" s="281"/>
      <c r="FE101" s="38"/>
      <c r="FF101" s="356"/>
      <c r="FG101" s="357"/>
      <c r="FH101" s="1"/>
      <c r="FI101" s="281"/>
      <c r="FJ101" s="281"/>
      <c r="FK101" s="38"/>
      <c r="FL101" s="356"/>
      <c r="FM101" s="357"/>
      <c r="FN101" s="1"/>
      <c r="FO101" s="281"/>
      <c r="FP101" s="281"/>
      <c r="FQ101" s="38"/>
      <c r="FR101" s="356"/>
      <c r="FS101" s="357"/>
      <c r="FT101" s="1"/>
      <c r="FU101" s="281"/>
      <c r="FV101" s="281"/>
      <c r="FW101" s="38"/>
      <c r="FX101" s="356"/>
      <c r="FY101" s="357"/>
      <c r="FZ101" s="1"/>
      <c r="GA101" s="281"/>
      <c r="GB101" s="281"/>
      <c r="GC101" s="38"/>
      <c r="GD101" s="356"/>
      <c r="GE101" s="357"/>
      <c r="GF101" s="1"/>
      <c r="GG101" s="281"/>
      <c r="GH101" s="281"/>
      <c r="GI101" s="38"/>
      <c r="GJ101" s="356"/>
      <c r="GK101" s="357"/>
      <c r="GL101" s="1"/>
      <c r="GM101" s="281"/>
      <c r="GN101" s="281"/>
      <c r="GO101" s="38"/>
      <c r="GP101" s="356"/>
      <c r="GQ101" s="357"/>
      <c r="GR101" s="1"/>
      <c r="GS101" s="281"/>
      <c r="GT101" s="281"/>
      <c r="GU101" s="38"/>
      <c r="GV101" s="356"/>
      <c r="GW101" s="357"/>
      <c r="GX101" s="1"/>
      <c r="GY101" s="281"/>
      <c r="GZ101" s="281"/>
      <c r="HA101" s="38"/>
      <c r="HB101" s="356"/>
      <c r="HC101" s="357"/>
      <c r="HD101" s="1"/>
      <c r="HE101" s="281"/>
      <c r="HF101" s="281"/>
      <c r="HG101" s="38"/>
      <c r="HH101" s="356"/>
      <c r="HI101" s="357"/>
      <c r="HJ101" s="1"/>
      <c r="HK101" s="281"/>
      <c r="HL101" s="281"/>
      <c r="HM101" s="38"/>
      <c r="HN101" s="356"/>
      <c r="HO101" s="357"/>
      <c r="HP101" s="1"/>
      <c r="HQ101" s="281"/>
      <c r="HR101" s="281"/>
      <c r="HS101" s="38"/>
      <c r="HT101" s="356"/>
      <c r="HU101" s="357"/>
      <c r="HV101" s="1"/>
      <c r="HW101" s="281"/>
      <c r="HX101" s="281"/>
      <c r="HY101" s="38"/>
      <c r="HZ101" s="356"/>
      <c r="IA101" s="357"/>
      <c r="IB101" s="1"/>
      <c r="IC101" s="281"/>
      <c r="ID101" s="281"/>
      <c r="IE101" s="38"/>
      <c r="IF101" s="356"/>
      <c r="IG101" s="357"/>
      <c r="IH101" s="1"/>
      <c r="II101" s="1"/>
      <c r="IJ101" s="1"/>
      <c r="IK101" s="1"/>
    </row>
    <row r="102" s="521" customFormat="1" ht="13.5">
      <c r="A102" s="825" t="s">
        <v>65</v>
      </c>
      <c r="B102" s="826"/>
      <c r="C102" s="248">
        <f>C33+C61+C72+C96+C93+C100</f>
        <v>29096359.550000004</v>
      </c>
      <c r="D102" s="249">
        <f>D33+D61+D72+D96+D93+D100</f>
        <v>15044260.629999999</v>
      </c>
      <c r="E102" s="249">
        <f>E33+E61+E72+E96+E93+E100</f>
        <v>14052098.920000002</v>
      </c>
      <c r="F102" s="641"/>
      <c r="G102" s="644">
        <f>G33+G61+G72+G96+G93+G100</f>
        <v>6065419.6615461046</v>
      </c>
      <c r="H102" s="641"/>
      <c r="I102" s="644">
        <f>I33+I61+I72+I96+I93+I100</f>
        <v>22643118.877121355</v>
      </c>
      <c r="J102" s="641"/>
      <c r="K102" s="641">
        <f>K33+K61+K72+K96+K93+K100</f>
        <v>576017.11685492774</v>
      </c>
      <c r="L102" s="641"/>
      <c r="M102" s="641">
        <f>M33+M61+M72+M96+M93+M100</f>
        <v>1412132.9055077657</v>
      </c>
      <c r="N102" s="641"/>
      <c r="O102" s="641">
        <f>O33+O61+O72+O96+O93+O100</f>
        <v>276381.751526598</v>
      </c>
      <c r="P102" s="641"/>
      <c r="Q102" s="641">
        <f>Q33+Q61+Q72+Q96+Q93+Q100</f>
        <v>4761759.4813841702</v>
      </c>
      <c r="R102" s="641"/>
      <c r="S102" s="641">
        <f>S33+S61+S72+S96+S93+S100</f>
        <v>28662.685717921988</v>
      </c>
      <c r="T102" s="641"/>
      <c r="U102" s="641">
        <f>U33+U61+U72+U96+U93+U100</f>
        <v>302951.19545389689</v>
      </c>
      <c r="V102" s="641"/>
      <c r="W102" s="641">
        <f>W33+W61+W72+W96+W93+W100</f>
        <v>13251.011840322681</v>
      </c>
      <c r="X102" s="641"/>
      <c r="Y102" s="641">
        <f>Y33+Y61+Y72+Y96+Y93+Y100</f>
        <v>67666.870809031592</v>
      </c>
      <c r="Z102" s="641"/>
      <c r="AA102" s="641">
        <f>AA33+AA61+AA72+AA96+AA93+AA100</f>
        <v>39846.18</v>
      </c>
      <c r="AB102" s="641"/>
      <c r="AC102" s="641">
        <f>AC33+AC61+AC72+AC96+AC93+AC100</f>
        <v>0</v>
      </c>
      <c r="AD102" s="641"/>
      <c r="AE102" s="641">
        <f>AE33+AE61+AE72+AE96+AE93+AE100</f>
        <v>1410850.6878849282</v>
      </c>
      <c r="AF102" s="641"/>
      <c r="AG102" s="644">
        <f>AG33+AG61+AG72+AG96+AG93+AG100</f>
        <v>8154298.8378253877</v>
      </c>
      <c r="AH102" s="641"/>
      <c r="AI102" s="641">
        <f>AI33+AI61+AI72+AI96+AI93+AI100</f>
        <v>848947.90142517164</v>
      </c>
      <c r="AJ102" s="641"/>
      <c r="AK102" s="641">
        <f>AK33+AK61+AK72+AK96+AK93+AK100</f>
        <v>1872186.1896896202</v>
      </c>
      <c r="AL102" s="641"/>
      <c r="AM102" s="641">
        <f>AM33+AM61+AM72+AM96+AM93+AM100</f>
        <v>1945635.7313555088</v>
      </c>
      <c r="AN102" s="641"/>
      <c r="AO102" s="779">
        <f>AO33+AO61+AO72+AO96+AO93+AO100</f>
        <v>65791.671099999992</v>
      </c>
      <c r="AP102" s="641"/>
      <c r="AQ102" s="644">
        <f>AQ33+AQ61+AQ72+AQ96+AQ93+AQ100</f>
        <v>339459.13004890154</v>
      </c>
      <c r="AR102" s="641"/>
      <c r="AS102" s="644">
        <f>AS33+AS61+AS72+AS96+AS93+AS100</f>
        <v>162209.42831649736</v>
      </c>
      <c r="AT102" s="780"/>
      <c r="AU102" s="641">
        <f>AU33+AU61+AU72+AU96+AU93+AU100</f>
        <v>1646466.4264457086</v>
      </c>
      <c r="AV102" s="641">
        <f>AV33+AV61+AV72+AV96+AV93+AV100</f>
        <v>0</v>
      </c>
      <c r="AW102" s="641">
        <f>AW33+AW61+AW72+AW96+AW93+AW100</f>
        <v>0</v>
      </c>
      <c r="AX102" s="644">
        <f>AX33+AX61+AX72+AX96+AX93+AX100</f>
        <v>81729413.291853815</v>
      </c>
      <c r="AY102" s="644">
        <f>AX102-C102</f>
        <v>52633053.741853811</v>
      </c>
      <c r="AZ102" s="644">
        <f>AY102-G102-I102-AG102-AI102-AK102-AM102</f>
        <v>11103446.542890664</v>
      </c>
      <c r="BA102" s="644">
        <f>AZ102+I102</f>
        <v>33746565.42001202</v>
      </c>
      <c r="BB102" s="781">
        <f>BB33+BB61+BB72+BB96+BB93+BB100</f>
        <v>170870</v>
      </c>
      <c r="BC102" s="782">
        <f t="shared" si="80"/>
        <v>478.3134154143724</v>
      </c>
      <c r="BD102" s="783" t="e">
        <f>BD33+BD61+BD72+BD96+BD93+BD100+BD95+BD97+BD98+BD101</f>
        <v>#REF!</v>
      </c>
      <c r="BE102" s="783" t="e">
        <f>BE33+BE61+BE72+BE96+BE93+BE100+BE95+BE97+BE98+BE101</f>
        <v>#REF!</v>
      </c>
      <c r="BF102" s="827">
        <f>BF33+BF61+BF72+BF96+BF93+BF100+BF95+BF97+BF98+BF99+BF101</f>
        <v>0</v>
      </c>
      <c r="BG102" s="641">
        <f>BG33+BG61+BG72+BG96+BG93+BG100+BG95+BG97+BG98+BG99+BG101</f>
        <v>0</v>
      </c>
      <c r="BH102" s="641">
        <f>BH33+BH61+BH72+BH96+BH93+BH100</f>
        <v>0</v>
      </c>
      <c r="BI102" s="641">
        <f>BI33+BI61+BI72+BI96+BI93+BI100</f>
        <v>0</v>
      </c>
      <c r="BJ102" s="641">
        <f>SUM(BJ11:BJ101)</f>
        <v>0</v>
      </c>
      <c r="BK102" s="641">
        <f>BK33+BK61+BK72+BK99+BK93+BK100</f>
        <v>0</v>
      </c>
      <c r="BL102" s="641">
        <f>BL33+BL61+BL72+BL96+BL93+BL95+BL97+BL98</f>
        <v>0</v>
      </c>
      <c r="BM102" s="641"/>
      <c r="BN102" s="641"/>
      <c r="BO102" s="258"/>
      <c r="BP102" s="828">
        <f>BL102-AX102</f>
        <v>-81729413.291853815</v>
      </c>
      <c r="BQ102" s="828" t="e">
        <f>BQ33+BQ61+BQ72+BQ93+BQ99</f>
        <v>#REF!</v>
      </c>
      <c r="BR102" s="773"/>
      <c r="BS102" s="1"/>
      <c r="BT102" s="1"/>
      <c r="BU102" s="1"/>
      <c r="BV102" s="1"/>
      <c r="BW102" s="38"/>
      <c r="BX102" s="762"/>
      <c r="BY102" s="762"/>
      <c r="BZ102" s="762"/>
      <c r="CA102" s="762"/>
      <c r="CB102" s="762"/>
      <c r="CC102" s="730"/>
      <c r="CD102" s="730"/>
      <c r="CE102" s="762"/>
      <c r="CF102" s="762"/>
      <c r="CG102" s="762"/>
      <c r="CH102" s="762"/>
      <c r="CI102" s="762"/>
      <c r="CJ102" s="762"/>
      <c r="CK102" s="762"/>
      <c r="CL102" s="762"/>
      <c r="CM102" s="762"/>
      <c r="CN102" s="762"/>
      <c r="CO102" s="765"/>
      <c r="CP102" s="5"/>
      <c r="CQ102" s="766"/>
      <c r="CR102" s="370"/>
      <c r="CS102" s="298"/>
      <c r="CT102" s="10"/>
      <c r="CU102" s="10"/>
      <c r="CV102" s="10"/>
      <c r="CW102" s="829">
        <f>CW74+CW63+CW35</f>
        <v>1559554.1786028803</v>
      </c>
      <c r="CX102" s="684"/>
      <c r="CY102" s="684"/>
      <c r="CZ102" s="830">
        <f t="shared" ref="CZ102:DF102" si="130">CZ35+CZ63+CZ74+CZ96+CZ93+CZ100</f>
        <v>0</v>
      </c>
      <c r="DA102" s="830">
        <f t="shared" si="130"/>
        <v>63</v>
      </c>
      <c r="DB102" s="831">
        <f t="shared" si="130"/>
        <v>63</v>
      </c>
      <c r="DC102" s="831">
        <f t="shared" si="130"/>
        <v>0</v>
      </c>
      <c r="DD102" s="830">
        <f t="shared" si="130"/>
        <v>0</v>
      </c>
      <c r="DE102" s="831">
        <f t="shared" si="130"/>
        <v>0</v>
      </c>
      <c r="DF102" s="831">
        <f t="shared" si="130"/>
        <v>0</v>
      </c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832" t="s">
        <v>65</v>
      </c>
      <c r="EG102" s="832"/>
      <c r="EH102" s="833">
        <f t="shared" ref="EH102:EM102" si="131">EH99+EH93+EH74</f>
        <v>0</v>
      </c>
      <c r="EI102" s="834">
        <f t="shared" si="131"/>
        <v>0</v>
      </c>
      <c r="EJ102" s="835">
        <f t="shared" si="131"/>
        <v>0</v>
      </c>
      <c r="EK102" s="835">
        <f t="shared" si="131"/>
        <v>0</v>
      </c>
      <c r="EL102" s="835">
        <f t="shared" si="131"/>
        <v>0</v>
      </c>
      <c r="EM102" s="835">
        <f t="shared" si="131"/>
        <v>0</v>
      </c>
      <c r="EN102" s="833">
        <f t="shared" ref="EN102:EY102" si="132">EN99+EN93+EN74</f>
        <v>0</v>
      </c>
      <c r="EO102" s="834">
        <f t="shared" si="132"/>
        <v>0</v>
      </c>
      <c r="EP102" s="835">
        <f t="shared" si="132"/>
        <v>0</v>
      </c>
      <c r="EQ102" s="835">
        <f t="shared" si="132"/>
        <v>0</v>
      </c>
      <c r="ER102" s="835">
        <f t="shared" si="132"/>
        <v>0</v>
      </c>
      <c r="ES102" s="835">
        <f t="shared" si="132"/>
        <v>0</v>
      </c>
      <c r="ET102" s="833">
        <f t="shared" si="132"/>
        <v>0</v>
      </c>
      <c r="EU102" s="834">
        <f t="shared" si="132"/>
        <v>0</v>
      </c>
      <c r="EV102" s="835">
        <f t="shared" si="132"/>
        <v>0</v>
      </c>
      <c r="EW102" s="835">
        <f t="shared" si="132"/>
        <v>0</v>
      </c>
      <c r="EX102" s="835">
        <f t="shared" si="132"/>
        <v>0</v>
      </c>
      <c r="EY102" s="835">
        <f t="shared" si="132"/>
        <v>0</v>
      </c>
      <c r="EZ102" s="836">
        <f t="shared" ref="EZ102:FE102" si="133">EZ99+EZ93+EZ74</f>
        <v>0</v>
      </c>
      <c r="FA102" s="837">
        <f t="shared" si="133"/>
        <v>0</v>
      </c>
      <c r="FB102" s="838">
        <f t="shared" si="133"/>
        <v>0</v>
      </c>
      <c r="FC102" s="837">
        <f t="shared" si="133"/>
        <v>0</v>
      </c>
      <c r="FD102" s="837">
        <f t="shared" si="133"/>
        <v>0</v>
      </c>
      <c r="FE102" s="839">
        <f t="shared" si="133"/>
        <v>0</v>
      </c>
      <c r="FF102" s="836">
        <f t="shared" ref="FF102:HK102" si="134">FF99+FF93+FF74</f>
        <v>0</v>
      </c>
      <c r="FG102" s="837">
        <f t="shared" si="134"/>
        <v>0</v>
      </c>
      <c r="FH102" s="838">
        <f t="shared" si="134"/>
        <v>0</v>
      </c>
      <c r="FI102" s="837">
        <f t="shared" si="134"/>
        <v>0</v>
      </c>
      <c r="FJ102" s="837">
        <f t="shared" si="134"/>
        <v>0</v>
      </c>
      <c r="FK102" s="839">
        <f t="shared" si="134"/>
        <v>0</v>
      </c>
      <c r="FL102" s="836">
        <f t="shared" si="134"/>
        <v>0</v>
      </c>
      <c r="FM102" s="837">
        <f t="shared" si="134"/>
        <v>0</v>
      </c>
      <c r="FN102" s="838">
        <f t="shared" si="134"/>
        <v>0</v>
      </c>
      <c r="FO102" s="837">
        <f t="shared" si="134"/>
        <v>0</v>
      </c>
      <c r="FP102" s="837">
        <f t="shared" si="134"/>
        <v>0</v>
      </c>
      <c r="FQ102" s="839">
        <f t="shared" si="134"/>
        <v>0</v>
      </c>
      <c r="FR102" s="836">
        <f t="shared" si="134"/>
        <v>0</v>
      </c>
      <c r="FS102" s="837">
        <f t="shared" si="134"/>
        <v>0</v>
      </c>
      <c r="FT102" s="838">
        <f t="shared" si="134"/>
        <v>0</v>
      </c>
      <c r="FU102" s="837">
        <f t="shared" si="134"/>
        <v>0</v>
      </c>
      <c r="FV102" s="837">
        <f t="shared" si="134"/>
        <v>0</v>
      </c>
      <c r="FW102" s="839">
        <f t="shared" si="134"/>
        <v>0</v>
      </c>
      <c r="FX102" s="836">
        <f t="shared" si="134"/>
        <v>0</v>
      </c>
      <c r="FY102" s="837">
        <f t="shared" si="134"/>
        <v>0</v>
      </c>
      <c r="FZ102" s="838">
        <f t="shared" si="134"/>
        <v>0</v>
      </c>
      <c r="GA102" s="837">
        <f t="shared" si="134"/>
        <v>0</v>
      </c>
      <c r="GB102" s="837">
        <f t="shared" si="134"/>
        <v>0</v>
      </c>
      <c r="GC102" s="839">
        <f t="shared" si="134"/>
        <v>0</v>
      </c>
      <c r="GD102" s="836">
        <f t="shared" si="134"/>
        <v>0</v>
      </c>
      <c r="GE102" s="837">
        <f t="shared" si="134"/>
        <v>0</v>
      </c>
      <c r="GF102" s="838">
        <f t="shared" si="134"/>
        <v>0</v>
      </c>
      <c r="GG102" s="837">
        <f t="shared" si="134"/>
        <v>0</v>
      </c>
      <c r="GH102" s="837">
        <f t="shared" si="134"/>
        <v>0</v>
      </c>
      <c r="GI102" s="839">
        <f t="shared" si="134"/>
        <v>0</v>
      </c>
      <c r="GJ102" s="836">
        <f t="shared" si="134"/>
        <v>0</v>
      </c>
      <c r="GK102" s="837">
        <f t="shared" si="134"/>
        <v>0</v>
      </c>
      <c r="GL102" s="838">
        <f t="shared" si="134"/>
        <v>0</v>
      </c>
      <c r="GM102" s="837">
        <f t="shared" si="134"/>
        <v>0</v>
      </c>
      <c r="GN102" s="837">
        <f t="shared" si="134"/>
        <v>0</v>
      </c>
      <c r="GO102" s="839">
        <f t="shared" si="134"/>
        <v>0</v>
      </c>
      <c r="GP102" s="836">
        <f t="shared" si="134"/>
        <v>0</v>
      </c>
      <c r="GQ102" s="837">
        <f t="shared" si="134"/>
        <v>0</v>
      </c>
      <c r="GR102" s="838">
        <f t="shared" si="134"/>
        <v>0</v>
      </c>
      <c r="GS102" s="837">
        <f t="shared" si="134"/>
        <v>0</v>
      </c>
      <c r="GT102" s="837">
        <f t="shared" si="134"/>
        <v>0</v>
      </c>
      <c r="GU102" s="839">
        <f t="shared" si="134"/>
        <v>0</v>
      </c>
      <c r="GV102" s="836">
        <f t="shared" si="134"/>
        <v>0</v>
      </c>
      <c r="GW102" s="837">
        <f t="shared" si="134"/>
        <v>0</v>
      </c>
      <c r="GX102" s="838">
        <f t="shared" si="134"/>
        <v>0</v>
      </c>
      <c r="GY102" s="837">
        <f t="shared" si="134"/>
        <v>0</v>
      </c>
      <c r="GZ102" s="837">
        <f t="shared" si="134"/>
        <v>0</v>
      </c>
      <c r="HA102" s="839">
        <f t="shared" si="134"/>
        <v>0</v>
      </c>
      <c r="HB102" s="836">
        <f t="shared" si="134"/>
        <v>0</v>
      </c>
      <c r="HC102" s="838">
        <f t="shared" si="134"/>
        <v>0</v>
      </c>
      <c r="HD102" s="838">
        <f>HD99+HD93+HD74</f>
        <v>0</v>
      </c>
      <c r="HE102" s="837">
        <f t="shared" si="134"/>
        <v>0</v>
      </c>
      <c r="HF102" s="837">
        <f t="shared" si="134"/>
        <v>0</v>
      </c>
      <c r="HG102" s="839">
        <f t="shared" si="134"/>
        <v>0</v>
      </c>
      <c r="HH102" s="836">
        <f t="shared" si="134"/>
        <v>0</v>
      </c>
      <c r="HI102" s="837">
        <f t="shared" si="134"/>
        <v>0</v>
      </c>
      <c r="HJ102" s="838">
        <f t="shared" si="134"/>
        <v>0</v>
      </c>
      <c r="HK102" s="837">
        <f t="shared" si="134"/>
        <v>0</v>
      </c>
      <c r="HL102" s="837">
        <f t="shared" ref="HL102:IH102" si="135">HL99+HL93+HL74</f>
        <v>0</v>
      </c>
      <c r="HM102" s="839">
        <f t="shared" si="135"/>
        <v>0</v>
      </c>
      <c r="HN102" s="836">
        <f t="shared" si="135"/>
        <v>0</v>
      </c>
      <c r="HO102" s="837">
        <f t="shared" si="135"/>
        <v>0</v>
      </c>
      <c r="HP102" s="838">
        <f t="shared" si="135"/>
        <v>0</v>
      </c>
      <c r="HQ102" s="837">
        <f t="shared" si="135"/>
        <v>0</v>
      </c>
      <c r="HR102" s="837">
        <f t="shared" si="135"/>
        <v>0</v>
      </c>
      <c r="HS102" s="839">
        <f t="shared" si="135"/>
        <v>0</v>
      </c>
      <c r="HT102" s="836">
        <f t="shared" si="135"/>
        <v>0</v>
      </c>
      <c r="HU102" s="837">
        <f t="shared" si="135"/>
        <v>0</v>
      </c>
      <c r="HV102" s="838">
        <f t="shared" si="135"/>
        <v>0</v>
      </c>
      <c r="HW102" s="837">
        <f t="shared" si="135"/>
        <v>0</v>
      </c>
      <c r="HX102" s="837">
        <f t="shared" si="135"/>
        <v>0</v>
      </c>
      <c r="HY102" s="839">
        <f t="shared" si="135"/>
        <v>0</v>
      </c>
      <c r="HZ102" s="836">
        <f t="shared" si="135"/>
        <v>0</v>
      </c>
      <c r="IA102" s="837">
        <f t="shared" si="135"/>
        <v>0</v>
      </c>
      <c r="IB102" s="838">
        <f t="shared" si="135"/>
        <v>0</v>
      </c>
      <c r="IC102" s="837">
        <f t="shared" si="135"/>
        <v>0</v>
      </c>
      <c r="ID102" s="837">
        <f t="shared" si="135"/>
        <v>0</v>
      </c>
      <c r="IE102" s="839">
        <f t="shared" si="135"/>
        <v>0</v>
      </c>
      <c r="IF102" s="836">
        <f>IF99+IF93+IF74</f>
        <v>0</v>
      </c>
      <c r="IG102" s="837">
        <f t="shared" si="135"/>
        <v>0</v>
      </c>
      <c r="IH102" s="838">
        <f t="shared" si="135"/>
        <v>0</v>
      </c>
      <c r="II102" s="1"/>
      <c r="IJ102" s="1"/>
      <c r="IK102" s="1"/>
    </row>
    <row r="103">
      <c r="A103" s="552"/>
      <c r="B103" s="552"/>
      <c r="C103" s="330"/>
      <c r="D103" s="331">
        <f>D102*100/$AX102</f>
        <v>18.40740074356988</v>
      </c>
      <c r="E103" s="331">
        <f>E102*100/$AX102</f>
        <v>17.193441570197361</v>
      </c>
      <c r="F103" s="709"/>
      <c r="G103" s="797">
        <f>G102*100/$AX102</f>
        <v>7.4213424729804851</v>
      </c>
      <c r="H103" s="258">
        <f>H32+H60</f>
        <v>0</v>
      </c>
      <c r="I103" s="797">
        <f>I102*100/$AX102</f>
        <v>27.704981554514905</v>
      </c>
      <c r="J103" s="258"/>
      <c r="K103" s="367">
        <f>K102*100/$AX102</f>
        <v>0.70478557676412545</v>
      </c>
      <c r="L103" s="258"/>
      <c r="M103" s="367">
        <f>M102*100/$AX102</f>
        <v>1.7278148081952727</v>
      </c>
      <c r="N103" s="258"/>
      <c r="O103" s="367">
        <f>O102*100/$AX102</f>
        <v>0.33816681216056849</v>
      </c>
      <c r="P103" s="258"/>
      <c r="Q103" s="367">
        <f>Q102*100/$AX102</f>
        <v>5.8262494365156385</v>
      </c>
      <c r="R103" s="258"/>
      <c r="S103" s="367">
        <f>S102*100/$AX102</f>
        <v>0.035070220821931279</v>
      </c>
      <c r="T103" s="258"/>
      <c r="U103" s="367">
        <f>U102*100/$AX102</f>
        <v>0.37067584759487421</v>
      </c>
      <c r="V103" s="258"/>
      <c r="W103" s="367">
        <f>W102*100/$AX102</f>
        <v>0.016213271705504149</v>
      </c>
      <c r="X103" s="258"/>
      <c r="Y103" s="367">
        <f>Y102*100/$AX102</f>
        <v>0.082793780211531415</v>
      </c>
      <c r="Z103" s="258"/>
      <c r="AA103" s="367">
        <f>AA102*100/$AX102</f>
        <v>0.048753782016897916</v>
      </c>
      <c r="AB103" s="258"/>
      <c r="AC103" s="367">
        <f>AC102*100/$AX102</f>
        <v>0</v>
      </c>
      <c r="AD103" s="258"/>
      <c r="AE103" s="367">
        <f>AE102*100/$AX102</f>
        <v>1.7262459511936219</v>
      </c>
      <c r="AF103" s="258"/>
      <c r="AG103" s="797">
        <f>AG102*100/$AX102</f>
        <v>9.977189985087227</v>
      </c>
      <c r="AH103" s="258"/>
      <c r="AI103" s="367">
        <f>AI102*100/$AX102</f>
        <v>1.0387299593031443</v>
      </c>
      <c r="AJ103" s="258"/>
      <c r="AK103" s="367">
        <f>AK102*100/$AX102</f>
        <v>2.290712871024887</v>
      </c>
      <c r="AL103" s="258"/>
      <c r="AM103" s="367">
        <f>AM102*100/$AX102</f>
        <v>2.3805820364911825</v>
      </c>
      <c r="AN103" s="258"/>
      <c r="AO103" s="332">
        <f>AO102*100/$AX102</f>
        <v>0.080499380149787053</v>
      </c>
      <c r="AP103" s="217"/>
      <c r="AQ103" s="797">
        <f>AQ102*100/$AX102</f>
        <v>0.41534512041179217</v>
      </c>
      <c r="AR103" s="258"/>
      <c r="AS103" s="797">
        <f>AS102*100/$AX102</f>
        <v>0.19847129911143654</v>
      </c>
      <c r="AT103" s="840"/>
      <c r="AU103" s="367">
        <f>AU102*100/$AX102</f>
        <v>2.0145335199779493</v>
      </c>
      <c r="AV103" s="709"/>
      <c r="AW103" s="258"/>
      <c r="AX103" s="797">
        <f>SUM(D103:AW103)</f>
        <v>99.999999999999986</v>
      </c>
      <c r="AY103" s="797"/>
      <c r="AZ103" s="797"/>
      <c r="BA103" s="797"/>
      <c r="BB103" s="289"/>
      <c r="BC103" s="290"/>
      <c r="BD103" s="286"/>
      <c r="BE103" s="286"/>
      <c r="BF103" s="841"/>
      <c r="BG103" s="259"/>
      <c r="BH103" s="257"/>
      <c r="BI103" s="257"/>
      <c r="BJ103" s="257"/>
      <c r="BK103" s="259"/>
      <c r="BL103" s="259"/>
      <c r="BM103" s="259"/>
      <c r="BN103" s="259"/>
      <c r="BO103" s="259"/>
      <c r="BP103" s="272"/>
      <c r="BQ103" s="286"/>
      <c r="BR103" s="842"/>
      <c r="BW103" s="261"/>
      <c r="BX103" s="762"/>
      <c r="BY103" s="762"/>
      <c r="BZ103" s="762"/>
      <c r="CA103" s="762"/>
      <c r="CB103" s="762"/>
      <c r="CC103" s="730"/>
      <c r="CD103" s="730"/>
      <c r="CE103" s="762"/>
      <c r="CF103" s="762"/>
      <c r="CG103" s="762"/>
      <c r="CH103" s="762"/>
      <c r="CI103" s="762"/>
      <c r="CJ103" s="762"/>
      <c r="CK103" s="762"/>
      <c r="CL103" s="762"/>
      <c r="CM103" s="762"/>
      <c r="CN103" s="762"/>
      <c r="CO103" s="765"/>
      <c r="CP103" s="5"/>
      <c r="CQ103" s="766"/>
      <c r="CR103" s="370"/>
      <c r="CS103" s="298"/>
      <c r="CW103" s="843">
        <f>CW102-CU9</f>
        <v>-3309922.8113971199</v>
      </c>
      <c r="DA103" s="486"/>
      <c r="DB103" s="719"/>
      <c r="DC103" s="719"/>
      <c r="DD103" s="844"/>
      <c r="DE103" s="844"/>
      <c r="DF103" s="844"/>
      <c r="EF103" s="552"/>
      <c r="EG103" s="552"/>
      <c r="EH103" s="845">
        <f>EH102+EK102</f>
        <v>0</v>
      </c>
      <c r="EI103" s="845">
        <f>EI102+EL102</f>
        <v>0</v>
      </c>
      <c r="EJ103" s="846">
        <f>EJ102+EM102</f>
        <v>0</v>
      </c>
      <c r="EN103" s="845">
        <f>EN102+EQ102</f>
        <v>0</v>
      </c>
      <c r="EO103" s="845">
        <f>EO102+ER102</f>
        <v>0</v>
      </c>
      <c r="EP103" s="846">
        <f>EP102+ES102</f>
        <v>0</v>
      </c>
      <c r="ET103" s="845">
        <f>ET102+EW102</f>
        <v>0</v>
      </c>
      <c r="EU103" s="845">
        <f>EU102+EX102</f>
        <v>0</v>
      </c>
      <c r="EV103" s="846">
        <f>EV102+EY102</f>
        <v>0</v>
      </c>
      <c r="EZ103" s="845">
        <f>EZ102+FC102</f>
        <v>0</v>
      </c>
      <c r="FA103" s="845">
        <f>FA102+FD102</f>
        <v>0</v>
      </c>
      <c r="FB103" s="846">
        <f>FB102+FE102</f>
        <v>0</v>
      </c>
      <c r="FC103" s="281"/>
      <c r="FD103" s="281"/>
      <c r="FF103" s="845">
        <f>FF102+FI102</f>
        <v>0</v>
      </c>
      <c r="FG103" s="845">
        <f>FG102+FJ102</f>
        <v>0</v>
      </c>
      <c r="FH103" s="846">
        <f>FH102+FK102</f>
        <v>0</v>
      </c>
      <c r="FI103" s="281"/>
      <c r="FJ103" s="281"/>
      <c r="FL103" s="845">
        <f>FL102+FO102</f>
        <v>0</v>
      </c>
      <c r="FM103" s="845">
        <f>FM102+FP102</f>
        <v>0</v>
      </c>
      <c r="FN103" s="846">
        <f>FN102+FQ102</f>
        <v>0</v>
      </c>
      <c r="FO103" s="281"/>
      <c r="FP103" s="281"/>
      <c r="FR103" s="845">
        <f>FR102+FU102</f>
        <v>0</v>
      </c>
      <c r="FS103" s="845">
        <f>FS102+FV102</f>
        <v>0</v>
      </c>
      <c r="FT103" s="846">
        <f>FT102+FW102</f>
        <v>0</v>
      </c>
      <c r="FU103" s="281"/>
      <c r="FV103" s="281"/>
      <c r="FX103" s="845">
        <f>FX102+GA102</f>
        <v>0</v>
      </c>
      <c r="FY103" s="845">
        <f>FY102+GB102</f>
        <v>0</v>
      </c>
      <c r="FZ103" s="846">
        <f>FZ102+GC102</f>
        <v>0</v>
      </c>
      <c r="GA103" s="281"/>
      <c r="GB103" s="281"/>
      <c r="GD103" s="845">
        <f>GD102+GG102</f>
        <v>0</v>
      </c>
      <c r="GE103" s="845">
        <f>GE102+GH102</f>
        <v>0</v>
      </c>
      <c r="GF103" s="846">
        <f>GF102+GI102</f>
        <v>0</v>
      </c>
      <c r="GG103" s="281"/>
      <c r="GH103" s="281"/>
      <c r="GJ103" s="845">
        <f>GJ102+GM102</f>
        <v>0</v>
      </c>
      <c r="GK103" s="845">
        <f>GK102+GN102</f>
        <v>0</v>
      </c>
      <c r="GL103" s="846">
        <f>GL102+GO102</f>
        <v>0</v>
      </c>
      <c r="GM103" s="281"/>
      <c r="GN103" s="281"/>
      <c r="GP103" s="845">
        <f>GP102+GS102</f>
        <v>0</v>
      </c>
      <c r="GQ103" s="845">
        <f>GQ102+GT102</f>
        <v>0</v>
      </c>
      <c r="GR103" s="846">
        <f>GR102+GU102</f>
        <v>0</v>
      </c>
      <c r="GS103" s="281"/>
      <c r="GT103" s="281"/>
      <c r="GV103" s="845">
        <f>GV102+GY102</f>
        <v>0</v>
      </c>
      <c r="GW103" s="845">
        <f>GW102+GZ102</f>
        <v>0</v>
      </c>
      <c r="GX103" s="846">
        <f>GX102+HA102</f>
        <v>0</v>
      </c>
      <c r="GY103" s="281"/>
      <c r="GZ103" s="281"/>
      <c r="HB103" s="845">
        <f>HB102+HE102</f>
        <v>0</v>
      </c>
      <c r="HC103" s="847">
        <f>HC102+HF102</f>
        <v>0</v>
      </c>
      <c r="HD103" s="846">
        <f>HD102+HG102</f>
        <v>0</v>
      </c>
      <c r="HE103" s="281"/>
      <c r="HF103" s="281"/>
      <c r="HH103" s="845">
        <f>HH102+HK102</f>
        <v>0</v>
      </c>
      <c r="HI103" s="845">
        <f>HI102+HL102</f>
        <v>0</v>
      </c>
      <c r="HJ103" s="846">
        <f>HJ102+HM102</f>
        <v>0</v>
      </c>
      <c r="HK103" s="281"/>
      <c r="HL103" s="281"/>
      <c r="HN103" s="845">
        <f>HN102+HQ102</f>
        <v>0</v>
      </c>
      <c r="HO103" s="845">
        <f>HO102+HR102</f>
        <v>0</v>
      </c>
      <c r="HP103" s="846">
        <f>HP102+HS102</f>
        <v>0</v>
      </c>
      <c r="HQ103" s="281"/>
      <c r="HR103" s="281"/>
      <c r="HT103" s="845">
        <f>HT102+HW102</f>
        <v>0</v>
      </c>
      <c r="HU103" s="845">
        <f>HU102+HX102</f>
        <v>0</v>
      </c>
      <c r="HV103" s="846">
        <f>HV102+HY102</f>
        <v>0</v>
      </c>
      <c r="HW103" s="281"/>
      <c r="HX103" s="281"/>
      <c r="HZ103" s="845">
        <f>HZ102+IC102</f>
        <v>0</v>
      </c>
      <c r="IA103" s="845">
        <f>IA102+ID102</f>
        <v>0</v>
      </c>
      <c r="IB103" s="846">
        <f>IB102+IE102</f>
        <v>0</v>
      </c>
      <c r="IC103" s="281"/>
      <c r="ID103" s="281"/>
      <c r="IF103" s="845"/>
      <c r="IG103" s="845"/>
      <c r="IH103" s="847"/>
    </row>
    <row r="104" ht="66.75" customHeight="1">
      <c r="F104" s="521"/>
      <c r="H104" s="521"/>
      <c r="J104" s="521"/>
      <c r="L104" s="521"/>
      <c r="N104" s="521"/>
      <c r="P104" s="521"/>
      <c r="R104" s="521"/>
      <c r="T104" s="521"/>
      <c r="V104" s="521"/>
      <c r="X104" s="521"/>
      <c r="Z104" s="521"/>
      <c r="AB104" s="521"/>
      <c r="AD104" s="521"/>
      <c r="AF104" s="521"/>
      <c r="AH104" s="521"/>
      <c r="AJ104" s="521"/>
      <c r="AL104" s="521"/>
      <c r="AN104" s="521"/>
      <c r="AP104" s="521"/>
      <c r="AR104" s="521"/>
      <c r="AT104" s="848"/>
      <c r="AX104" s="6">
        <f>SUM(D102:AU102)</f>
        <v>81729413.29185383</v>
      </c>
      <c r="BB104" s="849"/>
      <c r="BC104" s="290"/>
      <c r="BD104" s="390"/>
      <c r="BE104" s="766"/>
      <c r="BF104" s="850"/>
      <c r="BG104" s="8"/>
      <c r="BH104" s="851"/>
      <c r="BQ104" s="766"/>
      <c r="BR104" s="773"/>
      <c r="BW104" s="261"/>
      <c r="BX104" s="762"/>
      <c r="BY104" s="762"/>
      <c r="BZ104" s="762"/>
      <c r="CA104" s="762"/>
      <c r="CB104" s="762"/>
      <c r="CC104" s="730"/>
      <c r="CD104" s="730"/>
      <c r="CE104" s="762"/>
      <c r="CF104" s="762"/>
      <c r="CG104" s="762"/>
      <c r="CH104" s="762"/>
      <c r="CI104" s="762"/>
      <c r="CJ104" s="762"/>
      <c r="CK104" s="762"/>
      <c r="CL104" s="762"/>
      <c r="CM104" s="762"/>
      <c r="CN104" s="762"/>
      <c r="CO104" s="765"/>
      <c r="CP104" s="5"/>
      <c r="CQ104" s="766"/>
      <c r="CR104" s="370"/>
      <c r="CS104" s="298"/>
      <c r="EF104" s="2"/>
      <c r="EG104" s="2"/>
      <c r="EH104" s="280"/>
      <c r="EI104" s="280"/>
      <c r="EN104" s="37"/>
      <c r="ES104" s="38"/>
      <c r="EZ104" s="356"/>
      <c r="FA104" s="357"/>
      <c r="FC104" s="281"/>
      <c r="FD104" s="281"/>
      <c r="FE104" s="38"/>
      <c r="FF104" s="281"/>
      <c r="FG104" s="281"/>
      <c r="FI104" s="281"/>
      <c r="FJ104" s="281"/>
      <c r="FL104" s="282"/>
      <c r="FM104" s="281"/>
      <c r="FO104" s="281"/>
      <c r="FP104" s="281"/>
      <c r="FQ104" s="38"/>
      <c r="FX104" s="37"/>
      <c r="GC104" s="38"/>
      <c r="GJ104" s="37"/>
      <c r="GO104" s="38"/>
      <c r="GV104" s="37"/>
      <c r="HA104" s="38"/>
      <c r="HH104" s="37"/>
      <c r="HM104" s="38"/>
      <c r="HT104" s="37"/>
      <c r="HZ104" s="535"/>
      <c r="IA104" s="280"/>
      <c r="IC104" s="280"/>
      <c r="ID104" s="280"/>
      <c r="IE104" s="40"/>
      <c r="IF104" s="535"/>
      <c r="IG104" s="280"/>
    </row>
    <row r="105" s="852" customFormat="1" ht="37.5" customHeight="1">
      <c r="A105" s="853" t="s">
        <v>274</v>
      </c>
      <c r="B105" s="854"/>
      <c r="C105" s="855">
        <f>C153</f>
        <v>82596896.99000001</v>
      </c>
      <c r="D105" s="856">
        <f>D153</f>
        <v>25624750.599999998</v>
      </c>
      <c r="E105" s="856">
        <f>E153</f>
        <v>56991969.100000001</v>
      </c>
      <c r="F105" s="584"/>
      <c r="G105" s="857">
        <f>G153</f>
        <v>6065419.6615461046</v>
      </c>
      <c r="H105" s="856"/>
      <c r="I105" s="857">
        <f>I153</f>
        <v>22690051.986140426</v>
      </c>
      <c r="J105" s="856"/>
      <c r="K105" s="856">
        <f>K153</f>
        <v>986102.54000000004</v>
      </c>
      <c r="L105" s="856"/>
      <c r="M105" s="856">
        <f>M153</f>
        <v>1581915.3100000003</v>
      </c>
      <c r="N105" s="856"/>
      <c r="O105" s="856">
        <f>O153</f>
        <v>418413.30999999994</v>
      </c>
      <c r="P105" s="858"/>
      <c r="Q105" s="856">
        <f>Q153</f>
        <v>7273338.9980819551</v>
      </c>
      <c r="R105" s="856"/>
      <c r="S105" s="856">
        <f>S153</f>
        <v>42524.393226543165</v>
      </c>
      <c r="T105" s="856"/>
      <c r="U105" s="856">
        <f>U153</f>
        <v>311978.08427192725</v>
      </c>
      <c r="V105" s="856"/>
      <c r="W105" s="856">
        <f>W153</f>
        <v>13403.075886310504</v>
      </c>
      <c r="X105" s="856"/>
      <c r="Y105" s="856">
        <f>Y153</f>
        <v>85853.564017747427</v>
      </c>
      <c r="Z105" s="856"/>
      <c r="AA105" s="856">
        <f>AA153</f>
        <v>39846.18</v>
      </c>
      <c r="AB105" s="856"/>
      <c r="AC105" s="856">
        <f>AC153</f>
        <v>0</v>
      </c>
      <c r="AD105" s="856"/>
      <c r="AE105" s="859">
        <f>AE153</f>
        <v>1607555.8318688846</v>
      </c>
      <c r="AF105" s="856"/>
      <c r="AG105" s="857">
        <f>AG153</f>
        <v>8154298.8378253877</v>
      </c>
      <c r="AH105" s="856"/>
      <c r="AI105" s="856">
        <f>AI153</f>
        <v>848947.90142517164</v>
      </c>
      <c r="AJ105" s="856">
        <v>0</v>
      </c>
      <c r="AK105" s="856">
        <f>AK153</f>
        <v>1872186.1896896202</v>
      </c>
      <c r="AL105" s="856"/>
      <c r="AM105" s="856">
        <f>AM153</f>
        <v>1945635.7313555088</v>
      </c>
      <c r="AN105" s="584"/>
      <c r="AO105" s="860">
        <f>AO153</f>
        <v>387009.82999999996</v>
      </c>
      <c r="AP105" s="857"/>
      <c r="AQ105" s="860">
        <f>AQ153</f>
        <v>368427.14576780039</v>
      </c>
      <c r="AR105" s="859"/>
      <c r="AS105" s="860">
        <f>AS153</f>
        <v>622691.27959369007</v>
      </c>
      <c r="AT105" s="859"/>
      <c r="AU105" s="856">
        <f>AU153</f>
        <v>1646466.4264457086</v>
      </c>
      <c r="AV105" s="584">
        <v>0</v>
      </c>
      <c r="AW105" s="857">
        <f>AW153</f>
        <v>0</v>
      </c>
      <c r="AX105" s="857">
        <f>AX153</f>
        <v>139389180.86265054</v>
      </c>
      <c r="AY105" s="861"/>
      <c r="AZ105" s="861"/>
      <c r="BA105" s="861"/>
      <c r="BB105" s="7"/>
      <c r="BC105" s="862"/>
      <c r="BD105" s="863"/>
      <c r="BE105" s="766"/>
      <c r="BF105" s="864"/>
      <c r="BG105" s="15"/>
      <c r="BH105" s="15"/>
      <c r="BI105" s="1"/>
      <c r="BJ105" s="1"/>
      <c r="BK105" s="1" t="e">
        <f>BK102-(AX102+BD102+BE102)</f>
        <v>#REF!</v>
      </c>
      <c r="BL105" s="1"/>
      <c r="BM105" s="1"/>
      <c r="BN105" s="1"/>
      <c r="BO105" s="1"/>
      <c r="BP105" s="1"/>
      <c r="BQ105" s="1"/>
      <c r="BR105" s="773" t="s">
        <v>269</v>
      </c>
      <c r="BS105" s="1"/>
      <c r="BT105" s="1"/>
      <c r="BU105" s="1"/>
      <c r="BV105" s="1"/>
      <c r="BW105" s="261"/>
      <c r="BX105" s="286"/>
      <c r="BY105" s="286"/>
      <c r="BZ105" s="286"/>
      <c r="CA105" s="286"/>
      <c r="CB105" s="286"/>
      <c r="CC105" s="334"/>
      <c r="CD105" s="334"/>
      <c r="CE105" s="286"/>
      <c r="CF105" s="286"/>
      <c r="CG105" s="286"/>
      <c r="CH105" s="286"/>
      <c r="CI105" s="286"/>
      <c r="CJ105" s="286"/>
      <c r="CK105" s="286"/>
      <c r="CL105" s="286"/>
      <c r="CM105" s="286"/>
      <c r="CN105" s="286"/>
      <c r="CO105" s="865"/>
      <c r="CP105" s="5"/>
      <c r="CQ105" s="766"/>
      <c r="CR105" s="866"/>
      <c r="CS105" s="867"/>
      <c r="CT105" s="10"/>
      <c r="CU105" s="10"/>
      <c r="CV105" s="10"/>
      <c r="CW105" s="10"/>
      <c r="CX105" s="11"/>
      <c r="CY105" s="11"/>
      <c r="CZ105" s="1"/>
      <c r="DA105" s="1"/>
      <c r="DB105" s="868"/>
      <c r="DC105" s="868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853" t="s">
        <v>274</v>
      </c>
      <c r="EG105" s="854"/>
      <c r="EH105" s="833"/>
      <c r="EI105" s="834"/>
      <c r="EJ105" s="835"/>
      <c r="EK105" s="835"/>
      <c r="EL105" s="835"/>
      <c r="EM105" s="835"/>
      <c r="EN105" s="869"/>
      <c r="EO105" s="835"/>
      <c r="EP105" s="835"/>
      <c r="EQ105" s="835"/>
      <c r="ER105" s="835"/>
      <c r="ES105" s="870"/>
      <c r="ET105" s="835"/>
      <c r="EU105" s="835"/>
      <c r="EV105" s="835"/>
      <c r="EW105" s="835"/>
      <c r="EX105" s="835"/>
      <c r="EY105" s="835"/>
      <c r="EZ105" s="836"/>
      <c r="FA105" s="837"/>
      <c r="FB105" s="835"/>
      <c r="FC105" s="871"/>
      <c r="FD105" s="871"/>
      <c r="FE105" s="870"/>
      <c r="FF105" s="871"/>
      <c r="FG105" s="871"/>
      <c r="FH105" s="835"/>
      <c r="FI105" s="871"/>
      <c r="FJ105" s="871"/>
      <c r="FK105" s="835"/>
      <c r="FL105" s="872"/>
      <c r="FM105" s="871"/>
      <c r="FN105" s="835"/>
      <c r="FO105" s="871"/>
      <c r="FP105" s="871"/>
      <c r="FQ105" s="870"/>
      <c r="FR105" s="835"/>
      <c r="FS105" s="835"/>
      <c r="FT105" s="835"/>
      <c r="FU105" s="835"/>
      <c r="FV105" s="835"/>
      <c r="FW105" s="835"/>
      <c r="FX105" s="869"/>
      <c r="FY105" s="835"/>
      <c r="FZ105" s="835"/>
      <c r="GA105" s="835"/>
      <c r="GB105" s="835"/>
      <c r="GC105" s="870"/>
      <c r="GD105" s="835"/>
      <c r="GE105" s="835"/>
      <c r="GF105" s="835"/>
      <c r="GG105" s="835"/>
      <c r="GH105" s="835"/>
      <c r="GI105" s="835"/>
      <c r="GJ105" s="869"/>
      <c r="GK105" s="835"/>
      <c r="GL105" s="835"/>
      <c r="GM105" s="835"/>
      <c r="GN105" s="835"/>
      <c r="GO105" s="870"/>
      <c r="GP105" s="835"/>
      <c r="GQ105" s="835"/>
      <c r="GR105" s="835"/>
      <c r="GS105" s="835"/>
      <c r="GT105" s="835"/>
      <c r="GU105" s="835"/>
      <c r="GV105" s="869"/>
      <c r="GW105" s="835"/>
      <c r="GX105" s="835"/>
      <c r="GY105" s="835"/>
      <c r="GZ105" s="835"/>
      <c r="HA105" s="870"/>
      <c r="HB105" s="835"/>
      <c r="HC105" s="835"/>
      <c r="HD105" s="835"/>
      <c r="HE105" s="835"/>
      <c r="HF105" s="835"/>
      <c r="HG105" s="835"/>
      <c r="HH105" s="869"/>
      <c r="HI105" s="835"/>
      <c r="HJ105" s="835"/>
      <c r="HK105" s="835"/>
      <c r="HL105" s="835"/>
      <c r="HM105" s="870"/>
      <c r="HN105" s="835"/>
      <c r="HO105" s="835"/>
      <c r="HP105" s="835"/>
      <c r="HQ105" s="835"/>
      <c r="HR105" s="835"/>
      <c r="HS105" s="835"/>
      <c r="HT105" s="869"/>
      <c r="HU105" s="835"/>
      <c r="HV105" s="835"/>
      <c r="HW105" s="835"/>
      <c r="HX105" s="835"/>
      <c r="HY105" s="835"/>
      <c r="HZ105" s="873"/>
      <c r="IA105" s="874"/>
      <c r="IB105" s="875"/>
      <c r="IC105" s="874"/>
      <c r="ID105" s="874"/>
      <c r="IE105" s="876"/>
      <c r="IF105" s="873"/>
      <c r="IG105" s="874"/>
      <c r="IH105" s="875"/>
      <c r="II105" s="1"/>
      <c r="IJ105" s="1"/>
      <c r="IK105" s="1"/>
    </row>
    <row r="106">
      <c r="F106" s="521"/>
      <c r="H106" s="877"/>
      <c r="J106" s="521"/>
      <c r="L106" s="521"/>
      <c r="M106" s="1"/>
      <c r="N106" s="521"/>
      <c r="P106" s="521"/>
      <c r="R106" s="521"/>
      <c r="T106" s="521"/>
      <c r="V106" s="521"/>
      <c r="X106" s="521"/>
      <c r="Z106" s="521"/>
      <c r="AB106" s="521"/>
      <c r="AD106" s="521"/>
      <c r="AF106" s="521"/>
      <c r="AH106" s="521"/>
      <c r="AI106" s="1"/>
      <c r="AJ106" s="521"/>
      <c r="AL106" s="521"/>
      <c r="AN106" s="521"/>
      <c r="AP106" s="521"/>
      <c r="AR106" s="521"/>
      <c r="AT106" s="15"/>
      <c r="AU106" s="1"/>
      <c r="AV106" s="1"/>
      <c r="AW106" s="1"/>
      <c r="AX106" s="5"/>
      <c r="AY106" s="5"/>
      <c r="AZ106" s="5"/>
      <c r="BA106" s="5"/>
      <c r="BD106" s="863"/>
      <c r="BF106" s="864"/>
      <c r="BG106" s="15"/>
      <c r="BH106" s="15"/>
      <c r="BI106" s="1"/>
      <c r="BJ106" s="1"/>
      <c r="BK106" s="1"/>
      <c r="BL106" s="1"/>
      <c r="BM106" s="1"/>
      <c r="BN106" s="1"/>
      <c r="BO106" s="1"/>
      <c r="BR106" s="773" t="s">
        <v>264</v>
      </c>
      <c r="BW106" s="261"/>
      <c r="BX106" s="762"/>
      <c r="BY106" s="762"/>
      <c r="BZ106" s="762"/>
      <c r="CA106" s="762"/>
      <c r="CB106" s="762"/>
      <c r="CC106" s="730"/>
      <c r="CD106" s="730"/>
      <c r="CE106" s="762"/>
      <c r="CF106" s="762"/>
      <c r="CG106" s="762"/>
      <c r="CH106" s="762"/>
      <c r="CI106" s="762"/>
      <c r="CJ106" s="762"/>
      <c r="CK106" s="762"/>
      <c r="CL106" s="762"/>
      <c r="CM106" s="762"/>
      <c r="CN106" s="762"/>
      <c r="CO106" s="765"/>
      <c r="CP106" s="5"/>
      <c r="CQ106" s="766"/>
      <c r="CR106" s="370"/>
      <c r="CS106" s="298"/>
      <c r="CZ106" s="4"/>
      <c r="DG106" s="4"/>
      <c r="DH106" s="4"/>
      <c r="DI106" s="4"/>
      <c r="EF106" s="2"/>
      <c r="EG106" s="2"/>
      <c r="EZ106" s="357"/>
      <c r="FA106" s="357"/>
      <c r="FC106" s="281"/>
      <c r="FD106" s="281"/>
      <c r="FI106" s="281"/>
      <c r="FJ106" s="281"/>
      <c r="HZ106" s="280"/>
      <c r="IA106" s="280"/>
      <c r="IF106" s="280"/>
      <c r="IG106" s="280"/>
    </row>
    <row r="107">
      <c r="F107" s="521"/>
      <c r="H107" s="877"/>
      <c r="J107" s="521"/>
      <c r="L107" s="521"/>
      <c r="M107" s="1"/>
      <c r="N107" s="521"/>
      <c r="P107" s="521"/>
      <c r="R107" s="521"/>
      <c r="T107" s="521"/>
      <c r="V107" s="521"/>
      <c r="X107" s="521"/>
      <c r="Z107" s="521"/>
      <c r="AB107" s="521"/>
      <c r="AD107" s="521"/>
      <c r="AF107" s="521"/>
      <c r="AH107" s="521"/>
      <c r="AI107" s="1"/>
      <c r="AJ107" s="521"/>
      <c r="AL107" s="521"/>
      <c r="AN107" s="521"/>
      <c r="AP107" s="521"/>
      <c r="AR107" s="521"/>
      <c r="AT107" s="15"/>
      <c r="AU107" s="1"/>
      <c r="AV107" s="1"/>
      <c r="AW107" s="1"/>
      <c r="AX107" s="5"/>
      <c r="AY107" s="5"/>
      <c r="AZ107" s="5"/>
      <c r="BA107" s="5"/>
      <c r="BB107" s="5"/>
      <c r="BC107" s="5"/>
      <c r="BD107" s="863"/>
      <c r="BE107" s="5" t="e">
        <f>BD102+BE102</f>
        <v>#REF!</v>
      </c>
      <c r="BF107" s="864"/>
      <c r="BG107" s="15"/>
      <c r="BH107" s="15"/>
      <c r="BI107" s="1"/>
      <c r="BJ107" s="1"/>
      <c r="BK107" s="1"/>
      <c r="BL107" s="1"/>
      <c r="BM107" s="1"/>
      <c r="BN107" s="1"/>
      <c r="BO107" s="1"/>
      <c r="BR107" s="773" t="s">
        <v>263</v>
      </c>
      <c r="BW107" s="261" t="s">
        <v>275</v>
      </c>
      <c r="BX107" s="763">
        <f>'2026'!T44</f>
        <v>0</v>
      </c>
      <c r="BY107" s="763">
        <f>'2026'!T90</f>
        <v>0</v>
      </c>
      <c r="BZ107" s="763">
        <f>'2026'!T150</f>
        <v>13353.5</v>
      </c>
      <c r="CA107" s="762"/>
      <c r="CB107" s="764">
        <f>'2026'!T559</f>
        <v>39758</v>
      </c>
      <c r="CC107" s="763">
        <f>'2026'!T487</f>
        <v>4</v>
      </c>
      <c r="CD107" s="762"/>
      <c r="CE107" s="763">
        <f>'2026'!T359</f>
        <v>4686</v>
      </c>
      <c r="CF107" s="763">
        <f>'2026'!T907</f>
        <v>328</v>
      </c>
      <c r="CG107" s="762"/>
      <c r="CH107" s="763">
        <f>'2026'!T841</f>
        <v>3576</v>
      </c>
      <c r="CI107" s="762"/>
      <c r="CJ107" s="762"/>
      <c r="CK107" s="762"/>
      <c r="CL107" s="762"/>
      <c r="CM107" s="762"/>
      <c r="CN107" s="762"/>
      <c r="CO107" s="765"/>
      <c r="CP107" s="5"/>
      <c r="CQ107" s="766"/>
      <c r="CR107" s="370"/>
      <c r="CS107" s="296">
        <f>'2026'!T1058</f>
        <v>687</v>
      </c>
      <c r="DA107" s="1"/>
      <c r="DB107" s="868"/>
      <c r="DC107" s="868"/>
      <c r="DD107" s="1"/>
      <c r="DE107" s="1"/>
      <c r="DF107" s="1"/>
      <c r="EF107" s="2"/>
      <c r="EG107" s="2"/>
      <c r="EZ107" s="357"/>
      <c r="FA107" s="357"/>
    </row>
    <row r="108">
      <c r="F108" s="521"/>
      <c r="H108" s="521"/>
      <c r="J108" s="521"/>
      <c r="L108" s="521"/>
      <c r="M108" s="1"/>
      <c r="N108" s="521"/>
      <c r="P108" s="521"/>
      <c r="R108" s="521"/>
      <c r="T108" s="521"/>
      <c r="V108" s="521"/>
      <c r="X108" s="521"/>
      <c r="Z108" s="521"/>
      <c r="AB108" s="521"/>
      <c r="AD108" s="521"/>
      <c r="AF108" s="521"/>
      <c r="AH108" s="521"/>
      <c r="AI108" s="1"/>
      <c r="AJ108" s="521"/>
      <c r="AL108" s="521"/>
      <c r="AN108" s="521"/>
      <c r="AP108" s="521"/>
      <c r="AR108" s="521"/>
      <c r="AT108" s="15"/>
      <c r="AU108" s="1"/>
      <c r="AV108" s="1"/>
      <c r="AW108" s="1"/>
      <c r="AX108" s="5"/>
      <c r="AY108" s="5"/>
      <c r="AZ108" s="5"/>
      <c r="BA108" s="5"/>
      <c r="BB108" s="5">
        <f>$AX$105/BB102</f>
        <v>815.76157817434625</v>
      </c>
      <c r="BC108" s="5"/>
      <c r="BD108" s="863"/>
      <c r="BF108" s="878" t="e">
        <f>$AX$105/BF102</f>
        <v>#DIV/0!</v>
      </c>
      <c r="BG108" s="879"/>
      <c r="BH108" s="879"/>
      <c r="BI108" s="5"/>
      <c r="BJ108" s="1"/>
      <c r="BK108" s="1"/>
      <c r="BL108" s="1"/>
      <c r="BM108" s="1"/>
      <c r="BN108" s="1"/>
      <c r="BO108" s="1"/>
      <c r="BW108" s="261" t="s">
        <v>276</v>
      </c>
      <c r="BX108" s="880"/>
      <c r="BY108" s="880"/>
      <c r="BZ108" s="881">
        <f>'2026'!T138</f>
        <v>1988</v>
      </c>
      <c r="CA108" s="764">
        <f>'2026'!T701</f>
        <v>0</v>
      </c>
      <c r="CB108" s="730"/>
      <c r="CC108" s="763">
        <f>'2026'!T488</f>
        <v>19384</v>
      </c>
      <c r="CD108" s="762"/>
      <c r="CE108" s="763">
        <f>'2026'!T360</f>
        <v>261</v>
      </c>
      <c r="CF108" s="762"/>
      <c r="CG108" s="880"/>
      <c r="CH108" s="762"/>
      <c r="CI108" s="762"/>
      <c r="CJ108" s="880"/>
      <c r="CK108" s="880"/>
      <c r="CL108" s="880"/>
      <c r="CM108" s="880"/>
      <c r="CN108" s="880"/>
      <c r="CO108" s="882"/>
      <c r="CP108" s="5"/>
      <c r="CQ108" s="5"/>
      <c r="CR108" s="883"/>
      <c r="CS108" s="296">
        <f>'2026'!T1063</f>
        <v>197</v>
      </c>
      <c r="DA108" s="1"/>
      <c r="DB108" s="868"/>
      <c r="DC108" s="868"/>
      <c r="DD108" s="1"/>
      <c r="DE108" s="1"/>
      <c r="DF108" s="1"/>
      <c r="EF108" s="2"/>
      <c r="EG108" s="2"/>
      <c r="EZ108" s="357"/>
      <c r="FA108" s="357"/>
    </row>
    <row r="109">
      <c r="F109" s="521"/>
      <c r="H109" s="521"/>
      <c r="J109" s="521"/>
      <c r="L109" s="521"/>
      <c r="M109" s="1"/>
      <c r="N109" s="521"/>
      <c r="P109" s="521"/>
      <c r="R109" s="521"/>
      <c r="T109" s="521"/>
      <c r="V109" s="521"/>
      <c r="W109" s="773"/>
      <c r="X109" s="521"/>
      <c r="Z109" s="521"/>
      <c r="AB109" s="521"/>
      <c r="AD109" s="521"/>
      <c r="AF109" s="521"/>
      <c r="AH109" s="521"/>
      <c r="AI109" s="1"/>
      <c r="AJ109" s="521"/>
      <c r="AL109" s="521"/>
      <c r="AN109" s="521"/>
      <c r="AP109" s="884"/>
      <c r="AR109" s="521"/>
      <c r="AT109" s="15"/>
      <c r="AU109" s="1"/>
      <c r="AV109" s="1"/>
      <c r="AW109" s="1"/>
      <c r="AX109" s="22"/>
      <c r="AY109" s="22"/>
      <c r="AZ109" s="22"/>
      <c r="BA109" s="22"/>
      <c r="BB109" s="22"/>
      <c r="BC109" s="22"/>
      <c r="BD109" s="863"/>
      <c r="BE109" s="22"/>
      <c r="BF109" s="885"/>
      <c r="BG109" s="886"/>
      <c r="BH109" s="886" t="e">
        <f>AX105+BE102+BD157</f>
        <v>#REF!</v>
      </c>
      <c r="BI109" s="18"/>
      <c r="BJ109" s="18"/>
      <c r="BK109" s="1"/>
      <c r="BL109" s="1"/>
      <c r="BM109" s="1"/>
      <c r="BN109" s="1"/>
      <c r="BO109" s="1"/>
      <c r="BW109" s="261" t="s">
        <v>78</v>
      </c>
      <c r="BX109" s="762"/>
      <c r="BY109" s="762"/>
      <c r="BZ109" s="762"/>
      <c r="CA109" s="762"/>
      <c r="CB109" s="730"/>
      <c r="CC109" s="762"/>
      <c r="CD109" s="762"/>
      <c r="CE109" s="762"/>
      <c r="CF109" s="762"/>
      <c r="CG109" s="762"/>
      <c r="CH109" s="762"/>
      <c r="CI109" s="762"/>
      <c r="CJ109" s="762"/>
      <c r="CK109" s="762"/>
      <c r="CL109" s="762"/>
      <c r="CM109" s="762"/>
      <c r="CN109" s="762"/>
      <c r="CO109" s="765"/>
      <c r="CP109" s="5"/>
      <c r="CQ109" s="766"/>
      <c r="CR109" s="370"/>
      <c r="CS109" s="298"/>
      <c r="DA109" s="1"/>
      <c r="DB109" s="868"/>
      <c r="DC109" s="868"/>
      <c r="DD109" s="1"/>
      <c r="DE109" s="1"/>
      <c r="DF109" s="1"/>
      <c r="EF109" s="2"/>
      <c r="EG109" s="2"/>
      <c r="EZ109" s="357"/>
      <c r="FA109" s="357"/>
    </row>
    <row r="110">
      <c r="F110" s="521"/>
      <c r="H110" s="521"/>
      <c r="J110" s="521"/>
      <c r="L110" s="521"/>
      <c r="M110" s="1"/>
      <c r="N110" s="521"/>
      <c r="P110" s="521"/>
      <c r="R110" s="521"/>
      <c r="T110" s="521"/>
      <c r="V110" s="521"/>
      <c r="X110" s="521"/>
      <c r="Z110" s="521"/>
      <c r="AB110" s="521"/>
      <c r="AD110" s="521"/>
      <c r="AF110" s="521"/>
      <c r="AH110" s="521"/>
      <c r="AI110" s="1"/>
      <c r="AJ110" s="521"/>
      <c r="AL110" s="521"/>
      <c r="AN110" s="521"/>
      <c r="AP110" s="884"/>
      <c r="AR110" s="521"/>
      <c r="AT110" s="15"/>
      <c r="AU110" s="1"/>
      <c r="AV110" s="1"/>
      <c r="AW110" s="1"/>
      <c r="AX110" s="766"/>
      <c r="AY110" s="766"/>
      <c r="AZ110" s="766"/>
      <c r="BA110" s="766"/>
      <c r="BB110" s="22">
        <f>AX102-C154</f>
        <v>-887306.40814617276</v>
      </c>
      <c r="BC110" s="22"/>
      <c r="BD110" s="863"/>
      <c r="BE110" s="22"/>
      <c r="BF110" s="885"/>
      <c r="BG110" s="886"/>
      <c r="BH110" s="886"/>
      <c r="BI110" s="18"/>
      <c r="BJ110" s="18"/>
      <c r="BK110" s="18"/>
      <c r="BL110" s="18"/>
      <c r="BM110" s="18"/>
      <c r="BN110" s="18"/>
      <c r="BO110" s="18"/>
      <c r="BP110" s="18"/>
      <c r="BW110" s="261" t="s">
        <v>277</v>
      </c>
      <c r="BX110" s="762"/>
      <c r="BY110" s="762"/>
      <c r="BZ110" s="762"/>
      <c r="CA110" s="762"/>
      <c r="CB110" s="764">
        <f>'2026'!T562</f>
        <v>0</v>
      </c>
      <c r="CC110" s="763">
        <f>'2026'!T490</f>
        <v>0</v>
      </c>
      <c r="CD110" s="762"/>
      <c r="CE110" s="762"/>
      <c r="CF110" s="762"/>
      <c r="CG110" s="762"/>
      <c r="CH110" s="762"/>
      <c r="CI110" s="762"/>
      <c r="CJ110" s="762"/>
      <c r="CK110" s="762"/>
      <c r="CL110" s="762"/>
      <c r="CM110" s="762"/>
      <c r="CN110" s="762"/>
      <c r="CO110" s="765"/>
      <c r="CP110" s="5"/>
      <c r="CQ110" s="766"/>
      <c r="CR110" s="370"/>
      <c r="CS110" s="296">
        <f>'2026'!T1064</f>
        <v>7809</v>
      </c>
      <c r="DA110" s="1"/>
      <c r="DB110" s="868"/>
      <c r="DC110" s="868"/>
      <c r="DD110" s="1"/>
      <c r="DE110" s="1"/>
      <c r="DF110" s="1"/>
      <c r="EF110" s="2"/>
      <c r="EG110" s="2"/>
      <c r="EZ110" s="357"/>
      <c r="FA110" s="357"/>
    </row>
    <row r="111">
      <c r="F111" s="521"/>
      <c r="H111" s="521"/>
      <c r="J111" s="521"/>
      <c r="L111" s="521"/>
      <c r="M111" s="1"/>
      <c r="N111" s="521"/>
      <c r="P111" s="521"/>
      <c r="R111" s="521"/>
      <c r="T111" s="521"/>
      <c r="V111" s="521"/>
      <c r="X111" s="521"/>
      <c r="Z111" s="521"/>
      <c r="AB111" s="521"/>
      <c r="AD111" s="521"/>
      <c r="AF111" s="521"/>
      <c r="AH111" s="521"/>
      <c r="AI111" s="1"/>
      <c r="AJ111" s="521"/>
      <c r="AL111" s="521"/>
      <c r="AN111" s="521"/>
      <c r="AP111" s="884"/>
      <c r="AR111" s="521"/>
      <c r="AT111" s="15"/>
      <c r="AU111" s="1"/>
      <c r="AV111" s="1"/>
      <c r="AW111" s="1"/>
      <c r="AX111" s="22"/>
      <c r="AY111" s="22"/>
      <c r="AZ111" s="22"/>
      <c r="BA111" s="22"/>
      <c r="BB111" s="22"/>
      <c r="BC111" s="22"/>
      <c r="BD111" s="887" t="e">
        <f>AX102+BD102+BE102</f>
        <v>#REF!</v>
      </c>
      <c r="BE111" s="22"/>
      <c r="BF111" s="885"/>
      <c r="BG111" s="886"/>
      <c r="BH111" s="886"/>
      <c r="BI111" s="18"/>
      <c r="BJ111" s="18"/>
      <c r="BK111" s="1"/>
      <c r="BL111" s="1"/>
      <c r="BM111" s="1"/>
      <c r="BN111" s="1"/>
      <c r="BO111" s="1"/>
      <c r="BW111" s="261" t="s">
        <v>278</v>
      </c>
      <c r="BX111" s="762"/>
      <c r="BY111" s="762"/>
      <c r="BZ111" s="762"/>
      <c r="CA111" s="767"/>
      <c r="CB111" s="730"/>
      <c r="CC111" s="763">
        <f>'2026'!T491</f>
        <v>4446</v>
      </c>
      <c r="CD111" s="762"/>
      <c r="CE111" s="762"/>
      <c r="CF111" s="762"/>
      <c r="CG111" s="762"/>
      <c r="CH111" s="762"/>
      <c r="CI111" s="762"/>
      <c r="CJ111" s="762"/>
      <c r="CK111" s="762"/>
      <c r="CL111" s="762"/>
      <c r="CM111" s="762"/>
      <c r="CN111" s="762"/>
      <c r="CO111" s="765"/>
      <c r="CP111" s="5"/>
      <c r="CQ111" s="766"/>
      <c r="CR111" s="370"/>
      <c r="CS111" s="296">
        <f>'2026'!T1065</f>
        <v>5103</v>
      </c>
      <c r="DA111" s="1"/>
      <c r="DB111" s="868"/>
      <c r="DC111" s="868"/>
      <c r="DD111" s="1"/>
      <c r="DE111" s="1"/>
      <c r="DF111" s="1"/>
      <c r="EF111" s="2"/>
      <c r="EG111" s="2"/>
      <c r="EZ111" s="357"/>
      <c r="FA111" s="357"/>
    </row>
    <row r="112">
      <c r="F112" s="521"/>
      <c r="H112" s="521"/>
      <c r="J112" s="521"/>
      <c r="L112" s="521"/>
      <c r="M112" s="1"/>
      <c r="N112" s="521"/>
      <c r="P112" s="521"/>
      <c r="R112" s="521"/>
      <c r="T112" s="521"/>
      <c r="V112" s="521"/>
      <c r="X112" s="521"/>
      <c r="Z112" s="521"/>
      <c r="AB112" s="521"/>
      <c r="AD112" s="521"/>
      <c r="AF112" s="521"/>
      <c r="AH112" s="521"/>
      <c r="AI112" s="1"/>
      <c r="AJ112" s="521"/>
      <c r="AL112" s="521"/>
      <c r="AN112" s="521"/>
      <c r="AP112" s="884"/>
      <c r="AR112" s="521"/>
      <c r="AT112" s="15"/>
      <c r="AU112" s="1"/>
      <c r="AV112" s="1"/>
      <c r="AW112" s="1"/>
      <c r="AX112" s="22"/>
      <c r="AY112" s="22"/>
      <c r="AZ112" s="22"/>
      <c r="BA112" s="22"/>
      <c r="BB112" s="22"/>
      <c r="BC112" s="22"/>
      <c r="BD112" s="887" t="e">
        <f>AX105+BD102+BE102</f>
        <v>#REF!</v>
      </c>
      <c r="BE112" s="22"/>
      <c r="BF112" s="885"/>
      <c r="BG112" s="886"/>
      <c r="BH112" s="886"/>
      <c r="BI112" s="18"/>
      <c r="BJ112" s="18"/>
      <c r="BK112" s="1"/>
      <c r="BL112" s="1"/>
      <c r="BM112" s="1"/>
      <c r="BN112" s="1"/>
      <c r="BO112" s="1"/>
      <c r="BW112" s="261" t="s">
        <v>279</v>
      </c>
      <c r="BX112" s="762"/>
      <c r="BY112" s="762"/>
      <c r="BZ112" s="762"/>
      <c r="CA112" s="762"/>
      <c r="CB112" s="730"/>
      <c r="CC112" s="762"/>
      <c r="CD112" s="762"/>
      <c r="CE112" s="762"/>
      <c r="CF112" s="762"/>
      <c r="CG112" s="762"/>
      <c r="CH112" s="762"/>
      <c r="CI112" s="762"/>
      <c r="CJ112" s="762"/>
      <c r="CK112" s="762"/>
      <c r="CL112" s="762"/>
      <c r="CM112" s="762"/>
      <c r="CN112" s="762"/>
      <c r="CO112" s="765"/>
      <c r="CP112" s="5"/>
      <c r="CQ112" s="766"/>
      <c r="CR112" s="370"/>
      <c r="CS112" s="298"/>
      <c r="DA112" s="1"/>
      <c r="DB112" s="868"/>
      <c r="DC112" s="868"/>
      <c r="DD112" s="1"/>
      <c r="DE112" s="1"/>
      <c r="DF112" s="1"/>
      <c r="EF112" s="2"/>
      <c r="EG112" s="2"/>
      <c r="EZ112" s="357"/>
      <c r="FA112" s="357"/>
    </row>
    <row r="113" ht="18.75">
      <c r="A113" s="552" t="s">
        <v>251</v>
      </c>
      <c r="B113" s="552"/>
      <c r="C113" s="284">
        <f t="shared" ref="C113:C152" si="136">D113+E113</f>
        <v>7446873.9799999995</v>
      </c>
      <c r="D113" s="272">
        <f>'Расход-2026'!I1219</f>
        <v>5058132.3699999992</v>
      </c>
      <c r="E113" s="272">
        <f>'Расход-2026'!J1219</f>
        <v>2388741.6100000003</v>
      </c>
      <c r="F113" s="217">
        <f t="shared" ref="F113:F114" si="137">BX87</f>
        <v>0</v>
      </c>
      <c r="G113" s="286"/>
      <c r="H113" s="217">
        <f t="shared" ref="H113:H114" si="138">BY87</f>
        <v>0</v>
      </c>
      <c r="I113" s="286">
        <f>H113*$AX$143/$H$153</f>
        <v>0</v>
      </c>
      <c r="J113" s="217">
        <f t="shared" ref="J113:J114" si="139">BZ87</f>
        <v>695</v>
      </c>
      <c r="K113" s="285">
        <f>J113*$AX$142/$J$153</f>
        <v>16630.258436563498</v>
      </c>
      <c r="L113" s="258">
        <f t="shared" ref="L113:L114" si="140">CA87</f>
        <v>359</v>
      </c>
      <c r="M113" s="287">
        <f>L113*$AX$140/$L$153</f>
        <v>15181.041896067791</v>
      </c>
      <c r="N113" s="258">
        <f t="shared" ref="N113:N114" si="141">CD87</f>
        <v>498</v>
      </c>
      <c r="O113" s="285">
        <f>N113*$AX$138/$N$153</f>
        <v>8156.3325783849377</v>
      </c>
      <c r="P113" s="217">
        <f t="shared" ref="P113:P114" si="142">CC87+CB87</f>
        <v>15081</v>
      </c>
      <c r="Q113" s="285">
        <f>P113*($AX$139+$AX$137)/$P$153</f>
        <v>367396.70492860343</v>
      </c>
      <c r="R113" s="217">
        <f t="shared" ref="R113:R114" si="143">CE87</f>
        <v>113</v>
      </c>
      <c r="S113" s="285">
        <f>R113*$AX$136/$R$153</f>
        <v>271.79818644355254</v>
      </c>
      <c r="T113" s="217">
        <f t="shared" ref="T113:T114" si="144">CF87</f>
        <v>45</v>
      </c>
      <c r="U113" s="285"/>
      <c r="V113" s="217">
        <f t="shared" ref="V113:V114" si="145">CG87</f>
        <v>576</v>
      </c>
      <c r="W113" s="285">
        <f>V113*$AX$134/$V$153</f>
        <v>114.34581003784065</v>
      </c>
      <c r="X113" s="217">
        <f t="shared" ref="X113:X114" si="146">CH87</f>
        <v>239</v>
      </c>
      <c r="Y113" s="285">
        <f>X113*$AX$148/$X$153</f>
        <v>605.92732653280586</v>
      </c>
      <c r="Z113" s="217">
        <f t="shared" ref="Z113:Z114" si="147">CI87</f>
        <v>0</v>
      </c>
      <c r="AA113" s="285"/>
      <c r="AB113" s="217">
        <f t="shared" ref="AB113:AB114" si="148">CJ87</f>
        <v>0</v>
      </c>
      <c r="AC113" s="285"/>
      <c r="AD113" s="258">
        <f t="shared" ref="AD113:AD114" si="149">CK87</f>
        <v>0</v>
      </c>
      <c r="AE113" s="285">
        <f>AD113*$AX$129/$AD$153</f>
        <v>0</v>
      </c>
      <c r="AF113" s="217">
        <f t="shared" ref="AF113:AF114" si="150">CL87</f>
        <v>0</v>
      </c>
      <c r="AG113" s="286"/>
      <c r="AH113" s="217">
        <f t="shared" ref="AH113:AH114" si="151">CM87</f>
        <v>0</v>
      </c>
      <c r="AI113" s="287"/>
      <c r="AJ113" s="217"/>
      <c r="AK113" s="285"/>
      <c r="AL113" s="217">
        <f t="shared" ref="AL113:AL114" si="152">CO87</f>
        <v>0</v>
      </c>
      <c r="AM113" s="285"/>
      <c r="AN113" s="258">
        <v>13</v>
      </c>
      <c r="AO113" s="286">
        <f t="shared" ref="AO113:AO130" si="153">$CQ$142*AN113/100</f>
        <v>50311.277899999994</v>
      </c>
      <c r="AP113" s="217"/>
      <c r="AQ113" s="286"/>
      <c r="AR113" s="217">
        <f t="shared" ref="AR113:AR114" si="154">CS87</f>
        <v>1415</v>
      </c>
      <c r="AS113" s="286">
        <f>$AX$145*AR113/$AR$153</f>
        <v>29933.012658821568</v>
      </c>
      <c r="AT113" s="613">
        <f t="shared" ref="AT113:AT114" si="155">CT76</f>
        <v>0</v>
      </c>
      <c r="AU113" s="287"/>
      <c r="AV113" s="287"/>
      <c r="AW113" s="287"/>
      <c r="AX113" s="288">
        <f t="shared" ref="AX113:AX152" si="156">C113+G113+I113+K113+O113+Q113+S113+U113+W113+Y113+AA113+AC113+AE113+AG113+AI113+AK113+AO113+AU113+AS113+AW113+AQ113+AM113</f>
        <v>7920293.6378253875</v>
      </c>
      <c r="AY113" s="888"/>
      <c r="AZ113" s="888"/>
      <c r="BA113" s="888"/>
      <c r="BB113" s="10"/>
      <c r="BC113" s="10"/>
      <c r="BD113" s="863">
        <f>зарплата!V107</f>
        <v>0</v>
      </c>
      <c r="BE113" s="10"/>
      <c r="BF113" s="885"/>
      <c r="BG113" s="886">
        <f>124734013.16-BG95-BG96-BG97-BG98</f>
        <v>124734013.16</v>
      </c>
      <c r="BH113" s="15"/>
      <c r="BI113" s="889" t="s">
        <v>280</v>
      </c>
      <c r="BJ113" s="889"/>
      <c r="BK113" s="889"/>
      <c r="BL113" s="889"/>
      <c r="BM113" s="889"/>
      <c r="BN113" s="1"/>
      <c r="BO113" s="1"/>
      <c r="BW113" s="261" t="s">
        <v>281</v>
      </c>
      <c r="BX113" s="762"/>
      <c r="BY113" s="762"/>
      <c r="BZ113" s="762"/>
      <c r="CA113" s="763">
        <f>'2026'!T707</f>
        <v>0</v>
      </c>
      <c r="CB113" s="763">
        <f>'2026'!T566</f>
        <v>4</v>
      </c>
      <c r="CC113" s="763">
        <f>'2026'!T494</f>
        <v>9</v>
      </c>
      <c r="CD113" s="762"/>
      <c r="CE113" s="881">
        <f>'2026'!T366</f>
        <v>83</v>
      </c>
      <c r="CF113" s="763">
        <f>'2026'!T905</f>
        <v>0</v>
      </c>
      <c r="CG113" s="762"/>
      <c r="CH113" s="762"/>
      <c r="CI113" s="762"/>
      <c r="CJ113" s="762"/>
      <c r="CK113" s="762"/>
      <c r="CL113" s="762"/>
      <c r="CM113" s="762"/>
      <c r="CN113" s="762"/>
      <c r="CO113" s="765"/>
      <c r="CP113" s="5"/>
      <c r="CQ113" s="766"/>
      <c r="CR113" s="370"/>
      <c r="CS113" s="298"/>
      <c r="DA113" s="1"/>
      <c r="DB113" s="868"/>
      <c r="DC113" s="868"/>
      <c r="DD113" s="1"/>
      <c r="DE113" s="1"/>
      <c r="DF113" s="1"/>
      <c r="EF113" s="552" t="s">
        <v>251</v>
      </c>
      <c r="EG113" s="552"/>
      <c r="EZ113" s="357"/>
      <c r="FA113" s="357"/>
    </row>
    <row r="114" ht="15.75">
      <c r="A114" s="552" t="s">
        <v>80</v>
      </c>
      <c r="B114" s="552"/>
      <c r="C114" s="284">
        <f t="shared" si="136"/>
        <v>234005.20000000001</v>
      </c>
      <c r="D114" s="285">
        <f>'Расход-2026'!I1234</f>
        <v>233412.92000000001</v>
      </c>
      <c r="E114" s="285">
        <f>'Расход-2026'!J1234</f>
        <v>592.27999999999997</v>
      </c>
      <c r="F114" s="217">
        <f t="shared" si="137"/>
        <v>0</v>
      </c>
      <c r="G114" s="286"/>
      <c r="H114" s="217">
        <f t="shared" si="138"/>
        <v>0</v>
      </c>
      <c r="I114" s="286"/>
      <c r="J114" s="217">
        <f t="shared" si="139"/>
        <v>0</v>
      </c>
      <c r="K114" s="272"/>
      <c r="L114" s="258">
        <f t="shared" si="140"/>
        <v>0</v>
      </c>
      <c r="M114" s="287"/>
      <c r="N114" s="258">
        <f t="shared" si="141"/>
        <v>0</v>
      </c>
      <c r="O114" s="331"/>
      <c r="P114" s="217">
        <f t="shared" si="142"/>
        <v>0</v>
      </c>
      <c r="Q114" s="285"/>
      <c r="R114" s="217">
        <f t="shared" si="143"/>
        <v>0</v>
      </c>
      <c r="S114" s="285"/>
      <c r="T114" s="217">
        <f t="shared" si="144"/>
        <v>0</v>
      </c>
      <c r="U114" s="272"/>
      <c r="V114" s="217">
        <f t="shared" si="145"/>
        <v>0</v>
      </c>
      <c r="W114" s="285"/>
      <c r="X114" s="217">
        <f t="shared" si="146"/>
        <v>0</v>
      </c>
      <c r="Y114" s="285"/>
      <c r="Z114" s="217">
        <f t="shared" si="147"/>
        <v>0</v>
      </c>
      <c r="AA114" s="285"/>
      <c r="AB114" s="217">
        <f t="shared" si="148"/>
        <v>0</v>
      </c>
      <c r="AC114" s="285"/>
      <c r="AD114" s="258">
        <f t="shared" si="149"/>
        <v>0</v>
      </c>
      <c r="AE114" s="285"/>
      <c r="AF114" s="217">
        <f t="shared" si="150"/>
        <v>0</v>
      </c>
      <c r="AG114" s="286"/>
      <c r="AH114" s="217">
        <f t="shared" si="151"/>
        <v>0</v>
      </c>
      <c r="AI114" s="287"/>
      <c r="AJ114" s="217"/>
      <c r="AK114" s="285"/>
      <c r="AL114" s="217">
        <f t="shared" si="152"/>
        <v>0</v>
      </c>
      <c r="AM114" s="285"/>
      <c r="AN114" s="258"/>
      <c r="AO114" s="286">
        <f t="shared" si="153"/>
        <v>0</v>
      </c>
      <c r="AP114" s="217"/>
      <c r="AQ114" s="286"/>
      <c r="AR114" s="217">
        <f t="shared" si="154"/>
        <v>0</v>
      </c>
      <c r="AS114" s="332"/>
      <c r="AT114" s="613">
        <f t="shared" si="155"/>
        <v>0</v>
      </c>
      <c r="AU114" s="287"/>
      <c r="AV114" s="287"/>
      <c r="AW114" s="287"/>
      <c r="AX114" s="288">
        <f t="shared" si="156"/>
        <v>234005.20000000001</v>
      </c>
      <c r="AY114" s="888"/>
      <c r="AZ114" s="888"/>
      <c r="BA114" s="888"/>
      <c r="BB114" s="10"/>
      <c r="BC114" s="10"/>
      <c r="BD114" s="863">
        <f>'зарплата'!V108</f>
        <v>21403239.689999998</v>
      </c>
      <c r="BE114" s="10"/>
      <c r="BF114" s="885"/>
      <c r="BG114" s="886"/>
      <c r="BH114" s="15"/>
      <c r="BI114" s="1"/>
      <c r="BJ114" s="1" t="s">
        <v>282</v>
      </c>
      <c r="BK114" s="1"/>
      <c r="BL114" s="1"/>
      <c r="BM114" s="1">
        <v>0.23000000000000001</v>
      </c>
      <c r="BN114" s="1"/>
      <c r="BO114" s="1"/>
      <c r="BW114" s="890" t="s">
        <v>283</v>
      </c>
      <c r="BX114" s="730">
        <f>'2026'!T41</f>
        <v>0</v>
      </c>
      <c r="BY114" s="730"/>
      <c r="BZ114" s="730"/>
      <c r="CA114" s="767">
        <f>'2026'!T720</f>
        <v>0</v>
      </c>
      <c r="CB114" s="730">
        <f>'2026'!T579</f>
        <v>301</v>
      </c>
      <c r="CC114" s="730">
        <f>'2026'!T507</f>
        <v>2319</v>
      </c>
      <c r="CD114" s="730">
        <f>'2026'!T649</f>
        <v>0</v>
      </c>
      <c r="CE114" s="730">
        <f>'2026'!T369</f>
        <v>0</v>
      </c>
      <c r="CF114" s="730"/>
      <c r="CG114" s="730"/>
      <c r="CH114" s="730">
        <f>'2026'!T849</f>
        <v>20</v>
      </c>
      <c r="CI114" s="730"/>
      <c r="CJ114" s="767"/>
      <c r="CK114" s="730"/>
      <c r="CL114" s="730"/>
      <c r="CM114" s="730"/>
      <c r="CN114" s="730"/>
      <c r="CO114" s="750"/>
      <c r="CP114" s="5"/>
      <c r="CQ114" s="5"/>
      <c r="CR114" s="891"/>
      <c r="CS114" s="298">
        <f>'2026'!T1081</f>
        <v>0</v>
      </c>
      <c r="CT114" s="10">
        <f>Приемник!AD42</f>
        <v>25</v>
      </c>
      <c r="DA114" s="1"/>
      <c r="DB114" s="868"/>
      <c r="DC114" s="868"/>
      <c r="DD114" s="1"/>
      <c r="DE114" s="1"/>
      <c r="DF114" s="1"/>
      <c r="EF114" s="552" t="s">
        <v>80</v>
      </c>
      <c r="EG114" s="552"/>
      <c r="EZ114" s="357"/>
      <c r="FA114" s="357"/>
    </row>
    <row r="115" s="892" customFormat="1" ht="13.5">
      <c r="A115" s="893" t="s">
        <v>265</v>
      </c>
      <c r="B115" s="893"/>
      <c r="C115" s="284">
        <f t="shared" si="136"/>
        <v>1582705.71</v>
      </c>
      <c r="D115" s="894">
        <f>'Расход-2026'!I1217</f>
        <v>779730.67000000004</v>
      </c>
      <c r="E115" s="894">
        <f>'Расход-2026'!J1217</f>
        <v>802975.04000000004</v>
      </c>
      <c r="F115" s="894">
        <f t="shared" ref="F115:F150" si="157">BX97</f>
        <v>0</v>
      </c>
      <c r="G115" s="895">
        <f>F115*$AX$128/$F$153</f>
        <v>0</v>
      </c>
      <c r="H115" s="894">
        <f t="shared" ref="H115:H150" si="158">BY97</f>
        <v>122482.09700000001</v>
      </c>
      <c r="I115" s="895">
        <f>H115*$AX$143/$H$153</f>
        <v>46933.109019069809</v>
      </c>
      <c r="J115" s="894">
        <f t="shared" ref="J115:J150" si="159">BZ97</f>
        <v>1101.5</v>
      </c>
      <c r="K115" s="894">
        <f>J115*$AX$142/$J$153</f>
        <v>26357.164989747758</v>
      </c>
      <c r="L115" s="896">
        <f t="shared" ref="L115:L150" si="160">CA97</f>
        <v>1198</v>
      </c>
      <c r="M115" s="894">
        <f t="shared" ref="M115:M152" si="161">L115*$AX$140/$L$153</f>
        <v>50659.855686599483</v>
      </c>
      <c r="N115" s="896">
        <f t="shared" ref="N115:N150" si="162">CD97</f>
        <v>0</v>
      </c>
      <c r="O115" s="894">
        <f t="shared" ref="O115:O150" si="163">N115*$AX$138/$N$153</f>
        <v>0</v>
      </c>
      <c r="P115" s="894">
        <f t="shared" ref="P115:P150" si="164">CC97+CB97</f>
        <v>9619</v>
      </c>
      <c r="Q115" s="894">
        <f t="shared" ref="Q115:Q152" si="165">P115*($AX$139+$AX$137)/$P$153</f>
        <v>234333.85748347166</v>
      </c>
      <c r="R115" s="894">
        <f t="shared" ref="R115:R150" si="166">CE97</f>
        <v>271</v>
      </c>
      <c r="S115" s="894">
        <f t="shared" ref="S115:S152" si="167">R115*$AX$136/$R$153</f>
        <v>651.8345887274578</v>
      </c>
      <c r="T115" s="894">
        <f t="shared" ref="T115:T150" si="168">CF97</f>
        <v>0</v>
      </c>
      <c r="U115" s="894"/>
      <c r="V115" s="894">
        <f t="shared" ref="V115:V150" si="169">CG97</f>
        <v>0</v>
      </c>
      <c r="W115" s="894"/>
      <c r="X115" s="894">
        <f t="shared" ref="X115:X150" si="170">CH97</f>
        <v>3358.5</v>
      </c>
      <c r="Y115" s="894">
        <f>X115*$AX$148/$X$153</f>
        <v>8514.6733312151828</v>
      </c>
      <c r="Z115" s="894">
        <f t="shared" ref="Z115:Z150" si="171">CI97</f>
        <v>0</v>
      </c>
      <c r="AA115" s="894"/>
      <c r="AB115" s="894">
        <f t="shared" ref="AB115:AB150" si="172">CJ97</f>
        <v>0</v>
      </c>
      <c r="AC115" s="894"/>
      <c r="AD115" s="896">
        <f t="shared" ref="AD115:AD150" si="173">CK97</f>
        <v>0</v>
      </c>
      <c r="AE115" s="894"/>
      <c r="AF115" s="897">
        <f t="shared" ref="AF115:AF150" si="174">CL97</f>
        <v>0</v>
      </c>
      <c r="AG115" s="898"/>
      <c r="AH115" s="897">
        <f t="shared" ref="AH115:AH150" si="175">CM97</f>
        <v>0</v>
      </c>
      <c r="AI115" s="897"/>
      <c r="AJ115" s="894"/>
      <c r="AK115" s="894"/>
      <c r="AL115" s="897">
        <f t="shared" ref="AL115:AL150" si="176">CO97</f>
        <v>0</v>
      </c>
      <c r="AM115" s="897"/>
      <c r="AN115" s="899">
        <v>7.5</v>
      </c>
      <c r="AO115" s="286">
        <f t="shared" si="153"/>
        <v>29025.737249999995</v>
      </c>
      <c r="AP115" s="894">
        <f>'2026'!T1182</f>
        <v>0</v>
      </c>
      <c r="AQ115" s="895">
        <f>AP115*AX133/AP153</f>
        <v>0</v>
      </c>
      <c r="AR115" s="894">
        <f t="shared" ref="AR115:AR144" si="177">CS97</f>
        <v>809</v>
      </c>
      <c r="AS115" s="895">
        <f t="shared" ref="AS115:AS152" si="178">$AX$145*AR115/$AR$153</f>
        <v>17113.644693276783</v>
      </c>
      <c r="AT115" s="900">
        <f t="shared" ref="AT115:AT150" si="179">CT86</f>
        <v>0</v>
      </c>
      <c r="AU115" s="894"/>
      <c r="AV115" s="894"/>
      <c r="AW115" s="894"/>
      <c r="AX115" s="895">
        <f t="shared" si="156"/>
        <v>1945635.7313555088</v>
      </c>
      <c r="AY115" s="901"/>
      <c r="AZ115" s="901"/>
      <c r="BA115" s="901"/>
      <c r="BB115" s="5"/>
      <c r="BC115" s="5"/>
      <c r="BD115" s="863">
        <f>'зарплата'!V109</f>
        <v>1557650.1299999999</v>
      </c>
      <c r="BE115" s="5"/>
      <c r="BF115" s="864"/>
      <c r="BG115" s="1"/>
      <c r="BH115" s="902"/>
      <c r="BI115" s="1"/>
      <c r="BJ115" s="1" t="s">
        <v>128</v>
      </c>
      <c r="BK115" s="1"/>
      <c r="BL115" s="1"/>
      <c r="BM115" s="1">
        <v>0.52000000000000002</v>
      </c>
      <c r="BN115" s="1"/>
      <c r="BO115" s="1"/>
      <c r="BP115" s="1"/>
      <c r="BQ115" s="1"/>
      <c r="BR115" s="1"/>
      <c r="BV115" s="1"/>
      <c r="BW115" s="261" t="s">
        <v>84</v>
      </c>
      <c r="BX115" s="286"/>
      <c r="BY115" s="286"/>
      <c r="BZ115" s="286"/>
      <c r="CA115" s="286">
        <f>'2026'!T714</f>
        <v>0</v>
      </c>
      <c r="CB115" s="286">
        <f>'2026'!T573</f>
        <v>0</v>
      </c>
      <c r="CC115" s="286"/>
      <c r="CD115" s="286">
        <f>'2026'!T644</f>
        <v>381</v>
      </c>
      <c r="CE115" s="286"/>
      <c r="CF115" s="286"/>
      <c r="CG115" s="286"/>
      <c r="CH115" s="286"/>
      <c r="CI115" s="286"/>
      <c r="CJ115" s="286"/>
      <c r="CK115" s="286"/>
      <c r="CL115" s="286"/>
      <c r="CM115" s="286"/>
      <c r="CN115" s="286"/>
      <c r="CO115" s="865"/>
      <c r="CP115" s="5"/>
      <c r="CQ115" s="766"/>
      <c r="CR115" s="866"/>
      <c r="CS115" s="867">
        <f>'2026'!T1080</f>
        <v>0</v>
      </c>
      <c r="CT115" s="10"/>
      <c r="CU115" s="10"/>
      <c r="CV115" s="10"/>
      <c r="CW115" s="10"/>
      <c r="CX115" s="11"/>
      <c r="CY115" s="11"/>
      <c r="DB115" s="903"/>
      <c r="DC115" s="903"/>
      <c r="EF115" s="552" t="s">
        <v>265</v>
      </c>
      <c r="EG115" s="552"/>
      <c r="EZ115" s="904"/>
      <c r="FA115" s="904"/>
      <c r="GF115" s="16"/>
    </row>
    <row r="116">
      <c r="A116" s="552" t="s">
        <v>267</v>
      </c>
      <c r="B116" s="552"/>
      <c r="C116" s="284">
        <f t="shared" si="136"/>
        <v>758602.65999999992</v>
      </c>
      <c r="D116" s="285">
        <f>'Расход-2026'!I1220</f>
        <v>330106.01999999996</v>
      </c>
      <c r="E116" s="285">
        <f>'Расход-2026'!J1220</f>
        <v>428496.64000000001</v>
      </c>
      <c r="F116" s="217">
        <f t="shared" si="157"/>
        <v>0</v>
      </c>
      <c r="G116" s="286"/>
      <c r="H116" s="217">
        <f t="shared" si="158"/>
        <v>0</v>
      </c>
      <c r="I116" s="286"/>
      <c r="J116" s="217">
        <f t="shared" si="159"/>
        <v>0</v>
      </c>
      <c r="K116" s="272"/>
      <c r="L116" s="258">
        <f t="shared" si="160"/>
        <v>0</v>
      </c>
      <c r="M116" s="287">
        <f t="shared" si="161"/>
        <v>0</v>
      </c>
      <c r="N116" s="258">
        <f t="shared" si="162"/>
        <v>0</v>
      </c>
      <c r="O116" s="331">
        <f t="shared" si="163"/>
        <v>0</v>
      </c>
      <c r="P116" s="217">
        <f t="shared" si="164"/>
        <v>2333</v>
      </c>
      <c r="Q116" s="285">
        <f t="shared" si="165"/>
        <v>56835.522352525149</v>
      </c>
      <c r="R116" s="217">
        <f t="shared" si="166"/>
        <v>35</v>
      </c>
      <c r="S116" s="285">
        <f t="shared" si="167"/>
        <v>84.185278986941043</v>
      </c>
      <c r="T116" s="217">
        <f t="shared" si="168"/>
        <v>0</v>
      </c>
      <c r="U116" s="272">
        <f>T116*$AX$135/$T$153</f>
        <v>0</v>
      </c>
      <c r="V116" s="217">
        <f t="shared" si="169"/>
        <v>0</v>
      </c>
      <c r="W116" s="285">
        <f t="shared" ref="W116:W118" si="180">V116*$AX$134/$V$153</f>
        <v>0</v>
      </c>
      <c r="X116" s="217">
        <f t="shared" si="170"/>
        <v>0</v>
      </c>
      <c r="Y116" s="285"/>
      <c r="Z116" s="217">
        <f t="shared" si="171"/>
        <v>0</v>
      </c>
      <c r="AA116" s="285">
        <f t="shared" ref="AA116:AA129" si="181">Z116*$AX$149/$Z$153</f>
        <v>0</v>
      </c>
      <c r="AB116" s="217">
        <f t="shared" si="172"/>
        <v>0</v>
      </c>
      <c r="AC116" s="285"/>
      <c r="AD116" s="258">
        <f t="shared" si="173"/>
        <v>0</v>
      </c>
      <c r="AE116" s="285">
        <f>AD116*$AX$129/$AD$153</f>
        <v>0</v>
      </c>
      <c r="AF116" s="217">
        <f t="shared" si="174"/>
        <v>0</v>
      </c>
      <c r="AG116" s="286"/>
      <c r="AH116" s="217">
        <f t="shared" si="175"/>
        <v>0</v>
      </c>
      <c r="AI116" s="287"/>
      <c r="AJ116" s="217"/>
      <c r="AK116" s="285"/>
      <c r="AL116" s="217">
        <f t="shared" si="176"/>
        <v>0</v>
      </c>
      <c r="AM116" s="285"/>
      <c r="AN116" s="258">
        <v>5.7999999999999998</v>
      </c>
      <c r="AO116" s="286">
        <f t="shared" si="153"/>
        <v>22446.570139999996</v>
      </c>
      <c r="AP116" s="217"/>
      <c r="AQ116" s="286"/>
      <c r="AR116" s="217">
        <f t="shared" si="177"/>
        <v>519</v>
      </c>
      <c r="AS116" s="286">
        <f t="shared" si="178"/>
        <v>10978.963653659641</v>
      </c>
      <c r="AT116" s="613">
        <f t="shared" si="179"/>
        <v>0</v>
      </c>
      <c r="AU116" s="287"/>
      <c r="AV116" s="287"/>
      <c r="AW116" s="287"/>
      <c r="AX116" s="288">
        <f t="shared" si="156"/>
        <v>848947.90142517164</v>
      </c>
      <c r="AY116" s="888"/>
      <c r="AZ116" s="888"/>
      <c r="BA116" s="888"/>
      <c r="BB116" s="5"/>
      <c r="BC116" s="5"/>
      <c r="BD116" s="863">
        <f>'зарплата'!V110</f>
        <v>11866981.109999999</v>
      </c>
      <c r="BF116" s="885"/>
      <c r="BG116" s="18"/>
      <c r="BH116" s="15"/>
      <c r="BI116" s="1"/>
      <c r="BJ116" s="1" t="s">
        <v>222</v>
      </c>
      <c r="BK116" s="1"/>
      <c r="BL116" s="1"/>
      <c r="BM116" s="1">
        <v>0.20000000000000001</v>
      </c>
      <c r="BN116" s="1"/>
      <c r="BO116" s="1"/>
      <c r="BW116" s="261" t="s">
        <v>75</v>
      </c>
      <c r="BX116" s="762"/>
      <c r="BY116" s="762"/>
      <c r="BZ116" s="762"/>
      <c r="CA116" s="762"/>
      <c r="CB116" s="762"/>
      <c r="CC116" s="762"/>
      <c r="CD116" s="762"/>
      <c r="CE116" s="762"/>
      <c r="CF116" s="762"/>
      <c r="CG116" s="762"/>
      <c r="CH116" s="762"/>
      <c r="CI116" s="762"/>
      <c r="CJ116" s="762"/>
      <c r="CK116" s="762"/>
      <c r="CL116" s="762"/>
      <c r="CM116" s="762"/>
      <c r="CN116" s="762"/>
      <c r="CO116" s="765"/>
      <c r="CP116" s="5"/>
      <c r="CQ116" s="766"/>
      <c r="CR116" s="370"/>
      <c r="CS116" s="298">
        <f>'2026'!T1072+'2026'!T1067</f>
        <v>26</v>
      </c>
      <c r="DA116" s="1"/>
      <c r="DB116" s="868"/>
      <c r="DC116" s="868"/>
      <c r="DD116" s="1"/>
      <c r="DE116" s="1"/>
      <c r="DF116" s="1"/>
      <c r="EF116" s="552" t="s">
        <v>267</v>
      </c>
      <c r="EG116" s="552"/>
      <c r="EZ116" s="357"/>
      <c r="FA116" s="357"/>
    </row>
    <row r="117">
      <c r="A117" s="552" t="s">
        <v>270</v>
      </c>
      <c r="B117" s="552"/>
      <c r="C117" s="284">
        <f t="shared" si="136"/>
        <v>1242720.72</v>
      </c>
      <c r="D117" s="285">
        <f>'Расход-2026'!I1221</f>
        <v>755226.26000000001</v>
      </c>
      <c r="E117" s="285">
        <f>'Расход-2026'!J1221</f>
        <v>487494.46000000002</v>
      </c>
      <c r="F117" s="217">
        <f t="shared" si="157"/>
        <v>0</v>
      </c>
      <c r="G117" s="286"/>
      <c r="H117" s="217">
        <f t="shared" si="158"/>
        <v>0</v>
      </c>
      <c r="I117" s="286"/>
      <c r="J117" s="217">
        <f t="shared" si="159"/>
        <v>0</v>
      </c>
      <c r="K117" s="285"/>
      <c r="L117" s="258">
        <f t="shared" si="160"/>
        <v>534</v>
      </c>
      <c r="M117" s="287">
        <f t="shared" si="161"/>
        <v>22581.271232591091</v>
      </c>
      <c r="N117" s="258">
        <f t="shared" si="162"/>
        <v>1238</v>
      </c>
      <c r="O117" s="285">
        <f t="shared" si="163"/>
        <v>20276.184200884643</v>
      </c>
      <c r="P117" s="217">
        <f t="shared" si="164"/>
        <v>4716</v>
      </c>
      <c r="Q117" s="285">
        <f t="shared" si="165"/>
        <v>114889.12276661322</v>
      </c>
      <c r="R117" s="217">
        <f t="shared" si="166"/>
        <v>11</v>
      </c>
      <c r="S117" s="285">
        <f t="shared" si="167"/>
        <v>26.4582305387529</v>
      </c>
      <c r="T117" s="217">
        <f t="shared" si="168"/>
        <v>0</v>
      </c>
      <c r="U117" s="272"/>
      <c r="V117" s="217">
        <f t="shared" si="169"/>
        <v>0</v>
      </c>
      <c r="W117" s="285">
        <f t="shared" si="180"/>
        <v>0</v>
      </c>
      <c r="X117" s="217">
        <f t="shared" si="170"/>
        <v>0</v>
      </c>
      <c r="Y117" s="285"/>
      <c r="Z117" s="217">
        <f t="shared" si="171"/>
        <v>0</v>
      </c>
      <c r="AA117" s="285">
        <f t="shared" si="181"/>
        <v>0</v>
      </c>
      <c r="AB117" s="217">
        <f t="shared" si="172"/>
        <v>0</v>
      </c>
      <c r="AC117" s="285"/>
      <c r="AD117" s="258">
        <f t="shared" si="173"/>
        <v>0</v>
      </c>
      <c r="AE117" s="285"/>
      <c r="AF117" s="217">
        <f t="shared" si="174"/>
        <v>0</v>
      </c>
      <c r="AG117" s="286"/>
      <c r="AH117" s="217">
        <f t="shared" si="175"/>
        <v>0</v>
      </c>
      <c r="AI117" s="287"/>
      <c r="AJ117" s="217"/>
      <c r="AK117" s="285"/>
      <c r="AL117" s="217">
        <f t="shared" si="176"/>
        <v>0</v>
      </c>
      <c r="AM117" s="285"/>
      <c r="AN117" s="258">
        <v>5</v>
      </c>
      <c r="AO117" s="286">
        <f t="shared" si="153"/>
        <v>19350.4915</v>
      </c>
      <c r="AP117" s="217">
        <f>'2026'!T1186</f>
        <v>0</v>
      </c>
      <c r="AQ117" s="286">
        <f>AP117*AX133/AP153</f>
        <v>0</v>
      </c>
      <c r="AR117" s="217">
        <f t="shared" si="177"/>
        <v>761</v>
      </c>
      <c r="AS117" s="286">
        <f t="shared" si="178"/>
        <v>16098.249210857393</v>
      </c>
      <c r="AT117" s="613">
        <f t="shared" si="179"/>
        <v>0</v>
      </c>
      <c r="AU117" s="287"/>
      <c r="AV117" s="287"/>
      <c r="AW117" s="287"/>
      <c r="AX117" s="288">
        <f t="shared" si="156"/>
        <v>1413361.2259088939</v>
      </c>
      <c r="AY117" s="888"/>
      <c r="AZ117" s="888"/>
      <c r="BA117" s="888"/>
      <c r="BB117" s="5"/>
      <c r="BC117" s="5"/>
      <c r="BD117" s="863">
        <f>'зарплата'!V111</f>
        <v>8801123.3599999994</v>
      </c>
      <c r="BF117" s="885"/>
      <c r="BG117" s="18"/>
      <c r="BH117" s="15"/>
      <c r="BI117" s="1"/>
      <c r="BJ117" s="1" t="s">
        <v>284</v>
      </c>
      <c r="BK117" s="905"/>
      <c r="BL117" s="905"/>
      <c r="BM117" s="1">
        <v>0.20000000000000001</v>
      </c>
      <c r="BN117" s="1"/>
      <c r="BO117" s="1"/>
      <c r="BW117" s="261" t="s">
        <v>285</v>
      </c>
      <c r="BX117" s="762"/>
      <c r="BY117" s="762"/>
      <c r="BZ117" s="762"/>
      <c r="CA117" s="762"/>
      <c r="CB117" s="762"/>
      <c r="CC117" s="730"/>
      <c r="CD117" s="730"/>
      <c r="CE117" s="762"/>
      <c r="CF117" s="762"/>
      <c r="CG117" s="762"/>
      <c r="CH117" s="762"/>
      <c r="CI117" s="762"/>
      <c r="CJ117" s="762"/>
      <c r="CK117" s="762"/>
      <c r="CL117" s="762"/>
      <c r="CM117" s="762"/>
      <c r="CN117" s="762"/>
      <c r="CO117" s="765"/>
      <c r="CP117" s="5"/>
      <c r="CQ117" s="766"/>
      <c r="CR117" s="370"/>
      <c r="CS117" s="298">
        <f>'2026'!T1062</f>
        <v>103</v>
      </c>
      <c r="DA117" s="1"/>
      <c r="DB117" s="868"/>
      <c r="DC117" s="868"/>
      <c r="DD117" s="1"/>
      <c r="DE117" s="1"/>
      <c r="DF117" s="1"/>
      <c r="EF117" s="552" t="s">
        <v>270</v>
      </c>
      <c r="EG117" s="552"/>
      <c r="EZ117" s="357"/>
      <c r="FA117" s="357"/>
    </row>
    <row r="118" s="344" customFormat="1">
      <c r="A118" s="552" t="s">
        <v>286</v>
      </c>
      <c r="B118" s="552"/>
      <c r="C118" s="284">
        <f t="shared" si="136"/>
        <v>204318.77000000002</v>
      </c>
      <c r="D118" s="272">
        <f>'Расход-2026'!I1213</f>
        <v>4201.0699999999997</v>
      </c>
      <c r="E118" s="272">
        <f>'Расход-2026'!J1213</f>
        <v>200117.70000000001</v>
      </c>
      <c r="F118" s="217">
        <f t="shared" si="157"/>
        <v>0</v>
      </c>
      <c r="G118" s="286"/>
      <c r="H118" s="217">
        <f t="shared" si="158"/>
        <v>0</v>
      </c>
      <c r="I118" s="286"/>
      <c r="J118" s="217">
        <f t="shared" si="159"/>
        <v>0</v>
      </c>
      <c r="K118" s="285"/>
      <c r="L118" s="258">
        <f t="shared" si="160"/>
        <v>0</v>
      </c>
      <c r="M118" s="287"/>
      <c r="N118" s="258">
        <f t="shared" si="162"/>
        <v>238</v>
      </c>
      <c r="O118" s="285">
        <f t="shared" si="163"/>
        <v>3898.0063326417976</v>
      </c>
      <c r="P118" s="217">
        <f t="shared" si="164"/>
        <v>7742</v>
      </c>
      <c r="Q118" s="285">
        <f t="shared" si="165"/>
        <v>188607.20705240022</v>
      </c>
      <c r="R118" s="217">
        <f t="shared" si="166"/>
        <v>303</v>
      </c>
      <c r="S118" s="285">
        <f t="shared" si="167"/>
        <v>728.80398665837527</v>
      </c>
      <c r="T118" s="217">
        <f t="shared" si="168"/>
        <v>0</v>
      </c>
      <c r="U118" s="272"/>
      <c r="V118" s="217">
        <f t="shared" si="169"/>
        <v>190</v>
      </c>
      <c r="W118" s="285">
        <f t="shared" si="180"/>
        <v>37.718235949982159</v>
      </c>
      <c r="X118" s="217">
        <f t="shared" si="170"/>
        <v>0</v>
      </c>
      <c r="Y118" s="285"/>
      <c r="Z118" s="217">
        <f t="shared" si="171"/>
        <v>0</v>
      </c>
      <c r="AA118" s="285">
        <f t="shared" si="181"/>
        <v>0</v>
      </c>
      <c r="AB118" s="217">
        <f t="shared" si="172"/>
        <v>0</v>
      </c>
      <c r="AC118" s="285"/>
      <c r="AD118" s="258">
        <f t="shared" si="173"/>
        <v>0</v>
      </c>
      <c r="AE118" s="285"/>
      <c r="AF118" s="217">
        <f t="shared" si="174"/>
        <v>0</v>
      </c>
      <c r="AG118" s="286"/>
      <c r="AH118" s="217">
        <f t="shared" si="175"/>
        <v>0</v>
      </c>
      <c r="AI118" s="287"/>
      <c r="AJ118" s="217"/>
      <c r="AK118" s="285"/>
      <c r="AL118" s="217">
        <f t="shared" si="176"/>
        <v>0</v>
      </c>
      <c r="AM118" s="285"/>
      <c r="AN118" s="258">
        <v>6</v>
      </c>
      <c r="AO118" s="286">
        <f t="shared" si="153"/>
        <v>23220.589799999994</v>
      </c>
      <c r="AP118" s="217"/>
      <c r="AQ118" s="286"/>
      <c r="AR118" s="217">
        <f t="shared" si="177"/>
        <v>1797</v>
      </c>
      <c r="AS118" s="286">
        <f t="shared" si="178"/>
        <v>38013.868373075871</v>
      </c>
      <c r="AT118" s="613">
        <f t="shared" si="179"/>
        <v>0</v>
      </c>
      <c r="AU118" s="287"/>
      <c r="AV118" s="287"/>
      <c r="AW118" s="287"/>
      <c r="AX118" s="288">
        <f t="shared" si="156"/>
        <v>458824.96378072631</v>
      </c>
      <c r="AY118" s="888"/>
      <c r="AZ118" s="888"/>
      <c r="BA118" s="888"/>
      <c r="BB118" s="5"/>
      <c r="BC118" s="5"/>
      <c r="BD118" s="863">
        <f>'зарплата'!V112</f>
        <v>9674371.3099999987</v>
      </c>
      <c r="BE118" s="5"/>
      <c r="BF118" s="885"/>
      <c r="BG118" s="18"/>
      <c r="BH118" s="15"/>
      <c r="BI118" s="1"/>
      <c r="BJ118" s="1" t="s">
        <v>287</v>
      </c>
      <c r="BK118" s="1"/>
      <c r="BL118" s="1"/>
      <c r="BM118" s="1">
        <v>0.040000000000000001</v>
      </c>
      <c r="BN118" s="1"/>
      <c r="BO118" s="1"/>
      <c r="BP118" s="1"/>
      <c r="BQ118" s="1"/>
      <c r="BR118" s="1"/>
      <c r="BS118" s="1"/>
      <c r="BT118" s="1"/>
      <c r="BU118" s="1"/>
      <c r="BV118" s="38"/>
      <c r="BW118" s="261" t="s">
        <v>73</v>
      </c>
      <c r="BX118" s="762"/>
      <c r="BY118" s="762"/>
      <c r="BZ118" s="762"/>
      <c r="CA118" s="762"/>
      <c r="CB118" s="762"/>
      <c r="CC118" s="730"/>
      <c r="CD118" s="730"/>
      <c r="CE118" s="762"/>
      <c r="CF118" s="762"/>
      <c r="CG118" s="762"/>
      <c r="CH118" s="762"/>
      <c r="CI118" s="762"/>
      <c r="CJ118" s="762"/>
      <c r="CK118" s="762"/>
      <c r="CL118" s="762"/>
      <c r="CM118" s="762"/>
      <c r="CN118" s="762"/>
      <c r="CO118" s="765"/>
      <c r="CP118" s="5"/>
      <c r="CQ118" s="766"/>
      <c r="CR118" s="370"/>
      <c r="CS118" s="298">
        <f>'2026'!T1073</f>
        <v>0</v>
      </c>
      <c r="CT118" s="10"/>
      <c r="CU118" s="10"/>
      <c r="CV118" s="10"/>
      <c r="CW118" s="10"/>
      <c r="CX118" s="11"/>
      <c r="CY118" s="11"/>
      <c r="CZ118" s="1"/>
      <c r="DA118" s="1"/>
      <c r="DB118" s="868"/>
      <c r="DC118" s="868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552" t="s">
        <v>286</v>
      </c>
      <c r="EG118" s="552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357"/>
      <c r="FA118" s="357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II118" s="1"/>
      <c r="IJ118" s="1"/>
      <c r="IK118" s="1"/>
    </row>
    <row r="119">
      <c r="A119" s="247"/>
      <c r="B119" s="247"/>
      <c r="C119" s="284"/>
      <c r="D119" s="285"/>
      <c r="E119" s="285"/>
      <c r="F119" s="217">
        <f t="shared" si="157"/>
        <v>0</v>
      </c>
      <c r="G119" s="286"/>
      <c r="H119" s="217">
        <f t="shared" si="158"/>
        <v>0</v>
      </c>
      <c r="I119" s="286"/>
      <c r="J119" s="217">
        <f t="shared" si="159"/>
        <v>0</v>
      </c>
      <c r="K119" s="285"/>
      <c r="L119" s="258">
        <f t="shared" si="160"/>
        <v>0</v>
      </c>
      <c r="M119" s="287"/>
      <c r="N119" s="258">
        <f t="shared" si="162"/>
        <v>0</v>
      </c>
      <c r="O119" s="285"/>
      <c r="P119" s="217">
        <f t="shared" si="164"/>
        <v>0</v>
      </c>
      <c r="Q119" s="272"/>
      <c r="R119" s="217">
        <f t="shared" si="166"/>
        <v>0</v>
      </c>
      <c r="S119" s="285"/>
      <c r="T119" s="217">
        <f t="shared" si="168"/>
        <v>0</v>
      </c>
      <c r="U119" s="285"/>
      <c r="V119" s="217">
        <f t="shared" si="169"/>
        <v>0</v>
      </c>
      <c r="W119" s="285"/>
      <c r="X119" s="217">
        <f t="shared" si="170"/>
        <v>0</v>
      </c>
      <c r="Y119" s="285"/>
      <c r="Z119" s="217">
        <f t="shared" si="171"/>
        <v>0</v>
      </c>
      <c r="AA119" s="285"/>
      <c r="AB119" s="217">
        <f t="shared" si="172"/>
        <v>0</v>
      </c>
      <c r="AC119" s="285"/>
      <c r="AD119" s="258">
        <f t="shared" si="173"/>
        <v>0</v>
      </c>
      <c r="AE119" s="285"/>
      <c r="AF119" s="217">
        <f t="shared" si="174"/>
        <v>0</v>
      </c>
      <c r="AG119" s="286"/>
      <c r="AH119" s="217">
        <f t="shared" si="175"/>
        <v>0</v>
      </c>
      <c r="AI119" s="287"/>
      <c r="AJ119" s="217"/>
      <c r="AK119" s="285"/>
      <c r="AL119" s="217">
        <f t="shared" si="176"/>
        <v>0</v>
      </c>
      <c r="AM119" s="285"/>
      <c r="AN119" s="258"/>
      <c r="AO119" s="286">
        <f t="shared" si="153"/>
        <v>0</v>
      </c>
      <c r="AP119" s="217"/>
      <c r="AQ119" s="286"/>
      <c r="AR119" s="217">
        <f t="shared" si="177"/>
        <v>0</v>
      </c>
      <c r="AS119" s="286"/>
      <c r="AT119" s="613">
        <f t="shared" si="179"/>
        <v>0</v>
      </c>
      <c r="AU119" s="287"/>
      <c r="AV119" s="287"/>
      <c r="AW119" s="287"/>
      <c r="AX119" s="288"/>
      <c r="AY119" s="888"/>
      <c r="AZ119" s="888"/>
      <c r="BA119" s="888"/>
      <c r="BB119" s="22"/>
      <c r="BC119" s="22"/>
      <c r="BD119" s="863">
        <f>'зарплата'!V113</f>
        <v>0</v>
      </c>
      <c r="BE119" s="22"/>
      <c r="BF119" s="885"/>
      <c r="BG119" s="18"/>
      <c r="BH119" s="15"/>
      <c r="BI119" s="1"/>
      <c r="BJ119" s="1" t="s">
        <v>288</v>
      </c>
      <c r="BK119" s="1"/>
      <c r="BL119" s="1"/>
      <c r="BM119" s="1">
        <v>0.55000000000000004</v>
      </c>
      <c r="BN119" s="1"/>
      <c r="BO119" s="1"/>
      <c r="BV119" s="38"/>
      <c r="BW119" s="261" t="s">
        <v>289</v>
      </c>
      <c r="BX119" s="762"/>
      <c r="BY119" s="762"/>
      <c r="BZ119" s="762"/>
      <c r="CA119" s="762"/>
      <c r="CB119" s="762"/>
      <c r="CC119" s="762"/>
      <c r="CD119" s="762"/>
      <c r="CE119" s="762"/>
      <c r="CF119" s="762"/>
      <c r="CG119" s="762"/>
      <c r="CH119" s="762"/>
      <c r="CI119" s="762"/>
      <c r="CJ119" s="762"/>
      <c r="CK119" s="762"/>
      <c r="CL119" s="762"/>
      <c r="CM119" s="762"/>
      <c r="CN119" s="762"/>
      <c r="CO119" s="765"/>
      <c r="CP119" s="5"/>
      <c r="CQ119" s="766"/>
      <c r="CR119" s="370"/>
      <c r="CS119" s="298">
        <f>'2026'!T1061</f>
        <v>7</v>
      </c>
      <c r="DA119" s="1"/>
      <c r="DB119" s="868"/>
      <c r="DC119" s="868"/>
      <c r="DD119" s="1"/>
      <c r="DE119" s="1"/>
      <c r="DF119" s="1"/>
      <c r="EF119" s="247"/>
      <c r="EG119" s="247"/>
      <c r="EZ119" s="357"/>
      <c r="FA119" s="357"/>
    </row>
    <row r="120">
      <c r="A120" s="552"/>
      <c r="B120" s="552"/>
      <c r="C120" s="284"/>
      <c r="D120" s="285"/>
      <c r="E120" s="285"/>
      <c r="F120" s="217">
        <f t="shared" si="157"/>
        <v>0</v>
      </c>
      <c r="G120" s="286"/>
      <c r="H120" s="217">
        <f t="shared" si="158"/>
        <v>0</v>
      </c>
      <c r="I120" s="286"/>
      <c r="J120" s="217">
        <f t="shared" si="159"/>
        <v>0</v>
      </c>
      <c r="K120" s="285"/>
      <c r="L120" s="258">
        <f t="shared" si="160"/>
        <v>0</v>
      </c>
      <c r="M120" s="287"/>
      <c r="N120" s="258">
        <f t="shared" si="162"/>
        <v>0</v>
      </c>
      <c r="O120" s="285"/>
      <c r="P120" s="217">
        <f t="shared" si="164"/>
        <v>0</v>
      </c>
      <c r="Q120" s="272"/>
      <c r="R120" s="217">
        <f t="shared" si="166"/>
        <v>0</v>
      </c>
      <c r="S120" s="285"/>
      <c r="T120" s="217">
        <f t="shared" si="168"/>
        <v>0</v>
      </c>
      <c r="U120" s="285"/>
      <c r="V120" s="217">
        <f t="shared" si="169"/>
        <v>0</v>
      </c>
      <c r="W120" s="285"/>
      <c r="X120" s="217">
        <f t="shared" si="170"/>
        <v>0</v>
      </c>
      <c r="Y120" s="285"/>
      <c r="Z120" s="217">
        <f t="shared" si="171"/>
        <v>0</v>
      </c>
      <c r="AA120" s="285"/>
      <c r="AB120" s="217">
        <f t="shared" si="172"/>
        <v>0</v>
      </c>
      <c r="AC120" s="285"/>
      <c r="AD120" s="258">
        <f t="shared" si="173"/>
        <v>0</v>
      </c>
      <c r="AE120" s="285"/>
      <c r="AF120" s="217">
        <f t="shared" si="174"/>
        <v>0</v>
      </c>
      <c r="AG120" s="286"/>
      <c r="AH120" s="217">
        <f t="shared" si="175"/>
        <v>0</v>
      </c>
      <c r="AI120" s="287"/>
      <c r="AJ120" s="217"/>
      <c r="AK120" s="285"/>
      <c r="AL120" s="217">
        <f t="shared" si="176"/>
        <v>0</v>
      </c>
      <c r="AM120" s="285"/>
      <c r="AN120" s="258"/>
      <c r="AO120" s="286">
        <f t="shared" si="153"/>
        <v>0</v>
      </c>
      <c r="AP120" s="217"/>
      <c r="AQ120" s="286"/>
      <c r="AR120" s="217">
        <f t="shared" si="177"/>
        <v>0</v>
      </c>
      <c r="AS120" s="286"/>
      <c r="AT120" s="613">
        <f t="shared" si="179"/>
        <v>0</v>
      </c>
      <c r="AU120" s="287"/>
      <c r="AV120" s="287"/>
      <c r="AW120" s="287"/>
      <c r="AX120" s="288"/>
      <c r="AY120" s="888"/>
      <c r="AZ120" s="888"/>
      <c r="BA120" s="888"/>
      <c r="BB120" s="22"/>
      <c r="BC120" s="22"/>
      <c r="BD120" s="863">
        <f>'зарплата'!V114</f>
        <v>0</v>
      </c>
      <c r="BE120" s="22"/>
      <c r="BF120" s="885"/>
      <c r="BG120" s="18"/>
      <c r="BH120" s="15">
        <f>AX105-522360262.52</f>
        <v>-382971081.65734947</v>
      </c>
      <c r="BI120" s="1"/>
      <c r="BJ120" s="1" t="s">
        <v>290</v>
      </c>
      <c r="BK120" s="1"/>
      <c r="BL120" s="1"/>
      <c r="BM120" s="1">
        <v>0.5</v>
      </c>
      <c r="BN120" s="1"/>
      <c r="BO120" s="1"/>
      <c r="BV120" s="38"/>
      <c r="BW120" s="261" t="s">
        <v>291</v>
      </c>
      <c r="BX120" s="762"/>
      <c r="BY120" s="762"/>
      <c r="BZ120" s="762"/>
      <c r="CA120" s="762"/>
      <c r="CB120" s="762"/>
      <c r="CC120" s="730"/>
      <c r="CD120" s="730"/>
      <c r="CE120" s="762"/>
      <c r="CF120" s="762"/>
      <c r="CG120" s="762"/>
      <c r="CH120" s="762"/>
      <c r="CI120" s="762"/>
      <c r="CJ120" s="762"/>
      <c r="CK120" s="762"/>
      <c r="CL120" s="762"/>
      <c r="CM120" s="762"/>
      <c r="CN120" s="762"/>
      <c r="CO120" s="765"/>
      <c r="CP120" s="5"/>
      <c r="CQ120" s="766"/>
      <c r="CR120" s="370"/>
      <c r="CS120" s="298"/>
      <c r="DA120" s="1"/>
      <c r="DB120" s="868"/>
      <c r="DC120" s="868"/>
      <c r="DD120" s="1"/>
      <c r="DE120" s="1"/>
      <c r="DF120" s="1"/>
      <c r="EF120" s="552"/>
      <c r="EG120" s="552"/>
      <c r="EZ120" s="357"/>
      <c r="FA120" s="357"/>
    </row>
    <row r="121">
      <c r="A121" s="552"/>
      <c r="B121" s="552"/>
      <c r="C121" s="284"/>
      <c r="D121" s="285"/>
      <c r="E121" s="285"/>
      <c r="F121" s="217">
        <f t="shared" si="157"/>
        <v>0</v>
      </c>
      <c r="G121" s="286"/>
      <c r="H121" s="217">
        <f t="shared" si="158"/>
        <v>0</v>
      </c>
      <c r="I121" s="286"/>
      <c r="J121" s="217">
        <f t="shared" si="159"/>
        <v>0</v>
      </c>
      <c r="K121" s="285"/>
      <c r="L121" s="258">
        <f t="shared" si="160"/>
        <v>0</v>
      </c>
      <c r="M121" s="287"/>
      <c r="N121" s="258">
        <f t="shared" si="162"/>
        <v>0</v>
      </c>
      <c r="O121" s="285"/>
      <c r="P121" s="217">
        <f t="shared" si="164"/>
        <v>0</v>
      </c>
      <c r="Q121" s="272"/>
      <c r="R121" s="217">
        <f t="shared" si="166"/>
        <v>0</v>
      </c>
      <c r="S121" s="285"/>
      <c r="T121" s="217">
        <f t="shared" si="168"/>
        <v>0</v>
      </c>
      <c r="U121" s="285"/>
      <c r="V121" s="217">
        <f t="shared" si="169"/>
        <v>0</v>
      </c>
      <c r="W121" s="285"/>
      <c r="X121" s="217">
        <f t="shared" si="170"/>
        <v>0</v>
      </c>
      <c r="Y121" s="285"/>
      <c r="Z121" s="217">
        <f t="shared" si="171"/>
        <v>0</v>
      </c>
      <c r="AA121" s="285"/>
      <c r="AB121" s="217">
        <f t="shared" si="172"/>
        <v>0</v>
      </c>
      <c r="AC121" s="285"/>
      <c r="AD121" s="258">
        <f t="shared" si="173"/>
        <v>0</v>
      </c>
      <c r="AE121" s="285"/>
      <c r="AF121" s="217">
        <f t="shared" si="174"/>
        <v>0</v>
      </c>
      <c r="AG121" s="286"/>
      <c r="AH121" s="217">
        <f t="shared" si="175"/>
        <v>0</v>
      </c>
      <c r="AI121" s="287"/>
      <c r="AJ121" s="217"/>
      <c r="AK121" s="285"/>
      <c r="AL121" s="217">
        <f t="shared" si="176"/>
        <v>0</v>
      </c>
      <c r="AM121" s="285"/>
      <c r="AN121" s="258"/>
      <c r="AO121" s="286">
        <f t="shared" si="153"/>
        <v>0</v>
      </c>
      <c r="AP121" s="217"/>
      <c r="AQ121" s="286"/>
      <c r="AR121" s="217">
        <f t="shared" si="177"/>
        <v>0</v>
      </c>
      <c r="AS121" s="286"/>
      <c r="AT121" s="613">
        <f t="shared" si="179"/>
        <v>0</v>
      </c>
      <c r="AU121" s="287"/>
      <c r="AV121" s="287"/>
      <c r="AW121" s="287"/>
      <c r="AX121" s="288"/>
      <c r="AY121" s="888"/>
      <c r="AZ121" s="888"/>
      <c r="BA121" s="888"/>
      <c r="BB121" s="22"/>
      <c r="BC121" s="22"/>
      <c r="BD121" s="863">
        <f>'зарплата'!V115</f>
        <v>0</v>
      </c>
      <c r="BE121" s="22"/>
      <c r="BF121" s="885"/>
      <c r="BG121" s="18"/>
      <c r="BH121" s="15"/>
      <c r="BI121" s="1"/>
      <c r="BJ121" s="1"/>
      <c r="BK121" s="1"/>
      <c r="BL121" s="1"/>
      <c r="BM121" s="1"/>
      <c r="BN121" s="1"/>
      <c r="BO121" s="1"/>
      <c r="BW121" s="261" t="s">
        <v>292</v>
      </c>
      <c r="BX121" s="762"/>
      <c r="BY121" s="762"/>
      <c r="BZ121" s="762"/>
      <c r="CA121" s="762"/>
      <c r="CB121" s="762"/>
      <c r="CC121" s="762"/>
      <c r="CD121" s="762"/>
      <c r="CE121" s="762"/>
      <c r="CF121" s="762"/>
      <c r="CG121" s="762"/>
      <c r="CH121" s="762"/>
      <c r="CI121" s="762"/>
      <c r="CJ121" s="762"/>
      <c r="CK121" s="762"/>
      <c r="CL121" s="762"/>
      <c r="CM121" s="762"/>
      <c r="CN121" s="762"/>
      <c r="CO121" s="765"/>
      <c r="CP121" s="5"/>
      <c r="CQ121" s="766"/>
      <c r="CR121" s="370"/>
      <c r="CS121" s="298"/>
      <c r="DA121" s="1"/>
      <c r="DB121" s="868"/>
      <c r="DC121" s="868"/>
      <c r="DD121" s="1"/>
      <c r="DE121" s="1"/>
      <c r="DF121" s="1"/>
      <c r="EF121" s="552"/>
      <c r="EG121" s="552"/>
      <c r="EZ121" s="357"/>
      <c r="FA121" s="357"/>
    </row>
    <row r="122">
      <c r="A122" s="552"/>
      <c r="B122" s="552"/>
      <c r="C122" s="284"/>
      <c r="D122" s="285"/>
      <c r="E122" s="285"/>
      <c r="F122" s="217">
        <f t="shared" si="157"/>
        <v>0</v>
      </c>
      <c r="G122" s="286"/>
      <c r="H122" s="217">
        <f t="shared" si="158"/>
        <v>0</v>
      </c>
      <c r="I122" s="286"/>
      <c r="J122" s="217">
        <f t="shared" si="159"/>
        <v>0</v>
      </c>
      <c r="K122" s="285"/>
      <c r="L122" s="258">
        <f t="shared" si="160"/>
        <v>0</v>
      </c>
      <c r="M122" s="287"/>
      <c r="N122" s="258">
        <f t="shared" si="162"/>
        <v>0</v>
      </c>
      <c r="O122" s="285"/>
      <c r="P122" s="217">
        <f t="shared" si="164"/>
        <v>0</v>
      </c>
      <c r="Q122" s="272"/>
      <c r="R122" s="217">
        <f t="shared" si="166"/>
        <v>0</v>
      </c>
      <c r="S122" s="285"/>
      <c r="T122" s="217">
        <f t="shared" si="168"/>
        <v>0</v>
      </c>
      <c r="U122" s="285"/>
      <c r="V122" s="217">
        <f t="shared" si="169"/>
        <v>0</v>
      </c>
      <c r="W122" s="285"/>
      <c r="X122" s="217">
        <f t="shared" si="170"/>
        <v>0</v>
      </c>
      <c r="Y122" s="285"/>
      <c r="Z122" s="217">
        <f t="shared" si="171"/>
        <v>0</v>
      </c>
      <c r="AA122" s="285"/>
      <c r="AB122" s="217">
        <f t="shared" si="172"/>
        <v>0</v>
      </c>
      <c r="AC122" s="285"/>
      <c r="AD122" s="258">
        <f t="shared" si="173"/>
        <v>0</v>
      </c>
      <c r="AE122" s="285"/>
      <c r="AF122" s="217">
        <f t="shared" si="174"/>
        <v>0</v>
      </c>
      <c r="AG122" s="286"/>
      <c r="AH122" s="217">
        <f t="shared" si="175"/>
        <v>0</v>
      </c>
      <c r="AI122" s="287"/>
      <c r="AJ122" s="217"/>
      <c r="AK122" s="285"/>
      <c r="AL122" s="217">
        <f t="shared" si="176"/>
        <v>0</v>
      </c>
      <c r="AM122" s="285"/>
      <c r="AN122" s="258"/>
      <c r="AO122" s="286">
        <f t="shared" si="153"/>
        <v>0</v>
      </c>
      <c r="AP122" s="217"/>
      <c r="AQ122" s="286"/>
      <c r="AR122" s="217">
        <f t="shared" si="177"/>
        <v>0</v>
      </c>
      <c r="AS122" s="286"/>
      <c r="AT122" s="613">
        <f t="shared" si="179"/>
        <v>0</v>
      </c>
      <c r="AU122" s="287"/>
      <c r="AV122" s="287"/>
      <c r="AW122" s="287"/>
      <c r="AX122" s="288"/>
      <c r="AY122" s="888"/>
      <c r="AZ122" s="888"/>
      <c r="BA122" s="888"/>
      <c r="BB122" s="22"/>
      <c r="BC122" s="22"/>
      <c r="BD122" s="863">
        <f>'зарплата'!V116</f>
        <v>0</v>
      </c>
      <c r="BE122" s="22"/>
      <c r="BF122" s="885"/>
      <c r="BG122" s="18"/>
      <c r="BH122" s="15"/>
      <c r="BI122" s="1"/>
      <c r="BJ122" s="1"/>
      <c r="BK122" s="1"/>
      <c r="BL122" s="1"/>
      <c r="BM122" s="1"/>
      <c r="BN122" s="1"/>
      <c r="BO122" s="1"/>
      <c r="BW122" s="261" t="s">
        <v>293</v>
      </c>
      <c r="BX122" s="805"/>
      <c r="BY122" s="730"/>
      <c r="BZ122" s="805"/>
      <c r="CA122" s="730"/>
      <c r="CB122" s="730"/>
      <c r="CC122" s="805"/>
      <c r="CD122" s="805"/>
      <c r="CE122" s="730"/>
      <c r="CF122" s="730"/>
      <c r="CG122" s="730"/>
      <c r="CH122" s="730"/>
      <c r="CI122" s="730"/>
      <c r="CJ122" s="730"/>
      <c r="CK122" s="730"/>
      <c r="CL122" s="730"/>
      <c r="CM122" s="730"/>
      <c r="CN122" s="730"/>
      <c r="CO122" s="750"/>
      <c r="CP122" s="5"/>
      <c r="CQ122" s="5"/>
      <c r="CR122" s="891"/>
      <c r="CS122" s="371"/>
      <c r="CT122" s="906"/>
      <c r="DA122" s="1"/>
      <c r="DB122" s="868"/>
      <c r="DC122" s="868"/>
      <c r="DD122" s="1"/>
      <c r="DE122" s="1"/>
      <c r="DF122" s="1"/>
      <c r="EF122" s="552"/>
      <c r="EG122" s="552"/>
      <c r="EZ122" s="357"/>
      <c r="FA122" s="357"/>
    </row>
    <row r="123">
      <c r="A123" s="552"/>
      <c r="B123" s="552"/>
      <c r="C123" s="284"/>
      <c r="D123" s="285"/>
      <c r="E123" s="285"/>
      <c r="F123" s="217">
        <f t="shared" si="157"/>
        <v>0</v>
      </c>
      <c r="G123" s="286"/>
      <c r="H123" s="217">
        <f t="shared" si="158"/>
        <v>0</v>
      </c>
      <c r="I123" s="286"/>
      <c r="J123" s="217">
        <f t="shared" si="159"/>
        <v>0</v>
      </c>
      <c r="K123" s="285"/>
      <c r="L123" s="258">
        <f t="shared" si="160"/>
        <v>0</v>
      </c>
      <c r="M123" s="287"/>
      <c r="N123" s="258">
        <f t="shared" si="162"/>
        <v>0</v>
      </c>
      <c r="O123" s="285"/>
      <c r="P123" s="217">
        <f t="shared" si="164"/>
        <v>0</v>
      </c>
      <c r="Q123" s="272"/>
      <c r="R123" s="217">
        <f t="shared" si="166"/>
        <v>0</v>
      </c>
      <c r="S123" s="285"/>
      <c r="T123" s="217">
        <f t="shared" si="168"/>
        <v>0</v>
      </c>
      <c r="U123" s="285"/>
      <c r="V123" s="217">
        <f t="shared" si="169"/>
        <v>0</v>
      </c>
      <c r="W123" s="285"/>
      <c r="X123" s="217">
        <f t="shared" si="170"/>
        <v>0</v>
      </c>
      <c r="Y123" s="285"/>
      <c r="Z123" s="217">
        <f t="shared" si="171"/>
        <v>0</v>
      </c>
      <c r="AA123" s="285"/>
      <c r="AB123" s="217">
        <f t="shared" si="172"/>
        <v>0</v>
      </c>
      <c r="AC123" s="285"/>
      <c r="AD123" s="258">
        <f t="shared" si="173"/>
        <v>0</v>
      </c>
      <c r="AE123" s="285"/>
      <c r="AF123" s="217">
        <f t="shared" si="174"/>
        <v>0</v>
      </c>
      <c r="AG123" s="286"/>
      <c r="AH123" s="217">
        <f t="shared" si="175"/>
        <v>0</v>
      </c>
      <c r="AI123" s="287"/>
      <c r="AJ123" s="217"/>
      <c r="AK123" s="285"/>
      <c r="AL123" s="217">
        <f t="shared" si="176"/>
        <v>0</v>
      </c>
      <c r="AM123" s="285"/>
      <c r="AN123" s="258"/>
      <c r="AO123" s="286">
        <f t="shared" si="153"/>
        <v>0</v>
      </c>
      <c r="AP123" s="217"/>
      <c r="AQ123" s="286"/>
      <c r="AR123" s="217">
        <f t="shared" si="177"/>
        <v>0</v>
      </c>
      <c r="AS123" s="286"/>
      <c r="AT123" s="613">
        <f t="shared" si="179"/>
        <v>0</v>
      </c>
      <c r="AU123" s="287"/>
      <c r="AV123" s="287"/>
      <c r="AW123" s="287"/>
      <c r="AX123" s="288"/>
      <c r="AY123" s="888"/>
      <c r="AZ123" s="888"/>
      <c r="BA123" s="888"/>
      <c r="BB123" s="22"/>
      <c r="BC123" s="22"/>
      <c r="BD123" s="863">
        <f>'зарплата'!V117</f>
        <v>0</v>
      </c>
      <c r="BE123" s="22"/>
      <c r="BF123" s="885"/>
      <c r="BG123" s="18"/>
      <c r="BH123" s="15"/>
      <c r="BI123" s="1"/>
      <c r="BJ123" s="1"/>
      <c r="BK123" s="1"/>
      <c r="BL123" s="1"/>
      <c r="BM123" s="1"/>
      <c r="BN123" s="1"/>
      <c r="BO123" s="1"/>
      <c r="BW123" s="261" t="s">
        <v>294</v>
      </c>
      <c r="BX123" s="762"/>
      <c r="BY123" s="762"/>
      <c r="BZ123" s="762"/>
      <c r="CA123" s="907"/>
      <c r="CB123" s="907"/>
      <c r="CC123" s="730"/>
      <c r="CD123" s="730"/>
      <c r="CE123" s="762"/>
      <c r="CF123" s="762"/>
      <c r="CG123" s="762"/>
      <c r="CH123" s="762"/>
      <c r="CI123" s="762"/>
      <c r="CJ123" s="762"/>
      <c r="CK123" s="762">
        <f>'2026'!T303</f>
        <v>58</v>
      </c>
      <c r="CL123" s="762"/>
      <c r="CM123" s="762"/>
      <c r="CN123" s="762"/>
      <c r="CO123" s="765"/>
      <c r="CP123" s="5"/>
      <c r="CQ123" s="766"/>
      <c r="CR123" s="370"/>
      <c r="CS123" s="298">
        <f>'2026'!T1068</f>
        <v>0</v>
      </c>
      <c r="CT123" s="906"/>
      <c r="DA123" s="1"/>
      <c r="DB123" s="868"/>
      <c r="DC123" s="868"/>
      <c r="DD123" s="1"/>
      <c r="DE123" s="1"/>
      <c r="DF123" s="1"/>
      <c r="EF123" s="552"/>
      <c r="EG123" s="552"/>
      <c r="EZ123" s="357"/>
      <c r="FA123" s="357"/>
    </row>
    <row r="124">
      <c r="A124" s="552"/>
      <c r="B124" s="552"/>
      <c r="C124" s="284"/>
      <c r="D124" s="285"/>
      <c r="E124" s="285"/>
      <c r="F124" s="217">
        <f t="shared" si="157"/>
        <v>0</v>
      </c>
      <c r="G124" s="286"/>
      <c r="H124" s="217">
        <f t="shared" si="158"/>
        <v>0</v>
      </c>
      <c r="I124" s="286"/>
      <c r="J124" s="217">
        <f t="shared" si="159"/>
        <v>0</v>
      </c>
      <c r="K124" s="285"/>
      <c r="L124" s="258">
        <f t="shared" si="160"/>
        <v>0</v>
      </c>
      <c r="M124" s="287"/>
      <c r="N124" s="258">
        <f t="shared" si="162"/>
        <v>0</v>
      </c>
      <c r="O124" s="285"/>
      <c r="P124" s="217">
        <f t="shared" si="164"/>
        <v>0</v>
      </c>
      <c r="Q124" s="272"/>
      <c r="R124" s="217">
        <f t="shared" si="166"/>
        <v>0</v>
      </c>
      <c r="S124" s="285"/>
      <c r="T124" s="217">
        <f t="shared" si="168"/>
        <v>0</v>
      </c>
      <c r="U124" s="285"/>
      <c r="V124" s="217">
        <f t="shared" si="169"/>
        <v>0</v>
      </c>
      <c r="W124" s="285"/>
      <c r="X124" s="217">
        <f t="shared" si="170"/>
        <v>0</v>
      </c>
      <c r="Y124" s="285"/>
      <c r="Z124" s="217">
        <f t="shared" si="171"/>
        <v>0</v>
      </c>
      <c r="AA124" s="285"/>
      <c r="AB124" s="217">
        <f t="shared" si="172"/>
        <v>0</v>
      </c>
      <c r="AC124" s="285"/>
      <c r="AD124" s="258">
        <f t="shared" si="173"/>
        <v>0</v>
      </c>
      <c r="AE124" s="285"/>
      <c r="AF124" s="217">
        <f t="shared" si="174"/>
        <v>0</v>
      </c>
      <c r="AG124" s="286"/>
      <c r="AH124" s="217">
        <f t="shared" si="175"/>
        <v>0</v>
      </c>
      <c r="AI124" s="287"/>
      <c r="AJ124" s="217"/>
      <c r="AK124" s="285"/>
      <c r="AL124" s="217">
        <f t="shared" si="176"/>
        <v>0</v>
      </c>
      <c r="AM124" s="285"/>
      <c r="AN124" s="258"/>
      <c r="AO124" s="286">
        <f t="shared" si="153"/>
        <v>0</v>
      </c>
      <c r="AP124" s="217"/>
      <c r="AQ124" s="286"/>
      <c r="AR124" s="217">
        <f t="shared" si="177"/>
        <v>0</v>
      </c>
      <c r="AS124" s="286"/>
      <c r="AT124" s="613">
        <f t="shared" si="179"/>
        <v>0</v>
      </c>
      <c r="AU124" s="287"/>
      <c r="AV124" s="287"/>
      <c r="AW124" s="287"/>
      <c r="AX124" s="288"/>
      <c r="AY124" s="888"/>
      <c r="AZ124" s="888"/>
      <c r="BA124" s="888"/>
      <c r="BB124" s="22"/>
      <c r="BC124" s="22"/>
      <c r="BD124" s="863">
        <f>'зарплата'!V118</f>
        <v>0</v>
      </c>
      <c r="BE124" s="22"/>
      <c r="BF124" s="885"/>
      <c r="BG124" s="18"/>
      <c r="BH124" s="15"/>
      <c r="BI124" s="1"/>
      <c r="BJ124" s="1" t="s">
        <v>295</v>
      </c>
      <c r="BK124" s="1"/>
      <c r="BL124" s="1"/>
      <c r="BM124" s="1">
        <v>0.22</v>
      </c>
      <c r="BN124" s="1"/>
      <c r="BO124" s="1"/>
      <c r="BW124" s="261" t="s">
        <v>296</v>
      </c>
      <c r="BX124" s="762"/>
      <c r="BY124" s="762"/>
      <c r="BZ124" s="763"/>
      <c r="CA124" s="907"/>
      <c r="CB124" s="907"/>
      <c r="CC124" s="730"/>
      <c r="CD124" s="730"/>
      <c r="CE124" s="762"/>
      <c r="CF124" s="762"/>
      <c r="CG124" s="762"/>
      <c r="CH124" s="762"/>
      <c r="CI124" s="762"/>
      <c r="CJ124" s="762"/>
      <c r="CK124" s="762"/>
      <c r="CL124" s="762"/>
      <c r="CM124" s="762"/>
      <c r="CN124" s="762"/>
      <c r="CO124" s="765"/>
      <c r="CP124" s="5"/>
      <c r="CQ124" s="766"/>
      <c r="CR124" s="370"/>
      <c r="CS124" s="298"/>
      <c r="CT124" s="906"/>
      <c r="DA124" s="1"/>
      <c r="DB124" s="868"/>
      <c r="DC124" s="868"/>
      <c r="DD124" s="1"/>
      <c r="DE124" s="1"/>
      <c r="DF124" s="1"/>
      <c r="EF124" s="552"/>
      <c r="EG124" s="552"/>
    </row>
    <row r="125">
      <c r="A125" s="908" t="s">
        <v>275</v>
      </c>
      <c r="B125" s="908"/>
      <c r="C125" s="284">
        <f t="shared" si="136"/>
        <v>312616.06</v>
      </c>
      <c r="D125" s="909">
        <f>'Расход-2026'!I1251</f>
        <v>111294.63</v>
      </c>
      <c r="E125" s="909">
        <f>'Расход-2026'!J1251</f>
        <v>201321.42999999999</v>
      </c>
      <c r="F125" s="909">
        <f t="shared" si="157"/>
        <v>0</v>
      </c>
      <c r="G125" s="910">
        <f>F125*$AX$128/$F$153</f>
        <v>0</v>
      </c>
      <c r="H125" s="909">
        <f t="shared" si="158"/>
        <v>0</v>
      </c>
      <c r="I125" s="910">
        <f>H125*$AX$143/$H$153</f>
        <v>0</v>
      </c>
      <c r="J125" s="909">
        <f t="shared" si="159"/>
        <v>13353.5</v>
      </c>
      <c r="K125" s="909">
        <f t="shared" ref="K125:K152" si="182">J125*$AX$142/$J$153</f>
        <v>319528.28206136788</v>
      </c>
      <c r="L125" s="911">
        <f t="shared" si="160"/>
        <v>0</v>
      </c>
      <c r="M125" s="909"/>
      <c r="N125" s="911">
        <f t="shared" si="162"/>
        <v>0</v>
      </c>
      <c r="O125" s="909"/>
      <c r="P125" s="909">
        <f>CC107+CB107</f>
        <v>39762</v>
      </c>
      <c r="Q125" s="909">
        <f t="shared" si="165"/>
        <v>968664.39767728467</v>
      </c>
      <c r="R125" s="909">
        <f t="shared" si="166"/>
        <v>4686</v>
      </c>
      <c r="S125" s="909">
        <f t="shared" si="167"/>
        <v>11271.206209508735</v>
      </c>
      <c r="T125" s="909">
        <f t="shared" si="168"/>
        <v>328</v>
      </c>
      <c r="U125" s="909">
        <f>T125*$AX$135/$T$153</f>
        <v>9026.8888180303566</v>
      </c>
      <c r="V125" s="909">
        <f t="shared" si="169"/>
        <v>0</v>
      </c>
      <c r="W125" s="909"/>
      <c r="X125" s="909">
        <f t="shared" si="170"/>
        <v>3576</v>
      </c>
      <c r="Y125" s="909">
        <f>X125*$AX$148/$X$153</f>
        <v>9066.0925509678418</v>
      </c>
      <c r="Z125" s="909">
        <f t="shared" si="171"/>
        <v>0</v>
      </c>
      <c r="AA125" s="909"/>
      <c r="AB125" s="909">
        <f t="shared" si="172"/>
        <v>0</v>
      </c>
      <c r="AC125" s="909"/>
      <c r="AD125" s="911">
        <f t="shared" si="173"/>
        <v>0</v>
      </c>
      <c r="AE125" s="909"/>
      <c r="AF125" s="909">
        <f t="shared" si="174"/>
        <v>0</v>
      </c>
      <c r="AG125" s="910"/>
      <c r="AH125" s="909">
        <f t="shared" si="175"/>
        <v>0</v>
      </c>
      <c r="AI125" s="909"/>
      <c r="AJ125" s="909"/>
      <c r="AK125" s="909"/>
      <c r="AL125" s="909">
        <f t="shared" si="176"/>
        <v>0</v>
      </c>
      <c r="AM125" s="909"/>
      <c r="AN125" s="911">
        <v>3</v>
      </c>
      <c r="AO125" s="910">
        <f t="shared" si="153"/>
        <v>11610.294899999997</v>
      </c>
      <c r="AP125" s="909">
        <f>'2026'!T1188</f>
        <v>0</v>
      </c>
      <c r="AQ125" s="910">
        <f t="shared" ref="AQ125:AQ126" si="183">AP125*$AX$133/$AP$153</f>
        <v>0</v>
      </c>
      <c r="AR125" s="909">
        <f t="shared" si="177"/>
        <v>687</v>
      </c>
      <c r="AS125" s="910">
        <f t="shared" si="178"/>
        <v>14532.847842127501</v>
      </c>
      <c r="AT125" s="912">
        <f t="shared" si="179"/>
        <v>0</v>
      </c>
      <c r="AU125" s="909"/>
      <c r="AV125" s="909"/>
      <c r="AW125" s="909"/>
      <c r="AX125" s="910">
        <f t="shared" si="156"/>
        <v>1656316.0700592869</v>
      </c>
      <c r="AY125" s="913"/>
      <c r="AZ125" s="913"/>
      <c r="BA125" s="913"/>
      <c r="BB125" s="22"/>
      <c r="BC125" s="22"/>
      <c r="BD125" s="863">
        <f>'зарплата'!V119</f>
        <v>0</v>
      </c>
      <c r="BE125" s="22"/>
      <c r="BF125" s="885"/>
      <c r="BG125" s="18"/>
      <c r="BH125" s="15"/>
      <c r="BI125" s="1"/>
      <c r="BJ125" s="1" t="s">
        <v>266</v>
      </c>
      <c r="BK125" s="1"/>
      <c r="BL125" s="1"/>
      <c r="BM125" s="1">
        <v>0.070000000000000007</v>
      </c>
      <c r="BN125" s="1"/>
      <c r="BO125" s="1"/>
      <c r="BW125" s="261" t="s">
        <v>68</v>
      </c>
      <c r="BX125" s="762"/>
      <c r="BY125" s="762"/>
      <c r="BZ125" s="762"/>
      <c r="CA125" s="907"/>
      <c r="CB125" s="907"/>
      <c r="CC125" s="730"/>
      <c r="CD125" s="730"/>
      <c r="CE125" s="762"/>
      <c r="CF125" s="762"/>
      <c r="CG125" s="762"/>
      <c r="CH125" s="762"/>
      <c r="CI125" s="762"/>
      <c r="CJ125" s="762"/>
      <c r="CK125" s="762"/>
      <c r="CL125" s="762"/>
      <c r="CM125" s="762"/>
      <c r="CN125" s="762"/>
      <c r="CO125" s="765"/>
      <c r="CP125" s="5"/>
      <c r="CQ125" s="766"/>
      <c r="CR125" s="370"/>
      <c r="CS125" s="296">
        <f>'2026'!T1059</f>
        <v>2290</v>
      </c>
      <c r="DA125" s="1"/>
      <c r="DB125" s="868"/>
      <c r="DC125" s="868"/>
      <c r="DD125" s="1"/>
      <c r="DE125" s="1"/>
      <c r="DF125" s="1"/>
      <c r="EF125" s="552" t="s">
        <v>275</v>
      </c>
      <c r="EG125" s="552"/>
    </row>
    <row r="126" s="905" customFormat="1" ht="14.25" customHeight="1">
      <c r="A126" s="914" t="s">
        <v>276</v>
      </c>
      <c r="B126" s="914"/>
      <c r="C126" s="284">
        <f t="shared" si="136"/>
        <v>33674.639999999999</v>
      </c>
      <c r="D126" s="285">
        <f>'Расход-2026'!I1210</f>
        <v>0</v>
      </c>
      <c r="E126" s="285">
        <f>'Расход-2026'!J1210</f>
        <v>33674.639999999999</v>
      </c>
      <c r="F126" s="217">
        <f t="shared" si="157"/>
        <v>0</v>
      </c>
      <c r="G126" s="915"/>
      <c r="H126" s="217">
        <f t="shared" si="158"/>
        <v>0</v>
      </c>
      <c r="I126" s="915"/>
      <c r="J126" s="217">
        <f>BZ108</f>
        <v>1988</v>
      </c>
      <c r="K126" s="285">
        <f t="shared" si="182"/>
        <v>47569.717657393143</v>
      </c>
      <c r="L126" s="258">
        <f t="shared" si="160"/>
        <v>0</v>
      </c>
      <c r="M126" s="287">
        <f t="shared" si="161"/>
        <v>0</v>
      </c>
      <c r="N126" s="258">
        <f t="shared" si="162"/>
        <v>0</v>
      </c>
      <c r="O126" s="272"/>
      <c r="P126" s="217">
        <f t="shared" si="164"/>
        <v>19384</v>
      </c>
      <c r="Q126" s="285">
        <f t="shared" si="165"/>
        <v>472224.50290670706</v>
      </c>
      <c r="R126" s="217">
        <f t="shared" si="166"/>
        <v>261</v>
      </c>
      <c r="S126" s="285">
        <f t="shared" si="167"/>
        <v>627.78165187404602</v>
      </c>
      <c r="T126" s="217">
        <f t="shared" si="168"/>
        <v>0</v>
      </c>
      <c r="U126" s="285"/>
      <c r="V126" s="217">
        <f t="shared" si="169"/>
        <v>0</v>
      </c>
      <c r="W126" s="916"/>
      <c r="X126" s="217">
        <f t="shared" si="170"/>
        <v>0</v>
      </c>
      <c r="Y126" s="285"/>
      <c r="Z126" s="217">
        <f t="shared" si="171"/>
        <v>0</v>
      </c>
      <c r="AA126" s="285">
        <f t="shared" si="181"/>
        <v>0</v>
      </c>
      <c r="AB126" s="217">
        <f t="shared" si="172"/>
        <v>0</v>
      </c>
      <c r="AC126" s="916"/>
      <c r="AD126" s="258">
        <f t="shared" si="173"/>
        <v>0</v>
      </c>
      <c r="AE126" s="285">
        <f>AD126*$AX$129/$AD$153</f>
        <v>0</v>
      </c>
      <c r="AF126" s="217">
        <f t="shared" si="174"/>
        <v>0</v>
      </c>
      <c r="AG126" s="915"/>
      <c r="AH126" s="217">
        <f t="shared" si="175"/>
        <v>0</v>
      </c>
      <c r="AI126" s="740"/>
      <c r="AJ126" s="917"/>
      <c r="AK126" s="916"/>
      <c r="AL126" s="217">
        <f t="shared" si="176"/>
        <v>0</v>
      </c>
      <c r="AM126" s="916"/>
      <c r="AN126" s="258"/>
      <c r="AO126" s="286">
        <f t="shared" si="153"/>
        <v>0</v>
      </c>
      <c r="AP126" s="217">
        <f>'2026'!T1189</f>
        <v>19</v>
      </c>
      <c r="AQ126" s="286">
        <f t="shared" si="183"/>
        <v>1986.9758074334966</v>
      </c>
      <c r="AR126" s="217">
        <f t="shared" si="177"/>
        <v>197</v>
      </c>
      <c r="AS126" s="286">
        <f t="shared" si="178"/>
        <v>4167.3522924295748</v>
      </c>
      <c r="AT126" s="613">
        <f t="shared" si="179"/>
        <v>0</v>
      </c>
      <c r="AU126" s="740"/>
      <c r="AV126" s="740"/>
      <c r="AW126" s="740"/>
      <c r="AX126" s="288">
        <f t="shared" si="156"/>
        <v>560250.9703158373</v>
      </c>
      <c r="AY126" s="888"/>
      <c r="AZ126" s="888"/>
      <c r="BA126" s="888"/>
      <c r="BB126" s="10"/>
      <c r="BC126" s="10"/>
      <c r="BD126" s="863">
        <f>'зарплата'!V120</f>
        <v>14330371.370000001</v>
      </c>
      <c r="BE126" s="10"/>
      <c r="BF126" s="885"/>
      <c r="BG126" s="918"/>
      <c r="BH126" s="15"/>
      <c r="BI126" s="1"/>
      <c r="BJ126" s="1"/>
      <c r="BM126" s="1"/>
      <c r="BN126" s="1"/>
      <c r="BO126" s="1"/>
      <c r="BP126" s="1"/>
      <c r="BQ126" s="1"/>
      <c r="BR126" s="1"/>
      <c r="BV126" s="1"/>
      <c r="BW126" s="261" t="s">
        <v>297</v>
      </c>
      <c r="BX126" s="762"/>
      <c r="BY126" s="762"/>
      <c r="BZ126" s="762"/>
      <c r="CA126" s="762"/>
      <c r="CB126" s="762"/>
      <c r="CC126" s="730"/>
      <c r="CD126" s="730"/>
      <c r="CE126" s="762"/>
      <c r="CF126" s="762"/>
      <c r="CG126" s="762"/>
      <c r="CH126" s="762"/>
      <c r="CI126" s="762"/>
      <c r="CJ126" s="762"/>
      <c r="CK126" s="762"/>
      <c r="CL126" s="762"/>
      <c r="CM126" s="762"/>
      <c r="CN126" s="762"/>
      <c r="CO126" s="765"/>
      <c r="CP126" s="5"/>
      <c r="CQ126" s="766"/>
      <c r="CR126" s="370"/>
      <c r="CS126" s="298">
        <f>'2026'!T1071</f>
        <v>26</v>
      </c>
      <c r="CT126" s="10"/>
      <c r="CU126" s="10"/>
      <c r="CV126" s="10"/>
      <c r="CW126" s="10"/>
      <c r="CX126" s="11"/>
      <c r="CY126" s="11"/>
      <c r="DB126" s="919"/>
      <c r="DC126" s="919"/>
      <c r="EF126" s="914" t="s">
        <v>276</v>
      </c>
      <c r="EG126" s="914"/>
      <c r="GF126" s="1"/>
    </row>
    <row r="127">
      <c r="A127" s="552" t="s">
        <v>78</v>
      </c>
      <c r="B127" s="552"/>
      <c r="C127" s="284">
        <f t="shared" si="136"/>
        <v>0</v>
      </c>
      <c r="D127" s="285">
        <f>'Расход-2026'!I1249</f>
        <v>0</v>
      </c>
      <c r="E127" s="285">
        <f>'Расход-2026'!J1249</f>
        <v>0</v>
      </c>
      <c r="F127" s="217">
        <f t="shared" si="157"/>
        <v>0</v>
      </c>
      <c r="G127" s="286"/>
      <c r="H127" s="217">
        <f t="shared" si="158"/>
        <v>0</v>
      </c>
      <c r="I127" s="286"/>
      <c r="J127" s="217">
        <f t="shared" si="159"/>
        <v>0</v>
      </c>
      <c r="K127" s="285"/>
      <c r="L127" s="258">
        <f t="shared" si="160"/>
        <v>0</v>
      </c>
      <c r="M127" s="287"/>
      <c r="N127" s="258">
        <f t="shared" si="162"/>
        <v>0</v>
      </c>
      <c r="O127" s="285"/>
      <c r="P127" s="217">
        <f t="shared" si="164"/>
        <v>0</v>
      </c>
      <c r="Q127" s="285"/>
      <c r="R127" s="217">
        <f t="shared" si="166"/>
        <v>0</v>
      </c>
      <c r="S127" s="285"/>
      <c r="T127" s="217">
        <f t="shared" si="168"/>
        <v>0</v>
      </c>
      <c r="U127" s="285"/>
      <c r="V127" s="217">
        <f t="shared" si="169"/>
        <v>0</v>
      </c>
      <c r="W127" s="285"/>
      <c r="X127" s="217">
        <f t="shared" si="170"/>
        <v>0</v>
      </c>
      <c r="Y127" s="285"/>
      <c r="Z127" s="217">
        <f t="shared" si="171"/>
        <v>0</v>
      </c>
      <c r="AA127" s="285"/>
      <c r="AB127" s="217">
        <f t="shared" si="172"/>
        <v>0</v>
      </c>
      <c r="AC127" s="285"/>
      <c r="AD127" s="258">
        <f t="shared" si="173"/>
        <v>0</v>
      </c>
      <c r="AE127" s="285"/>
      <c r="AF127" s="217">
        <f t="shared" si="174"/>
        <v>0</v>
      </c>
      <c r="AG127" s="286"/>
      <c r="AH127" s="217">
        <f t="shared" si="175"/>
        <v>0</v>
      </c>
      <c r="AI127" s="287"/>
      <c r="AJ127" s="217"/>
      <c r="AK127" s="285"/>
      <c r="AL127" s="217">
        <f t="shared" si="176"/>
        <v>0</v>
      </c>
      <c r="AM127" s="285"/>
      <c r="AN127" s="258"/>
      <c r="AO127" s="286">
        <f t="shared" si="153"/>
        <v>0</v>
      </c>
      <c r="AP127" s="217"/>
      <c r="AQ127" s="286"/>
      <c r="AR127" s="217">
        <f t="shared" si="177"/>
        <v>0</v>
      </c>
      <c r="AS127" s="286"/>
      <c r="AT127" s="613">
        <f t="shared" si="179"/>
        <v>0</v>
      </c>
      <c r="AU127" s="287"/>
      <c r="AV127" s="287"/>
      <c r="AW127" s="287"/>
      <c r="AX127" s="288">
        <f t="shared" si="156"/>
        <v>0</v>
      </c>
      <c r="AY127" s="888"/>
      <c r="AZ127" s="888"/>
      <c r="BA127" s="888"/>
      <c r="BB127" s="22"/>
      <c r="BC127" s="22"/>
      <c r="BD127" s="863">
        <f>'зарплата'!V121</f>
        <v>3592161.4100000001</v>
      </c>
      <c r="BE127" s="22"/>
      <c r="BF127" s="885"/>
      <c r="BG127" s="18"/>
      <c r="BH127" s="15"/>
      <c r="BI127" s="1"/>
      <c r="BJ127" s="1"/>
      <c r="BK127" s="1"/>
      <c r="BL127" s="1"/>
      <c r="BM127" s="1"/>
      <c r="BN127" s="1"/>
      <c r="BO127" s="1"/>
      <c r="BW127" s="261" t="s">
        <v>298</v>
      </c>
      <c r="BX127" s="762"/>
      <c r="BY127" s="762"/>
      <c r="BZ127" s="762"/>
      <c r="CA127" s="762"/>
      <c r="CB127" s="762"/>
      <c r="CC127" s="730"/>
      <c r="CD127" s="764">
        <f>'2026'!T646</f>
        <v>6317</v>
      </c>
      <c r="CE127" s="762"/>
      <c r="CF127" s="762"/>
      <c r="CG127" s="762"/>
      <c r="CH127" s="762"/>
      <c r="CI127" s="762"/>
      <c r="CJ127" s="762"/>
      <c r="CK127" s="762"/>
      <c r="CL127" s="762"/>
      <c r="CM127" s="762"/>
      <c r="CN127" s="762"/>
      <c r="CO127" s="765"/>
      <c r="CP127" s="5"/>
      <c r="CQ127" s="766"/>
      <c r="CR127" s="647"/>
      <c r="CS127" s="298"/>
      <c r="DA127" s="1"/>
      <c r="DB127" s="868"/>
      <c r="DC127" s="868"/>
      <c r="DD127" s="1"/>
      <c r="DE127" s="1"/>
      <c r="DF127" s="1"/>
      <c r="EF127" s="552" t="s">
        <v>78</v>
      </c>
      <c r="EG127" s="552"/>
    </row>
    <row r="128">
      <c r="A128" s="552" t="s">
        <v>277</v>
      </c>
      <c r="B128" s="552"/>
      <c r="C128" s="284">
        <f t="shared" si="136"/>
        <v>5784124.5599999996</v>
      </c>
      <c r="D128" s="285">
        <f>'Расход-2026'!I1235</f>
        <v>933732.54000000004</v>
      </c>
      <c r="E128" s="285">
        <f>'Расход-2026'!J1235</f>
        <v>4850392.0199999996</v>
      </c>
      <c r="F128" s="217">
        <f t="shared" si="157"/>
        <v>0</v>
      </c>
      <c r="G128" s="286"/>
      <c r="H128" s="217">
        <f t="shared" si="158"/>
        <v>0</v>
      </c>
      <c r="I128" s="286"/>
      <c r="J128" s="217">
        <f t="shared" si="159"/>
        <v>0</v>
      </c>
      <c r="K128" s="285"/>
      <c r="L128" s="258">
        <f t="shared" si="160"/>
        <v>0</v>
      </c>
      <c r="M128" s="287"/>
      <c r="N128" s="258">
        <f t="shared" si="162"/>
        <v>0</v>
      </c>
      <c r="O128" s="285"/>
      <c r="P128" s="217">
        <f t="shared" si="164"/>
        <v>0</v>
      </c>
      <c r="Q128" s="285">
        <f t="shared" si="165"/>
        <v>0</v>
      </c>
      <c r="R128" s="217">
        <f t="shared" si="166"/>
        <v>0</v>
      </c>
      <c r="S128" s="285"/>
      <c r="T128" s="217">
        <f t="shared" si="168"/>
        <v>0</v>
      </c>
      <c r="U128" s="285"/>
      <c r="V128" s="217">
        <f t="shared" si="169"/>
        <v>0</v>
      </c>
      <c r="W128" s="285"/>
      <c r="X128" s="217">
        <f t="shared" si="170"/>
        <v>0</v>
      </c>
      <c r="Y128" s="285"/>
      <c r="Z128" s="217">
        <f t="shared" si="171"/>
        <v>0</v>
      </c>
      <c r="AA128" s="285"/>
      <c r="AB128" s="217">
        <f t="shared" si="172"/>
        <v>0</v>
      </c>
      <c r="AC128" s="285"/>
      <c r="AD128" s="258">
        <f t="shared" si="173"/>
        <v>0</v>
      </c>
      <c r="AE128" s="285"/>
      <c r="AF128" s="217">
        <f t="shared" si="174"/>
        <v>0</v>
      </c>
      <c r="AG128" s="286"/>
      <c r="AH128" s="217">
        <f t="shared" si="175"/>
        <v>0</v>
      </c>
      <c r="AI128" s="287"/>
      <c r="AJ128" s="217"/>
      <c r="AK128" s="285"/>
      <c r="AL128" s="217">
        <f t="shared" si="176"/>
        <v>0</v>
      </c>
      <c r="AM128" s="285"/>
      <c r="AN128" s="258">
        <v>30</v>
      </c>
      <c r="AO128" s="286">
        <f t="shared" si="153"/>
        <v>116102.94899999998</v>
      </c>
      <c r="AP128" s="217"/>
      <c r="AQ128" s="286"/>
      <c r="AR128" s="217">
        <f t="shared" si="177"/>
        <v>7809</v>
      </c>
      <c r="AS128" s="286">
        <f t="shared" si="178"/>
        <v>165192.15254610433</v>
      </c>
      <c r="AT128" s="613">
        <f t="shared" si="179"/>
        <v>0</v>
      </c>
      <c r="AU128" s="287"/>
      <c r="AV128" s="287"/>
      <c r="AW128" s="287"/>
      <c r="AX128" s="288">
        <f t="shared" si="156"/>
        <v>6065419.6615461037</v>
      </c>
      <c r="AY128" s="888"/>
      <c r="AZ128" s="888"/>
      <c r="BA128" s="888"/>
      <c r="BB128" s="22"/>
      <c r="BC128" s="22"/>
      <c r="BD128" s="863">
        <f>'зарплата'!V122</f>
        <v>0</v>
      </c>
      <c r="BE128" s="22"/>
      <c r="BF128" s="885"/>
      <c r="BG128" s="18"/>
      <c r="BH128" s="15"/>
      <c r="BI128" s="1"/>
      <c r="BJ128" s="1"/>
      <c r="BK128" s="1"/>
      <c r="BL128" s="1"/>
      <c r="BM128" s="11"/>
      <c r="BN128" s="1"/>
      <c r="BO128" s="1"/>
      <c r="BW128" s="261" t="s">
        <v>299</v>
      </c>
      <c r="BX128" s="762"/>
      <c r="BY128" s="762"/>
      <c r="BZ128" s="762"/>
      <c r="CA128" s="762"/>
      <c r="CB128" s="762"/>
      <c r="CC128" s="730"/>
      <c r="CD128" s="730"/>
      <c r="CE128" s="762"/>
      <c r="CF128" s="762"/>
      <c r="CG128" s="762"/>
      <c r="CH128" s="762"/>
      <c r="CI128" s="762"/>
      <c r="CJ128" s="762"/>
      <c r="CK128" s="762"/>
      <c r="CL128" s="762"/>
      <c r="CM128" s="762"/>
      <c r="CN128" s="762"/>
      <c r="CO128" s="765"/>
      <c r="CP128" s="5"/>
      <c r="CQ128" s="766"/>
      <c r="CR128" s="370"/>
      <c r="CS128" s="298"/>
      <c r="DA128" s="1"/>
      <c r="DB128" s="868"/>
      <c r="DC128" s="868"/>
      <c r="DD128" s="1"/>
      <c r="DE128" s="1"/>
      <c r="DF128" s="1"/>
      <c r="EF128" s="552" t="s">
        <v>277</v>
      </c>
      <c r="EG128" s="552"/>
    </row>
    <row r="129" ht="13.5">
      <c r="A129" s="920" t="s">
        <v>278</v>
      </c>
      <c r="B129" s="920"/>
      <c r="C129" s="284">
        <f t="shared" si="136"/>
        <v>1342144.8499999999</v>
      </c>
      <c r="D129" s="285">
        <f>'Расход-2026'!I1233</f>
        <v>192321.40999999997</v>
      </c>
      <c r="E129" s="285">
        <f>'Расход-2026'!J1233</f>
        <v>1149823.4399999999</v>
      </c>
      <c r="F129" s="217">
        <f t="shared" si="157"/>
        <v>0</v>
      </c>
      <c r="G129" s="286"/>
      <c r="H129" s="217">
        <f t="shared" si="158"/>
        <v>0</v>
      </c>
      <c r="I129" s="286"/>
      <c r="J129" s="217">
        <f t="shared" si="159"/>
        <v>0</v>
      </c>
      <c r="K129" s="285"/>
      <c r="L129" s="258">
        <f t="shared" si="160"/>
        <v>0</v>
      </c>
      <c r="M129" s="287"/>
      <c r="N129" s="258">
        <f t="shared" si="162"/>
        <v>0</v>
      </c>
      <c r="O129" s="331"/>
      <c r="P129" s="217">
        <f t="shared" si="164"/>
        <v>4446</v>
      </c>
      <c r="Q129" s="285">
        <f t="shared" si="165"/>
        <v>108311.50123417353</v>
      </c>
      <c r="R129" s="217">
        <f t="shared" si="166"/>
        <v>0</v>
      </c>
      <c r="S129" s="285"/>
      <c r="T129" s="217">
        <f t="shared" si="168"/>
        <v>0</v>
      </c>
      <c r="U129" s="285"/>
      <c r="V129" s="217">
        <f t="shared" si="169"/>
        <v>0</v>
      </c>
      <c r="W129" s="285"/>
      <c r="X129" s="217">
        <f t="shared" si="170"/>
        <v>0</v>
      </c>
      <c r="Y129" s="285"/>
      <c r="Z129" s="217">
        <f t="shared" si="171"/>
        <v>0</v>
      </c>
      <c r="AA129" s="285">
        <f t="shared" si="181"/>
        <v>0</v>
      </c>
      <c r="AB129" s="217">
        <f t="shared" si="172"/>
        <v>0</v>
      </c>
      <c r="AC129" s="285"/>
      <c r="AD129" s="258">
        <f t="shared" si="173"/>
        <v>0</v>
      </c>
      <c r="AE129" s="285"/>
      <c r="AF129" s="217">
        <f t="shared" si="174"/>
        <v>0</v>
      </c>
      <c r="AG129" s="286"/>
      <c r="AH129" s="217">
        <f t="shared" si="175"/>
        <v>0</v>
      </c>
      <c r="AI129" s="287"/>
      <c r="AJ129" s="217"/>
      <c r="AK129" s="285"/>
      <c r="AL129" s="217">
        <f t="shared" si="176"/>
        <v>0</v>
      </c>
      <c r="AM129" s="285"/>
      <c r="AN129" s="258">
        <v>12.699999999999999</v>
      </c>
      <c r="AO129" s="286">
        <f t="shared" si="153"/>
        <v>49150.248409999993</v>
      </c>
      <c r="AP129" s="217"/>
      <c r="AQ129" s="286"/>
      <c r="AR129" s="217">
        <f t="shared" si="177"/>
        <v>5103</v>
      </c>
      <c r="AS129" s="286">
        <f t="shared" si="178"/>
        <v>107949.23222471128</v>
      </c>
      <c r="AT129" s="613">
        <f t="shared" si="179"/>
        <v>0</v>
      </c>
      <c r="AU129" s="287"/>
      <c r="AV129" s="287"/>
      <c r="AW129" s="287"/>
      <c r="AX129" s="288">
        <f t="shared" si="156"/>
        <v>1607555.8318688846</v>
      </c>
      <c r="AY129" s="888"/>
      <c r="AZ129" s="888"/>
      <c r="BA129" s="888"/>
      <c r="BB129" s="22"/>
      <c r="BC129" s="22"/>
      <c r="BD129" s="863">
        <f>'зарплата'!V123</f>
        <v>8455496</v>
      </c>
      <c r="BE129" s="22"/>
      <c r="BF129" s="885"/>
      <c r="BG129" s="18"/>
      <c r="BH129" s="15"/>
      <c r="BI129" s="1"/>
      <c r="BJ129" s="1"/>
      <c r="BK129" s="1"/>
      <c r="BL129" s="1"/>
      <c r="BM129" s="1"/>
      <c r="BN129" s="1"/>
      <c r="BO129" s="1"/>
      <c r="BW129" s="261" t="s">
        <v>300</v>
      </c>
      <c r="BX129" s="762"/>
      <c r="BY129" s="762"/>
      <c r="BZ129" s="762"/>
      <c r="CA129" s="762">
        <f>'2026'!T713</f>
        <v>1924</v>
      </c>
      <c r="CB129" s="762"/>
      <c r="CC129" s="730">
        <f>'2026'!T500</f>
        <v>0</v>
      </c>
      <c r="CD129" s="730"/>
      <c r="CE129" s="762"/>
      <c r="CF129" s="762"/>
      <c r="CG129" s="762"/>
      <c r="CH129" s="762"/>
      <c r="CI129" s="762"/>
      <c r="CJ129" s="762"/>
      <c r="CK129" s="762"/>
      <c r="CL129" s="762"/>
      <c r="CM129" s="762"/>
      <c r="CN129" s="762"/>
      <c r="CO129" s="765"/>
      <c r="CP129" s="5"/>
      <c r="CQ129" s="766"/>
      <c r="CR129" s="647"/>
      <c r="CS129" s="296">
        <f>'2026'!T1069+'2026'!T1070</f>
        <v>202</v>
      </c>
      <c r="DA129" s="1"/>
      <c r="DB129" s="868"/>
      <c r="DC129" s="868"/>
      <c r="DD129" s="1"/>
      <c r="DE129" s="1"/>
      <c r="DF129" s="1"/>
      <c r="EF129" s="920" t="s">
        <v>278</v>
      </c>
      <c r="EG129" s="920"/>
    </row>
    <row r="130">
      <c r="A130" s="552" t="s">
        <v>279</v>
      </c>
      <c r="B130" s="552"/>
      <c r="C130" s="284"/>
      <c r="D130" s="285"/>
      <c r="E130" s="285"/>
      <c r="F130" s="217">
        <f t="shared" si="157"/>
        <v>0</v>
      </c>
      <c r="G130" s="286"/>
      <c r="H130" s="217">
        <f t="shared" si="158"/>
        <v>0</v>
      </c>
      <c r="I130" s="286"/>
      <c r="J130" s="217">
        <f t="shared" si="159"/>
        <v>0</v>
      </c>
      <c r="K130" s="285"/>
      <c r="L130" s="258">
        <f t="shared" si="160"/>
        <v>0</v>
      </c>
      <c r="M130" s="287"/>
      <c r="N130" s="258">
        <f t="shared" si="162"/>
        <v>0</v>
      </c>
      <c r="O130" s="285"/>
      <c r="P130" s="217">
        <f t="shared" si="164"/>
        <v>0</v>
      </c>
      <c r="Q130" s="285"/>
      <c r="R130" s="217">
        <f t="shared" si="166"/>
        <v>0</v>
      </c>
      <c r="S130" s="285"/>
      <c r="T130" s="217">
        <f t="shared" si="168"/>
        <v>0</v>
      </c>
      <c r="U130" s="285"/>
      <c r="V130" s="217">
        <f t="shared" si="169"/>
        <v>0</v>
      </c>
      <c r="W130" s="285"/>
      <c r="X130" s="217">
        <f t="shared" si="170"/>
        <v>0</v>
      </c>
      <c r="Y130" s="285"/>
      <c r="Z130" s="217">
        <f t="shared" si="171"/>
        <v>0</v>
      </c>
      <c r="AA130" s="285"/>
      <c r="AB130" s="217">
        <f t="shared" si="172"/>
        <v>0</v>
      </c>
      <c r="AC130" s="285"/>
      <c r="AD130" s="258">
        <f t="shared" si="173"/>
        <v>0</v>
      </c>
      <c r="AE130" s="285"/>
      <c r="AF130" s="217">
        <f t="shared" si="174"/>
        <v>0</v>
      </c>
      <c r="AG130" s="286"/>
      <c r="AH130" s="217">
        <f t="shared" si="175"/>
        <v>0</v>
      </c>
      <c r="AI130" s="287"/>
      <c r="AJ130" s="217"/>
      <c r="AK130" s="285"/>
      <c r="AL130" s="217">
        <f t="shared" si="176"/>
        <v>0</v>
      </c>
      <c r="AM130" s="285"/>
      <c r="AN130" s="258"/>
      <c r="AO130" s="286">
        <f t="shared" si="153"/>
        <v>0</v>
      </c>
      <c r="AP130" s="217"/>
      <c r="AQ130" s="286"/>
      <c r="AR130" s="217">
        <f t="shared" si="177"/>
        <v>0</v>
      </c>
      <c r="AS130" s="286"/>
      <c r="AT130" s="613">
        <f t="shared" si="179"/>
        <v>0</v>
      </c>
      <c r="AU130" s="287"/>
      <c r="AV130" s="287"/>
      <c r="AW130" s="287"/>
      <c r="AX130" s="288">
        <f t="shared" si="156"/>
        <v>0</v>
      </c>
      <c r="AY130" s="888"/>
      <c r="AZ130" s="888"/>
      <c r="BA130" s="888"/>
      <c r="BB130" s="22"/>
      <c r="BC130" s="22"/>
      <c r="BD130" s="863">
        <f>'зарплата'!V124</f>
        <v>1569121.2</v>
      </c>
      <c r="BE130" s="22"/>
      <c r="BF130" s="885"/>
      <c r="BG130" s="18"/>
      <c r="BH130" s="15"/>
      <c r="BI130" s="1"/>
      <c r="BJ130" s="1"/>
      <c r="BK130" s="1"/>
      <c r="BL130" s="1"/>
      <c r="BM130" s="1"/>
      <c r="BN130" s="1"/>
      <c r="BO130" s="1"/>
      <c r="BW130" s="261" t="s">
        <v>301</v>
      </c>
      <c r="BX130" s="762"/>
      <c r="BY130" s="762"/>
      <c r="BZ130" s="762"/>
      <c r="CA130" s="762"/>
      <c r="CB130" s="762"/>
      <c r="CC130" s="730"/>
      <c r="CD130" s="730"/>
      <c r="CE130" s="762"/>
      <c r="CF130" s="762"/>
      <c r="CG130" s="762"/>
      <c r="CH130" s="762"/>
      <c r="CI130" s="762"/>
      <c r="CJ130" s="762"/>
      <c r="CK130" s="762"/>
      <c r="CL130" s="762"/>
      <c r="CM130" s="762"/>
      <c r="CN130" s="762"/>
      <c r="CO130" s="765"/>
      <c r="CP130" s="5"/>
      <c r="CQ130" s="766"/>
      <c r="CR130" s="370"/>
      <c r="CS130" s="298">
        <f>'2026'!T1075</f>
        <v>17</v>
      </c>
      <c r="DA130" s="1"/>
      <c r="DB130" s="868"/>
      <c r="DC130" s="868"/>
      <c r="DD130" s="1"/>
      <c r="DE130" s="1"/>
      <c r="DF130" s="1"/>
      <c r="EF130" s="552" t="s">
        <v>279</v>
      </c>
      <c r="EG130" s="552"/>
    </row>
    <row r="131">
      <c r="A131" s="759" t="s">
        <v>281</v>
      </c>
      <c r="B131" s="759"/>
      <c r="C131" s="284"/>
      <c r="D131" s="285"/>
      <c r="E131" s="285"/>
      <c r="F131" s="217">
        <f t="shared" si="157"/>
        <v>0</v>
      </c>
      <c r="G131" s="286"/>
      <c r="H131" s="217">
        <f t="shared" si="158"/>
        <v>0</v>
      </c>
      <c r="I131" s="286"/>
      <c r="J131" s="217">
        <f t="shared" si="159"/>
        <v>0</v>
      </c>
      <c r="K131" s="285"/>
      <c r="L131" s="258">
        <f t="shared" si="160"/>
        <v>0</v>
      </c>
      <c r="M131" s="287">
        <f t="shared" si="161"/>
        <v>0</v>
      </c>
      <c r="N131" s="258">
        <f t="shared" si="162"/>
        <v>0</v>
      </c>
      <c r="O131" s="285"/>
      <c r="P131" s="217">
        <f t="shared" si="164"/>
        <v>13</v>
      </c>
      <c r="Q131" s="285">
        <f t="shared" si="165"/>
        <v>316.7002960063553</v>
      </c>
      <c r="R131" s="217">
        <f t="shared" si="166"/>
        <v>83</v>
      </c>
      <c r="S131" s="285">
        <f t="shared" si="167"/>
        <v>199.63937588331734</v>
      </c>
      <c r="T131" s="217">
        <f t="shared" si="168"/>
        <v>0</v>
      </c>
      <c r="U131" s="285">
        <f>T131*$AX$135/$T$153</f>
        <v>0</v>
      </c>
      <c r="V131" s="217">
        <f t="shared" si="169"/>
        <v>0</v>
      </c>
      <c r="W131" s="285"/>
      <c r="X131" s="217">
        <f t="shared" si="170"/>
        <v>0</v>
      </c>
      <c r="Y131" s="285"/>
      <c r="Z131" s="217">
        <f t="shared" si="171"/>
        <v>0</v>
      </c>
      <c r="AA131" s="285"/>
      <c r="AB131" s="217">
        <f t="shared" si="172"/>
        <v>0</v>
      </c>
      <c r="AC131" s="285"/>
      <c r="AD131" s="258">
        <f t="shared" si="173"/>
        <v>0</v>
      </c>
      <c r="AE131" s="285"/>
      <c r="AF131" s="217">
        <f t="shared" si="174"/>
        <v>0</v>
      </c>
      <c r="AG131" s="286"/>
      <c r="AH131" s="217">
        <f t="shared" si="175"/>
        <v>0</v>
      </c>
      <c r="AI131" s="287"/>
      <c r="AJ131" s="217"/>
      <c r="AK131" s="285"/>
      <c r="AL131" s="217">
        <f t="shared" si="176"/>
        <v>0</v>
      </c>
      <c r="AM131" s="285"/>
      <c r="AN131" s="258"/>
      <c r="AO131" s="286"/>
      <c r="AP131" s="217"/>
      <c r="AQ131" s="286"/>
      <c r="AR131" s="217">
        <f t="shared" si="177"/>
        <v>0</v>
      </c>
      <c r="AS131" s="286"/>
      <c r="AT131" s="613">
        <f t="shared" si="179"/>
        <v>0</v>
      </c>
      <c r="AU131" s="287"/>
      <c r="AV131" s="287"/>
      <c r="AW131" s="287"/>
      <c r="AX131" s="288">
        <f t="shared" si="156"/>
        <v>516.33967188967267</v>
      </c>
      <c r="AY131" s="888"/>
      <c r="AZ131" s="888"/>
      <c r="BA131" s="888"/>
      <c r="BB131" s="22"/>
      <c r="BC131" s="22"/>
      <c r="BD131" s="863">
        <f>'зарплата'!V125</f>
        <v>0</v>
      </c>
      <c r="BE131" s="22"/>
      <c r="BF131" s="885"/>
      <c r="BG131" s="18"/>
      <c r="BH131" s="15"/>
      <c r="BI131" s="1"/>
      <c r="BJ131" s="1"/>
      <c r="BK131" s="1"/>
      <c r="BL131" s="1"/>
      <c r="BM131" s="1"/>
      <c r="BN131" s="1"/>
      <c r="BO131" s="1"/>
      <c r="BW131" s="921" t="s">
        <v>302</v>
      </c>
      <c r="BX131" s="762"/>
      <c r="BY131" s="762"/>
      <c r="BZ131" s="762"/>
      <c r="CA131" s="762"/>
      <c r="CB131" s="762"/>
      <c r="CC131" s="730"/>
      <c r="CD131" s="730"/>
      <c r="CE131" s="762"/>
      <c r="CF131" s="762"/>
      <c r="CG131" s="762"/>
      <c r="CH131" s="762"/>
      <c r="CI131" s="762"/>
      <c r="CJ131" s="762"/>
      <c r="CK131" s="762"/>
      <c r="CL131" s="762"/>
      <c r="CM131" s="762"/>
      <c r="CN131" s="762"/>
      <c r="CO131" s="765"/>
      <c r="CP131" s="5"/>
      <c r="CQ131" s="766"/>
      <c r="CR131" s="370"/>
      <c r="CS131" s="298"/>
      <c r="DA131" s="1"/>
      <c r="DB131" s="868"/>
      <c r="DC131" s="868"/>
      <c r="DD131" s="1"/>
      <c r="DE131" s="1"/>
      <c r="DF131" s="1"/>
      <c r="EF131" s="759" t="s">
        <v>281</v>
      </c>
      <c r="EG131" s="759"/>
    </row>
    <row r="132">
      <c r="A132" s="552"/>
      <c r="B132" s="552"/>
      <c r="C132" s="284"/>
      <c r="D132" s="272"/>
      <c r="E132" s="272"/>
      <c r="F132" s="217">
        <f>BX114</f>
        <v>0</v>
      </c>
      <c r="G132" s="334"/>
      <c r="H132" s="217">
        <f t="shared" si="158"/>
        <v>0</v>
      </c>
      <c r="I132" s="334"/>
      <c r="J132" s="217">
        <f t="shared" si="159"/>
        <v>0</v>
      </c>
      <c r="K132" s="285"/>
      <c r="L132" s="258">
        <f t="shared" si="160"/>
        <v>0</v>
      </c>
      <c r="M132" s="287"/>
      <c r="N132" s="258">
        <f t="shared" si="162"/>
        <v>0</v>
      </c>
      <c r="O132" s="331"/>
      <c r="P132" s="217">
        <f t="shared" si="164"/>
        <v>2620</v>
      </c>
      <c r="Q132" s="272"/>
      <c r="R132" s="217">
        <f t="shared" si="166"/>
        <v>0</v>
      </c>
      <c r="S132" s="272"/>
      <c r="T132" s="217">
        <f t="shared" si="168"/>
        <v>0</v>
      </c>
      <c r="U132" s="272"/>
      <c r="V132" s="217">
        <f t="shared" si="169"/>
        <v>0</v>
      </c>
      <c r="W132" s="272"/>
      <c r="X132" s="217">
        <f t="shared" si="170"/>
        <v>20</v>
      </c>
      <c r="Y132" s="272"/>
      <c r="Z132" s="217">
        <f t="shared" si="171"/>
        <v>0</v>
      </c>
      <c r="AA132" s="272"/>
      <c r="AB132" s="217">
        <f t="shared" si="172"/>
        <v>0</v>
      </c>
      <c r="AC132" s="272"/>
      <c r="AD132" s="258">
        <f t="shared" si="173"/>
        <v>0</v>
      </c>
      <c r="AE132" s="272"/>
      <c r="AF132" s="217">
        <f t="shared" si="174"/>
        <v>0</v>
      </c>
      <c r="AG132" s="334"/>
      <c r="AH132" s="217">
        <f t="shared" si="175"/>
        <v>0</v>
      </c>
      <c r="AI132" s="272"/>
      <c r="AJ132" s="258"/>
      <c r="AK132" s="272"/>
      <c r="AL132" s="217">
        <f t="shared" si="176"/>
        <v>0</v>
      </c>
      <c r="AM132" s="272"/>
      <c r="AN132" s="258"/>
      <c r="AO132" s="286"/>
      <c r="AP132" s="217"/>
      <c r="AQ132" s="334"/>
      <c r="AR132" s="217">
        <f t="shared" si="177"/>
        <v>0</v>
      </c>
      <c r="AS132" s="334"/>
      <c r="AT132" s="613">
        <f t="shared" si="179"/>
        <v>0</v>
      </c>
      <c r="AU132" s="272"/>
      <c r="AV132" s="259"/>
      <c r="AW132" s="259"/>
      <c r="AX132" s="288"/>
      <c r="AY132" s="888"/>
      <c r="AZ132" s="888"/>
      <c r="BA132" s="888"/>
      <c r="BB132" s="5"/>
      <c r="BC132" s="5"/>
      <c r="BD132" s="863">
        <f>'зарплата'!V126</f>
        <v>0</v>
      </c>
      <c r="BF132" s="864"/>
      <c r="BG132" s="1"/>
      <c r="BH132" s="15"/>
      <c r="BI132" s="1"/>
      <c r="BJ132" s="1"/>
      <c r="BK132" s="1"/>
      <c r="BL132" s="1"/>
      <c r="BM132" s="1"/>
      <c r="BN132" s="1"/>
      <c r="BO132" s="1"/>
      <c r="BW132" s="261" t="s">
        <v>303</v>
      </c>
      <c r="BX132" s="762"/>
      <c r="BY132" s="762"/>
      <c r="BZ132" s="763">
        <f>'2026'!T146</f>
        <v>0</v>
      </c>
      <c r="CA132" s="763">
        <f>'2026'!T718</f>
        <v>0</v>
      </c>
      <c r="CB132" s="763">
        <f>'2026'!T577</f>
        <v>0</v>
      </c>
      <c r="CC132" s="764">
        <f>'2026'!T505</f>
        <v>0</v>
      </c>
      <c r="CD132" s="764">
        <f>'2026'!T648</f>
        <v>0</v>
      </c>
      <c r="CE132" s="763">
        <f>'2026'!T364</f>
        <v>0</v>
      </c>
      <c r="CF132" s="763">
        <f>'2026'!T901</f>
        <v>0</v>
      </c>
      <c r="CG132" s="762"/>
      <c r="CH132" s="763">
        <f>'2026'!T848</f>
        <v>0</v>
      </c>
      <c r="CI132" s="762"/>
      <c r="CJ132" s="762"/>
      <c r="CK132" s="762"/>
      <c r="CL132" s="762"/>
      <c r="CM132" s="762"/>
      <c r="CN132" s="762"/>
      <c r="CO132" s="765"/>
      <c r="CP132" s="5"/>
      <c r="CQ132" s="766"/>
      <c r="CR132" s="370"/>
      <c r="CS132" s="294">
        <f>'2026'!T1082</f>
        <v>0</v>
      </c>
      <c r="DA132" s="1"/>
      <c r="DB132" s="868"/>
      <c r="DC132" s="868"/>
      <c r="DD132" s="1"/>
      <c r="DE132" s="1"/>
      <c r="DF132" s="1"/>
      <c r="EF132" s="552"/>
      <c r="EG132" s="552"/>
    </row>
    <row r="133" ht="13.5">
      <c r="A133" s="922" t="s">
        <v>84</v>
      </c>
      <c r="B133" s="922"/>
      <c r="C133" s="284">
        <f t="shared" si="136"/>
        <v>362187.05999999994</v>
      </c>
      <c r="D133" s="285">
        <f>'Расход-2026'!I1254</f>
        <v>134523.66</v>
      </c>
      <c r="E133" s="285">
        <f>'Расход-2026'!J1254</f>
        <v>227663.39999999997</v>
      </c>
      <c r="F133" s="217">
        <f t="shared" si="157"/>
        <v>0</v>
      </c>
      <c r="G133" s="286"/>
      <c r="H133" s="217">
        <f t="shared" si="158"/>
        <v>0</v>
      </c>
      <c r="I133" s="286"/>
      <c r="J133" s="217">
        <f t="shared" si="159"/>
        <v>0</v>
      </c>
      <c r="K133" s="285"/>
      <c r="L133" s="258">
        <f t="shared" si="160"/>
        <v>0</v>
      </c>
      <c r="M133" s="287"/>
      <c r="N133" s="258">
        <f>CD115</f>
        <v>381</v>
      </c>
      <c r="O133" s="285">
        <f t="shared" si="163"/>
        <v>6240.0857678005241</v>
      </c>
      <c r="P133" s="217">
        <f t="shared" si="164"/>
        <v>0</v>
      </c>
      <c r="Q133" s="285"/>
      <c r="R133" s="217">
        <f t="shared" si="166"/>
        <v>0</v>
      </c>
      <c r="S133" s="285"/>
      <c r="T133" s="217">
        <f t="shared" si="168"/>
        <v>0</v>
      </c>
      <c r="U133" s="285"/>
      <c r="V133" s="217">
        <f t="shared" si="169"/>
        <v>0</v>
      </c>
      <c r="W133" s="285"/>
      <c r="X133" s="217">
        <f t="shared" si="170"/>
        <v>0</v>
      </c>
      <c r="Y133" s="285"/>
      <c r="Z133" s="217">
        <f t="shared" si="171"/>
        <v>0</v>
      </c>
      <c r="AA133" s="285"/>
      <c r="AB133" s="217">
        <f t="shared" si="172"/>
        <v>0</v>
      </c>
      <c r="AC133" s="285"/>
      <c r="AD133" s="258">
        <f t="shared" si="173"/>
        <v>0</v>
      </c>
      <c r="AE133" s="285"/>
      <c r="AF133" s="217">
        <f t="shared" si="174"/>
        <v>0</v>
      </c>
      <c r="AG133" s="286"/>
      <c r="AH133" s="217">
        <f t="shared" si="175"/>
        <v>0</v>
      </c>
      <c r="AI133" s="287"/>
      <c r="AJ133" s="217"/>
      <c r="AK133" s="285"/>
      <c r="AL133" s="217">
        <f t="shared" si="176"/>
        <v>0</v>
      </c>
      <c r="AM133" s="285"/>
      <c r="AN133" s="258"/>
      <c r="AO133" s="286"/>
      <c r="AP133" s="217"/>
      <c r="AQ133" s="286"/>
      <c r="AR133" s="217">
        <f t="shared" si="177"/>
        <v>0</v>
      </c>
      <c r="AS133" s="286">
        <f t="shared" si="178"/>
        <v>0</v>
      </c>
      <c r="AT133" s="613">
        <f t="shared" si="179"/>
        <v>0</v>
      </c>
      <c r="AU133" s="287"/>
      <c r="AV133" s="287"/>
      <c r="AW133" s="287"/>
      <c r="AX133" s="288">
        <f t="shared" si="156"/>
        <v>368427.14576780045</v>
      </c>
      <c r="AY133" s="888"/>
      <c r="AZ133" s="888"/>
      <c r="BA133" s="888"/>
      <c r="BB133" s="22"/>
      <c r="BC133" s="22"/>
      <c r="BD133" s="863">
        <f>'зарплата'!V127</f>
        <v>0</v>
      </c>
      <c r="BE133" s="22"/>
      <c r="BF133" s="885"/>
      <c r="BG133" s="18"/>
      <c r="BH133" s="15"/>
      <c r="BI133" s="1"/>
      <c r="BJ133" s="1"/>
      <c r="BK133" s="1"/>
      <c r="BL133" s="1"/>
      <c r="BM133" s="1"/>
      <c r="BN133" s="1"/>
      <c r="BO133" s="1"/>
      <c r="BW133" s="261" t="s">
        <v>304</v>
      </c>
      <c r="BX133" s="762"/>
      <c r="BY133" s="762"/>
      <c r="BZ133" s="763">
        <f>'2026'!T147</f>
        <v>0</v>
      </c>
      <c r="CA133" s="763">
        <f>'2026'!T719</f>
        <v>0</v>
      </c>
      <c r="CB133" s="763">
        <f>'2026'!T578</f>
        <v>0</v>
      </c>
      <c r="CC133" s="764">
        <f>'2026'!T506</f>
        <v>0</v>
      </c>
      <c r="CD133" s="764">
        <f>'2026'!T649</f>
        <v>0</v>
      </c>
      <c r="CE133" s="763">
        <f>'2026'!T365</f>
        <v>0</v>
      </c>
      <c r="CF133" s="762"/>
      <c r="CG133" s="762"/>
      <c r="CH133" s="763">
        <f>'2026'!T850</f>
        <v>0</v>
      </c>
      <c r="CI133" s="762"/>
      <c r="CJ133" s="762"/>
      <c r="CK133" s="762"/>
      <c r="CL133" s="762"/>
      <c r="CM133" s="762"/>
      <c r="CN133" s="762"/>
      <c r="CO133" s="765"/>
      <c r="CP133" s="5"/>
      <c r="CQ133" s="766"/>
      <c r="CR133" s="370"/>
      <c r="CS133" s="370"/>
      <c r="DA133" s="1"/>
      <c r="DB133" s="868"/>
      <c r="DC133" s="868"/>
      <c r="DD133" s="1"/>
      <c r="DE133" s="1"/>
      <c r="DF133" s="1"/>
      <c r="EF133" s="922" t="s">
        <v>84</v>
      </c>
      <c r="EG133" s="922"/>
    </row>
    <row r="134">
      <c r="A134" s="923" t="s">
        <v>75</v>
      </c>
      <c r="B134" s="923"/>
      <c r="C134" s="284">
        <f t="shared" si="136"/>
        <v>12853.07</v>
      </c>
      <c r="D134" s="285">
        <f>'Расход-2026'!I1244</f>
        <v>0</v>
      </c>
      <c r="E134" s="285">
        <f>'Расход-2026'!J1244</f>
        <v>12853.07</v>
      </c>
      <c r="F134" s="217">
        <f t="shared" si="157"/>
        <v>0</v>
      </c>
      <c r="G134" s="286"/>
      <c r="H134" s="217">
        <f t="shared" si="158"/>
        <v>0</v>
      </c>
      <c r="I134" s="286"/>
      <c r="J134" s="217">
        <f t="shared" si="159"/>
        <v>0</v>
      </c>
      <c r="K134" s="285"/>
      <c r="L134" s="258">
        <f t="shared" si="160"/>
        <v>0</v>
      </c>
      <c r="M134" s="287"/>
      <c r="N134" s="258">
        <f t="shared" si="162"/>
        <v>0</v>
      </c>
      <c r="O134" s="285"/>
      <c r="P134" s="217">
        <f t="shared" si="164"/>
        <v>0</v>
      </c>
      <c r="Q134" s="285"/>
      <c r="R134" s="217">
        <f t="shared" si="166"/>
        <v>0</v>
      </c>
      <c r="S134" s="285"/>
      <c r="T134" s="217">
        <f t="shared" si="168"/>
        <v>0</v>
      </c>
      <c r="U134" s="285"/>
      <c r="V134" s="217">
        <f t="shared" si="169"/>
        <v>0</v>
      </c>
      <c r="W134" s="285"/>
      <c r="X134" s="217">
        <f t="shared" si="170"/>
        <v>0</v>
      </c>
      <c r="Y134" s="285"/>
      <c r="Z134" s="217">
        <f t="shared" si="171"/>
        <v>0</v>
      </c>
      <c r="AA134" s="285"/>
      <c r="AB134" s="217">
        <f t="shared" si="172"/>
        <v>0</v>
      </c>
      <c r="AC134" s="285"/>
      <c r="AD134" s="258">
        <f t="shared" si="173"/>
        <v>0</v>
      </c>
      <c r="AE134" s="285"/>
      <c r="AF134" s="217">
        <f t="shared" si="174"/>
        <v>0</v>
      </c>
      <c r="AG134" s="286"/>
      <c r="AH134" s="217">
        <f t="shared" si="175"/>
        <v>0</v>
      </c>
      <c r="AI134" s="287"/>
      <c r="AJ134" s="217"/>
      <c r="AK134" s="285"/>
      <c r="AL134" s="217">
        <f t="shared" si="176"/>
        <v>0</v>
      </c>
      <c r="AM134" s="285"/>
      <c r="AN134" s="258"/>
      <c r="AO134" s="286"/>
      <c r="AP134" s="217"/>
      <c r="AQ134" s="286"/>
      <c r="AR134" s="217">
        <f t="shared" si="177"/>
        <v>26</v>
      </c>
      <c r="AS134" s="286">
        <f t="shared" si="178"/>
        <v>550.00588631050221</v>
      </c>
      <c r="AT134" s="613">
        <f t="shared" si="179"/>
        <v>0</v>
      </c>
      <c r="AU134" s="287"/>
      <c r="AV134" s="287"/>
      <c r="AW134" s="287"/>
      <c r="AX134" s="288">
        <f t="shared" si="156"/>
        <v>13403.075886310502</v>
      </c>
      <c r="AY134" s="888"/>
      <c r="AZ134" s="888"/>
      <c r="BA134" s="888"/>
      <c r="BB134" s="22"/>
      <c r="BC134" s="22"/>
      <c r="BD134" s="863">
        <f>'зарплата'!V128</f>
        <v>8241614.3100000005</v>
      </c>
      <c r="BE134" s="22"/>
      <c r="BF134" s="885"/>
      <c r="BG134" s="18"/>
      <c r="BH134" s="15"/>
      <c r="BI134" s="1"/>
      <c r="BJ134" s="1"/>
      <c r="BK134" s="1"/>
      <c r="BL134" s="1"/>
      <c r="BM134" s="1"/>
      <c r="BN134" s="1"/>
      <c r="BO134" s="1"/>
      <c r="BW134" s="924"/>
      <c r="BX134" s="925">
        <f>SUM(BX87:BX131)+BX76+BX67+BX47+BX39+BX23</f>
        <v>3140431.6529499996</v>
      </c>
      <c r="BY134" s="925">
        <f>SUM(BY87:BY131)+BY76+BY67+BY47+BY39+BY23</f>
        <v>59214597.251000002</v>
      </c>
      <c r="BZ134" s="925">
        <f>SUM(BZ87:BZ133)+BZ76+BZ67+BZ47+BZ39+BZ23</f>
        <v>41210.5</v>
      </c>
      <c r="CA134" s="925">
        <f>SUM(CA87:CA133)+CA76+CA67+CA47+CA39+CA23</f>
        <v>37409</v>
      </c>
      <c r="CB134" s="925">
        <f>SUM(CB87:CB133)+CB76+CB67+CB47+CB39+CB23+CB141</f>
        <v>117407</v>
      </c>
      <c r="CC134" s="925">
        <f>SUM(CC87:CC133)+CC76+CC67+CC47+CC39+CC23+CC141</f>
        <v>186391</v>
      </c>
      <c r="CD134" s="925">
        <f>SUM(CD87:CD133)+CD76+CD67+CD47+CD39+CD23</f>
        <v>25547</v>
      </c>
      <c r="CE134" s="925">
        <f>SUM(CE87:CE133)+CE76+CE67+CE47+CE39+CE23</f>
        <v>17689</v>
      </c>
      <c r="CF134" s="925">
        <f>SUM(CF87:CF133)+CF76+CF67+CF47+CF39+CF23</f>
        <v>11381</v>
      </c>
      <c r="CG134" s="925">
        <f>SUM(CG87:CG133)+CG76+CG67+CG47+CG39+CG23</f>
        <v>67516</v>
      </c>
      <c r="CH134" s="925">
        <f>SUM(CH87:CH133)+CH76+CH67+CH47+CH39+CH23</f>
        <v>33883.800000000003</v>
      </c>
      <c r="CI134" s="925">
        <f t="shared" ref="CI134:CR134" si="184">SUM(CI87:CI131)+CI76+CI67+CI47+CI39+CI23</f>
        <v>26712.5</v>
      </c>
      <c r="CJ134" s="925">
        <f t="shared" si="184"/>
        <v>0</v>
      </c>
      <c r="CK134" s="925">
        <f t="shared" si="184"/>
        <v>474</v>
      </c>
      <c r="CL134" s="925">
        <f t="shared" si="184"/>
        <v>663</v>
      </c>
      <c r="CM134" s="925">
        <f t="shared" si="184"/>
        <v>331</v>
      </c>
      <c r="CN134" s="925">
        <f t="shared" si="184"/>
        <v>0</v>
      </c>
      <c r="CO134" s="926">
        <f t="shared" si="184"/>
        <v>760</v>
      </c>
      <c r="CP134" s="927">
        <f t="shared" si="184"/>
        <v>17</v>
      </c>
      <c r="CQ134" s="927">
        <f>SUM(CQ87:CQ131)+CQ76+CQ67+CQ47+CQ39+CQ23</f>
        <v>65791.671099999992</v>
      </c>
      <c r="CR134" s="928">
        <f t="shared" si="184"/>
        <v>0</v>
      </c>
      <c r="CS134" s="928">
        <f>SUM(CS87:CS133)+CS76+CS67+CS47+CS39+CS23</f>
        <v>29436</v>
      </c>
      <c r="CT134" s="928">
        <f>SUM(CT76:CT133)+CT65+CT56+CT47+CT39+CT23</f>
        <v>4204</v>
      </c>
      <c r="CU134" s="928">
        <f>SUM(CU76:CU120)+CU67+CU56+CU47+CU39+CU23</f>
        <v>7222</v>
      </c>
      <c r="CV134" s="928">
        <f>SUM(CV92:CV128)+CV73+CV64+CV53+CV42+CV30</f>
        <v>786</v>
      </c>
      <c r="CW134" s="929">
        <f>CW102-CW103</f>
        <v>4869476.9900000002</v>
      </c>
      <c r="DA134" s="1"/>
      <c r="DB134" s="868"/>
      <c r="DC134" s="868"/>
      <c r="DD134" s="1"/>
      <c r="DE134" s="1"/>
      <c r="DF134" s="1"/>
      <c r="EF134" s="923" t="s">
        <v>75</v>
      </c>
      <c r="EG134" s="923"/>
    </row>
    <row r="135">
      <c r="A135" s="552" t="s">
        <v>285</v>
      </c>
      <c r="B135" s="552"/>
      <c r="C135" s="284">
        <f t="shared" si="136"/>
        <v>284056.62</v>
      </c>
      <c r="D135" s="285">
        <f>'Расход-2026'!I1247</f>
        <v>20286.5</v>
      </c>
      <c r="E135" s="285">
        <f>'Расход-2026'!J1247</f>
        <v>263770.12</v>
      </c>
      <c r="F135" s="217">
        <f t="shared" si="157"/>
        <v>0</v>
      </c>
      <c r="G135" s="286"/>
      <c r="H135" s="217">
        <f t="shared" si="158"/>
        <v>0</v>
      </c>
      <c r="I135" s="286"/>
      <c r="J135" s="217">
        <f t="shared" si="159"/>
        <v>0</v>
      </c>
      <c r="K135" s="285"/>
      <c r="L135" s="258">
        <f t="shared" si="160"/>
        <v>0</v>
      </c>
      <c r="M135" s="287"/>
      <c r="N135" s="258">
        <f t="shared" si="162"/>
        <v>0</v>
      </c>
      <c r="O135" s="285"/>
      <c r="P135" s="217">
        <f t="shared" si="164"/>
        <v>0</v>
      </c>
      <c r="Q135" s="272"/>
      <c r="R135" s="217">
        <f t="shared" si="166"/>
        <v>0</v>
      </c>
      <c r="S135" s="285"/>
      <c r="T135" s="217">
        <f t="shared" si="168"/>
        <v>0</v>
      </c>
      <c r="U135" s="285"/>
      <c r="V135" s="217">
        <f t="shared" si="169"/>
        <v>0</v>
      </c>
      <c r="W135" s="285"/>
      <c r="X135" s="217">
        <f t="shared" si="170"/>
        <v>0</v>
      </c>
      <c r="Y135" s="285"/>
      <c r="Z135" s="217">
        <f t="shared" si="171"/>
        <v>0</v>
      </c>
      <c r="AA135" s="285"/>
      <c r="AB135" s="217">
        <f t="shared" si="172"/>
        <v>0</v>
      </c>
      <c r="AC135" s="285"/>
      <c r="AD135" s="258">
        <f t="shared" si="173"/>
        <v>0</v>
      </c>
      <c r="AE135" s="285"/>
      <c r="AF135" s="217">
        <f t="shared" si="174"/>
        <v>0</v>
      </c>
      <c r="AG135" s="286"/>
      <c r="AH135" s="217">
        <f t="shared" si="175"/>
        <v>0</v>
      </c>
      <c r="AI135" s="287"/>
      <c r="AJ135" s="217"/>
      <c r="AK135" s="285"/>
      <c r="AL135" s="217">
        <f t="shared" si="176"/>
        <v>0</v>
      </c>
      <c r="AM135" s="285"/>
      <c r="AN135" s="258"/>
      <c r="AO135" s="286"/>
      <c r="AP135" s="217">
        <f>'2026'!T1193</f>
        <v>258</v>
      </c>
      <c r="AQ135" s="286">
        <f>AP135*AX133/AP153</f>
        <v>26981.039911465374</v>
      </c>
      <c r="AR135" s="217">
        <f t="shared" si="177"/>
        <v>103</v>
      </c>
      <c r="AS135" s="286">
        <f t="shared" si="178"/>
        <v>2178.8694726916051</v>
      </c>
      <c r="AT135" s="613">
        <f t="shared" si="179"/>
        <v>0</v>
      </c>
      <c r="AU135" s="287"/>
      <c r="AV135" s="287"/>
      <c r="AW135" s="287"/>
      <c r="AX135" s="288">
        <f t="shared" si="156"/>
        <v>313216.52938415698</v>
      </c>
      <c r="AY135" s="888"/>
      <c r="AZ135" s="888"/>
      <c r="BA135" s="888"/>
      <c r="BB135" s="22"/>
      <c r="BC135" s="22"/>
      <c r="BD135" s="863">
        <f>'зарплата'!V129</f>
        <v>5353368.8300000001</v>
      </c>
      <c r="BE135" s="22"/>
      <c r="BF135" s="885"/>
      <c r="BG135" s="18"/>
      <c r="BH135" s="15"/>
      <c r="BI135" s="1"/>
      <c r="BJ135" s="1"/>
      <c r="BK135" s="1"/>
      <c r="BL135" s="1"/>
      <c r="BM135" s="1"/>
      <c r="BN135" s="1"/>
      <c r="BO135" s="1"/>
      <c r="BV135" s="38"/>
      <c r="CE135" s="299"/>
      <c r="CF135" s="299"/>
      <c r="CH135" s="299"/>
      <c r="CI135" s="299"/>
      <c r="CL135" s="299"/>
      <c r="CP135" s="5"/>
      <c r="CQ135" s="5"/>
      <c r="DA135" s="1"/>
      <c r="DB135" s="868"/>
      <c r="DC135" s="868"/>
      <c r="DD135" s="1"/>
      <c r="DE135" s="1"/>
      <c r="DF135" s="1"/>
      <c r="EF135" s="552" t="s">
        <v>285</v>
      </c>
      <c r="EG135" s="552"/>
    </row>
    <row r="136" s="4" customFormat="1" ht="20.25">
      <c r="A136" s="552" t="s">
        <v>73</v>
      </c>
      <c r="B136" s="552"/>
      <c r="C136" s="284">
        <f t="shared" si="136"/>
        <v>42547.240000000005</v>
      </c>
      <c r="D136" s="272">
        <f>'Расход-2026'!I1243</f>
        <v>3212.5799999999999</v>
      </c>
      <c r="E136" s="272">
        <f>'Расход-2026'!J1243</f>
        <v>39334.660000000003</v>
      </c>
      <c r="F136" s="217">
        <f t="shared" si="157"/>
        <v>0</v>
      </c>
      <c r="G136" s="288"/>
      <c r="H136" s="217">
        <f t="shared" si="158"/>
        <v>0</v>
      </c>
      <c r="I136" s="288"/>
      <c r="J136" s="217">
        <f t="shared" si="159"/>
        <v>0</v>
      </c>
      <c r="K136" s="285"/>
      <c r="L136" s="258">
        <f t="shared" si="160"/>
        <v>0</v>
      </c>
      <c r="M136" s="287"/>
      <c r="N136" s="258">
        <f t="shared" si="162"/>
        <v>0</v>
      </c>
      <c r="O136" s="285"/>
      <c r="P136" s="217">
        <f t="shared" si="164"/>
        <v>0</v>
      </c>
      <c r="Q136" s="259"/>
      <c r="R136" s="217">
        <f t="shared" si="166"/>
        <v>0</v>
      </c>
      <c r="S136" s="287"/>
      <c r="T136" s="217">
        <f t="shared" si="168"/>
        <v>0</v>
      </c>
      <c r="U136" s="287"/>
      <c r="V136" s="217">
        <f t="shared" si="169"/>
        <v>0</v>
      </c>
      <c r="W136" s="287"/>
      <c r="X136" s="217">
        <f t="shared" si="170"/>
        <v>0</v>
      </c>
      <c r="Y136" s="287"/>
      <c r="Z136" s="217">
        <f t="shared" si="171"/>
        <v>0</v>
      </c>
      <c r="AA136" s="287"/>
      <c r="AB136" s="217">
        <f t="shared" si="172"/>
        <v>0</v>
      </c>
      <c r="AC136" s="287"/>
      <c r="AD136" s="258">
        <f t="shared" si="173"/>
        <v>0</v>
      </c>
      <c r="AE136" s="287"/>
      <c r="AF136" s="217">
        <f t="shared" si="174"/>
        <v>0</v>
      </c>
      <c r="AG136" s="288"/>
      <c r="AH136" s="217">
        <f t="shared" si="175"/>
        <v>0</v>
      </c>
      <c r="AI136" s="287"/>
      <c r="AJ136" s="217"/>
      <c r="AK136" s="287"/>
      <c r="AL136" s="217">
        <f t="shared" si="176"/>
        <v>0</v>
      </c>
      <c r="AM136" s="287"/>
      <c r="AN136" s="258"/>
      <c r="AO136" s="286"/>
      <c r="AP136" s="217"/>
      <c r="AQ136" s="288"/>
      <c r="AR136" s="217">
        <f t="shared" si="177"/>
        <v>0</v>
      </c>
      <c r="AS136" s="286">
        <f t="shared" si="178"/>
        <v>0</v>
      </c>
      <c r="AT136" s="613">
        <f t="shared" si="179"/>
        <v>0</v>
      </c>
      <c r="AU136" s="287"/>
      <c r="AV136" s="287"/>
      <c r="AW136" s="287"/>
      <c r="AX136" s="288">
        <f t="shared" si="156"/>
        <v>42547.240000000005</v>
      </c>
      <c r="AY136" s="888"/>
      <c r="AZ136" s="888"/>
      <c r="BA136" s="888"/>
      <c r="BB136" s="5"/>
      <c r="BC136" s="5"/>
      <c r="BD136" s="863">
        <f>'зарплата'!V130</f>
        <v>4005402.4300000002</v>
      </c>
      <c r="BE136" s="5"/>
      <c r="BF136" s="864"/>
      <c r="BG136" s="1"/>
      <c r="BH136" s="15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38"/>
      <c r="BW136" s="930"/>
      <c r="BX136" s="931">
        <v>1</v>
      </c>
      <c r="BY136" s="931">
        <v>2</v>
      </c>
      <c r="BZ136" s="931">
        <v>3</v>
      </c>
      <c r="CA136" s="931">
        <v>4</v>
      </c>
      <c r="CB136" s="931">
        <v>5</v>
      </c>
      <c r="CC136" s="931">
        <v>6</v>
      </c>
      <c r="CD136" s="931">
        <v>7</v>
      </c>
      <c r="CE136" s="931">
        <v>8</v>
      </c>
      <c r="CF136" s="931">
        <v>9</v>
      </c>
      <c r="CG136" s="931">
        <v>10</v>
      </c>
      <c r="CH136" s="931">
        <v>11</v>
      </c>
      <c r="CI136" s="931">
        <v>12</v>
      </c>
      <c r="CJ136" s="931">
        <v>13</v>
      </c>
      <c r="CK136" s="931">
        <v>14</v>
      </c>
      <c r="CL136" s="931">
        <v>15</v>
      </c>
      <c r="CM136" s="931">
        <v>16</v>
      </c>
      <c r="CN136" s="931">
        <v>17</v>
      </c>
      <c r="CO136" s="931">
        <v>18</v>
      </c>
      <c r="CP136" s="932"/>
      <c r="CQ136" s="932">
        <v>19</v>
      </c>
      <c r="CR136" s="931">
        <v>20</v>
      </c>
      <c r="CS136" s="931">
        <v>21</v>
      </c>
      <c r="CT136" s="933"/>
      <c r="CU136" s="10"/>
      <c r="CV136" s="10"/>
      <c r="CW136" s="10"/>
      <c r="CX136" s="11"/>
      <c r="CY136" s="11"/>
      <c r="CZ136" s="1"/>
      <c r="DA136" s="1"/>
      <c r="DB136" s="868"/>
      <c r="DC136" s="868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552" t="s">
        <v>73</v>
      </c>
      <c r="EG136" s="552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II136" s="1"/>
      <c r="IJ136" s="1"/>
      <c r="IK136" s="1"/>
    </row>
    <row r="137" s="4" customFormat="1" ht="15.75" customHeight="1">
      <c r="A137" s="552" t="s">
        <v>289</v>
      </c>
      <c r="B137" s="552"/>
      <c r="C137" s="284">
        <f t="shared" si="136"/>
        <v>7337018.21</v>
      </c>
      <c r="D137" s="272">
        <f>'Расход-2026'!I1239+'Расход-2026'!I1240</f>
        <v>4743.1000000000004</v>
      </c>
      <c r="E137" s="272">
        <f>'Расход-2026'!J1239+'Расход-2026'!J1240</f>
        <v>7332275.1100000003</v>
      </c>
      <c r="F137" s="217">
        <f t="shared" si="157"/>
        <v>0</v>
      </c>
      <c r="G137" s="288"/>
      <c r="H137" s="217">
        <f t="shared" si="158"/>
        <v>0</v>
      </c>
      <c r="I137" s="288"/>
      <c r="J137" s="217">
        <f t="shared" si="159"/>
        <v>0</v>
      </c>
      <c r="K137" s="285"/>
      <c r="L137" s="258">
        <f t="shared" si="160"/>
        <v>0</v>
      </c>
      <c r="M137" s="287"/>
      <c r="N137" s="258">
        <f t="shared" si="162"/>
        <v>0</v>
      </c>
      <c r="O137" s="285"/>
      <c r="P137" s="217">
        <f t="shared" si="164"/>
        <v>0</v>
      </c>
      <c r="Q137" s="287"/>
      <c r="R137" s="217">
        <f t="shared" si="166"/>
        <v>0</v>
      </c>
      <c r="S137" s="287"/>
      <c r="T137" s="217">
        <f t="shared" si="168"/>
        <v>0</v>
      </c>
      <c r="U137" s="287"/>
      <c r="V137" s="217">
        <f t="shared" si="169"/>
        <v>0</v>
      </c>
      <c r="W137" s="287"/>
      <c r="X137" s="217">
        <f t="shared" si="170"/>
        <v>0</v>
      </c>
      <c r="Y137" s="287"/>
      <c r="Z137" s="217">
        <f t="shared" si="171"/>
        <v>0</v>
      </c>
      <c r="AA137" s="287"/>
      <c r="AB137" s="217">
        <f t="shared" si="172"/>
        <v>0</v>
      </c>
      <c r="AC137" s="287"/>
      <c r="AD137" s="258">
        <f t="shared" si="173"/>
        <v>0</v>
      </c>
      <c r="AE137" s="287"/>
      <c r="AF137" s="217">
        <f t="shared" si="174"/>
        <v>0</v>
      </c>
      <c r="AG137" s="288"/>
      <c r="AH137" s="217">
        <f t="shared" si="175"/>
        <v>0</v>
      </c>
      <c r="AI137" s="287"/>
      <c r="AJ137" s="217"/>
      <c r="AK137" s="287"/>
      <c r="AL137" s="217">
        <f t="shared" si="176"/>
        <v>0</v>
      </c>
      <c r="AM137" s="287"/>
      <c r="AN137" s="258"/>
      <c r="AO137" s="286"/>
      <c r="AP137" s="217"/>
      <c r="AQ137" s="288"/>
      <c r="AR137" s="217">
        <f t="shared" si="177"/>
        <v>7</v>
      </c>
      <c r="AS137" s="288">
        <f t="shared" si="178"/>
        <v>148.07850785282753</v>
      </c>
      <c r="AT137" s="613">
        <f t="shared" si="179"/>
        <v>0</v>
      </c>
      <c r="AU137" s="287"/>
      <c r="AV137" s="287"/>
      <c r="AW137" s="287"/>
      <c r="AX137" s="288">
        <f t="shared" si="156"/>
        <v>7337166.2885078527</v>
      </c>
      <c r="AY137" s="888"/>
      <c r="AZ137" s="888"/>
      <c r="BA137" s="888"/>
      <c r="BB137" s="5"/>
      <c r="BC137" s="5"/>
      <c r="BD137" s="863">
        <f>'зарплата'!V131</f>
        <v>6381047.5</v>
      </c>
      <c r="BE137" s="5"/>
      <c r="BF137" s="864"/>
      <c r="BG137" s="1"/>
      <c r="BH137" s="15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38"/>
      <c r="BW137" s="902"/>
      <c r="BX137" s="934">
        <f>'2026'!T45</f>
        <v>3141484.0338500002</v>
      </c>
      <c r="BY137" s="934">
        <f>'2026'!T92</f>
        <v>59214597.251000002</v>
      </c>
      <c r="BZ137" s="934">
        <f>'2026'!T165-'2026'!T145-'2026'!T139</f>
        <v>41210.5</v>
      </c>
      <c r="CA137" s="934">
        <f>'2026'!T725-'2026'!T723-'2026'!T717</f>
        <v>37409</v>
      </c>
      <c r="CB137" s="934">
        <f>'2026'!T584-'2026'!T582</f>
        <v>117106</v>
      </c>
      <c r="CC137" s="935">
        <f>'2026'!T512-'2026'!T510</f>
        <v>184072</v>
      </c>
      <c r="CD137" s="934">
        <f>'2026'!T654-'2026'!T652</f>
        <v>26173</v>
      </c>
      <c r="CE137" s="934">
        <f>'2026'!T367</f>
        <v>17689</v>
      </c>
      <c r="CF137" s="934">
        <f>'2026'!T908</f>
        <v>11381</v>
      </c>
      <c r="CG137" s="936">
        <f>'2026'!T959-'2026'!T958</f>
        <v>68027</v>
      </c>
      <c r="CH137" s="934">
        <f>'2026'!T853-'2026'!T852-'2026'!T837</f>
        <v>33925.300000000003</v>
      </c>
      <c r="CI137" s="934">
        <f>'2026'!T860</f>
        <v>26712.5</v>
      </c>
      <c r="CJ137" s="934">
        <f>'2026'!T1006</f>
        <v>0</v>
      </c>
      <c r="CK137" s="934">
        <f>'2026'!T311</f>
        <v>474</v>
      </c>
      <c r="CL137" s="934">
        <f>'2026'!T210</f>
        <v>663</v>
      </c>
      <c r="CM137" s="934">
        <f>'2026'!T218</f>
        <v>331</v>
      </c>
      <c r="CN137" s="263"/>
      <c r="CO137" s="935">
        <f>'2026'!T254</f>
        <v>819</v>
      </c>
      <c r="CP137" s="10"/>
      <c r="CQ137" s="10"/>
      <c r="CR137" s="935"/>
      <c r="CS137" s="935">
        <f>'2026'!T1087-'2026'!T1086</f>
        <v>29465</v>
      </c>
      <c r="CT137" s="10"/>
      <c r="CU137" s="10"/>
      <c r="CV137" s="10"/>
      <c r="CW137" s="10"/>
      <c r="CX137" s="11"/>
      <c r="CY137" s="11"/>
      <c r="CZ137" s="1"/>
      <c r="DA137" s="1"/>
      <c r="DB137" s="868"/>
      <c r="DC137" s="868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552" t="s">
        <v>289</v>
      </c>
      <c r="EG137" s="552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II137" s="1"/>
      <c r="IJ137" s="1"/>
      <c r="IK137" s="1"/>
    </row>
    <row r="138" s="4" customFormat="1" ht="13.5">
      <c r="A138" s="552" t="s">
        <v>291</v>
      </c>
      <c r="B138" s="552"/>
      <c r="C138" s="284">
        <f t="shared" si="136"/>
        <v>418413.31</v>
      </c>
      <c r="D138" s="272">
        <f>'Расход-2026'!I1241</f>
        <v>22618.120000000003</v>
      </c>
      <c r="E138" s="272">
        <f>'Расход-2026'!J1241</f>
        <v>395795.19</v>
      </c>
      <c r="F138" s="217">
        <f t="shared" si="157"/>
        <v>0</v>
      </c>
      <c r="G138" s="288"/>
      <c r="H138" s="217">
        <f t="shared" si="158"/>
        <v>0</v>
      </c>
      <c r="I138" s="288"/>
      <c r="J138" s="217">
        <f t="shared" si="159"/>
        <v>0</v>
      </c>
      <c r="K138" s="285"/>
      <c r="L138" s="258">
        <f t="shared" si="160"/>
        <v>0</v>
      </c>
      <c r="M138" s="287"/>
      <c r="N138" s="258">
        <f t="shared" si="162"/>
        <v>0</v>
      </c>
      <c r="O138" s="285"/>
      <c r="P138" s="217">
        <f t="shared" si="164"/>
        <v>0</v>
      </c>
      <c r="Q138" s="259"/>
      <c r="R138" s="217">
        <f t="shared" si="166"/>
        <v>0</v>
      </c>
      <c r="S138" s="287"/>
      <c r="T138" s="217">
        <f t="shared" si="168"/>
        <v>0</v>
      </c>
      <c r="U138" s="287"/>
      <c r="V138" s="217">
        <f t="shared" si="169"/>
        <v>0</v>
      </c>
      <c r="W138" s="287"/>
      <c r="X138" s="217">
        <f t="shared" si="170"/>
        <v>0</v>
      </c>
      <c r="Y138" s="287"/>
      <c r="Z138" s="217">
        <f t="shared" si="171"/>
        <v>0</v>
      </c>
      <c r="AA138" s="287"/>
      <c r="AB138" s="217">
        <f t="shared" si="172"/>
        <v>0</v>
      </c>
      <c r="AC138" s="287"/>
      <c r="AD138" s="258">
        <f t="shared" si="173"/>
        <v>0</v>
      </c>
      <c r="AE138" s="287"/>
      <c r="AF138" s="217">
        <f t="shared" si="174"/>
        <v>0</v>
      </c>
      <c r="AG138" s="288"/>
      <c r="AH138" s="217">
        <f t="shared" si="175"/>
        <v>0</v>
      </c>
      <c r="AI138" s="287"/>
      <c r="AJ138" s="217"/>
      <c r="AK138" s="287"/>
      <c r="AL138" s="217">
        <f t="shared" si="176"/>
        <v>0</v>
      </c>
      <c r="AM138" s="287"/>
      <c r="AN138" s="258"/>
      <c r="AO138" s="286"/>
      <c r="AP138" s="217"/>
      <c r="AQ138" s="288"/>
      <c r="AR138" s="217">
        <f t="shared" si="177"/>
        <v>0</v>
      </c>
      <c r="AS138" s="288"/>
      <c r="AT138" s="613">
        <f t="shared" si="179"/>
        <v>0</v>
      </c>
      <c r="AU138" s="287"/>
      <c r="AV138" s="287"/>
      <c r="AW138" s="287"/>
      <c r="AX138" s="288">
        <f t="shared" si="156"/>
        <v>418413.31</v>
      </c>
      <c r="AY138" s="888"/>
      <c r="AZ138" s="888"/>
      <c r="BA138" s="888"/>
      <c r="BB138" s="5"/>
      <c r="BC138" s="5"/>
      <c r="BD138" s="863">
        <f>'зарплата'!V132</f>
        <v>11001189.460000001</v>
      </c>
      <c r="BE138" s="5"/>
      <c r="BF138" s="864"/>
      <c r="BG138" s="1"/>
      <c r="BH138" s="15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38"/>
      <c r="BW138" s="1"/>
      <c r="BX138" s="937">
        <f>BX134-BX137</f>
        <v>-1052.3809000006877</v>
      </c>
      <c r="BY138" s="937">
        <f>BY134-BY137</f>
        <v>0</v>
      </c>
      <c r="BZ138" s="938">
        <f>BZ134-BZ137</f>
        <v>0</v>
      </c>
      <c r="CA138" s="938">
        <f>CA134-CA137</f>
        <v>0</v>
      </c>
      <c r="CB138" s="938">
        <f t="shared" ref="CB138:CM138" si="185">CB134-CB137</f>
        <v>301</v>
      </c>
      <c r="CC138" s="938">
        <f>CC134-CC137</f>
        <v>2319</v>
      </c>
      <c r="CD138" s="938">
        <f t="shared" si="185"/>
        <v>-626</v>
      </c>
      <c r="CE138" s="938">
        <f t="shared" si="185"/>
        <v>0</v>
      </c>
      <c r="CF138" s="938">
        <f t="shared" si="185"/>
        <v>0</v>
      </c>
      <c r="CG138" s="938">
        <f>CG134-CG137</f>
        <v>-511</v>
      </c>
      <c r="CH138" s="938">
        <f t="shared" si="185"/>
        <v>-41.5</v>
      </c>
      <c r="CI138" s="938">
        <f t="shared" si="185"/>
        <v>0</v>
      </c>
      <c r="CJ138" s="938">
        <f t="shared" si="185"/>
        <v>0</v>
      </c>
      <c r="CK138" s="938">
        <f t="shared" si="185"/>
        <v>0</v>
      </c>
      <c r="CL138" s="938">
        <f t="shared" si="185"/>
        <v>0</v>
      </c>
      <c r="CM138" s="938">
        <f t="shared" si="185"/>
        <v>0</v>
      </c>
      <c r="CN138" s="628"/>
      <c r="CO138" s="938">
        <f>CO134-CO137</f>
        <v>-59</v>
      </c>
      <c r="CP138" s="373"/>
      <c r="CQ138" s="373"/>
      <c r="CR138" s="938"/>
      <c r="CS138" s="938">
        <f>CS134-CS137</f>
        <v>-29</v>
      </c>
      <c r="CT138" s="10"/>
      <c r="CU138" s="10"/>
      <c r="CV138" s="10"/>
      <c r="CW138" s="10"/>
      <c r="CX138" s="11"/>
      <c r="CY138" s="11"/>
      <c r="CZ138" s="1"/>
      <c r="DA138" s="1"/>
      <c r="DB138" s="868"/>
      <c r="DC138" s="868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552" t="s">
        <v>291</v>
      </c>
      <c r="EG138" s="552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II138" s="1"/>
      <c r="IJ138" s="1"/>
      <c r="IK138" s="1"/>
    </row>
    <row r="139" s="4" customFormat="1">
      <c r="A139" s="552" t="s">
        <v>292</v>
      </c>
      <c r="B139" s="552"/>
      <c r="C139" s="284"/>
      <c r="D139" s="272"/>
      <c r="E139" s="272"/>
      <c r="F139" s="217">
        <f t="shared" si="157"/>
        <v>0</v>
      </c>
      <c r="G139" s="288"/>
      <c r="H139" s="217">
        <f t="shared" si="158"/>
        <v>0</v>
      </c>
      <c r="I139" s="288"/>
      <c r="J139" s="217">
        <f t="shared" si="159"/>
        <v>0</v>
      </c>
      <c r="K139" s="285"/>
      <c r="L139" s="258">
        <f t="shared" si="160"/>
        <v>0</v>
      </c>
      <c r="M139" s="287"/>
      <c r="N139" s="258">
        <f t="shared" si="162"/>
        <v>0</v>
      </c>
      <c r="O139" s="285"/>
      <c r="P139" s="217">
        <f t="shared" si="164"/>
        <v>0</v>
      </c>
      <c r="Q139" s="287"/>
      <c r="R139" s="217">
        <f t="shared" si="166"/>
        <v>0</v>
      </c>
      <c r="S139" s="287"/>
      <c r="T139" s="217">
        <f t="shared" si="168"/>
        <v>0</v>
      </c>
      <c r="U139" s="287"/>
      <c r="V139" s="217">
        <f t="shared" si="169"/>
        <v>0</v>
      </c>
      <c r="W139" s="287"/>
      <c r="X139" s="217">
        <f t="shared" si="170"/>
        <v>0</v>
      </c>
      <c r="Y139" s="287"/>
      <c r="Z139" s="217">
        <f t="shared" si="171"/>
        <v>0</v>
      </c>
      <c r="AA139" s="287"/>
      <c r="AB139" s="217">
        <f t="shared" si="172"/>
        <v>0</v>
      </c>
      <c r="AC139" s="287"/>
      <c r="AD139" s="258">
        <f t="shared" si="173"/>
        <v>0</v>
      </c>
      <c r="AE139" s="287"/>
      <c r="AF139" s="217">
        <f t="shared" si="174"/>
        <v>0</v>
      </c>
      <c r="AG139" s="288"/>
      <c r="AH139" s="217">
        <f t="shared" si="175"/>
        <v>0</v>
      </c>
      <c r="AI139" s="287"/>
      <c r="AJ139" s="217"/>
      <c r="AK139" s="287"/>
      <c r="AL139" s="217">
        <f t="shared" si="176"/>
        <v>0</v>
      </c>
      <c r="AM139" s="287"/>
      <c r="AN139" s="258"/>
      <c r="AO139" s="286"/>
      <c r="AP139" s="217"/>
      <c r="AQ139" s="288"/>
      <c r="AR139" s="217">
        <f t="shared" si="177"/>
        <v>0</v>
      </c>
      <c r="AS139" s="288">
        <f t="shared" si="178"/>
        <v>0</v>
      </c>
      <c r="AT139" s="613">
        <f t="shared" si="179"/>
        <v>0</v>
      </c>
      <c r="AU139" s="287"/>
      <c r="AV139" s="287"/>
      <c r="AW139" s="287"/>
      <c r="AX139" s="288">
        <f t="shared" si="156"/>
        <v>0</v>
      </c>
      <c r="AY139" s="888"/>
      <c r="AZ139" s="888"/>
      <c r="BA139" s="888"/>
      <c r="BB139" s="5"/>
      <c r="BC139" s="5"/>
      <c r="BD139" s="863">
        <f>'зарплата'!V133</f>
        <v>1351888.1699999999</v>
      </c>
      <c r="BE139" s="5"/>
      <c r="BF139" s="864"/>
      <c r="BG139" s="1"/>
      <c r="BH139" s="15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38"/>
      <c r="BW139" s="1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10"/>
      <c r="CQ139" s="10"/>
      <c r="CR139" s="9"/>
      <c r="CS139" s="9"/>
      <c r="CT139" s="10"/>
      <c r="CU139" s="10"/>
      <c r="CV139" s="10"/>
      <c r="CW139" s="10"/>
      <c r="CX139" s="11"/>
      <c r="CY139" s="11"/>
      <c r="CZ139" s="1"/>
      <c r="DA139" s="1"/>
      <c r="DB139" s="868"/>
      <c r="DC139" s="868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552" t="s">
        <v>292</v>
      </c>
      <c r="EG139" s="552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II139" s="1"/>
      <c r="IJ139" s="1"/>
      <c r="IK139" s="1"/>
    </row>
    <row r="140" s="4" customFormat="1">
      <c r="A140" s="552" t="s">
        <v>305</v>
      </c>
      <c r="B140" s="552"/>
      <c r="C140" s="284">
        <f t="shared" si="136"/>
        <v>1581915.3100000001</v>
      </c>
      <c r="D140" s="272">
        <f>'Расход-2026'!I1229</f>
        <v>0</v>
      </c>
      <c r="E140" s="272">
        <f>'Расход-2026'!J1229</f>
        <v>1581915.3100000001</v>
      </c>
      <c r="F140" s="217">
        <f t="shared" si="157"/>
        <v>0</v>
      </c>
      <c r="G140" s="939"/>
      <c r="H140" s="217">
        <f t="shared" si="158"/>
        <v>0</v>
      </c>
      <c r="I140" s="939"/>
      <c r="J140" s="217">
        <f t="shared" si="159"/>
        <v>0</v>
      </c>
      <c r="K140" s="285"/>
      <c r="L140" s="258">
        <f t="shared" si="160"/>
        <v>0</v>
      </c>
      <c r="M140" s="287"/>
      <c r="N140" s="258">
        <f t="shared" si="162"/>
        <v>0</v>
      </c>
      <c r="O140" s="285"/>
      <c r="P140" s="217">
        <f t="shared" si="164"/>
        <v>0</v>
      </c>
      <c r="Q140" s="523"/>
      <c r="R140" s="217">
        <f t="shared" si="166"/>
        <v>0</v>
      </c>
      <c r="S140" s="259"/>
      <c r="T140" s="217">
        <f t="shared" si="168"/>
        <v>0</v>
      </c>
      <c r="U140" s="259"/>
      <c r="V140" s="217">
        <f t="shared" si="169"/>
        <v>0</v>
      </c>
      <c r="W140" s="259"/>
      <c r="X140" s="217">
        <f t="shared" si="170"/>
        <v>0</v>
      </c>
      <c r="Y140" s="259"/>
      <c r="Z140" s="217">
        <f t="shared" si="171"/>
        <v>0</v>
      </c>
      <c r="AA140" s="259"/>
      <c r="AB140" s="217">
        <f t="shared" si="172"/>
        <v>0</v>
      </c>
      <c r="AC140" s="259"/>
      <c r="AD140" s="258">
        <f t="shared" si="173"/>
        <v>0</v>
      </c>
      <c r="AE140" s="259"/>
      <c r="AF140" s="217">
        <f t="shared" si="174"/>
        <v>0</v>
      </c>
      <c r="AG140" s="939"/>
      <c r="AH140" s="217">
        <f t="shared" si="175"/>
        <v>0</v>
      </c>
      <c r="AI140" s="259"/>
      <c r="AJ140" s="258"/>
      <c r="AK140" s="259"/>
      <c r="AL140" s="217">
        <f t="shared" si="176"/>
        <v>0</v>
      </c>
      <c r="AM140" s="259"/>
      <c r="AN140" s="258"/>
      <c r="AO140" s="286"/>
      <c r="AP140" s="217"/>
      <c r="AQ140" s="939"/>
      <c r="AR140" s="217">
        <f t="shared" si="177"/>
        <v>0</v>
      </c>
      <c r="AS140" s="939"/>
      <c r="AT140" s="613">
        <f t="shared" si="179"/>
        <v>0</v>
      </c>
      <c r="AU140" s="523"/>
      <c r="AV140" s="523"/>
      <c r="AW140" s="259"/>
      <c r="AX140" s="288">
        <f t="shared" si="156"/>
        <v>1581915.3100000001</v>
      </c>
      <c r="AY140" s="888"/>
      <c r="AZ140" s="888"/>
      <c r="BA140" s="888"/>
      <c r="BB140" s="5"/>
      <c r="BC140" s="5"/>
      <c r="BD140" s="863">
        <f>'зарплата'!V134</f>
        <v>0</v>
      </c>
      <c r="BE140" s="5"/>
      <c r="BF140" s="864"/>
      <c r="BG140" s="1"/>
      <c r="BH140" s="15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38"/>
      <c r="BW140" s="852" t="s">
        <v>306</v>
      </c>
      <c r="BX140" s="7"/>
      <c r="BY140" s="7"/>
      <c r="BZ140" s="7">
        <f>'2026'!T139+'2026'!T145+'2026'!T148</f>
        <v>1526.5</v>
      </c>
      <c r="CA140" s="7">
        <f>'2026'!T723+'2026'!T717</f>
        <v>953</v>
      </c>
      <c r="CB140" s="7"/>
      <c r="CC140" s="7">
        <f>'2026'!T510</f>
        <v>313</v>
      </c>
      <c r="CD140" s="7">
        <f>'2026'!T652</f>
        <v>413</v>
      </c>
      <c r="CE140" s="7">
        <f>'2026'!T368</f>
        <v>0</v>
      </c>
      <c r="CF140" s="7"/>
      <c r="CG140" s="7"/>
      <c r="CH140" s="7">
        <f>'2026'!T837+'2026'!T852</f>
        <v>0</v>
      </c>
      <c r="CI140" s="7"/>
      <c r="CJ140" s="7"/>
      <c r="CK140" s="7"/>
      <c r="CL140" s="7"/>
      <c r="CM140" s="7"/>
      <c r="CN140" s="7"/>
      <c r="CO140" s="7"/>
      <c r="CP140" s="906"/>
      <c r="CQ140" s="906"/>
      <c r="CR140" s="7"/>
      <c r="CS140" s="7">
        <f>'2026'!T1086</f>
        <v>13</v>
      </c>
      <c r="CT140" s="906"/>
      <c r="CU140" s="906"/>
      <c r="CV140" s="906"/>
      <c r="CW140" s="906"/>
      <c r="CX140" s="11"/>
      <c r="CY140" s="11"/>
      <c r="CZ140" s="1"/>
      <c r="DA140" s="1"/>
      <c r="DB140" s="868"/>
      <c r="DC140" s="868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552" t="s">
        <v>305</v>
      </c>
      <c r="EG140" s="552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II140" s="1"/>
      <c r="IJ140" s="1"/>
      <c r="IK140" s="1"/>
    </row>
    <row r="141" ht="15.75">
      <c r="A141" s="552" t="s">
        <v>294</v>
      </c>
      <c r="B141" s="552"/>
      <c r="C141" s="284"/>
      <c r="D141" s="285"/>
      <c r="E141" s="285"/>
      <c r="F141" s="217">
        <f t="shared" si="157"/>
        <v>0</v>
      </c>
      <c r="G141" s="286"/>
      <c r="H141" s="217">
        <f t="shared" si="158"/>
        <v>0</v>
      </c>
      <c r="I141" s="286"/>
      <c r="J141" s="217">
        <f t="shared" si="159"/>
        <v>0</v>
      </c>
      <c r="K141" s="285"/>
      <c r="L141" s="258">
        <f t="shared" si="160"/>
        <v>0</v>
      </c>
      <c r="M141" s="287"/>
      <c r="N141" s="258">
        <f t="shared" si="162"/>
        <v>0</v>
      </c>
      <c r="O141" s="285"/>
      <c r="P141" s="217">
        <f t="shared" si="164"/>
        <v>0</v>
      </c>
      <c r="Q141" s="272"/>
      <c r="R141" s="217">
        <f t="shared" si="166"/>
        <v>0</v>
      </c>
      <c r="S141" s="285"/>
      <c r="T141" s="217">
        <f t="shared" si="168"/>
        <v>0</v>
      </c>
      <c r="U141" s="285"/>
      <c r="V141" s="217">
        <f t="shared" si="169"/>
        <v>0</v>
      </c>
      <c r="W141" s="285"/>
      <c r="X141" s="217">
        <f t="shared" si="170"/>
        <v>0</v>
      </c>
      <c r="Y141" s="285"/>
      <c r="Z141" s="217">
        <f t="shared" si="171"/>
        <v>0</v>
      </c>
      <c r="AA141" s="285"/>
      <c r="AB141" s="217">
        <f t="shared" si="172"/>
        <v>0</v>
      </c>
      <c r="AC141" s="285"/>
      <c r="AD141" s="258">
        <f t="shared" si="173"/>
        <v>58</v>
      </c>
      <c r="AE141" s="285">
        <f>AD141*$AX$129/$AD$153</f>
        <v>196705.14398395634</v>
      </c>
      <c r="AF141" s="217">
        <f t="shared" si="174"/>
        <v>0</v>
      </c>
      <c r="AG141" s="286"/>
      <c r="AH141" s="217">
        <f t="shared" si="175"/>
        <v>0</v>
      </c>
      <c r="AI141" s="287"/>
      <c r="AJ141" s="217"/>
      <c r="AK141" s="285"/>
      <c r="AL141" s="217">
        <f t="shared" si="176"/>
        <v>0</v>
      </c>
      <c r="AM141" s="285"/>
      <c r="AN141" s="258"/>
      <c r="AO141" s="286"/>
      <c r="AP141" s="217"/>
      <c r="AQ141" s="286"/>
      <c r="AR141" s="217">
        <f t="shared" si="177"/>
        <v>0</v>
      </c>
      <c r="AS141" s="286">
        <f t="shared" si="178"/>
        <v>0</v>
      </c>
      <c r="AT141" s="613">
        <f t="shared" si="179"/>
        <v>0</v>
      </c>
      <c r="AU141" s="287"/>
      <c r="AV141" s="287"/>
      <c r="AW141" s="287"/>
      <c r="AX141" s="288">
        <f t="shared" si="156"/>
        <v>196705.14398395634</v>
      </c>
      <c r="AY141" s="888"/>
      <c r="AZ141" s="888"/>
      <c r="BA141" s="888"/>
      <c r="BB141" s="22"/>
      <c r="BC141" s="22"/>
      <c r="BD141" s="863">
        <f>'зарплата'!V135</f>
        <v>0</v>
      </c>
      <c r="BE141" s="22"/>
      <c r="BF141" s="885"/>
      <c r="BG141" s="18"/>
      <c r="BH141" s="15"/>
      <c r="BI141" s="1"/>
      <c r="BJ141" s="1"/>
      <c r="BK141" s="1"/>
      <c r="BL141" s="1"/>
      <c r="BM141" s="1"/>
      <c r="BN141" s="1"/>
      <c r="BO141" s="1"/>
      <c r="BW141" s="890" t="s">
        <v>283</v>
      </c>
      <c r="CA141" s="9">
        <f>'2026'!T720</f>
        <v>0</v>
      </c>
      <c r="CB141" s="9">
        <f>'2026'!T579</f>
        <v>301</v>
      </c>
      <c r="CC141" s="9">
        <f>'2026'!T507</f>
        <v>2319</v>
      </c>
      <c r="CD141" s="9">
        <f>'2026'!T649</f>
        <v>0</v>
      </c>
      <c r="CH141" s="9">
        <f>'2026'!T849</f>
        <v>20</v>
      </c>
      <c r="CP141" s="5"/>
      <c r="CQ141" s="10"/>
      <c r="DA141" s="1"/>
      <c r="DB141" s="868"/>
      <c r="DC141" s="868"/>
      <c r="DD141" s="1"/>
      <c r="DE141" s="1"/>
      <c r="DF141" s="1"/>
      <c r="EF141" s="552" t="s">
        <v>294</v>
      </c>
      <c r="EG141" s="552"/>
    </row>
    <row r="142">
      <c r="A142" s="552" t="s">
        <v>296</v>
      </c>
      <c r="B142" s="552"/>
      <c r="C142" s="284">
        <f t="shared" si="136"/>
        <v>986102.54000000004</v>
      </c>
      <c r="D142" s="285">
        <f>'Расход-2026'!I1237</f>
        <v>457595.98999999999</v>
      </c>
      <c r="E142" s="285">
        <f>'Расход-2026'!J1237</f>
        <v>528506.55000000005</v>
      </c>
      <c r="F142" s="217">
        <f t="shared" si="157"/>
        <v>0</v>
      </c>
      <c r="G142" s="286"/>
      <c r="H142" s="217">
        <f t="shared" si="158"/>
        <v>0</v>
      </c>
      <c r="I142" s="286"/>
      <c r="J142" s="217">
        <f t="shared" si="159"/>
        <v>0</v>
      </c>
      <c r="K142" s="285"/>
      <c r="L142" s="258">
        <f t="shared" si="160"/>
        <v>0</v>
      </c>
      <c r="M142" s="287"/>
      <c r="N142" s="258">
        <f t="shared" si="162"/>
        <v>0</v>
      </c>
      <c r="O142" s="285"/>
      <c r="P142" s="217">
        <f t="shared" si="164"/>
        <v>0</v>
      </c>
      <c r="Q142" s="272"/>
      <c r="R142" s="217">
        <f t="shared" si="166"/>
        <v>0</v>
      </c>
      <c r="S142" s="285"/>
      <c r="T142" s="217">
        <f t="shared" si="168"/>
        <v>0</v>
      </c>
      <c r="U142" s="285"/>
      <c r="V142" s="217">
        <f t="shared" si="169"/>
        <v>0</v>
      </c>
      <c r="W142" s="285"/>
      <c r="X142" s="217">
        <f t="shared" si="170"/>
        <v>0</v>
      </c>
      <c r="Y142" s="285"/>
      <c r="Z142" s="217">
        <f t="shared" si="171"/>
        <v>0</v>
      </c>
      <c r="AA142" s="285"/>
      <c r="AB142" s="217">
        <f t="shared" si="172"/>
        <v>0</v>
      </c>
      <c r="AC142" s="285"/>
      <c r="AD142" s="258">
        <f t="shared" si="173"/>
        <v>0</v>
      </c>
      <c r="AE142" s="285"/>
      <c r="AF142" s="217">
        <f t="shared" si="174"/>
        <v>0</v>
      </c>
      <c r="AG142" s="286"/>
      <c r="AH142" s="217">
        <f t="shared" si="175"/>
        <v>0</v>
      </c>
      <c r="AI142" s="287"/>
      <c r="AJ142" s="217"/>
      <c r="AK142" s="285"/>
      <c r="AL142" s="217">
        <f t="shared" si="176"/>
        <v>0</v>
      </c>
      <c r="AM142" s="285"/>
      <c r="AN142" s="258"/>
      <c r="AO142" s="286"/>
      <c r="AP142" s="217"/>
      <c r="AQ142" s="332"/>
      <c r="AR142" s="217">
        <f t="shared" si="177"/>
        <v>0</v>
      </c>
      <c r="AS142" s="286">
        <f t="shared" si="178"/>
        <v>0</v>
      </c>
      <c r="AT142" s="613">
        <f t="shared" si="179"/>
        <v>0</v>
      </c>
      <c r="AU142" s="287"/>
      <c r="AV142" s="287"/>
      <c r="AW142" s="287"/>
      <c r="AX142" s="288">
        <f t="shared" si="156"/>
        <v>986102.54000000004</v>
      </c>
      <c r="AY142" s="888"/>
      <c r="AZ142" s="888"/>
      <c r="BA142" s="888"/>
      <c r="BB142" s="22"/>
      <c r="BC142" s="22"/>
      <c r="BD142" s="863">
        <f>'зарплата'!V136</f>
        <v>0</v>
      </c>
      <c r="BE142" s="22"/>
      <c r="BF142" s="885"/>
      <c r="BG142" s="18"/>
      <c r="BH142" s="15"/>
      <c r="BI142" s="1"/>
      <c r="BJ142" s="1"/>
      <c r="BK142" s="1"/>
      <c r="BL142" s="1"/>
      <c r="BM142" s="1"/>
      <c r="BN142" s="1"/>
      <c r="BO142" s="1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>
        <f>'2026'!T1212</f>
        <v>387009.82999999996</v>
      </c>
      <c r="DA142" s="1"/>
      <c r="DB142" s="868"/>
      <c r="DC142" s="868"/>
      <c r="DD142" s="1"/>
      <c r="DE142" s="1"/>
      <c r="DF142" s="1"/>
      <c r="EF142" s="552" t="s">
        <v>296</v>
      </c>
      <c r="EG142" s="552"/>
    </row>
    <row r="143">
      <c r="A143" s="759" t="s">
        <v>68</v>
      </c>
      <c r="B143" s="759"/>
      <c r="C143" s="284">
        <f t="shared" si="136"/>
        <v>22641609.16</v>
      </c>
      <c r="D143" s="285">
        <f>'Расход-2026'!I1238</f>
        <v>1372831.6400000001</v>
      </c>
      <c r="E143" s="285">
        <f>'Расход-2026'!J1238</f>
        <v>21268777.52</v>
      </c>
      <c r="F143" s="217">
        <f t="shared" si="157"/>
        <v>0</v>
      </c>
      <c r="G143" s="286"/>
      <c r="H143" s="217">
        <f t="shared" si="158"/>
        <v>0</v>
      </c>
      <c r="I143" s="286"/>
      <c r="J143" s="217">
        <f t="shared" si="159"/>
        <v>0</v>
      </c>
      <c r="K143" s="285"/>
      <c r="L143" s="258">
        <f t="shared" si="160"/>
        <v>0</v>
      </c>
      <c r="M143" s="287"/>
      <c r="N143" s="258">
        <f t="shared" si="162"/>
        <v>0</v>
      </c>
      <c r="O143" s="285"/>
      <c r="P143" s="217">
        <f t="shared" si="164"/>
        <v>0</v>
      </c>
      <c r="Q143" s="272"/>
      <c r="R143" s="217">
        <f t="shared" si="166"/>
        <v>0</v>
      </c>
      <c r="S143" s="285"/>
      <c r="T143" s="217">
        <f t="shared" si="168"/>
        <v>0</v>
      </c>
      <c r="U143" s="285"/>
      <c r="V143" s="217">
        <f t="shared" si="169"/>
        <v>0</v>
      </c>
      <c r="W143" s="285"/>
      <c r="X143" s="217">
        <f t="shared" si="170"/>
        <v>0</v>
      </c>
      <c r="Y143" s="285"/>
      <c r="Z143" s="217">
        <f t="shared" si="171"/>
        <v>0</v>
      </c>
      <c r="AA143" s="285"/>
      <c r="AB143" s="217">
        <f t="shared" si="172"/>
        <v>0</v>
      </c>
      <c r="AC143" s="285"/>
      <c r="AD143" s="258">
        <f t="shared" si="173"/>
        <v>0</v>
      </c>
      <c r="AE143" s="285"/>
      <c r="AF143" s="217">
        <f t="shared" si="174"/>
        <v>0</v>
      </c>
      <c r="AG143" s="286"/>
      <c r="AH143" s="217">
        <f t="shared" si="175"/>
        <v>0</v>
      </c>
      <c r="AI143" s="287"/>
      <c r="AJ143" s="217"/>
      <c r="AK143" s="285"/>
      <c r="AL143" s="217">
        <f t="shared" si="176"/>
        <v>0</v>
      </c>
      <c r="AM143" s="285"/>
      <c r="AN143" s="258"/>
      <c r="AO143" s="286"/>
      <c r="AP143" s="217"/>
      <c r="AQ143" s="286"/>
      <c r="AR143" s="217">
        <f t="shared" si="177"/>
        <v>2290</v>
      </c>
      <c r="AS143" s="286">
        <f t="shared" si="178"/>
        <v>48442.826140425008</v>
      </c>
      <c r="AT143" s="613">
        <f t="shared" si="179"/>
        <v>25</v>
      </c>
      <c r="AU143" s="287"/>
      <c r="AV143" s="287"/>
      <c r="AW143" s="287"/>
      <c r="AX143" s="288">
        <f t="shared" si="156"/>
        <v>22690051.986140426</v>
      </c>
      <c r="AY143" s="888"/>
      <c r="AZ143" s="888"/>
      <c r="BA143" s="888"/>
      <c r="BB143" s="22"/>
      <c r="BC143" s="22"/>
      <c r="BD143" s="863">
        <f>'зарплата'!V137</f>
        <v>10294582.289999999</v>
      </c>
      <c r="BE143" s="22"/>
      <c r="BF143" s="885"/>
      <c r="BG143" s="18"/>
      <c r="BH143" s="15"/>
      <c r="BI143" s="1"/>
      <c r="BJ143" s="1"/>
      <c r="BK143" s="1"/>
      <c r="BL143" s="1"/>
      <c r="BM143" s="1"/>
      <c r="BN143" s="1"/>
      <c r="BO143" s="1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DA143" s="1"/>
      <c r="DB143" s="868"/>
      <c r="DC143" s="868"/>
      <c r="DD143" s="1"/>
      <c r="DE143" s="1"/>
      <c r="DF143" s="1"/>
      <c r="EF143" s="759" t="s">
        <v>68</v>
      </c>
      <c r="EG143" s="759"/>
    </row>
    <row r="144">
      <c r="A144" s="552" t="s">
        <v>307</v>
      </c>
      <c r="B144" s="552"/>
      <c r="C144" s="284">
        <f t="shared" si="136"/>
        <v>247426.60999999958</v>
      </c>
      <c r="D144" s="272">
        <f>'Расход-2026'!I1253</f>
        <v>161125.76999999955</v>
      </c>
      <c r="E144" s="272">
        <f>'Расход-2026'!J1253</f>
        <v>86300.840000000011</v>
      </c>
      <c r="F144" s="217">
        <f t="shared" si="157"/>
        <v>0</v>
      </c>
      <c r="G144" s="286"/>
      <c r="H144" s="217">
        <f t="shared" si="158"/>
        <v>0</v>
      </c>
      <c r="I144" s="286"/>
      <c r="J144" s="217">
        <f t="shared" si="159"/>
        <v>0</v>
      </c>
      <c r="K144" s="285"/>
      <c r="L144" s="258">
        <f t="shared" si="160"/>
        <v>0</v>
      </c>
      <c r="M144" s="287"/>
      <c r="N144" s="258">
        <f t="shared" si="162"/>
        <v>0</v>
      </c>
      <c r="O144" s="285"/>
      <c r="P144" s="217">
        <f t="shared" si="164"/>
        <v>0</v>
      </c>
      <c r="Q144" s="272"/>
      <c r="R144" s="217">
        <f t="shared" si="166"/>
        <v>0</v>
      </c>
      <c r="S144" s="285"/>
      <c r="T144" s="217">
        <f t="shared" si="168"/>
        <v>0</v>
      </c>
      <c r="U144" s="285"/>
      <c r="V144" s="217">
        <f t="shared" si="169"/>
        <v>0</v>
      </c>
      <c r="W144" s="285"/>
      <c r="X144" s="217">
        <f t="shared" si="170"/>
        <v>0</v>
      </c>
      <c r="Y144" s="285"/>
      <c r="Z144" s="217">
        <f t="shared" si="171"/>
        <v>0</v>
      </c>
      <c r="AA144" s="285"/>
      <c r="AB144" s="217">
        <f t="shared" si="172"/>
        <v>0</v>
      </c>
      <c r="AC144" s="285"/>
      <c r="AD144" s="258">
        <f t="shared" si="173"/>
        <v>0</v>
      </c>
      <c r="AE144" s="285"/>
      <c r="AF144" s="217">
        <f t="shared" si="174"/>
        <v>0</v>
      </c>
      <c r="AG144" s="286"/>
      <c r="AH144" s="217">
        <f t="shared" si="175"/>
        <v>0</v>
      </c>
      <c r="AI144" s="287"/>
      <c r="AJ144" s="217"/>
      <c r="AK144" s="285"/>
      <c r="AL144" s="217">
        <f t="shared" si="176"/>
        <v>0</v>
      </c>
      <c r="AM144" s="285"/>
      <c r="AN144" s="258"/>
      <c r="AO144" s="286"/>
      <c r="AP144" s="217"/>
      <c r="AQ144" s="286"/>
      <c r="AR144" s="217">
        <f t="shared" si="177"/>
        <v>26</v>
      </c>
      <c r="AS144" s="286">
        <f t="shared" si="178"/>
        <v>550.00588631050221</v>
      </c>
      <c r="AT144" s="613">
        <f t="shared" si="179"/>
        <v>0</v>
      </c>
      <c r="AU144" s="287"/>
      <c r="AV144" s="287"/>
      <c r="AW144" s="287"/>
      <c r="AX144" s="288">
        <f t="shared" si="156"/>
        <v>247976.61588631009</v>
      </c>
      <c r="AY144" s="888"/>
      <c r="AZ144" s="888"/>
      <c r="BA144" s="888"/>
      <c r="BB144" s="22"/>
      <c r="BC144" s="22"/>
      <c r="BD144" s="863">
        <f>'зарплата'!V138</f>
        <v>5279511.7100000009</v>
      </c>
      <c r="BE144" s="22"/>
      <c r="BF144" s="885"/>
      <c r="BG144" s="18"/>
      <c r="BH144" s="15"/>
      <c r="BI144" s="1"/>
      <c r="BJ144" s="1"/>
      <c r="BK144" s="1"/>
      <c r="BL144" s="1"/>
      <c r="BM144" s="1"/>
      <c r="BN144" s="1"/>
      <c r="BO144" s="1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DA144" s="1"/>
      <c r="DB144" s="868"/>
      <c r="DC144" s="868"/>
      <c r="DD144" s="1"/>
      <c r="DE144" s="1"/>
      <c r="DF144" s="1"/>
      <c r="EF144" s="552" t="s">
        <v>307</v>
      </c>
      <c r="EG144" s="552"/>
    </row>
    <row r="145">
      <c r="A145" s="940" t="s">
        <v>308</v>
      </c>
      <c r="B145" s="940"/>
      <c r="C145" s="284">
        <f t="shared" si="136"/>
        <v>519230.33000000013</v>
      </c>
      <c r="D145" s="285">
        <f>'Расход-2026'!I1231+'Расход-2026'!I1232</f>
        <v>1369.51</v>
      </c>
      <c r="E145" s="285">
        <f>'Расход-2026'!J1231+'Расход-2026'!J1232</f>
        <v>517860.82000000012</v>
      </c>
      <c r="F145" s="217">
        <f t="shared" si="157"/>
        <v>0</v>
      </c>
      <c r="G145" s="286"/>
      <c r="H145" s="217">
        <f t="shared" si="158"/>
        <v>0</v>
      </c>
      <c r="I145" s="286"/>
      <c r="J145" s="217">
        <f t="shared" si="159"/>
        <v>0</v>
      </c>
      <c r="K145" s="285"/>
      <c r="L145" s="258">
        <f t="shared" si="160"/>
        <v>0</v>
      </c>
      <c r="M145" s="287">
        <f t="shared" si="161"/>
        <v>0</v>
      </c>
      <c r="N145" s="258">
        <f t="shared" si="162"/>
        <v>6317</v>
      </c>
      <c r="O145" s="285">
        <f t="shared" si="163"/>
        <v>103460.94959369006</v>
      </c>
      <c r="P145" s="217">
        <f t="shared" si="164"/>
        <v>0</v>
      </c>
      <c r="Q145" s="272"/>
      <c r="R145" s="217">
        <f t="shared" si="166"/>
        <v>0</v>
      </c>
      <c r="S145" s="285"/>
      <c r="T145" s="217">
        <f t="shared" si="168"/>
        <v>0</v>
      </c>
      <c r="U145" s="285"/>
      <c r="V145" s="217">
        <f t="shared" si="169"/>
        <v>0</v>
      </c>
      <c r="W145" s="285"/>
      <c r="X145" s="217">
        <f t="shared" si="170"/>
        <v>0</v>
      </c>
      <c r="Y145" s="285"/>
      <c r="Z145" s="217">
        <f t="shared" si="171"/>
        <v>0</v>
      </c>
      <c r="AA145" s="285"/>
      <c r="AB145" s="217">
        <f t="shared" si="172"/>
        <v>0</v>
      </c>
      <c r="AC145" s="285"/>
      <c r="AD145" s="258">
        <f t="shared" si="173"/>
        <v>0</v>
      </c>
      <c r="AE145" s="285"/>
      <c r="AF145" s="217">
        <f t="shared" si="174"/>
        <v>0</v>
      </c>
      <c r="AG145" s="286"/>
      <c r="AH145" s="217">
        <f t="shared" si="175"/>
        <v>0</v>
      </c>
      <c r="AI145" s="287"/>
      <c r="AJ145" s="217"/>
      <c r="AK145" s="285"/>
      <c r="AL145" s="217">
        <f t="shared" si="176"/>
        <v>0</v>
      </c>
      <c r="AM145" s="285"/>
      <c r="AN145" s="258"/>
      <c r="AO145" s="286"/>
      <c r="AP145" s="217"/>
      <c r="AQ145" s="286"/>
      <c r="AR145" s="217"/>
      <c r="AS145" s="286"/>
      <c r="AT145" s="613">
        <f t="shared" si="179"/>
        <v>0</v>
      </c>
      <c r="AU145" s="287"/>
      <c r="AV145" s="287"/>
      <c r="AW145" s="287"/>
      <c r="AX145" s="288">
        <f>C145+G145+I145+K145+O145+I145+S145+U145+W145+Y145+AA145+AC145+AE145+AG145+AI145+AK145+AO145+AU145+AS145+AW145+AI145+AM145</f>
        <v>622691.27959369018</v>
      </c>
      <c r="AY145" s="888"/>
      <c r="AZ145" s="888"/>
      <c r="BA145" s="888"/>
      <c r="BB145" s="22"/>
      <c r="BC145" s="22"/>
      <c r="BD145" s="863">
        <f>'зарплата'!V139</f>
        <v>1497257.5</v>
      </c>
      <c r="BE145" s="22"/>
      <c r="BF145" s="885"/>
      <c r="BG145" s="18"/>
      <c r="BH145" s="15"/>
      <c r="BI145" s="1"/>
      <c r="BJ145" s="1"/>
      <c r="BK145" s="1"/>
      <c r="BL145" s="1"/>
      <c r="BM145" s="1"/>
      <c r="BN145" s="1"/>
      <c r="BO145" s="1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DA145" s="1"/>
      <c r="DB145" s="868"/>
      <c r="DC145" s="868"/>
      <c r="DD145" s="1"/>
      <c r="DE145" s="1"/>
      <c r="DF145" s="1"/>
      <c r="EF145" s="940" t="s">
        <v>308</v>
      </c>
      <c r="EG145" s="940"/>
    </row>
    <row r="146">
      <c r="A146" s="552" t="s">
        <v>299</v>
      </c>
      <c r="B146" s="552">
        <f>C126+C144+C147</f>
        <v>281101.24999999959</v>
      </c>
      <c r="C146" s="284">
        <f t="shared" si="136"/>
        <v>0</v>
      </c>
      <c r="D146" s="285">
        <f>'Расход-2026'!I1266+'Расход-2026'!I1267</f>
        <v>0</v>
      </c>
      <c r="E146" s="285">
        <f>'Расход-2026'!J1266+'Расход-2026'!J1267</f>
        <v>0</v>
      </c>
      <c r="F146" s="217">
        <f t="shared" si="157"/>
        <v>0</v>
      </c>
      <c r="G146" s="286"/>
      <c r="H146" s="217">
        <f t="shared" si="158"/>
        <v>0</v>
      </c>
      <c r="I146" s="286"/>
      <c r="J146" s="217">
        <f t="shared" si="159"/>
        <v>0</v>
      </c>
      <c r="K146" s="285"/>
      <c r="L146" s="258">
        <f t="shared" si="160"/>
        <v>0</v>
      </c>
      <c r="M146" s="287">
        <f t="shared" si="161"/>
        <v>0</v>
      </c>
      <c r="N146" s="258">
        <f t="shared" si="162"/>
        <v>0</v>
      </c>
      <c r="O146" s="285"/>
      <c r="P146" s="217">
        <f t="shared" si="164"/>
        <v>0</v>
      </c>
      <c r="Q146" s="272"/>
      <c r="R146" s="217">
        <f t="shared" si="166"/>
        <v>0</v>
      </c>
      <c r="S146" s="285"/>
      <c r="T146" s="217">
        <f t="shared" si="168"/>
        <v>0</v>
      </c>
      <c r="U146" s="285"/>
      <c r="V146" s="217">
        <f t="shared" si="169"/>
        <v>0</v>
      </c>
      <c r="W146" s="285"/>
      <c r="X146" s="217">
        <f t="shared" si="170"/>
        <v>0</v>
      </c>
      <c r="Y146" s="285"/>
      <c r="Z146" s="217">
        <f t="shared" si="171"/>
        <v>0</v>
      </c>
      <c r="AA146" s="285"/>
      <c r="AB146" s="217">
        <f t="shared" si="172"/>
        <v>0</v>
      </c>
      <c r="AC146" s="285"/>
      <c r="AD146" s="258">
        <f t="shared" si="173"/>
        <v>0</v>
      </c>
      <c r="AE146" s="285"/>
      <c r="AF146" s="217">
        <f t="shared" si="174"/>
        <v>0</v>
      </c>
      <c r="AG146" s="286"/>
      <c r="AH146" s="217">
        <f t="shared" si="175"/>
        <v>0</v>
      </c>
      <c r="AI146" s="287"/>
      <c r="AJ146" s="217"/>
      <c r="AK146" s="285"/>
      <c r="AL146" s="217">
        <f t="shared" si="176"/>
        <v>0</v>
      </c>
      <c r="AM146" s="285"/>
      <c r="AN146" s="250"/>
      <c r="AO146" s="286"/>
      <c r="AP146" s="217"/>
      <c r="AQ146" s="286"/>
      <c r="AR146" s="217">
        <f t="shared" ref="AR146:AR150" si="186">CS128</f>
        <v>0</v>
      </c>
      <c r="AS146" s="286"/>
      <c r="AT146" s="613">
        <f t="shared" si="179"/>
        <v>0</v>
      </c>
      <c r="AU146" s="287"/>
      <c r="AV146" s="287"/>
      <c r="AW146" s="287"/>
      <c r="AX146" s="288">
        <f t="shared" si="156"/>
        <v>0</v>
      </c>
      <c r="AY146" s="888"/>
      <c r="AZ146" s="888"/>
      <c r="BA146" s="888"/>
      <c r="BB146" s="22"/>
      <c r="BC146" s="22"/>
      <c r="BD146" s="863">
        <f>'зарплата'!V140</f>
        <v>1001990.9199999999</v>
      </c>
      <c r="BE146" s="22"/>
      <c r="BF146" s="885"/>
      <c r="BG146" s="18"/>
      <c r="BH146" s="15"/>
      <c r="BI146" s="1"/>
      <c r="BJ146" s="1"/>
      <c r="BK146" s="1"/>
      <c r="BL146" s="1"/>
      <c r="BM146" s="1"/>
      <c r="BN146" s="1"/>
      <c r="BO146" s="1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DA146" s="1"/>
      <c r="DB146" s="868"/>
      <c r="DC146" s="868"/>
      <c r="DD146" s="1"/>
      <c r="DE146" s="1"/>
      <c r="DF146" s="1"/>
      <c r="EF146" s="552" t="s">
        <v>299</v>
      </c>
      <c r="EG146" s="552"/>
    </row>
    <row r="147">
      <c r="A147" s="941" t="s">
        <v>309</v>
      </c>
      <c r="B147" s="941"/>
      <c r="C147" s="284">
        <f t="shared" si="136"/>
        <v>0</v>
      </c>
      <c r="D147" s="285">
        <f>'Расход-2026'!I1260+'Расход-2026'!I1261+'Расход-2026'!I1263+'Расход-2026'!I1264+'Расход-2026'!I1265+'Расход-2026'!I1268+'Расход-2026'!I1269+'Расход-2026'!I1270+'Расход-2026'!I1271+'Расход-2026'!I1272+'Расход-2026'!I1276+'Расход-2026'!I1252</f>
        <v>0</v>
      </c>
      <c r="E147" s="285">
        <f>'Расход-2026'!J1260+'Расход-2026'!J1261+'Расход-2026'!J1263+'Расход-2026'!J1264+'Расход-2026'!J1265+'Расход-2026'!J1268+'Расход-2026'!J1269+'Расход-2026'!J1270+'Расход-2026'!J1271+'Расход-2026'!J1272+'Расход-2026'!J1276+'Расход-2026'!J1252</f>
        <v>0</v>
      </c>
      <c r="F147" s="217">
        <f t="shared" si="157"/>
        <v>0</v>
      </c>
      <c r="G147" s="286"/>
      <c r="H147" s="217">
        <f t="shared" si="158"/>
        <v>0</v>
      </c>
      <c r="I147" s="286"/>
      <c r="J147" s="217">
        <f t="shared" si="159"/>
        <v>0</v>
      </c>
      <c r="K147" s="285"/>
      <c r="L147" s="258">
        <f t="shared" si="160"/>
        <v>1924</v>
      </c>
      <c r="M147" s="287">
        <f t="shared" si="161"/>
        <v>81360.235676976125</v>
      </c>
      <c r="N147" s="258">
        <f t="shared" si="162"/>
        <v>0</v>
      </c>
      <c r="O147" s="285"/>
      <c r="P147" s="217">
        <f t="shared" si="164"/>
        <v>0</v>
      </c>
      <c r="Q147" s="285">
        <f t="shared" si="165"/>
        <v>0</v>
      </c>
      <c r="R147" s="217">
        <f t="shared" si="166"/>
        <v>0</v>
      </c>
      <c r="S147" s="285"/>
      <c r="T147" s="217">
        <f t="shared" si="168"/>
        <v>0</v>
      </c>
      <c r="U147" s="285"/>
      <c r="V147" s="217">
        <f t="shared" si="169"/>
        <v>0</v>
      </c>
      <c r="W147" s="285"/>
      <c r="X147" s="217">
        <f t="shared" si="170"/>
        <v>0</v>
      </c>
      <c r="Y147" s="285"/>
      <c r="Z147" s="217">
        <f t="shared" si="171"/>
        <v>0</v>
      </c>
      <c r="AA147" s="285"/>
      <c r="AB147" s="217">
        <f t="shared" si="172"/>
        <v>0</v>
      </c>
      <c r="AC147" s="285"/>
      <c r="AD147" s="258">
        <f t="shared" si="173"/>
        <v>0</v>
      </c>
      <c r="AE147" s="285"/>
      <c r="AF147" s="217">
        <f t="shared" si="174"/>
        <v>0</v>
      </c>
      <c r="AG147" s="286"/>
      <c r="AH147" s="217">
        <f t="shared" si="175"/>
        <v>0</v>
      </c>
      <c r="AI147" s="287"/>
      <c r="AJ147" s="217"/>
      <c r="AK147" s="285"/>
      <c r="AL147" s="217">
        <f t="shared" si="176"/>
        <v>0</v>
      </c>
      <c r="AM147" s="285"/>
      <c r="AN147" s="250"/>
      <c r="AO147" s="286"/>
      <c r="AP147" s="217"/>
      <c r="AQ147" s="286"/>
      <c r="AR147" s="217">
        <f t="shared" si="186"/>
        <v>202</v>
      </c>
      <c r="AS147" s="286">
        <f t="shared" si="178"/>
        <v>4273.1226551815944</v>
      </c>
      <c r="AT147" s="613">
        <f t="shared" si="179"/>
        <v>0</v>
      </c>
      <c r="AU147" s="287"/>
      <c r="AV147" s="287"/>
      <c r="AW147" s="287"/>
      <c r="AX147" s="288">
        <f t="shared" si="156"/>
        <v>4273.1226551815944</v>
      </c>
      <c r="AY147" s="888"/>
      <c r="AZ147" s="888"/>
      <c r="BA147" s="888"/>
      <c r="BB147" s="22"/>
      <c r="BC147" s="22"/>
      <c r="BD147" s="863">
        <f>'зарплата'!V141</f>
        <v>844556.42000000004</v>
      </c>
      <c r="BE147" s="22"/>
      <c r="BF147" s="885"/>
      <c r="BG147" s="18"/>
      <c r="BH147" s="15"/>
      <c r="BI147" s="1"/>
      <c r="BJ147" s="1"/>
      <c r="BK147" s="1"/>
      <c r="BL147" s="1"/>
      <c r="BM147" s="1"/>
      <c r="BN147" s="1"/>
      <c r="BO147" s="1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DA147" s="1"/>
      <c r="DB147" s="868"/>
      <c r="DC147" s="868"/>
      <c r="DD147" s="1"/>
      <c r="DE147" s="1"/>
      <c r="DF147" s="1"/>
      <c r="EF147" s="941" t="s">
        <v>309</v>
      </c>
      <c r="EG147" s="941"/>
    </row>
    <row r="148">
      <c r="A148" s="552" t="s">
        <v>301</v>
      </c>
      <c r="B148" s="552"/>
      <c r="C148" s="284">
        <f t="shared" si="136"/>
        <v>85544.650000000009</v>
      </c>
      <c r="D148" s="285">
        <f>'Расход-2026'!I1245</f>
        <v>0</v>
      </c>
      <c r="E148" s="285">
        <f>'Расход-2026'!J1245</f>
        <v>85544.650000000009</v>
      </c>
      <c r="F148" s="217">
        <f t="shared" si="157"/>
        <v>0</v>
      </c>
      <c r="G148" s="286"/>
      <c r="H148" s="217">
        <f t="shared" si="158"/>
        <v>0</v>
      </c>
      <c r="I148" s="286"/>
      <c r="J148" s="217">
        <f t="shared" si="159"/>
        <v>0</v>
      </c>
      <c r="K148" s="285"/>
      <c r="L148" s="258">
        <f t="shared" si="160"/>
        <v>0</v>
      </c>
      <c r="M148" s="287">
        <f t="shared" si="161"/>
        <v>0</v>
      </c>
      <c r="N148" s="258">
        <f t="shared" si="162"/>
        <v>0</v>
      </c>
      <c r="O148" s="285"/>
      <c r="P148" s="217">
        <f t="shared" si="164"/>
        <v>0</v>
      </c>
      <c r="Q148" s="272"/>
      <c r="R148" s="217">
        <f t="shared" si="166"/>
        <v>0</v>
      </c>
      <c r="S148" s="285"/>
      <c r="T148" s="217">
        <f t="shared" si="168"/>
        <v>0</v>
      </c>
      <c r="U148" s="285"/>
      <c r="V148" s="217">
        <f t="shared" si="169"/>
        <v>0</v>
      </c>
      <c r="W148" s="285"/>
      <c r="X148" s="217">
        <f t="shared" si="170"/>
        <v>0</v>
      </c>
      <c r="Y148" s="285"/>
      <c r="Z148" s="217">
        <f t="shared" si="171"/>
        <v>0</v>
      </c>
      <c r="AA148" s="285"/>
      <c r="AB148" s="217">
        <f t="shared" si="172"/>
        <v>0</v>
      </c>
      <c r="AC148" s="285"/>
      <c r="AD148" s="258">
        <f t="shared" si="173"/>
        <v>0</v>
      </c>
      <c r="AE148" s="285"/>
      <c r="AF148" s="217">
        <f t="shared" si="174"/>
        <v>0</v>
      </c>
      <c r="AG148" s="286"/>
      <c r="AH148" s="217">
        <f t="shared" si="175"/>
        <v>0</v>
      </c>
      <c r="AI148" s="287"/>
      <c r="AJ148" s="217"/>
      <c r="AK148" s="285"/>
      <c r="AL148" s="217">
        <f t="shared" si="176"/>
        <v>0</v>
      </c>
      <c r="AM148" s="285"/>
      <c r="AN148" s="250"/>
      <c r="AO148" s="286"/>
      <c r="AP148" s="217"/>
      <c r="AQ148" s="286"/>
      <c r="AR148" s="217">
        <f t="shared" si="186"/>
        <v>17</v>
      </c>
      <c r="AS148" s="286">
        <f t="shared" si="178"/>
        <v>359.61923335686686</v>
      </c>
      <c r="AT148" s="613">
        <f t="shared" si="179"/>
        <v>0</v>
      </c>
      <c r="AU148" s="287"/>
      <c r="AV148" s="287"/>
      <c r="AW148" s="287"/>
      <c r="AX148" s="288">
        <f t="shared" si="156"/>
        <v>85904.26923335687</v>
      </c>
      <c r="AY148" s="888"/>
      <c r="AZ148" s="888"/>
      <c r="BA148" s="888"/>
      <c r="BB148" s="22"/>
      <c r="BC148" s="22"/>
      <c r="BD148" s="863">
        <f>'зарплата'!V142</f>
        <v>0</v>
      </c>
      <c r="BE148" s="22"/>
      <c r="BF148" s="885"/>
      <c r="BG148" s="18"/>
      <c r="BH148" s="15"/>
      <c r="BI148" s="1"/>
      <c r="BJ148" s="1"/>
      <c r="BK148" s="1"/>
      <c r="BL148" s="1"/>
      <c r="BM148" s="1"/>
      <c r="BN148" s="1"/>
      <c r="BO148" s="1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DA148" s="1"/>
      <c r="DB148" s="868"/>
      <c r="DC148" s="868"/>
      <c r="DD148" s="1"/>
      <c r="DE148" s="1"/>
      <c r="DF148" s="1"/>
      <c r="EF148" s="552" t="s">
        <v>301</v>
      </c>
      <c r="EG148" s="552"/>
    </row>
    <row r="149">
      <c r="A149" s="552" t="s">
        <v>302</v>
      </c>
      <c r="B149" s="552"/>
      <c r="C149" s="284">
        <f t="shared" si="136"/>
        <v>39846.18</v>
      </c>
      <c r="D149" s="272">
        <f>'Расход-2026'!I1246</f>
        <v>0</v>
      </c>
      <c r="E149" s="272">
        <f>'Расход-2026'!J1246</f>
        <v>39846.18</v>
      </c>
      <c r="F149" s="217">
        <f t="shared" si="157"/>
        <v>0</v>
      </c>
      <c r="G149" s="286"/>
      <c r="H149" s="217">
        <f t="shared" si="158"/>
        <v>0</v>
      </c>
      <c r="I149" s="286"/>
      <c r="J149" s="217">
        <f t="shared" si="159"/>
        <v>0</v>
      </c>
      <c r="K149" s="285"/>
      <c r="L149" s="258">
        <f t="shared" si="160"/>
        <v>0</v>
      </c>
      <c r="M149" s="287">
        <f t="shared" si="161"/>
        <v>0</v>
      </c>
      <c r="N149" s="258">
        <f t="shared" si="162"/>
        <v>0</v>
      </c>
      <c r="O149" s="285"/>
      <c r="P149" s="217">
        <f t="shared" si="164"/>
        <v>0</v>
      </c>
      <c r="Q149" s="272"/>
      <c r="R149" s="217">
        <f t="shared" si="166"/>
        <v>0</v>
      </c>
      <c r="S149" s="285"/>
      <c r="T149" s="217">
        <f t="shared" si="168"/>
        <v>0</v>
      </c>
      <c r="U149" s="285"/>
      <c r="V149" s="217">
        <f t="shared" si="169"/>
        <v>0</v>
      </c>
      <c r="W149" s="285"/>
      <c r="X149" s="217">
        <f t="shared" si="170"/>
        <v>0</v>
      </c>
      <c r="Y149" s="285"/>
      <c r="Z149" s="217">
        <f t="shared" si="171"/>
        <v>0</v>
      </c>
      <c r="AA149" s="285"/>
      <c r="AB149" s="217">
        <f t="shared" si="172"/>
        <v>0</v>
      </c>
      <c r="AC149" s="285"/>
      <c r="AD149" s="258">
        <f t="shared" si="173"/>
        <v>0</v>
      </c>
      <c r="AE149" s="285"/>
      <c r="AF149" s="217">
        <f t="shared" si="174"/>
        <v>0</v>
      </c>
      <c r="AG149" s="286"/>
      <c r="AH149" s="217">
        <f t="shared" si="175"/>
        <v>0</v>
      </c>
      <c r="AI149" s="287"/>
      <c r="AJ149" s="217"/>
      <c r="AK149" s="285"/>
      <c r="AL149" s="217">
        <f t="shared" si="176"/>
        <v>0</v>
      </c>
      <c r="AM149" s="285"/>
      <c r="AN149" s="250"/>
      <c r="AO149" s="286"/>
      <c r="AP149" s="217"/>
      <c r="AQ149" s="286"/>
      <c r="AR149" s="217">
        <f t="shared" si="186"/>
        <v>0</v>
      </c>
      <c r="AS149" s="286"/>
      <c r="AT149" s="613">
        <f t="shared" si="179"/>
        <v>0</v>
      </c>
      <c r="AU149" s="287"/>
      <c r="AV149" s="287"/>
      <c r="AW149" s="287"/>
      <c r="AX149" s="288">
        <f t="shared" si="156"/>
        <v>39846.18</v>
      </c>
      <c r="AY149" s="888"/>
      <c r="AZ149" s="888"/>
      <c r="BA149" s="888"/>
      <c r="BB149" s="5"/>
      <c r="BC149" s="5"/>
      <c r="BD149" s="863">
        <f>'зарплата'!V143</f>
        <v>6492566.2199999997</v>
      </c>
      <c r="BF149" s="885"/>
      <c r="BG149" s="18"/>
      <c r="BH149" s="15"/>
      <c r="BI149" s="1"/>
      <c r="BJ149" s="1"/>
      <c r="BK149" s="1"/>
      <c r="BL149" s="1"/>
      <c r="BM149" s="1"/>
      <c r="BN149" s="1"/>
      <c r="BO149" s="1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DA149" s="1"/>
      <c r="DB149" s="868"/>
      <c r="DC149" s="868"/>
      <c r="DD149" s="1"/>
      <c r="DE149" s="1"/>
      <c r="DF149" s="1"/>
      <c r="EF149" s="552" t="s">
        <v>302</v>
      </c>
      <c r="EG149" s="552"/>
    </row>
    <row r="150">
      <c r="A150" s="552" t="s">
        <v>310</v>
      </c>
      <c r="B150" s="552"/>
      <c r="C150" s="284">
        <f t="shared" si="136"/>
        <v>0</v>
      </c>
      <c r="D150" s="272">
        <f>'Расход-2026'!I1273</f>
        <v>0</v>
      </c>
      <c r="E150" s="272">
        <f>'Расход-2026'!J1273</f>
        <v>0</v>
      </c>
      <c r="F150" s="217">
        <f t="shared" si="157"/>
        <v>0</v>
      </c>
      <c r="G150" s="286"/>
      <c r="H150" s="217">
        <f t="shared" si="158"/>
        <v>0</v>
      </c>
      <c r="I150" s="286"/>
      <c r="J150" s="217">
        <f t="shared" si="159"/>
        <v>0</v>
      </c>
      <c r="K150" s="285">
        <f t="shared" si="182"/>
        <v>0</v>
      </c>
      <c r="L150" s="258">
        <f t="shared" si="160"/>
        <v>0</v>
      </c>
      <c r="M150" s="287">
        <f t="shared" si="161"/>
        <v>0</v>
      </c>
      <c r="N150" s="258">
        <f t="shared" si="162"/>
        <v>0</v>
      </c>
      <c r="O150" s="285">
        <f t="shared" si="163"/>
        <v>0</v>
      </c>
      <c r="P150" s="217">
        <f t="shared" si="164"/>
        <v>0</v>
      </c>
      <c r="Q150" s="272">
        <f t="shared" si="165"/>
        <v>0</v>
      </c>
      <c r="R150" s="217">
        <f t="shared" si="166"/>
        <v>0</v>
      </c>
      <c r="S150" s="285">
        <f t="shared" si="167"/>
        <v>0</v>
      </c>
      <c r="T150" s="217">
        <f t="shared" si="168"/>
        <v>0</v>
      </c>
      <c r="U150" s="285">
        <f>T150*$AX$135/$T$153</f>
        <v>0</v>
      </c>
      <c r="V150" s="217">
        <f t="shared" si="169"/>
        <v>0</v>
      </c>
      <c r="W150" s="285"/>
      <c r="X150" s="217">
        <f t="shared" si="170"/>
        <v>0</v>
      </c>
      <c r="Y150" s="285">
        <f>X150*$AX$148/$X$153</f>
        <v>0</v>
      </c>
      <c r="Z150" s="217">
        <f t="shared" si="171"/>
        <v>0</v>
      </c>
      <c r="AA150" s="285"/>
      <c r="AB150" s="217">
        <f t="shared" si="172"/>
        <v>0</v>
      </c>
      <c r="AC150" s="285"/>
      <c r="AD150" s="258">
        <f t="shared" si="173"/>
        <v>0</v>
      </c>
      <c r="AE150" s="285"/>
      <c r="AF150" s="217">
        <f t="shared" si="174"/>
        <v>0</v>
      </c>
      <c r="AG150" s="286"/>
      <c r="AH150" s="217">
        <f t="shared" si="175"/>
        <v>0</v>
      </c>
      <c r="AI150" s="287"/>
      <c r="AJ150" s="217"/>
      <c r="AK150" s="285"/>
      <c r="AL150" s="217">
        <f t="shared" si="176"/>
        <v>0</v>
      </c>
      <c r="AM150" s="285"/>
      <c r="AN150" s="250"/>
      <c r="AO150" s="286"/>
      <c r="AP150" s="217"/>
      <c r="AQ150" s="286"/>
      <c r="AR150" s="217">
        <f t="shared" si="186"/>
        <v>0</v>
      </c>
      <c r="AS150" s="286">
        <f t="shared" si="178"/>
        <v>0</v>
      </c>
      <c r="AT150" s="613">
        <f t="shared" si="179"/>
        <v>0</v>
      </c>
      <c r="AU150" s="287">
        <f>AT150*$AX$125/$AT$153</f>
        <v>0</v>
      </c>
      <c r="AV150" s="287"/>
      <c r="AW150" s="287"/>
      <c r="AX150" s="288">
        <f t="shared" si="156"/>
        <v>0</v>
      </c>
      <c r="AY150" s="888"/>
      <c r="AZ150" s="888"/>
      <c r="BA150" s="888"/>
      <c r="BB150" s="5"/>
      <c r="BC150" s="5"/>
      <c r="BD150" s="863">
        <f>'зарплата'!V144</f>
        <v>3518332.3900000001</v>
      </c>
      <c r="BF150" s="885"/>
      <c r="BG150" s="18"/>
      <c r="BH150" s="15"/>
      <c r="BI150" s="1"/>
      <c r="BJ150" s="1"/>
      <c r="BK150" s="1"/>
      <c r="BL150" s="1"/>
      <c r="BM150" s="1"/>
      <c r="BN150" s="1"/>
      <c r="BO150" s="1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DA150" s="1"/>
      <c r="DB150" s="868"/>
      <c r="DC150" s="868"/>
      <c r="DD150" s="1"/>
      <c r="DE150" s="1"/>
      <c r="DF150" s="1"/>
      <c r="EF150" s="552" t="s">
        <v>310</v>
      </c>
      <c r="EG150" s="552"/>
    </row>
    <row r="151">
      <c r="A151" s="552" t="s">
        <v>311</v>
      </c>
      <c r="B151" s="552"/>
      <c r="C151" s="284"/>
      <c r="D151" s="272">
        <f>'Расход-2026'!I1262</f>
        <v>4025.21</v>
      </c>
      <c r="E151" s="272">
        <f>'Расход-2026'!J1262</f>
        <v>15797.5</v>
      </c>
      <c r="F151" s="217"/>
      <c r="G151" s="286"/>
      <c r="H151" s="217"/>
      <c r="I151" s="286"/>
      <c r="J151" s="217"/>
      <c r="K151" s="285"/>
      <c r="L151" s="258"/>
      <c r="M151" s="287"/>
      <c r="N151" s="258"/>
      <c r="O151" s="285"/>
      <c r="P151" s="217"/>
      <c r="Q151" s="272"/>
      <c r="R151" s="217"/>
      <c r="S151" s="285"/>
      <c r="T151" s="217"/>
      <c r="U151" s="285"/>
      <c r="V151" s="217"/>
      <c r="W151" s="285"/>
      <c r="X151" s="217"/>
      <c r="Y151" s="285"/>
      <c r="Z151" s="217"/>
      <c r="AA151" s="285"/>
      <c r="AB151" s="217"/>
      <c r="AC151" s="285"/>
      <c r="AD151" s="258"/>
      <c r="AE151" s="285"/>
      <c r="AF151" s="217"/>
      <c r="AG151" s="286"/>
      <c r="AH151" s="217"/>
      <c r="AI151" s="287"/>
      <c r="AJ151" s="217"/>
      <c r="AK151" s="285"/>
      <c r="AL151" s="217"/>
      <c r="AM151" s="285"/>
      <c r="AN151" s="250"/>
      <c r="AO151" s="286"/>
      <c r="AP151" s="217"/>
      <c r="AQ151" s="286"/>
      <c r="AR151" s="217"/>
      <c r="AS151" s="286"/>
      <c r="AT151" s="613"/>
      <c r="AU151" s="287"/>
      <c r="AV151" s="287"/>
      <c r="AW151" s="287"/>
      <c r="AX151" s="288"/>
      <c r="AY151" s="888"/>
      <c r="AZ151" s="888"/>
      <c r="BA151" s="888"/>
      <c r="BB151" s="5"/>
      <c r="BC151" s="5"/>
      <c r="BD151" s="863"/>
      <c r="BF151" s="885"/>
      <c r="BG151" s="18"/>
      <c r="BH151" s="15"/>
      <c r="BI151" s="1"/>
      <c r="BJ151" s="1"/>
      <c r="BK151" s="1"/>
      <c r="BL151" s="1"/>
      <c r="BM151" s="1"/>
      <c r="BN151" s="1"/>
      <c r="BO151" s="1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DA151" s="1"/>
      <c r="DB151" s="868"/>
      <c r="DC151" s="868"/>
      <c r="DD151" s="1"/>
      <c r="DE151" s="1"/>
      <c r="DF151" s="1"/>
      <c r="EF151" s="552"/>
      <c r="EG151" s="552"/>
    </row>
    <row r="152">
      <c r="A152" s="552" t="s">
        <v>312</v>
      </c>
      <c r="B152" s="552"/>
      <c r="C152" s="284">
        <f t="shared" si="136"/>
        <v>0</v>
      </c>
      <c r="D152" s="272">
        <f>'Расход-2026'!I1274</f>
        <v>0</v>
      </c>
      <c r="E152" s="272">
        <f>'Расход-2026'!J1274</f>
        <v>0</v>
      </c>
      <c r="F152" s="217">
        <f>BX133</f>
        <v>0</v>
      </c>
      <c r="G152" s="286"/>
      <c r="H152" s="217">
        <f>BY133</f>
        <v>0</v>
      </c>
      <c r="I152" s="286"/>
      <c r="J152" s="217">
        <f>BZ133</f>
        <v>0</v>
      </c>
      <c r="K152" s="285">
        <f t="shared" si="182"/>
        <v>0</v>
      </c>
      <c r="L152" s="258">
        <f>CA133</f>
        <v>0</v>
      </c>
      <c r="M152" s="287">
        <f t="shared" si="161"/>
        <v>0</v>
      </c>
      <c r="N152" s="258">
        <f>CD133</f>
        <v>0</v>
      </c>
      <c r="O152" s="285"/>
      <c r="P152" s="217">
        <f>CC133+CB133</f>
        <v>0</v>
      </c>
      <c r="Q152" s="272">
        <f t="shared" si="165"/>
        <v>0</v>
      </c>
      <c r="R152" s="217">
        <f>CE133</f>
        <v>0</v>
      </c>
      <c r="S152" s="285">
        <f t="shared" si="167"/>
        <v>0</v>
      </c>
      <c r="T152" s="217">
        <f>CF133</f>
        <v>0</v>
      </c>
      <c r="U152" s="285"/>
      <c r="V152" s="217">
        <f>CG133</f>
        <v>0</v>
      </c>
      <c r="W152" s="285"/>
      <c r="X152" s="217">
        <f>CH133</f>
        <v>0</v>
      </c>
      <c r="Y152" s="285"/>
      <c r="Z152" s="217">
        <f>CI133</f>
        <v>0</v>
      </c>
      <c r="AA152" s="285"/>
      <c r="AB152" s="217">
        <f>CJ133</f>
        <v>0</v>
      </c>
      <c r="AC152" s="285"/>
      <c r="AD152" s="258">
        <f>CK133</f>
        <v>0</v>
      </c>
      <c r="AE152" s="285"/>
      <c r="AF152" s="217">
        <f>CL133</f>
        <v>0</v>
      </c>
      <c r="AG152" s="286"/>
      <c r="AH152" s="217">
        <f>CM133</f>
        <v>0</v>
      </c>
      <c r="AI152" s="287"/>
      <c r="AJ152" s="217"/>
      <c r="AK152" s="285"/>
      <c r="AL152" s="217">
        <f>CO133</f>
        <v>0</v>
      </c>
      <c r="AM152" s="285"/>
      <c r="AN152" s="250"/>
      <c r="AO152" s="286"/>
      <c r="AP152" s="217"/>
      <c r="AQ152" s="286"/>
      <c r="AR152" s="217">
        <f>CS133</f>
        <v>0</v>
      </c>
      <c r="AS152" s="286">
        <f t="shared" si="178"/>
        <v>0</v>
      </c>
      <c r="AT152" s="613">
        <v>0</v>
      </c>
      <c r="AU152" s="287">
        <f>AT152*$AX$125/$AT$153</f>
        <v>0</v>
      </c>
      <c r="AV152" s="287"/>
      <c r="AW152" s="287"/>
      <c r="AX152" s="288">
        <f t="shared" si="156"/>
        <v>0</v>
      </c>
      <c r="AY152" s="888"/>
      <c r="AZ152" s="888"/>
      <c r="BA152" s="888"/>
      <c r="BB152" s="5"/>
      <c r="BC152" s="5"/>
      <c r="BD152" s="863">
        <f>зарплата!V145</f>
        <v>0</v>
      </c>
      <c r="BF152" s="885"/>
      <c r="BG152" s="18"/>
      <c r="BH152" s="15"/>
      <c r="BI152" s="1"/>
      <c r="BJ152" s="1"/>
      <c r="BK152" s="1"/>
      <c r="BL152" s="1"/>
      <c r="BM152" s="1"/>
      <c r="BN152" s="1"/>
      <c r="BO152" s="1"/>
      <c r="BW152" s="11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DA152" s="1"/>
      <c r="DB152" s="868"/>
      <c r="DC152" s="868"/>
      <c r="DD152" s="1"/>
      <c r="DE152" s="1"/>
      <c r="DF152" s="1"/>
      <c r="EF152" s="552" t="s">
        <v>312</v>
      </c>
      <c r="EG152" s="552"/>
    </row>
    <row r="153" ht="23.449999999999999" customHeight="1">
      <c r="A153" s="942"/>
      <c r="B153" s="943"/>
      <c r="C153" s="944">
        <f>SUM(C113:C152)+C102</f>
        <v>82596896.99000001</v>
      </c>
      <c r="D153" s="249">
        <f>SUM(D113:D152)+D102</f>
        <v>25624750.599999998</v>
      </c>
      <c r="E153" s="249">
        <f>SUM(E113:E152)+E102</f>
        <v>56991969.100000001</v>
      </c>
      <c r="F153" s="258">
        <f>SUM(F11:F152)</f>
        <v>3140431.6529499996</v>
      </c>
      <c r="G153" s="258">
        <f>SUM(G113:G152)+G102</f>
        <v>6065419.6615461046</v>
      </c>
      <c r="H153" s="258">
        <f>SUM(H11:H152)</f>
        <v>59214597.251000002</v>
      </c>
      <c r="I153" s="258">
        <f>SUM(I113:I152)+I102</f>
        <v>22690051.986140426</v>
      </c>
      <c r="J153" s="258">
        <f>SUM(J11:J152)</f>
        <v>41210.5</v>
      </c>
      <c r="K153" s="258">
        <f>SUM(K113:K152)+K102</f>
        <v>986102.54000000004</v>
      </c>
      <c r="L153" s="258">
        <f>SUM(L11:L152)</f>
        <v>37409</v>
      </c>
      <c r="M153" s="258">
        <f>SUM(M113:M152)+M102</f>
        <v>1581915.3100000003</v>
      </c>
      <c r="N153" s="258">
        <f>SUM(N11:N152)</f>
        <v>25547</v>
      </c>
      <c r="O153" s="258">
        <f>SUM(O113:O152)+O102</f>
        <v>418413.30999999994</v>
      </c>
      <c r="P153" s="258">
        <f>SUM(P11:P152)</f>
        <v>301178</v>
      </c>
      <c r="Q153" s="258">
        <f>SUM(Q113:Q152)+Q102</f>
        <v>7273338.9980819551</v>
      </c>
      <c r="R153" s="258">
        <f>SUM(R11:R152)</f>
        <v>17689</v>
      </c>
      <c r="S153" s="258">
        <f>SUM(S113:S152)+S102</f>
        <v>42524.393226543165</v>
      </c>
      <c r="T153" s="258">
        <f>SUM(T11:T152)</f>
        <v>11381</v>
      </c>
      <c r="U153" s="258">
        <f>SUM(U113:U152)+U102</f>
        <v>311978.08427192725</v>
      </c>
      <c r="V153" s="258">
        <f>SUM(V11:V152)</f>
        <v>67516</v>
      </c>
      <c r="W153" s="258">
        <f>SUM(W113:W152)+W102</f>
        <v>13403.075886310504</v>
      </c>
      <c r="X153" s="258">
        <f>SUM(X11:X152)</f>
        <v>33883.800000000003</v>
      </c>
      <c r="Y153" s="258">
        <f>SUM(Y113:Y152)+Y102</f>
        <v>85853.564017747427</v>
      </c>
      <c r="Z153" s="258">
        <f>SUM(Z11:Z152)</f>
        <v>26712.5</v>
      </c>
      <c r="AA153" s="258">
        <f>SUM(AA113:AA152)+AA102</f>
        <v>39846.18</v>
      </c>
      <c r="AB153" s="258">
        <f>SUM(AB11:AB152)</f>
        <v>0</v>
      </c>
      <c r="AC153" s="258">
        <f>SUM(AC113:AC152)+AC102</f>
        <v>0</v>
      </c>
      <c r="AD153" s="258">
        <f>SUM(AD11:AD152)</f>
        <v>474</v>
      </c>
      <c r="AE153" s="258">
        <f>SUM(AE113:AE152)+AE102</f>
        <v>1607555.8318688846</v>
      </c>
      <c r="AF153" s="258">
        <f>SUM(AF11:AF152)</f>
        <v>663</v>
      </c>
      <c r="AG153" s="258">
        <f>SUM(AG113:AG152)+AG102</f>
        <v>8154298.8378253877</v>
      </c>
      <c r="AH153" s="258">
        <f>SUM(AH11:AH152)</f>
        <v>331</v>
      </c>
      <c r="AI153" s="258">
        <f>SUM(AI113:AI152)+AI102</f>
        <v>848947.90142517164</v>
      </c>
      <c r="AJ153" s="258">
        <f>SUM(AJ11:AJ152)</f>
        <v>0</v>
      </c>
      <c r="AK153" s="258">
        <f>SUM(AK113:AK152)+AK102</f>
        <v>1872186.1896896202</v>
      </c>
      <c r="AL153" s="258">
        <f>SUM(AL11:AL152)</f>
        <v>760</v>
      </c>
      <c r="AM153" s="258">
        <f>SUM(AM113:AM152)+AM102</f>
        <v>1945635.7313555088</v>
      </c>
      <c r="AN153" s="258">
        <f>SUM(AN113:AN152)+AN102</f>
        <v>83</v>
      </c>
      <c r="AO153" s="258">
        <f>SUM(AO113:AO152)+AO102</f>
        <v>387009.82999999996</v>
      </c>
      <c r="AP153" s="258">
        <f>SUM(AP9:AP152)</f>
        <v>3523</v>
      </c>
      <c r="AQ153" s="258">
        <f>SUM(AQ113:AQ152)+AQ102</f>
        <v>368427.14576780039</v>
      </c>
      <c r="AR153" s="258">
        <f>SUM(AR11:AR152)</f>
        <v>29436</v>
      </c>
      <c r="AS153" s="945">
        <f>SUM(AS113:AS152)+AS102</f>
        <v>622691.27959369007</v>
      </c>
      <c r="AT153" s="840">
        <f>SUM(AT11:AT152)</f>
        <v>4204</v>
      </c>
      <c r="AU153" s="258">
        <f>SUM(AU113:AU152)+AU102</f>
        <v>1646466.4264457086</v>
      </c>
      <c r="AV153" s="258">
        <f>SUM(AV11:AV152)</f>
        <v>0</v>
      </c>
      <c r="AW153" s="258">
        <f>SUM(AW113:AW152)+AW102</f>
        <v>0</v>
      </c>
      <c r="AX153" s="644">
        <f>SUM(AX113:AX152)+AX102</f>
        <v>139389180.86265054</v>
      </c>
      <c r="AY153" s="946"/>
      <c r="AZ153" s="946"/>
      <c r="BA153" s="946"/>
      <c r="BB153" s="927"/>
      <c r="BC153" s="927"/>
      <c r="BD153" s="863">
        <f>'зарплата'!V146</f>
        <v>0</v>
      </c>
      <c r="BF153" s="864"/>
      <c r="BG153" s="1"/>
      <c r="BH153" s="902"/>
      <c r="BI153" s="947"/>
      <c r="BJ153" s="1"/>
      <c r="BK153" s="1"/>
      <c r="BL153" s="1"/>
      <c r="BM153" s="1"/>
      <c r="BN153" s="1"/>
      <c r="BO153" s="1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DA153" s="1"/>
      <c r="DB153" s="868"/>
      <c r="DC153" s="868"/>
      <c r="DD153" s="1"/>
      <c r="DE153" s="1"/>
      <c r="DF153" s="1"/>
    </row>
    <row r="154">
      <c r="C154" s="948">
        <f>D154+E154</f>
        <v>82616719.699999988</v>
      </c>
      <c r="D154" s="949">
        <f>'Расход-2026'!I1278</f>
        <v>25624750.599999998</v>
      </c>
      <c r="E154" s="949">
        <f>'Расход-2026'!J1278</f>
        <v>56991969.099999994</v>
      </c>
      <c r="F154" s="950">
        <f>F153-BX134</f>
        <v>0</v>
      </c>
      <c r="G154" s="5">
        <f>AX128</f>
        <v>6065419.6615461037</v>
      </c>
      <c r="H154" s="950">
        <f>H153-BY134</f>
        <v>0</v>
      </c>
      <c r="I154" s="5">
        <f>AX143</f>
        <v>22690051.986140426</v>
      </c>
      <c r="J154" s="950">
        <f>J153-BZ134</f>
        <v>0</v>
      </c>
      <c r="K154" s="1">
        <f>AX142</f>
        <v>986102.54000000004</v>
      </c>
      <c r="L154" s="950">
        <f>L153-CA134</f>
        <v>0</v>
      </c>
      <c r="M154" s="1">
        <f>AX140</f>
        <v>1581915.3100000001</v>
      </c>
      <c r="N154" s="950">
        <f>N153-CD134</f>
        <v>0</v>
      </c>
      <c r="O154" s="18">
        <f>AX138</f>
        <v>418413.31</v>
      </c>
      <c r="P154" s="950">
        <f>P153-(CB134+CC134)</f>
        <v>-2620</v>
      </c>
      <c r="Q154" s="1">
        <f>AX137+AX139</f>
        <v>7337166.2885078527</v>
      </c>
      <c r="R154" s="950">
        <f>R153-CE134</f>
        <v>0</v>
      </c>
      <c r="S154" s="951">
        <f>AX136</f>
        <v>42547.240000000005</v>
      </c>
      <c r="T154" s="950">
        <f>T153-CF134</f>
        <v>0</v>
      </c>
      <c r="U154" s="951">
        <f>AX135</f>
        <v>313216.52938415698</v>
      </c>
      <c r="V154" s="950">
        <f>V153-CG134</f>
        <v>0</v>
      </c>
      <c r="W154" s="1">
        <f>AX134</f>
        <v>13403.075886310502</v>
      </c>
      <c r="X154" s="950">
        <f>X153-CH134</f>
        <v>0</v>
      </c>
      <c r="Y154" s="951">
        <f>AX148</f>
        <v>85904.26923335687</v>
      </c>
      <c r="Z154" s="950">
        <f>Z153-CI134</f>
        <v>0</v>
      </c>
      <c r="AA154" s="951">
        <f>AX149</f>
        <v>39846.18</v>
      </c>
      <c r="AB154" s="950">
        <f>AB153-CJ134</f>
        <v>0</v>
      </c>
      <c r="AC154" s="1">
        <f>AX127</f>
        <v>0</v>
      </c>
      <c r="AD154" s="950">
        <f>AD153-CK134</f>
        <v>0</v>
      </c>
      <c r="AE154" s="1">
        <f>AX129</f>
        <v>1607555.8318688846</v>
      </c>
      <c r="AF154" s="950">
        <f>AF153-CL134</f>
        <v>0</v>
      </c>
      <c r="AG154" s="766">
        <f>AX113+AX114</f>
        <v>8154298.8378253877</v>
      </c>
      <c r="AH154" s="950">
        <f>AH153-CM134</f>
        <v>0</v>
      </c>
      <c r="AI154" s="1">
        <f>AX116</f>
        <v>848947.90142517164</v>
      </c>
      <c r="AJ154" s="950">
        <f>AJ153-CO134</f>
        <v>-760</v>
      </c>
      <c r="AK154" s="1">
        <f>AX118+AX117</f>
        <v>1872186.1896896202</v>
      </c>
      <c r="AL154" s="950">
        <f>AL153-CO134</f>
        <v>0</v>
      </c>
      <c r="AM154" s="952">
        <f>AX115</f>
        <v>1945635.7313555088</v>
      </c>
      <c r="AN154" s="1"/>
      <c r="AO154" s="953">
        <f>CQ142</f>
        <v>387009.82999999996</v>
      </c>
      <c r="AP154" s="950">
        <f>'2026'!T1199-'2026'!T1198</f>
        <v>3523</v>
      </c>
      <c r="AQ154" s="5">
        <f>AX133</f>
        <v>368427.14576780045</v>
      </c>
      <c r="AR154" s="950">
        <f>AR153-CS134</f>
        <v>0</v>
      </c>
      <c r="AS154" s="5">
        <f>AX145</f>
        <v>622691.27959369018</v>
      </c>
      <c r="AT154" s="950"/>
      <c r="AU154" s="1">
        <f>AX125</f>
        <v>1656316.0700592869</v>
      </c>
      <c r="AV154" s="1"/>
      <c r="AW154" s="1"/>
      <c r="AX154" s="766"/>
      <c r="AY154" s="766"/>
      <c r="AZ154" s="766"/>
      <c r="BA154" s="766"/>
      <c r="BB154" s="22"/>
      <c r="BC154" s="22"/>
      <c r="BD154" s="863">
        <f>'зарплата'!V147</f>
        <v>0</v>
      </c>
      <c r="BE154" s="927"/>
      <c r="BF154" s="885"/>
      <c r="BG154" s="18"/>
      <c r="BH154" s="15"/>
      <c r="BI154" s="1"/>
      <c r="BJ154" s="1"/>
      <c r="BK154" s="1"/>
      <c r="BL154" s="1"/>
      <c r="BM154" s="1"/>
      <c r="BN154" s="1"/>
      <c r="BO154" s="1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DA154" s="1"/>
      <c r="DB154" s="868"/>
      <c r="DC154" s="868"/>
      <c r="DD154" s="1"/>
      <c r="DE154" s="1"/>
      <c r="DF154" s="1"/>
    </row>
    <row r="155" s="954" customFormat="1" ht="15.75">
      <c r="A155" s="955"/>
      <c r="B155" s="955"/>
      <c r="C155" s="956">
        <f>C153-C154</f>
        <v>-19822.709999978542</v>
      </c>
      <c r="D155" s="957">
        <f>D153-D154</f>
        <v>0</v>
      </c>
      <c r="E155" s="957">
        <f>E153-E154</f>
        <v>0</v>
      </c>
      <c r="F155" s="954">
        <v>1</v>
      </c>
      <c r="G155" s="958">
        <f>G153-G154</f>
        <v>0</v>
      </c>
      <c r="H155" s="954">
        <v>2</v>
      </c>
      <c r="I155" s="958">
        <f>I153-I154</f>
        <v>0</v>
      </c>
      <c r="J155" s="954">
        <v>3</v>
      </c>
      <c r="K155" s="959">
        <f>K153-K154</f>
        <v>0</v>
      </c>
      <c r="L155" s="954">
        <v>4</v>
      </c>
      <c r="M155" s="958">
        <f>M153-M154</f>
        <v>0</v>
      </c>
      <c r="N155" s="954">
        <v>7</v>
      </c>
      <c r="O155" s="959">
        <f>O153-O154</f>
        <v>0</v>
      </c>
      <c r="P155" s="954" t="s">
        <v>313</v>
      </c>
      <c r="Q155" s="959">
        <f>Q153-Q154</f>
        <v>-63827.290425897576</v>
      </c>
      <c r="R155" s="954">
        <v>8</v>
      </c>
      <c r="S155" s="959">
        <f>S153-S154</f>
        <v>-22.84677345684031</v>
      </c>
      <c r="T155" s="954">
        <v>9</v>
      </c>
      <c r="U155" s="959">
        <f>U153-U154</f>
        <v>-1238.4451122297323</v>
      </c>
      <c r="V155" s="954">
        <v>10</v>
      </c>
      <c r="W155" s="959">
        <f>W153-W154</f>
        <v>0</v>
      </c>
      <c r="X155" s="954">
        <v>11</v>
      </c>
      <c r="Y155" s="959">
        <f>Y153-Y154</f>
        <v>-50.705215609443258</v>
      </c>
      <c r="Z155" s="954">
        <v>12</v>
      </c>
      <c r="AA155" s="959">
        <f>AA153-AA154</f>
        <v>0</v>
      </c>
      <c r="AB155" s="954">
        <v>13</v>
      </c>
      <c r="AC155" s="959">
        <f>AC153-AC154</f>
        <v>0</v>
      </c>
      <c r="AD155" s="954">
        <v>14</v>
      </c>
      <c r="AE155" s="960">
        <f>AE153-AE154</f>
        <v>0</v>
      </c>
      <c r="AF155" s="954">
        <v>15</v>
      </c>
      <c r="AG155" s="958">
        <f>AG153-AG154</f>
        <v>0</v>
      </c>
      <c r="AH155" s="954">
        <v>16</v>
      </c>
      <c r="AI155" s="959">
        <f>AI153-AI154</f>
        <v>0</v>
      </c>
      <c r="AJ155" s="954">
        <v>17</v>
      </c>
      <c r="AK155" s="959">
        <f>AK153-AK154</f>
        <v>0</v>
      </c>
      <c r="AL155" s="954">
        <v>18</v>
      </c>
      <c r="AM155" s="961">
        <f>AM153-AM154</f>
        <v>0</v>
      </c>
      <c r="AN155" s="954">
        <v>19</v>
      </c>
      <c r="AO155" s="958">
        <f>AO153-AO154</f>
        <v>0</v>
      </c>
      <c r="AP155" s="958">
        <f>AP153-AP154</f>
        <v>0</v>
      </c>
      <c r="AQ155" s="958">
        <f>AQ153-AQ154</f>
        <v>0</v>
      </c>
      <c r="AR155" s="954">
        <v>21</v>
      </c>
      <c r="AS155" s="958">
        <f>AS153-AS154</f>
        <v>0</v>
      </c>
      <c r="AT155" s="954">
        <v>22</v>
      </c>
      <c r="AU155" s="959">
        <f>AU154-AU153</f>
        <v>9849.643613578286</v>
      </c>
      <c r="AX155" s="962"/>
      <c r="AY155" s="962"/>
      <c r="AZ155" s="962"/>
      <c r="BA155" s="962"/>
      <c r="BB155" s="962"/>
      <c r="BC155" s="962"/>
      <c r="BD155" s="863">
        <f>'зарплата'!V148</f>
        <v>0</v>
      </c>
      <c r="BE155" s="927"/>
      <c r="BF155" s="963"/>
      <c r="BH155" s="959"/>
      <c r="BJ155" s="964"/>
      <c r="BK155" s="965"/>
      <c r="BL155" s="965"/>
      <c r="BM155" s="965"/>
      <c r="BW155" s="965"/>
      <c r="BX155" s="966"/>
      <c r="BY155" s="966"/>
      <c r="BZ155" s="966"/>
      <c r="CA155" s="966"/>
      <c r="CB155" s="966"/>
      <c r="CC155" s="966"/>
      <c r="CD155" s="966"/>
      <c r="CE155" s="966"/>
      <c r="CF155" s="966"/>
      <c r="CG155" s="966"/>
      <c r="CH155" s="5"/>
      <c r="CI155" s="966"/>
      <c r="CJ155" s="966"/>
      <c r="CK155" s="966"/>
      <c r="CL155" s="966"/>
      <c r="CM155" s="966"/>
      <c r="CN155" s="966"/>
      <c r="CO155" s="966"/>
      <c r="CP155" s="966"/>
      <c r="CQ155" s="966"/>
      <c r="CR155" s="966"/>
      <c r="CS155" s="966"/>
      <c r="CT155" s="967"/>
      <c r="CU155" s="967"/>
      <c r="CV155" s="967"/>
      <c r="CW155" s="967"/>
      <c r="CX155" s="968"/>
      <c r="CY155" s="968"/>
      <c r="DB155" s="969"/>
      <c r="DC155" s="969"/>
    </row>
    <row r="156" s="902" customFormat="1" ht="15.75" customHeight="1">
      <c r="A156" s="970"/>
      <c r="B156" s="970"/>
      <c r="C156" s="971"/>
      <c r="D156" s="972"/>
      <c r="E156" s="972"/>
      <c r="G156" s="972"/>
      <c r="I156" s="972"/>
      <c r="AG156" s="972"/>
      <c r="AO156" s="972"/>
      <c r="AQ156" s="972"/>
      <c r="AS156" s="972"/>
      <c r="AX156" s="972"/>
      <c r="AY156" s="972"/>
      <c r="AZ156" s="972"/>
      <c r="BA156" s="972"/>
      <c r="BB156" s="973" t="s">
        <v>314</v>
      </c>
      <c r="BC156" s="973"/>
      <c r="BD156" s="863">
        <f>'зарплата'!V149</f>
        <v>0</v>
      </c>
      <c r="BE156" s="927">
        <f>SUM(BD113:BD156)</f>
        <v>146513823.72999999</v>
      </c>
      <c r="BF156" s="974"/>
      <c r="BJ156" s="18"/>
      <c r="BK156" s="18"/>
      <c r="BL156" s="18"/>
      <c r="BM156" s="18"/>
      <c r="BW156" s="1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966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10"/>
      <c r="CU156" s="10"/>
      <c r="CV156" s="10"/>
      <c r="CW156" s="10"/>
      <c r="CX156" s="11"/>
      <c r="CY156" s="11"/>
      <c r="DB156" s="975"/>
      <c r="DC156" s="975"/>
      <c r="GF156" s="947"/>
    </row>
    <row r="157" ht="20.25">
      <c r="F157" s="1"/>
      <c r="H157" s="1"/>
      <c r="J157" s="1"/>
      <c r="L157" s="1"/>
      <c r="M157" s="952"/>
      <c r="N157" s="1"/>
      <c r="P157" s="1"/>
      <c r="R157" s="1"/>
      <c r="T157" s="1"/>
      <c r="V157" s="1"/>
      <c r="X157" s="1"/>
      <c r="Z157" s="1"/>
      <c r="AB157" s="1"/>
      <c r="AD157" s="1"/>
      <c r="AF157" s="1"/>
      <c r="AH157" s="1"/>
      <c r="AI157" s="1"/>
      <c r="AJ157" s="1"/>
      <c r="AL157" s="1"/>
      <c r="AN157" s="1"/>
      <c r="AP157" s="1"/>
      <c r="AR157" s="1"/>
      <c r="AT157" s="1"/>
      <c r="AU157" s="1">
        <f>AX153-C153</f>
        <v>56792283.872650534</v>
      </c>
      <c r="AV157" s="1"/>
      <c r="AW157" s="1"/>
      <c r="AX157" s="5"/>
      <c r="AY157" s="5"/>
      <c r="AZ157" s="5"/>
      <c r="BA157" s="5"/>
      <c r="BB157" s="976" t="s">
        <v>22</v>
      </c>
      <c r="BC157" s="977"/>
      <c r="BD157" s="978">
        <f>'зарплата'!V150</f>
        <v>141448537.85000002</v>
      </c>
      <c r="BE157" s="927"/>
      <c r="BF157" s="864"/>
      <c r="BG157" s="1"/>
      <c r="BH157" s="15"/>
      <c r="BI157" s="1"/>
      <c r="BJ157" s="979"/>
      <c r="BK157" s="979"/>
      <c r="BL157" s="979"/>
      <c r="BM157" s="979"/>
      <c r="BN157" s="1"/>
      <c r="BO157" s="1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DA157" s="1"/>
      <c r="DB157" s="868"/>
      <c r="DC157" s="868"/>
      <c r="DD157" s="1"/>
      <c r="DE157" s="1"/>
      <c r="DF157" s="1"/>
    </row>
    <row r="158">
      <c r="F158" s="1"/>
      <c r="H158" s="1"/>
      <c r="J158" s="1"/>
      <c r="L158" s="1"/>
      <c r="M158" s="1"/>
      <c r="N158" s="1"/>
      <c r="P158" s="1"/>
      <c r="R158" s="1"/>
      <c r="T158" s="1"/>
      <c r="V158" s="1"/>
      <c r="X158" s="1"/>
      <c r="Z158" s="1"/>
      <c r="AB158" s="1"/>
      <c r="AD158" s="1"/>
      <c r="AF158" s="1"/>
      <c r="AH158" s="1"/>
      <c r="AI158" s="1"/>
      <c r="AJ158" s="1"/>
      <c r="AL158" s="1"/>
      <c r="AN158" s="1"/>
      <c r="AP158" s="1"/>
      <c r="AR158" s="1"/>
      <c r="AT158" s="1"/>
      <c r="AU158" s="1"/>
      <c r="AV158" s="1"/>
      <c r="AW158" s="1"/>
      <c r="AX158" s="5"/>
      <c r="AY158" s="5"/>
      <c r="AZ158" s="5"/>
      <c r="BA158" s="5"/>
      <c r="BB158" s="5"/>
      <c r="BC158" s="5"/>
      <c r="BD158" s="863">
        <f>'зарплата'!V151</f>
        <v>469672773.90999985</v>
      </c>
      <c r="BE158" s="927"/>
      <c r="BF158" s="864"/>
      <c r="BG158" s="1"/>
      <c r="BH158" s="15"/>
      <c r="BI158" s="1"/>
      <c r="BJ158" s="1"/>
      <c r="BK158" s="1"/>
      <c r="BL158" s="1"/>
      <c r="BM158" s="1"/>
      <c r="BN158" s="1"/>
      <c r="BO158" s="1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DA158" s="1"/>
      <c r="DB158" s="868"/>
      <c r="DC158" s="868"/>
      <c r="DD158" s="1"/>
      <c r="DE158" s="1"/>
      <c r="DF158" s="1"/>
    </row>
    <row r="159">
      <c r="F159" s="1"/>
      <c r="H159" s="1"/>
      <c r="J159" s="1"/>
      <c r="L159" s="1"/>
      <c r="M159" s="1"/>
      <c r="N159" s="1"/>
      <c r="P159" s="1"/>
      <c r="R159" s="1"/>
      <c r="T159" s="1"/>
      <c r="V159" s="1"/>
      <c r="X159" s="1"/>
      <c r="Z159" s="1"/>
      <c r="AB159" s="1"/>
      <c r="AD159" s="1"/>
      <c r="AF159" s="1"/>
      <c r="AH159" s="1"/>
      <c r="AI159" s="1"/>
      <c r="AJ159" s="1"/>
      <c r="AL159" s="1"/>
      <c r="AN159" s="1"/>
      <c r="AP159" s="1"/>
      <c r="AR159" s="1"/>
      <c r="AT159" s="285" t="s">
        <v>315</v>
      </c>
      <c r="AU159" s="1"/>
      <c r="AV159" s="1"/>
      <c r="AW159" s="1"/>
      <c r="AX159" s="5"/>
      <c r="AY159" s="5"/>
      <c r="AZ159" s="5"/>
      <c r="BA159" s="5"/>
      <c r="BB159" s="5"/>
      <c r="BC159" s="5"/>
      <c r="BD159" s="863" t="e">
        <f>зарплата!#REF!</f>
        <v>#REF!</v>
      </c>
      <c r="BF159" s="864"/>
      <c r="BG159" s="1"/>
      <c r="BH159" s="15"/>
      <c r="BI159" s="1"/>
      <c r="BJ159" s="1"/>
      <c r="BK159" s="1"/>
      <c r="BL159" s="1"/>
      <c r="BM159" s="1"/>
      <c r="BN159" s="1"/>
      <c r="BO159" s="1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DA159" s="1"/>
      <c r="DB159" s="868"/>
      <c r="DC159" s="868"/>
      <c r="DD159" s="1"/>
      <c r="DE159" s="1"/>
      <c r="DF159" s="1"/>
    </row>
    <row r="160" ht="18.75">
      <c r="A160" s="980"/>
      <c r="B160" s="980"/>
      <c r="C160" s="981"/>
      <c r="D160" s="889"/>
      <c r="E160" s="889"/>
      <c r="F160" s="889"/>
      <c r="H160" s="1"/>
      <c r="J160" s="1"/>
      <c r="L160" s="1"/>
      <c r="M160" s="1"/>
      <c r="N160" s="1"/>
      <c r="P160" s="1"/>
      <c r="R160" s="1"/>
      <c r="T160" s="1"/>
      <c r="V160" s="1"/>
      <c r="X160" s="1"/>
      <c r="Z160" s="1"/>
      <c r="AB160" s="1"/>
      <c r="AD160" s="1"/>
      <c r="AF160" s="1"/>
      <c r="AH160" s="1"/>
      <c r="AI160" s="1"/>
      <c r="AJ160" s="1"/>
      <c r="AL160" s="1"/>
      <c r="AN160" s="1"/>
      <c r="AP160" s="1"/>
      <c r="AR160" s="1"/>
      <c r="AT160" s="1"/>
      <c r="AU160" s="1"/>
      <c r="AV160" s="1"/>
      <c r="AW160" s="1"/>
      <c r="AX160" s="5"/>
      <c r="AY160" s="5"/>
      <c r="AZ160" s="5"/>
      <c r="BA160" s="5"/>
      <c r="BB160" s="982" t="s">
        <v>316</v>
      </c>
      <c r="BC160" s="983" t="s">
        <v>252</v>
      </c>
      <c r="BD160" s="863">
        <f>зарплата!V152</f>
        <v>464356048.73000002</v>
      </c>
      <c r="BF160" s="864"/>
      <c r="BG160" s="1"/>
      <c r="BH160" s="15"/>
      <c r="BI160" s="1"/>
      <c r="BJ160" s="1"/>
      <c r="BK160" s="1"/>
      <c r="BL160" s="1"/>
      <c r="BM160" s="1"/>
      <c r="BN160" s="1"/>
      <c r="BO160" s="1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DA160" s="1"/>
      <c r="DB160" s="868"/>
      <c r="DC160" s="868"/>
      <c r="DD160" s="1"/>
      <c r="DE160" s="1"/>
      <c r="DF160" s="1"/>
    </row>
    <row r="161">
      <c r="F161" s="1"/>
      <c r="H161" s="1"/>
      <c r="J161" s="1"/>
      <c r="L161" s="1"/>
      <c r="M161" s="1"/>
      <c r="N161" s="1"/>
      <c r="P161" s="1"/>
      <c r="R161" s="1"/>
      <c r="T161" s="1"/>
      <c r="V161" s="1"/>
      <c r="X161" s="1"/>
      <c r="Z161" s="1"/>
      <c r="AB161" s="1"/>
      <c r="AD161" s="1"/>
      <c r="AF161" s="1"/>
      <c r="AH161" s="1"/>
      <c r="AI161" s="1"/>
      <c r="AJ161" s="1"/>
      <c r="AL161" s="1"/>
      <c r="AN161" s="1"/>
      <c r="AP161" s="1"/>
      <c r="AR161" s="1"/>
      <c r="AT161" s="1"/>
      <c r="AU161" s="1"/>
      <c r="AV161" s="1"/>
      <c r="AW161" s="1"/>
      <c r="AX161" s="5"/>
      <c r="AY161" s="5"/>
      <c r="AZ161" s="5"/>
      <c r="BA161" s="5"/>
      <c r="BB161" s="984"/>
      <c r="BC161" s="985" t="s">
        <v>262</v>
      </c>
      <c r="BD161" s="863">
        <f>зарплата!V154</f>
        <v>0</v>
      </c>
      <c r="BF161" s="864"/>
      <c r="BG161" s="1"/>
      <c r="BH161" s="15"/>
      <c r="BI161" s="1"/>
      <c r="BJ161" s="1"/>
      <c r="BK161" s="1"/>
      <c r="BL161" s="1"/>
      <c r="BM161" s="1"/>
      <c r="BN161" s="1"/>
      <c r="BO161" s="1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DA161" s="1"/>
      <c r="DB161" s="868"/>
      <c r="DC161" s="868"/>
      <c r="DD161" s="1"/>
      <c r="DE161" s="1"/>
      <c r="DF161" s="1"/>
    </row>
    <row r="162" ht="25.5">
      <c r="F162" s="1"/>
      <c r="H162" s="1"/>
      <c r="J162" s="1"/>
      <c r="L162" s="1"/>
      <c r="M162" s="1"/>
      <c r="N162" s="1"/>
      <c r="P162" s="1"/>
      <c r="R162" s="1"/>
      <c r="T162" s="1"/>
      <c r="V162" s="1"/>
      <c r="X162" s="1"/>
      <c r="Z162" s="1"/>
      <c r="AB162" s="1"/>
      <c r="AD162" s="1"/>
      <c r="AF162" s="1"/>
      <c r="AH162" s="1"/>
      <c r="AI162" s="1"/>
      <c r="AJ162" s="1"/>
      <c r="AL162" s="1"/>
      <c r="AN162" s="1"/>
      <c r="AP162" s="1"/>
      <c r="AR162" s="1"/>
      <c r="AT162" s="1"/>
      <c r="AU162" s="1"/>
      <c r="AV162" s="1"/>
      <c r="AW162" s="1"/>
      <c r="AX162" s="5"/>
      <c r="AY162" s="5"/>
      <c r="AZ162" s="5"/>
      <c r="BA162" s="5"/>
      <c r="BB162" s="984"/>
      <c r="BC162" s="985" t="s">
        <v>253</v>
      </c>
      <c r="BD162" s="863">
        <f>'зарплата'!V155</f>
        <v>0</v>
      </c>
      <c r="BF162" s="864"/>
      <c r="BG162" s="1"/>
      <c r="BH162" s="15"/>
      <c r="BI162" s="1"/>
      <c r="BJ162" s="1"/>
      <c r="BK162" s="1"/>
      <c r="BL162" s="1"/>
      <c r="BM162" s="1"/>
      <c r="BN162" s="1"/>
      <c r="BO162" s="1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DA162" s="1"/>
      <c r="DB162" s="868"/>
      <c r="DC162" s="868"/>
      <c r="DD162" s="1"/>
      <c r="DE162" s="1"/>
      <c r="DF162" s="1"/>
    </row>
    <row r="163">
      <c r="F163" s="1"/>
      <c r="H163" s="1"/>
      <c r="J163" s="1"/>
      <c r="L163" s="1"/>
      <c r="M163" s="1"/>
      <c r="N163" s="1"/>
      <c r="P163" s="1"/>
      <c r="R163" s="1"/>
      <c r="T163" s="1"/>
      <c r="V163" s="1"/>
      <c r="X163" s="1"/>
      <c r="Z163" s="1"/>
      <c r="AB163" s="1"/>
      <c r="AD163" s="1"/>
      <c r="AF163" s="1"/>
      <c r="AH163" s="1"/>
      <c r="AI163" s="1"/>
      <c r="AJ163" s="1"/>
      <c r="AL163" s="1"/>
      <c r="AN163" s="1"/>
      <c r="AP163" s="1"/>
      <c r="AR163" s="1"/>
      <c r="AT163" s="1"/>
      <c r="AU163" s="1"/>
      <c r="AV163" s="1"/>
      <c r="AW163" s="1"/>
      <c r="AX163" s="5"/>
      <c r="AY163" s="5"/>
      <c r="AZ163" s="5"/>
      <c r="BA163" s="5"/>
      <c r="BB163" s="984"/>
      <c r="BC163" s="986" t="s">
        <v>266</v>
      </c>
      <c r="BD163" s="863">
        <f>'зарплата'!V156</f>
        <v>0</v>
      </c>
      <c r="BF163" s="864"/>
      <c r="BG163" s="1"/>
      <c r="BH163" s="15"/>
      <c r="BI163" s="1"/>
      <c r="BJ163" s="1"/>
      <c r="BK163" s="1"/>
      <c r="BL163" s="1"/>
      <c r="BM163" s="1"/>
      <c r="BN163" s="1"/>
      <c r="BO163" s="1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DA163" s="1"/>
      <c r="DB163" s="868"/>
      <c r="DC163" s="868"/>
      <c r="DD163" s="1"/>
      <c r="DE163" s="1"/>
      <c r="DF163" s="1"/>
    </row>
    <row r="164">
      <c r="F164" s="1"/>
      <c r="H164" s="1"/>
      <c r="J164" s="1"/>
      <c r="L164" s="1"/>
      <c r="M164" s="1"/>
      <c r="N164" s="1"/>
      <c r="P164" s="1"/>
      <c r="R164" s="1"/>
      <c r="T164" s="1"/>
      <c r="V164" s="1"/>
      <c r="X164" s="1"/>
      <c r="Z164" s="1"/>
      <c r="AB164" s="1"/>
      <c r="AD164" s="1"/>
      <c r="AF164" s="1"/>
      <c r="AH164" s="1"/>
      <c r="AI164" s="1"/>
      <c r="AJ164" s="1"/>
      <c r="AL164" s="1"/>
      <c r="AN164" s="1"/>
      <c r="AP164" s="1"/>
      <c r="AR164" s="1"/>
      <c r="AT164" s="1"/>
      <c r="AU164" s="1"/>
      <c r="AV164" s="1"/>
      <c r="AW164" s="1"/>
      <c r="AX164" s="5"/>
      <c r="AY164" s="5"/>
      <c r="AZ164" s="5"/>
      <c r="BA164" s="5"/>
      <c r="BB164" s="987"/>
      <c r="BC164" s="988" t="s">
        <v>317</v>
      </c>
      <c r="BD164" s="863">
        <f>'зарплата'!V157</f>
        <v>0</v>
      </c>
      <c r="BF164" s="864"/>
      <c r="BG164" s="1"/>
      <c r="BH164" s="15"/>
      <c r="BI164" s="1"/>
      <c r="BJ164" s="1"/>
      <c r="BK164" s="1"/>
      <c r="BL164" s="1"/>
      <c r="BM164" s="1"/>
      <c r="BN164" s="1"/>
      <c r="BO164" s="1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DA164" s="1"/>
      <c r="DB164" s="868"/>
      <c r="DC164" s="868"/>
      <c r="DD164" s="1"/>
      <c r="DE164" s="1"/>
      <c r="DF164" s="1"/>
    </row>
    <row r="165">
      <c r="F165" s="1"/>
      <c r="H165" s="1"/>
      <c r="J165" s="1"/>
      <c r="L165" s="1"/>
      <c r="M165" s="1"/>
      <c r="N165" s="1"/>
      <c r="P165" s="1"/>
      <c r="R165" s="1"/>
      <c r="T165" s="1"/>
      <c r="V165" s="1"/>
      <c r="X165" s="1"/>
      <c r="Z165" s="1"/>
      <c r="AB165" s="1"/>
      <c r="AD165" s="1"/>
      <c r="AF165" s="1"/>
      <c r="AH165" s="1"/>
      <c r="AI165" s="1"/>
      <c r="AJ165" s="1"/>
      <c r="AL165" s="1"/>
      <c r="AN165" s="1"/>
      <c r="AP165" s="1"/>
      <c r="AR165" s="1"/>
      <c r="AT165" s="1"/>
      <c r="AU165" s="1"/>
      <c r="AV165" s="1"/>
      <c r="AW165" s="1"/>
      <c r="AX165" s="5"/>
      <c r="AY165" s="5"/>
      <c r="AZ165" s="5"/>
      <c r="BA165" s="5"/>
      <c r="BB165" s="2"/>
      <c r="BC165" s="989"/>
      <c r="BD165" s="863">
        <f>'зарплата'!V158</f>
        <v>0</v>
      </c>
      <c r="BF165" s="864"/>
      <c r="BG165" s="1"/>
      <c r="BH165" s="15"/>
      <c r="BI165" s="1"/>
      <c r="BJ165" s="1"/>
      <c r="BK165" s="1"/>
      <c r="BL165" s="1"/>
      <c r="BM165" s="1"/>
      <c r="BN165" s="1"/>
      <c r="BO165" s="1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DA165" s="1"/>
      <c r="DB165" s="868"/>
      <c r="DC165" s="868"/>
      <c r="DD165" s="1"/>
      <c r="DE165" s="1"/>
      <c r="DF165" s="1"/>
    </row>
    <row r="166" ht="15.75">
      <c r="F166" s="1"/>
      <c r="H166" s="1"/>
      <c r="J166" s="1"/>
      <c r="L166" s="1"/>
      <c r="M166" s="1"/>
      <c r="N166" s="1"/>
      <c r="P166" s="1"/>
      <c r="R166" s="1"/>
      <c r="T166" s="1"/>
      <c r="V166" s="1"/>
      <c r="X166" s="1"/>
      <c r="Z166" s="1"/>
      <c r="AB166" s="1"/>
      <c r="AD166" s="1"/>
      <c r="AF166" s="1"/>
      <c r="AH166" s="1"/>
      <c r="AI166" s="1"/>
      <c r="AJ166" s="1"/>
      <c r="AL166" s="1"/>
      <c r="AN166" s="1"/>
      <c r="AP166" s="1"/>
      <c r="AR166" s="1"/>
      <c r="AT166" s="1"/>
      <c r="AU166" s="1"/>
      <c r="AV166" s="1"/>
      <c r="AW166" s="1"/>
      <c r="AX166" s="5"/>
      <c r="AY166" s="5"/>
      <c r="AZ166" s="5"/>
      <c r="BA166" s="5"/>
      <c r="BB166" s="990" t="s">
        <v>318</v>
      </c>
      <c r="BC166" s="991" t="s">
        <v>252</v>
      </c>
      <c r="BD166" s="863">
        <f>'зарплата'!V159</f>
        <v>0</v>
      </c>
      <c r="BF166" s="864"/>
      <c r="BG166" s="1"/>
      <c r="BH166" s="15"/>
      <c r="BI166" s="1"/>
      <c r="BJ166" s="1"/>
      <c r="BK166" s="1"/>
      <c r="BL166" s="1"/>
      <c r="BM166" s="1"/>
      <c r="BN166" s="1"/>
      <c r="BO166" s="1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DA166" s="1"/>
      <c r="DB166" s="868"/>
      <c r="DC166" s="868"/>
      <c r="DD166" s="1"/>
      <c r="DE166" s="1"/>
      <c r="DF166" s="1"/>
    </row>
    <row r="167">
      <c r="F167" s="1"/>
      <c r="H167" s="1"/>
      <c r="J167" s="1"/>
      <c r="L167" s="1"/>
      <c r="M167" s="1"/>
      <c r="N167" s="1"/>
      <c r="P167" s="1"/>
      <c r="R167" s="1"/>
      <c r="T167" s="1"/>
      <c r="V167" s="1"/>
      <c r="X167" s="1"/>
      <c r="Z167" s="1"/>
      <c r="AB167" s="1"/>
      <c r="AD167" s="1"/>
      <c r="AF167" s="1"/>
      <c r="AH167" s="1"/>
      <c r="AI167" s="1"/>
      <c r="AJ167" s="1"/>
      <c r="AL167" s="1"/>
      <c r="AN167" s="1"/>
      <c r="AP167" s="1"/>
      <c r="AR167" s="1"/>
      <c r="AT167" s="1"/>
      <c r="AU167" s="1"/>
      <c r="AV167" s="1"/>
      <c r="AW167" s="1"/>
      <c r="AX167" s="5"/>
      <c r="AY167" s="5"/>
      <c r="AZ167" s="5"/>
      <c r="BA167" s="5"/>
      <c r="BB167" s="2"/>
      <c r="BC167" s="985" t="s">
        <v>262</v>
      </c>
      <c r="BD167" s="863">
        <f>'зарплата'!V160</f>
        <v>0</v>
      </c>
      <c r="BF167" s="864"/>
      <c r="BG167" s="1"/>
      <c r="BH167" s="15"/>
      <c r="BI167" s="1"/>
      <c r="BJ167" s="1"/>
      <c r="BK167" s="1"/>
      <c r="BL167" s="1"/>
      <c r="BM167" s="1"/>
      <c r="BN167" s="1"/>
      <c r="BO167" s="1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DA167" s="1"/>
      <c r="DB167" s="868"/>
      <c r="DC167" s="868"/>
      <c r="DD167" s="1"/>
      <c r="DE167" s="1"/>
      <c r="DF167" s="1"/>
    </row>
    <row r="168" ht="25.5">
      <c r="F168" s="1"/>
      <c r="H168" s="1"/>
      <c r="J168" s="1"/>
      <c r="L168" s="1"/>
      <c r="M168" s="1"/>
      <c r="N168" s="1"/>
      <c r="P168" s="1"/>
      <c r="R168" s="1"/>
      <c r="T168" s="1"/>
      <c r="V168" s="1"/>
      <c r="X168" s="1"/>
      <c r="Z168" s="1"/>
      <c r="AB168" s="1"/>
      <c r="AD168" s="1"/>
      <c r="AF168" s="1"/>
      <c r="AH168" s="1"/>
      <c r="AI168" s="1"/>
      <c r="AJ168" s="1"/>
      <c r="AL168" s="1"/>
      <c r="AN168" s="1"/>
      <c r="AP168" s="1"/>
      <c r="AR168" s="1"/>
      <c r="AT168" s="1"/>
      <c r="AU168" s="1"/>
      <c r="AV168" s="1"/>
      <c r="AW168" s="1"/>
      <c r="AX168" s="5"/>
      <c r="AY168" s="5"/>
      <c r="AZ168" s="5"/>
      <c r="BA168" s="5"/>
      <c r="BB168" s="2"/>
      <c r="BC168" s="985" t="s">
        <v>253</v>
      </c>
      <c r="BD168" s="863">
        <f>'зарплата'!V161</f>
        <v>0</v>
      </c>
      <c r="BF168" s="864"/>
      <c r="BG168" s="1"/>
      <c r="BH168" s="15"/>
      <c r="BI168" s="1"/>
      <c r="BJ168" s="1"/>
      <c r="BK168" s="1"/>
      <c r="BL168" s="1"/>
      <c r="BM168" s="1"/>
      <c r="BN168" s="1"/>
      <c r="BO168" s="1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DA168" s="1"/>
      <c r="DB168" s="868"/>
      <c r="DC168" s="868"/>
      <c r="DD168" s="1"/>
      <c r="DE168" s="1"/>
      <c r="DF168" s="1"/>
    </row>
    <row r="169">
      <c r="F169" s="1"/>
      <c r="H169" s="1"/>
      <c r="J169" s="1"/>
      <c r="L169" s="1"/>
      <c r="M169" s="1"/>
      <c r="N169" s="1"/>
      <c r="P169" s="1"/>
      <c r="R169" s="1"/>
      <c r="T169" s="1"/>
      <c r="V169" s="1"/>
      <c r="X169" s="1"/>
      <c r="Z169" s="1"/>
      <c r="AB169" s="1"/>
      <c r="AD169" s="1"/>
      <c r="AF169" s="1"/>
      <c r="AH169" s="1"/>
      <c r="AI169" s="1"/>
      <c r="AJ169" s="1"/>
      <c r="AL169" s="1"/>
      <c r="AN169" s="1"/>
      <c r="AP169" s="1"/>
      <c r="AR169" s="1"/>
      <c r="AT169" s="1"/>
      <c r="AU169" s="1"/>
      <c r="AV169" s="1"/>
      <c r="AW169" s="1"/>
      <c r="AX169" s="5"/>
      <c r="AY169" s="5"/>
      <c r="AZ169" s="5"/>
      <c r="BA169" s="5"/>
      <c r="BB169" s="2"/>
      <c r="BC169" s="986" t="s">
        <v>266</v>
      </c>
      <c r="BD169" s="863">
        <f>'зарплата'!V162</f>
        <v>0</v>
      </c>
      <c r="BF169" s="864"/>
      <c r="BG169" s="1"/>
      <c r="BH169" s="15"/>
      <c r="BI169" s="1"/>
      <c r="BJ169" s="1"/>
      <c r="BK169" s="1"/>
      <c r="BL169" s="1"/>
      <c r="BM169" s="1"/>
      <c r="BN169" s="1"/>
      <c r="BO169" s="1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DA169" s="1"/>
      <c r="DB169" s="868"/>
      <c r="DC169" s="868"/>
      <c r="DD169" s="1"/>
      <c r="DE169" s="1"/>
      <c r="DF169" s="1"/>
    </row>
    <row r="170" s="11" customFormat="1">
      <c r="A170" s="992"/>
      <c r="B170" s="992"/>
      <c r="C170" s="993"/>
      <c r="G170" s="10"/>
      <c r="I170" s="10"/>
      <c r="AG170" s="10"/>
      <c r="AO170" s="10"/>
      <c r="AQ170" s="10"/>
      <c r="AS170" s="10"/>
      <c r="AX170" s="10"/>
      <c r="AY170" s="10"/>
      <c r="AZ170" s="10"/>
      <c r="BA170" s="10"/>
      <c r="BB170" s="2"/>
      <c r="BC170" s="988" t="s">
        <v>317</v>
      </c>
      <c r="BD170" s="863">
        <f>'зарплата'!V163</f>
        <v>0</v>
      </c>
      <c r="BE170" s="10"/>
      <c r="BF170" s="994"/>
      <c r="BH170" s="995"/>
      <c r="BW170" s="1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10"/>
      <c r="CU170" s="10"/>
      <c r="CV170" s="10"/>
      <c r="CW170" s="10"/>
    </row>
    <row r="171">
      <c r="F171" s="1"/>
      <c r="H171" s="1"/>
      <c r="J171" s="1"/>
      <c r="L171" s="1"/>
      <c r="M171" s="1"/>
      <c r="N171" s="1"/>
      <c r="P171" s="1"/>
      <c r="R171" s="1"/>
      <c r="T171" s="1"/>
      <c r="V171" s="1"/>
      <c r="X171" s="1"/>
      <c r="Z171" s="1"/>
      <c r="AB171" s="1"/>
      <c r="AD171" s="1"/>
      <c r="AF171" s="1"/>
      <c r="AH171" s="1"/>
      <c r="AI171" s="1"/>
      <c r="AJ171" s="1"/>
      <c r="AL171" s="1"/>
      <c r="AN171" s="1"/>
      <c r="AP171" s="1"/>
      <c r="AR171" s="1"/>
      <c r="AT171" s="1"/>
      <c r="AU171" s="1"/>
      <c r="AV171" s="1"/>
      <c r="AW171" s="1"/>
      <c r="AX171" s="5"/>
      <c r="AY171" s="5"/>
      <c r="AZ171" s="5"/>
      <c r="BA171" s="5"/>
      <c r="BB171" s="2"/>
      <c r="BC171" s="989"/>
      <c r="BD171" s="863">
        <f>'зарплата'!V164</f>
        <v>0</v>
      </c>
      <c r="BF171" s="864"/>
      <c r="BG171" s="1"/>
      <c r="BH171" s="15"/>
      <c r="BI171" s="1"/>
      <c r="BJ171" s="1"/>
      <c r="BK171" s="1"/>
      <c r="BL171" s="1"/>
      <c r="BM171" s="1"/>
      <c r="BN171" s="1"/>
      <c r="BO171" s="1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DA171" s="1"/>
      <c r="DB171" s="868"/>
      <c r="DC171" s="868"/>
      <c r="DD171" s="1"/>
      <c r="DE171" s="1"/>
      <c r="DF171" s="1"/>
    </row>
    <row r="172" ht="15.75">
      <c r="F172" s="1"/>
      <c r="H172" s="1"/>
      <c r="J172" s="1"/>
      <c r="L172" s="1"/>
      <c r="M172" s="1"/>
      <c r="N172" s="1"/>
      <c r="P172" s="1"/>
      <c r="R172" s="1"/>
      <c r="T172" s="1"/>
      <c r="V172" s="1"/>
      <c r="X172" s="1"/>
      <c r="Z172" s="1"/>
      <c r="AB172" s="1"/>
      <c r="AD172" s="1"/>
      <c r="AF172" s="1"/>
      <c r="AH172" s="1"/>
      <c r="AI172" s="1"/>
      <c r="AJ172" s="1"/>
      <c r="AL172" s="1"/>
      <c r="AN172" s="1"/>
      <c r="AP172" s="1"/>
      <c r="AR172" s="1"/>
      <c r="AT172" s="1"/>
      <c r="AU172" s="1"/>
      <c r="AV172" s="1"/>
      <c r="AW172" s="1"/>
      <c r="AX172" s="5"/>
      <c r="AY172" s="5"/>
      <c r="AZ172" s="5"/>
      <c r="BA172" s="5"/>
      <c r="BB172" s="982" t="s">
        <v>319</v>
      </c>
      <c r="BC172" s="983" t="s">
        <v>252</v>
      </c>
      <c r="BD172" s="863">
        <f>'зарплата'!V165</f>
        <v>0</v>
      </c>
      <c r="BF172" s="864"/>
      <c r="BG172" s="1"/>
      <c r="BH172" s="15"/>
      <c r="BI172" s="1"/>
      <c r="BJ172" s="1"/>
      <c r="BK172" s="1"/>
      <c r="BL172" s="1"/>
      <c r="BM172" s="1"/>
      <c r="BN172" s="1"/>
      <c r="BO172" s="1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DA172" s="1"/>
      <c r="DB172" s="868"/>
      <c r="DC172" s="868"/>
      <c r="DD172" s="1"/>
      <c r="DE172" s="1"/>
      <c r="DF172" s="1"/>
    </row>
    <row r="173">
      <c r="F173" s="1"/>
      <c r="H173" s="1"/>
      <c r="J173" s="1"/>
      <c r="L173" s="1"/>
      <c r="M173" s="1"/>
      <c r="N173" s="1"/>
      <c r="P173" s="1"/>
      <c r="R173" s="1"/>
      <c r="T173" s="1"/>
      <c r="V173" s="1"/>
      <c r="X173" s="1"/>
      <c r="Z173" s="1"/>
      <c r="AB173" s="1"/>
      <c r="AD173" s="1"/>
      <c r="AF173" s="1"/>
      <c r="AH173" s="1"/>
      <c r="AI173" s="1"/>
      <c r="AJ173" s="1"/>
      <c r="AL173" s="1"/>
      <c r="AN173" s="1"/>
      <c r="AP173" s="1"/>
      <c r="AR173" s="1"/>
      <c r="AT173" s="1"/>
      <c r="AU173" s="1"/>
      <c r="AV173" s="1"/>
      <c r="AW173" s="1"/>
      <c r="AX173" s="5"/>
      <c r="AY173" s="5"/>
      <c r="AZ173" s="5"/>
      <c r="BA173" s="5"/>
      <c r="BB173" s="984"/>
      <c r="BC173" s="985" t="s">
        <v>262</v>
      </c>
      <c r="BD173" s="863">
        <f>'зарплата'!V166</f>
        <v>0</v>
      </c>
      <c r="BF173" s="864"/>
      <c r="BG173" s="1"/>
      <c r="BH173" s="15"/>
      <c r="BI173" s="1"/>
      <c r="BJ173" s="1"/>
      <c r="BK173" s="1"/>
      <c r="BL173" s="1"/>
      <c r="BM173" s="1"/>
      <c r="BN173" s="1"/>
      <c r="BO173" s="1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DA173" s="1"/>
      <c r="DB173" s="868"/>
      <c r="DC173" s="868"/>
      <c r="DD173" s="1"/>
      <c r="DE173" s="1"/>
      <c r="DF173" s="1"/>
    </row>
    <row r="174" ht="25.5">
      <c r="F174" s="1"/>
      <c r="H174" s="1"/>
      <c r="J174" s="1"/>
      <c r="L174" s="1"/>
      <c r="M174" s="1"/>
      <c r="N174" s="1"/>
      <c r="P174" s="1"/>
      <c r="R174" s="1"/>
      <c r="T174" s="1"/>
      <c r="V174" s="1"/>
      <c r="X174" s="1"/>
      <c r="Z174" s="1"/>
      <c r="AB174" s="1"/>
      <c r="AD174" s="1"/>
      <c r="AF174" s="1"/>
      <c r="AH174" s="1"/>
      <c r="AI174" s="1"/>
      <c r="AJ174" s="1"/>
      <c r="AL174" s="1"/>
      <c r="AN174" s="1"/>
      <c r="AP174" s="1"/>
      <c r="AR174" s="1"/>
      <c r="AT174" s="1"/>
      <c r="AU174" s="1"/>
      <c r="AV174" s="1"/>
      <c r="AW174" s="1"/>
      <c r="AX174" s="5"/>
      <c r="AY174" s="5"/>
      <c r="AZ174" s="5"/>
      <c r="BA174" s="5"/>
      <c r="BB174" s="996"/>
      <c r="BC174" s="985" t="s">
        <v>253</v>
      </c>
      <c r="BD174" s="863">
        <f>'зарплата'!V167</f>
        <v>0</v>
      </c>
      <c r="BF174" s="864"/>
      <c r="BG174" s="1"/>
      <c r="BH174" s="15"/>
      <c r="BI174" s="1"/>
      <c r="BJ174" s="1"/>
      <c r="BK174" s="1"/>
      <c r="BL174" s="1"/>
      <c r="BM174" s="1"/>
      <c r="BN174" s="1"/>
      <c r="BO174" s="1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DA174" s="1"/>
      <c r="DB174" s="868"/>
      <c r="DC174" s="868"/>
      <c r="DD174" s="1"/>
      <c r="DE174" s="1"/>
      <c r="DF174" s="1"/>
    </row>
    <row r="175">
      <c r="F175" s="1"/>
      <c r="H175" s="1"/>
      <c r="J175" s="1"/>
      <c r="L175" s="1"/>
      <c r="M175" s="1"/>
      <c r="N175" s="1"/>
      <c r="P175" s="1"/>
      <c r="R175" s="1"/>
      <c r="T175" s="1"/>
      <c r="V175" s="1"/>
      <c r="X175" s="1"/>
      <c r="Z175" s="1"/>
      <c r="AB175" s="1"/>
      <c r="AD175" s="1"/>
      <c r="AF175" s="1"/>
      <c r="AH175" s="1"/>
      <c r="AI175" s="1"/>
      <c r="AJ175" s="1"/>
      <c r="AL175" s="1"/>
      <c r="AN175" s="1"/>
      <c r="AP175" s="1"/>
      <c r="AR175" s="1"/>
      <c r="AT175" s="1"/>
      <c r="AU175" s="1"/>
      <c r="AV175" s="1"/>
      <c r="AW175" s="1"/>
      <c r="AX175" s="5"/>
      <c r="AY175" s="5"/>
      <c r="AZ175" s="5"/>
      <c r="BA175" s="5"/>
      <c r="BB175" s="996"/>
      <c r="BC175" s="986" t="s">
        <v>266</v>
      </c>
      <c r="BD175" s="863">
        <f>'зарплата'!V168</f>
        <v>0</v>
      </c>
      <c r="BF175" s="864"/>
      <c r="BG175" s="1"/>
      <c r="BH175" s="15"/>
      <c r="BI175" s="1"/>
      <c r="BJ175" s="1"/>
      <c r="BK175" s="1"/>
      <c r="BL175" s="1"/>
      <c r="BM175" s="1"/>
      <c r="BN175" s="1"/>
      <c r="BO175" s="1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DA175" s="1"/>
      <c r="DB175" s="868"/>
      <c r="DC175" s="868"/>
      <c r="DD175" s="1"/>
      <c r="DE175" s="1"/>
      <c r="DF175" s="1"/>
    </row>
    <row r="176">
      <c r="F176" s="1"/>
      <c r="H176" s="1"/>
      <c r="J176" s="1"/>
      <c r="L176" s="1"/>
      <c r="M176" s="1"/>
      <c r="N176" s="1"/>
      <c r="P176" s="1"/>
      <c r="R176" s="1"/>
      <c r="T176" s="1"/>
      <c r="V176" s="1"/>
      <c r="X176" s="1"/>
      <c r="Z176" s="1"/>
      <c r="AB176" s="1"/>
      <c r="AD176" s="1"/>
      <c r="AF176" s="1"/>
      <c r="AH176" s="1"/>
      <c r="AI176" s="1"/>
      <c r="AJ176" s="1"/>
      <c r="AL176" s="1"/>
      <c r="AN176" s="1"/>
      <c r="AP176" s="1"/>
      <c r="AR176" s="1"/>
      <c r="AT176" s="1"/>
      <c r="AU176" s="1"/>
      <c r="AV176" s="1"/>
      <c r="AW176" s="1"/>
      <c r="AX176" s="5"/>
      <c r="AY176" s="5"/>
      <c r="AZ176" s="5"/>
      <c r="BA176" s="5"/>
      <c r="BB176" s="987"/>
      <c r="BC176" s="988" t="s">
        <v>317</v>
      </c>
      <c r="BD176" s="863">
        <f>'зарплата'!V169</f>
        <v>0</v>
      </c>
      <c r="BF176" s="864"/>
      <c r="BG176" s="1"/>
      <c r="BH176" s="15"/>
      <c r="BI176" s="1"/>
      <c r="BJ176" s="1"/>
      <c r="BK176" s="1"/>
      <c r="BL176" s="1"/>
      <c r="BM176" s="1"/>
      <c r="BN176" s="1"/>
      <c r="BO176" s="1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DA176" s="1"/>
      <c r="DB176" s="868"/>
      <c r="DC176" s="868"/>
      <c r="DD176" s="1"/>
      <c r="DE176" s="1"/>
      <c r="DF176" s="1"/>
    </row>
    <row r="177">
      <c r="F177" s="1"/>
      <c r="H177" s="1"/>
      <c r="J177" s="1"/>
      <c r="L177" s="1"/>
      <c r="M177" s="1"/>
      <c r="N177" s="1"/>
      <c r="P177" s="1"/>
      <c r="R177" s="1"/>
      <c r="T177" s="1"/>
      <c r="V177" s="1"/>
      <c r="X177" s="1"/>
      <c r="Z177" s="1"/>
      <c r="AB177" s="1"/>
      <c r="AD177" s="1"/>
      <c r="AF177" s="1"/>
      <c r="AH177" s="1"/>
      <c r="AI177" s="1"/>
      <c r="AJ177" s="1"/>
      <c r="AL177" s="1"/>
      <c r="AN177" s="1"/>
      <c r="AP177" s="1"/>
      <c r="AR177" s="1"/>
      <c r="AT177" s="1"/>
      <c r="AU177" s="1"/>
      <c r="AV177" s="1"/>
      <c r="AW177" s="1"/>
      <c r="AX177" s="5"/>
      <c r="AY177" s="5"/>
      <c r="AZ177" s="5"/>
      <c r="BA177" s="5"/>
      <c r="BB177" s="2"/>
      <c r="BC177" s="989"/>
      <c r="BD177" s="863">
        <f>'зарплата'!V170</f>
        <v>0</v>
      </c>
      <c r="BF177" s="864"/>
      <c r="BG177" s="1"/>
      <c r="BH177" s="15"/>
      <c r="BI177" s="1"/>
      <c r="BJ177" s="1"/>
      <c r="BK177" s="1"/>
      <c r="BL177" s="1"/>
      <c r="BM177" s="1"/>
      <c r="BN177" s="1"/>
      <c r="BO177" s="1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DA177" s="1"/>
      <c r="DB177" s="868"/>
      <c r="DC177" s="868"/>
      <c r="DD177" s="1"/>
      <c r="DE177" s="1"/>
      <c r="DF177" s="1"/>
    </row>
    <row r="178" ht="15.75">
      <c r="F178" s="1"/>
      <c r="H178" s="1"/>
      <c r="J178" s="1"/>
      <c r="L178" s="1"/>
      <c r="M178" s="1"/>
      <c r="N178" s="1"/>
      <c r="P178" s="1"/>
      <c r="R178" s="1"/>
      <c r="T178" s="1"/>
      <c r="V178" s="1"/>
      <c r="X178" s="1"/>
      <c r="Z178" s="1"/>
      <c r="AB178" s="1"/>
      <c r="AD178" s="1"/>
      <c r="AF178" s="1"/>
      <c r="AH178" s="1"/>
      <c r="AI178" s="1"/>
      <c r="AJ178" s="1"/>
      <c r="AL178" s="1"/>
      <c r="AN178" s="1"/>
      <c r="AP178" s="1"/>
      <c r="AR178" s="1"/>
      <c r="AT178" s="1"/>
      <c r="AU178" s="1"/>
      <c r="AV178" s="1"/>
      <c r="AW178" s="1"/>
      <c r="AX178" s="5"/>
      <c r="AY178" s="5"/>
      <c r="AZ178" s="5"/>
      <c r="BA178" s="5"/>
      <c r="BB178" s="990" t="s">
        <v>320</v>
      </c>
      <c r="BC178" s="991" t="s">
        <v>252</v>
      </c>
      <c r="BD178" s="863">
        <f>'зарплата'!V171</f>
        <v>0</v>
      </c>
      <c r="BF178" s="864"/>
      <c r="BG178" s="1"/>
      <c r="BH178" s="15"/>
      <c r="BI178" s="1"/>
      <c r="BJ178" s="1"/>
      <c r="BK178" s="1"/>
      <c r="BL178" s="1"/>
      <c r="BM178" s="1"/>
      <c r="BN178" s="1"/>
      <c r="BO178" s="1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DA178" s="1"/>
      <c r="DB178" s="868"/>
      <c r="DC178" s="868"/>
      <c r="DD178" s="1"/>
      <c r="DE178" s="1"/>
      <c r="DF178" s="1"/>
    </row>
    <row r="179">
      <c r="F179" s="1"/>
      <c r="H179" s="1"/>
      <c r="J179" s="1"/>
      <c r="L179" s="1"/>
      <c r="M179" s="1"/>
      <c r="N179" s="1"/>
      <c r="P179" s="1"/>
      <c r="R179" s="1"/>
      <c r="T179" s="1"/>
      <c r="V179" s="1"/>
      <c r="X179" s="1"/>
      <c r="Z179" s="1"/>
      <c r="AB179" s="1"/>
      <c r="AD179" s="1"/>
      <c r="AF179" s="1"/>
      <c r="AH179" s="1"/>
      <c r="AI179" s="1"/>
      <c r="AJ179" s="1"/>
      <c r="AL179" s="1"/>
      <c r="AN179" s="1"/>
      <c r="AP179" s="1"/>
      <c r="AR179" s="1"/>
      <c r="AT179" s="1"/>
      <c r="AU179" s="1"/>
      <c r="AV179" s="1"/>
      <c r="AW179" s="1"/>
      <c r="AX179" s="5"/>
      <c r="AY179" s="5"/>
      <c r="AZ179" s="5"/>
      <c r="BA179" s="5"/>
      <c r="BB179" s="2"/>
      <c r="BC179" s="985" t="s">
        <v>262</v>
      </c>
      <c r="BD179" s="863">
        <f>'зарплата'!V172</f>
        <v>0</v>
      </c>
      <c r="BF179" s="864"/>
      <c r="BG179" s="1"/>
      <c r="BH179" s="15"/>
      <c r="BI179" s="1"/>
      <c r="BJ179" s="1"/>
      <c r="BK179" s="1"/>
      <c r="BL179" s="1"/>
      <c r="BM179" s="1"/>
      <c r="BN179" s="1"/>
      <c r="BO179" s="1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DA179" s="1"/>
      <c r="DB179" s="868"/>
      <c r="DC179" s="868"/>
      <c r="DD179" s="1"/>
      <c r="DE179" s="1"/>
      <c r="DF179" s="1"/>
    </row>
    <row r="180" ht="25.5">
      <c r="F180" s="1"/>
      <c r="H180" s="1"/>
      <c r="J180" s="1"/>
      <c r="L180" s="1"/>
      <c r="M180" s="1"/>
      <c r="N180" s="1"/>
      <c r="P180" s="1"/>
      <c r="R180" s="1"/>
      <c r="T180" s="1"/>
      <c r="V180" s="1"/>
      <c r="X180" s="1"/>
      <c r="Z180" s="1"/>
      <c r="AB180" s="1"/>
      <c r="AD180" s="1"/>
      <c r="AF180" s="1"/>
      <c r="AH180" s="1"/>
      <c r="AI180" s="1"/>
      <c r="AJ180" s="1"/>
      <c r="AL180" s="1"/>
      <c r="AN180" s="1"/>
      <c r="AP180" s="1"/>
      <c r="AR180" s="1"/>
      <c r="AT180" s="1"/>
      <c r="AU180" s="1"/>
      <c r="AV180" s="1"/>
      <c r="AW180" s="1"/>
      <c r="AX180" s="5"/>
      <c r="AY180" s="5"/>
      <c r="AZ180" s="5"/>
      <c r="BA180" s="5"/>
      <c r="BB180" s="2"/>
      <c r="BC180" s="985" t="s">
        <v>253</v>
      </c>
      <c r="BD180" s="863">
        <f>'зарплата'!V173</f>
        <v>0</v>
      </c>
      <c r="BF180" s="864"/>
      <c r="BG180" s="1"/>
      <c r="BH180" s="15"/>
      <c r="BI180" s="1"/>
      <c r="BJ180" s="1"/>
      <c r="BK180" s="1"/>
      <c r="BL180" s="1"/>
      <c r="BM180" s="1"/>
      <c r="BN180" s="1"/>
      <c r="BO180" s="1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DA180" s="1"/>
      <c r="DB180" s="868"/>
      <c r="DC180" s="868"/>
      <c r="DD180" s="1"/>
      <c r="DE180" s="1"/>
      <c r="DF180" s="1"/>
    </row>
    <row r="181">
      <c r="F181" s="1"/>
      <c r="H181" s="1"/>
      <c r="J181" s="1"/>
      <c r="L181" s="1"/>
      <c r="M181" s="1"/>
      <c r="N181" s="1"/>
      <c r="P181" s="1"/>
      <c r="R181" s="1"/>
      <c r="T181" s="1"/>
      <c r="V181" s="1"/>
      <c r="X181" s="1"/>
      <c r="Z181" s="1"/>
      <c r="AB181" s="1"/>
      <c r="AD181" s="1"/>
      <c r="AF181" s="1"/>
      <c r="AH181" s="1"/>
      <c r="AI181" s="1"/>
      <c r="AJ181" s="1"/>
      <c r="AL181" s="1"/>
      <c r="AN181" s="1"/>
      <c r="AP181" s="1"/>
      <c r="AR181" s="1"/>
      <c r="AT181" s="1"/>
      <c r="AU181" s="1"/>
      <c r="AV181" s="1"/>
      <c r="AW181" s="1"/>
      <c r="AX181" s="5"/>
      <c r="AY181" s="5"/>
      <c r="AZ181" s="5"/>
      <c r="BA181" s="5"/>
      <c r="BB181" s="2"/>
      <c r="BC181" s="986" t="s">
        <v>266</v>
      </c>
      <c r="BD181" s="863">
        <f>'зарплата'!V174</f>
        <v>0</v>
      </c>
      <c r="BF181" s="864"/>
      <c r="BG181" s="1"/>
      <c r="BH181" s="15"/>
      <c r="BI181" s="1"/>
      <c r="BJ181" s="1"/>
      <c r="BK181" s="1"/>
      <c r="BL181" s="1"/>
      <c r="BM181" s="1"/>
      <c r="BN181" s="1"/>
      <c r="BO181" s="1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DA181" s="1"/>
      <c r="DB181" s="868"/>
      <c r="DC181" s="868"/>
      <c r="DD181" s="1"/>
      <c r="DE181" s="1"/>
      <c r="DF181" s="1"/>
    </row>
    <row r="182">
      <c r="F182" s="1"/>
      <c r="H182" s="1"/>
      <c r="J182" s="1"/>
      <c r="L182" s="1"/>
      <c r="M182" s="1"/>
      <c r="N182" s="1"/>
      <c r="P182" s="1"/>
      <c r="R182" s="1"/>
      <c r="T182" s="1"/>
      <c r="V182" s="1"/>
      <c r="X182" s="1"/>
      <c r="Z182" s="1"/>
      <c r="AB182" s="1"/>
      <c r="AD182" s="1"/>
      <c r="AF182" s="1"/>
      <c r="AH182" s="1"/>
      <c r="AI182" s="1"/>
      <c r="AJ182" s="1"/>
      <c r="AL182" s="1"/>
      <c r="AN182" s="1"/>
      <c r="AP182" s="1"/>
      <c r="AR182" s="1"/>
      <c r="AT182" s="1"/>
      <c r="AU182" s="1"/>
      <c r="AV182" s="1"/>
      <c r="AW182" s="1"/>
      <c r="AX182" s="5"/>
      <c r="AY182" s="5"/>
      <c r="AZ182" s="5"/>
      <c r="BA182" s="5"/>
      <c r="BB182" s="2"/>
      <c r="BC182" s="988" t="s">
        <v>317</v>
      </c>
      <c r="BD182" s="863">
        <f>'зарплата'!V175</f>
        <v>0</v>
      </c>
      <c r="BF182" s="864"/>
      <c r="BG182" s="1"/>
      <c r="BH182" s="15"/>
      <c r="BI182" s="1"/>
      <c r="BJ182" s="1"/>
      <c r="BK182" s="1"/>
      <c r="BL182" s="1"/>
      <c r="BM182" s="1"/>
      <c r="BN182" s="1"/>
      <c r="BO182" s="1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DA182" s="1"/>
      <c r="DB182" s="868"/>
      <c r="DC182" s="868"/>
      <c r="DD182" s="1"/>
      <c r="DE182" s="1"/>
      <c r="DF182" s="1"/>
    </row>
    <row r="183">
      <c r="F183" s="1"/>
      <c r="H183" s="1"/>
      <c r="J183" s="1"/>
      <c r="L183" s="1"/>
      <c r="M183" s="1"/>
      <c r="N183" s="1"/>
      <c r="P183" s="1"/>
      <c r="R183" s="1"/>
      <c r="T183" s="1"/>
      <c r="V183" s="1"/>
      <c r="X183" s="1"/>
      <c r="Z183" s="1"/>
      <c r="AB183" s="1"/>
      <c r="AD183" s="1"/>
      <c r="AF183" s="1"/>
      <c r="AH183" s="1"/>
      <c r="AI183" s="1"/>
      <c r="AJ183" s="1"/>
      <c r="AL183" s="1"/>
      <c r="AN183" s="1"/>
      <c r="AP183" s="1"/>
      <c r="AR183" s="1"/>
      <c r="AT183" s="1"/>
      <c r="AU183" s="1"/>
      <c r="AV183" s="1"/>
      <c r="AW183" s="1"/>
      <c r="AX183" s="5"/>
      <c r="AY183" s="5"/>
      <c r="AZ183" s="5"/>
      <c r="BA183" s="5"/>
      <c r="BB183" s="2"/>
      <c r="BC183" s="2"/>
      <c r="BD183" s="863">
        <f>'зарплата'!V176</f>
        <v>0</v>
      </c>
      <c r="BF183" s="864"/>
      <c r="BG183" s="1"/>
      <c r="BH183" s="15"/>
      <c r="BI183" s="1"/>
      <c r="BJ183" s="1"/>
      <c r="BK183" s="1"/>
      <c r="BL183" s="1"/>
      <c r="BM183" s="1"/>
      <c r="BN183" s="1"/>
      <c r="BO183" s="1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DA183" s="1"/>
      <c r="DB183" s="868"/>
      <c r="DC183" s="868"/>
      <c r="DD183" s="1"/>
      <c r="DE183" s="1"/>
      <c r="DF183" s="1"/>
    </row>
    <row r="184">
      <c r="F184" s="1"/>
      <c r="H184" s="1"/>
      <c r="J184" s="1"/>
      <c r="L184" s="1"/>
      <c r="M184" s="1"/>
      <c r="N184" s="1"/>
      <c r="P184" s="1"/>
      <c r="R184" s="1"/>
      <c r="T184" s="1"/>
      <c r="V184" s="1"/>
      <c r="X184" s="1"/>
      <c r="Z184" s="1"/>
      <c r="AB184" s="1"/>
      <c r="AD184" s="1"/>
      <c r="AF184" s="1"/>
      <c r="AH184" s="1"/>
      <c r="AI184" s="1"/>
      <c r="AJ184" s="1"/>
      <c r="AL184" s="1"/>
      <c r="AN184" s="1"/>
      <c r="AP184" s="1"/>
      <c r="AR184" s="1"/>
      <c r="AT184" s="1"/>
      <c r="AU184" s="1"/>
      <c r="AV184" s="1"/>
      <c r="AW184" s="1"/>
      <c r="AX184" s="5"/>
      <c r="AY184" s="5"/>
      <c r="AZ184" s="5"/>
      <c r="BA184" s="5"/>
      <c r="BB184" s="2"/>
      <c r="BC184" s="2"/>
      <c r="BD184" s="863">
        <f>'зарплата'!V177</f>
        <v>0</v>
      </c>
      <c r="BF184" s="864"/>
      <c r="BG184" s="1"/>
      <c r="BH184" s="15"/>
      <c r="BI184" s="1"/>
      <c r="BJ184" s="1"/>
      <c r="BK184" s="1"/>
      <c r="BL184" s="1"/>
      <c r="BM184" s="1"/>
      <c r="BN184" s="1"/>
      <c r="BO184" s="1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DA184" s="1"/>
      <c r="DB184" s="868"/>
      <c r="DC184" s="868"/>
      <c r="DD184" s="1"/>
      <c r="DE184" s="1"/>
      <c r="DF184" s="1"/>
    </row>
    <row r="185" ht="25.5">
      <c r="F185" s="1"/>
      <c r="H185" s="1"/>
      <c r="J185" s="1"/>
      <c r="L185" s="1"/>
      <c r="M185" s="1"/>
      <c r="N185" s="1"/>
      <c r="P185" s="1"/>
      <c r="R185" s="1"/>
      <c r="T185" s="1"/>
      <c r="V185" s="1"/>
      <c r="X185" s="1"/>
      <c r="Z185" s="1"/>
      <c r="AB185" s="1"/>
      <c r="AD185" s="1"/>
      <c r="AF185" s="1"/>
      <c r="AH185" s="1"/>
      <c r="AI185" s="1"/>
      <c r="AJ185" s="1"/>
      <c r="AL185" s="1"/>
      <c r="AN185" s="1"/>
      <c r="AP185" s="1"/>
      <c r="AR185" s="1"/>
      <c r="AT185" s="1"/>
      <c r="AU185" s="1"/>
      <c r="AV185" s="1"/>
      <c r="AW185" s="1"/>
      <c r="AX185" s="5"/>
      <c r="AY185" s="5"/>
      <c r="AZ185" s="5"/>
      <c r="BA185" s="5"/>
      <c r="BB185" s="2" t="s">
        <v>321</v>
      </c>
      <c r="BC185" s="2"/>
      <c r="BD185" s="863">
        <f>зарплата!V149</f>
        <v>0</v>
      </c>
      <c r="BF185" s="864"/>
      <c r="BG185" s="1"/>
      <c r="BH185" s="15"/>
      <c r="BI185" s="1"/>
      <c r="BJ185" s="1"/>
      <c r="BK185" s="1"/>
      <c r="BL185" s="1"/>
      <c r="BM185" s="1"/>
      <c r="BN185" s="1"/>
      <c r="BO185" s="1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DA185" s="1"/>
      <c r="DB185" s="868"/>
      <c r="DC185" s="868"/>
      <c r="DD185" s="1"/>
      <c r="DE185" s="1"/>
      <c r="DF185" s="1"/>
    </row>
    <row r="186">
      <c r="F186" s="1"/>
      <c r="H186" s="1"/>
      <c r="J186" s="1"/>
      <c r="L186" s="1"/>
      <c r="M186" s="1"/>
      <c r="N186" s="1"/>
      <c r="P186" s="1"/>
      <c r="R186" s="1"/>
      <c r="T186" s="1"/>
      <c r="V186" s="1"/>
      <c r="X186" s="1"/>
      <c r="Z186" s="1"/>
      <c r="AB186" s="1"/>
      <c r="AD186" s="1"/>
      <c r="AF186" s="1"/>
      <c r="AH186" s="1"/>
      <c r="AI186" s="1"/>
      <c r="AJ186" s="1"/>
      <c r="AL186" s="1"/>
      <c r="AN186" s="1"/>
      <c r="AP186" s="1"/>
      <c r="AR186" s="1"/>
      <c r="AT186" s="1"/>
      <c r="AU186" s="1"/>
      <c r="AV186" s="1"/>
      <c r="AW186" s="1"/>
      <c r="AX186" s="5"/>
      <c r="AY186" s="5"/>
      <c r="AZ186" s="5"/>
      <c r="BA186" s="5"/>
      <c r="BB186" s="2"/>
      <c r="BC186" s="2"/>
      <c r="BD186" s="863">
        <f>зарплата!V179</f>
        <v>0</v>
      </c>
      <c r="BF186" s="864"/>
      <c r="BG186" s="1"/>
      <c r="BH186" s="15"/>
      <c r="BI186" s="1"/>
      <c r="BJ186" s="1"/>
      <c r="BK186" s="1"/>
      <c r="BL186" s="1"/>
      <c r="BM186" s="1"/>
      <c r="BN186" s="1"/>
      <c r="BO186" s="1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DA186" s="1"/>
      <c r="DB186" s="868"/>
      <c r="DC186" s="868"/>
      <c r="DD186" s="1"/>
      <c r="DE186" s="1"/>
      <c r="DF186" s="1"/>
    </row>
    <row r="187">
      <c r="F187" s="1"/>
      <c r="H187" s="1"/>
      <c r="J187" s="1"/>
      <c r="L187" s="1"/>
      <c r="M187" s="1"/>
      <c r="N187" s="1"/>
      <c r="P187" s="1"/>
      <c r="R187" s="1"/>
      <c r="T187" s="1"/>
      <c r="V187" s="1"/>
      <c r="X187" s="1"/>
      <c r="Z187" s="1"/>
      <c r="AB187" s="1"/>
      <c r="AD187" s="1"/>
      <c r="AF187" s="1"/>
      <c r="AH187" s="1"/>
      <c r="AI187" s="1"/>
      <c r="AJ187" s="1"/>
      <c r="AL187" s="1"/>
      <c r="AN187" s="1"/>
      <c r="AP187" s="1"/>
      <c r="AR187" s="1"/>
      <c r="AT187" s="1"/>
      <c r="AU187" s="1"/>
      <c r="AV187" s="1"/>
      <c r="AW187" s="1"/>
      <c r="AX187" s="5"/>
      <c r="AY187" s="5"/>
      <c r="AZ187" s="5"/>
      <c r="BA187" s="5"/>
      <c r="BB187" s="2"/>
      <c r="BC187" s="2"/>
      <c r="BD187" s="863">
        <f>'зарплата'!V180</f>
        <v>0</v>
      </c>
      <c r="BF187" s="864"/>
      <c r="BG187" s="1"/>
      <c r="BH187" s="15"/>
      <c r="BI187" s="1"/>
      <c r="BJ187" s="1"/>
      <c r="BK187" s="1"/>
      <c r="BL187" s="1"/>
      <c r="BM187" s="1"/>
      <c r="BN187" s="1"/>
      <c r="BO187" s="1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DA187" s="1"/>
      <c r="DB187" s="868"/>
      <c r="DC187" s="868"/>
      <c r="DD187" s="1"/>
      <c r="DE187" s="1"/>
      <c r="DF187" s="1"/>
    </row>
    <row r="188">
      <c r="F188" s="1"/>
      <c r="H188" s="1"/>
      <c r="J188" s="1"/>
      <c r="L188" s="1"/>
      <c r="M188" s="1"/>
      <c r="N188" s="1"/>
      <c r="P188" s="1"/>
      <c r="R188" s="1"/>
      <c r="T188" s="1"/>
      <c r="V188" s="1"/>
      <c r="X188" s="1"/>
      <c r="Z188" s="1"/>
      <c r="AB188" s="1"/>
      <c r="AD188" s="1"/>
      <c r="AF188" s="1"/>
      <c r="AH188" s="1"/>
      <c r="AI188" s="1"/>
      <c r="AJ188" s="1"/>
      <c r="AL188" s="1"/>
      <c r="AN188" s="1"/>
      <c r="AP188" s="1"/>
      <c r="AR188" s="1"/>
      <c r="AT188" s="1"/>
      <c r="AU188" s="1"/>
      <c r="AV188" s="1"/>
      <c r="AW188" s="1"/>
      <c r="AX188" s="5"/>
      <c r="AY188" s="5"/>
      <c r="AZ188" s="5"/>
      <c r="BA188" s="5"/>
      <c r="BD188" s="997">
        <f>зарплата!V150</f>
        <v>141448537.85000002</v>
      </c>
      <c r="BF188" s="864"/>
      <c r="BG188" s="1"/>
      <c r="BH188" s="15"/>
      <c r="BI188" s="1"/>
      <c r="BJ188" s="1"/>
      <c r="BK188" s="1"/>
      <c r="BL188" s="1"/>
      <c r="BM188" s="1"/>
      <c r="BN188" s="1"/>
      <c r="BO188" s="1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DA188" s="1"/>
      <c r="DB188" s="868"/>
      <c r="DC188" s="868"/>
      <c r="DD188" s="1"/>
      <c r="DE188" s="1"/>
      <c r="DF188" s="1"/>
    </row>
    <row r="189">
      <c r="F189" s="1"/>
      <c r="H189" s="1"/>
      <c r="J189" s="1"/>
      <c r="L189" s="1"/>
      <c r="M189" s="1"/>
      <c r="N189" s="1"/>
      <c r="P189" s="1"/>
      <c r="R189" s="1"/>
      <c r="T189" s="1"/>
      <c r="V189" s="1"/>
      <c r="X189" s="1"/>
      <c r="Z189" s="1"/>
      <c r="AB189" s="1"/>
      <c r="AD189" s="1"/>
      <c r="AF189" s="1"/>
      <c r="AH189" s="1"/>
      <c r="AI189" s="1"/>
      <c r="AJ189" s="1"/>
      <c r="AL189" s="1"/>
      <c r="AN189" s="1"/>
      <c r="AP189" s="1"/>
      <c r="AR189" s="1"/>
      <c r="AT189" s="1"/>
      <c r="AU189" s="1"/>
      <c r="AV189" s="1"/>
      <c r="AW189" s="1"/>
      <c r="AX189" s="5"/>
      <c r="AY189" s="5"/>
      <c r="AZ189" s="5"/>
      <c r="BA189" s="5"/>
      <c r="BB189" s="5"/>
      <c r="BC189" s="5"/>
      <c r="BD189" s="766"/>
      <c r="BF189" s="864"/>
      <c r="BG189" s="1"/>
      <c r="BH189" s="15"/>
      <c r="BI189" s="1"/>
      <c r="BJ189" s="1"/>
      <c r="BK189" s="1"/>
      <c r="BL189" s="1"/>
      <c r="BM189" s="1"/>
      <c r="BN189" s="1"/>
      <c r="BO189" s="1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DA189" s="1"/>
      <c r="DB189" s="868"/>
      <c r="DC189" s="868"/>
      <c r="DD189" s="1"/>
      <c r="DE189" s="1"/>
      <c r="DF189" s="1"/>
    </row>
    <row r="190">
      <c r="F190" s="1"/>
      <c r="H190" s="1"/>
      <c r="J190" s="1"/>
      <c r="L190" s="1"/>
      <c r="M190" s="1"/>
      <c r="N190" s="1"/>
      <c r="P190" s="1"/>
      <c r="R190" s="1"/>
      <c r="T190" s="1"/>
      <c r="V190" s="1"/>
      <c r="X190" s="1"/>
      <c r="Z190" s="1"/>
      <c r="AB190" s="1"/>
      <c r="AD190" s="1"/>
      <c r="AF190" s="1"/>
      <c r="AH190" s="1"/>
      <c r="AI190" s="1"/>
      <c r="AJ190" s="1"/>
      <c r="AL190" s="1"/>
      <c r="AN190" s="1"/>
      <c r="AP190" s="1"/>
      <c r="AR190" s="1"/>
      <c r="AT190" s="1"/>
      <c r="AU190" s="1"/>
      <c r="AV190" s="1"/>
      <c r="AW190" s="1"/>
      <c r="AX190" s="5"/>
      <c r="AY190" s="5"/>
      <c r="AZ190" s="5"/>
      <c r="BA190" s="5"/>
      <c r="BB190" s="5"/>
      <c r="BC190" s="5"/>
      <c r="BD190" s="766"/>
      <c r="BF190" s="864"/>
      <c r="BG190" s="1"/>
      <c r="BH190" s="15"/>
      <c r="BI190" s="1"/>
      <c r="BJ190" s="1"/>
      <c r="BK190" s="1"/>
      <c r="BL190" s="1"/>
      <c r="BM190" s="1"/>
      <c r="BN190" s="1"/>
      <c r="BO190" s="1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DA190" s="1"/>
      <c r="DB190" s="868"/>
      <c r="DC190" s="868"/>
      <c r="DD190" s="1"/>
      <c r="DE190" s="1"/>
      <c r="DF190" s="1"/>
    </row>
    <row r="191">
      <c r="F191" s="1"/>
      <c r="H191" s="1"/>
      <c r="J191" s="1"/>
      <c r="L191" s="1"/>
      <c r="M191" s="1"/>
      <c r="N191" s="1"/>
      <c r="P191" s="1"/>
      <c r="R191" s="1"/>
      <c r="T191" s="1"/>
      <c r="V191" s="1"/>
      <c r="X191" s="1"/>
      <c r="Z191" s="1"/>
      <c r="AB191" s="1"/>
      <c r="AD191" s="1"/>
      <c r="AF191" s="1"/>
      <c r="AH191" s="1"/>
      <c r="AI191" s="1"/>
      <c r="AJ191" s="1"/>
      <c r="AL191" s="1"/>
      <c r="AN191" s="1"/>
      <c r="AP191" s="1"/>
      <c r="AR191" s="1"/>
      <c r="AT191" s="1"/>
      <c r="AU191" s="1"/>
      <c r="AV191" s="1"/>
      <c r="AW191" s="1"/>
      <c r="AX191" s="5"/>
      <c r="AY191" s="5"/>
      <c r="AZ191" s="5"/>
      <c r="BA191" s="5"/>
      <c r="BB191" s="5"/>
      <c r="BC191" s="5"/>
      <c r="BD191" s="766"/>
      <c r="BF191" s="864"/>
      <c r="BG191" s="1"/>
      <c r="BH191" s="15"/>
      <c r="BI191" s="1"/>
      <c r="BJ191" s="1"/>
      <c r="BK191" s="1"/>
      <c r="BL191" s="1"/>
      <c r="BM191" s="1"/>
      <c r="BN191" s="1"/>
      <c r="BO191" s="1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DA191" s="1"/>
      <c r="DB191" s="868"/>
      <c r="DC191" s="868"/>
      <c r="DD191" s="1"/>
      <c r="DE191" s="1"/>
      <c r="DF191" s="1"/>
    </row>
    <row r="192">
      <c r="F192" s="1"/>
      <c r="H192" s="1"/>
      <c r="J192" s="1"/>
      <c r="L192" s="1"/>
      <c r="M192" s="1"/>
      <c r="N192" s="1"/>
      <c r="P192" s="1"/>
      <c r="R192" s="1"/>
      <c r="T192" s="1"/>
      <c r="V192" s="1"/>
      <c r="X192" s="1"/>
      <c r="Z192" s="1"/>
      <c r="AB192" s="1"/>
      <c r="AD192" s="1"/>
      <c r="AF192" s="1"/>
      <c r="AH192" s="1"/>
      <c r="AI192" s="1"/>
      <c r="AJ192" s="1"/>
      <c r="AL192" s="1"/>
      <c r="AN192" s="1"/>
      <c r="AP192" s="1"/>
      <c r="AR192" s="1"/>
      <c r="AT192" s="1"/>
      <c r="AU192" s="1"/>
      <c r="AV192" s="1"/>
      <c r="AW192" s="1"/>
      <c r="AX192" s="5"/>
      <c r="AY192" s="5"/>
      <c r="AZ192" s="5"/>
      <c r="BA192" s="5"/>
      <c r="BB192" s="5"/>
      <c r="BC192" s="5"/>
      <c r="BD192" s="766"/>
      <c r="BF192" s="864"/>
      <c r="BG192" s="1"/>
      <c r="BH192" s="15"/>
      <c r="BI192" s="1"/>
      <c r="BJ192" s="1"/>
      <c r="BK192" s="1"/>
      <c r="BL192" s="1"/>
      <c r="BM192" s="1"/>
      <c r="BN192" s="1"/>
      <c r="BO192" s="1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DA192" s="1"/>
      <c r="DB192" s="868"/>
      <c r="DC192" s="868"/>
      <c r="DD192" s="1"/>
      <c r="DE192" s="1"/>
      <c r="DF192" s="1"/>
    </row>
    <row r="193">
      <c r="F193" s="1"/>
      <c r="H193" s="1"/>
      <c r="J193" s="1"/>
      <c r="L193" s="1"/>
      <c r="M193" s="1"/>
      <c r="N193" s="1"/>
      <c r="P193" s="1"/>
      <c r="R193" s="1"/>
      <c r="T193" s="1"/>
      <c r="V193" s="1"/>
      <c r="X193" s="1"/>
      <c r="Z193" s="1"/>
      <c r="AB193" s="1"/>
      <c r="AD193" s="1"/>
      <c r="AF193" s="1"/>
      <c r="AH193" s="1"/>
      <c r="AI193" s="1"/>
      <c r="AJ193" s="1"/>
      <c r="AL193" s="1"/>
      <c r="AN193" s="1"/>
      <c r="AP193" s="1"/>
      <c r="AR193" s="1"/>
      <c r="AT193" s="1"/>
      <c r="AU193" s="1"/>
      <c r="AV193" s="1"/>
      <c r="AW193" s="1"/>
      <c r="AX193" s="5"/>
      <c r="AY193" s="5"/>
      <c r="AZ193" s="5"/>
      <c r="BA193" s="5"/>
      <c r="BB193" s="5"/>
      <c r="BC193" s="5"/>
      <c r="BD193" s="766"/>
      <c r="BF193" s="864"/>
      <c r="BG193" s="1"/>
      <c r="BH193" s="15"/>
      <c r="BI193" s="1"/>
      <c r="BJ193" s="1"/>
      <c r="BK193" s="1"/>
      <c r="BL193" s="1"/>
      <c r="BM193" s="1"/>
      <c r="BN193" s="1"/>
      <c r="BO193" s="1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DA193" s="1"/>
      <c r="DB193" s="868"/>
      <c r="DC193" s="868"/>
      <c r="DD193" s="1"/>
      <c r="DE193" s="1"/>
      <c r="DF193" s="1"/>
    </row>
    <row r="194">
      <c r="F194" s="1"/>
      <c r="H194" s="1"/>
      <c r="J194" s="1"/>
      <c r="L194" s="1"/>
      <c r="M194" s="1"/>
      <c r="N194" s="1"/>
      <c r="P194" s="1"/>
      <c r="R194" s="1"/>
      <c r="T194" s="1"/>
      <c r="V194" s="1"/>
      <c r="X194" s="1"/>
      <c r="Z194" s="1"/>
      <c r="AB194" s="1"/>
      <c r="AD194" s="1"/>
      <c r="AF194" s="1"/>
      <c r="AH194" s="1"/>
      <c r="AI194" s="1"/>
      <c r="AJ194" s="1"/>
      <c r="AL194" s="1"/>
      <c r="AN194" s="1"/>
      <c r="AP194" s="1"/>
      <c r="AR194" s="1"/>
      <c r="AT194" s="1"/>
      <c r="AU194" s="1"/>
      <c r="AV194" s="1"/>
      <c r="AW194" s="1"/>
      <c r="AX194" s="5"/>
      <c r="AY194" s="5"/>
      <c r="AZ194" s="5"/>
      <c r="BA194" s="5"/>
      <c r="BB194" s="5"/>
      <c r="BC194" s="5"/>
      <c r="BD194" s="766"/>
      <c r="BF194" s="864"/>
      <c r="BG194" s="1"/>
      <c r="BH194" s="15"/>
      <c r="BI194" s="1"/>
      <c r="BJ194" s="1"/>
      <c r="BK194" s="1"/>
      <c r="BL194" s="1"/>
      <c r="BM194" s="1"/>
      <c r="BN194" s="1"/>
      <c r="BO194" s="1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DA194" s="1"/>
      <c r="DB194" s="868"/>
      <c r="DC194" s="868"/>
      <c r="DD194" s="1"/>
      <c r="DE194" s="1"/>
      <c r="DF194" s="1"/>
    </row>
    <row r="195">
      <c r="F195" s="1"/>
      <c r="H195" s="1"/>
      <c r="J195" s="1"/>
      <c r="L195" s="1"/>
      <c r="M195" s="1"/>
      <c r="N195" s="1"/>
      <c r="P195" s="1"/>
      <c r="R195" s="1"/>
      <c r="T195" s="1"/>
      <c r="V195" s="1"/>
      <c r="X195" s="1"/>
      <c r="Z195" s="1"/>
      <c r="AB195" s="1"/>
      <c r="AD195" s="1"/>
      <c r="AF195" s="1"/>
      <c r="AH195" s="1"/>
      <c r="AI195" s="1"/>
      <c r="AJ195" s="1"/>
      <c r="AL195" s="1"/>
      <c r="AN195" s="1"/>
      <c r="AP195" s="1"/>
      <c r="AR195" s="1"/>
      <c r="AT195" s="1"/>
      <c r="AU195" s="1"/>
      <c r="AV195" s="1"/>
      <c r="AW195" s="1"/>
      <c r="AX195" s="5"/>
      <c r="AY195" s="5"/>
      <c r="AZ195" s="5"/>
      <c r="BA195" s="5"/>
      <c r="BB195" s="5"/>
      <c r="BC195" s="5"/>
      <c r="BD195" s="766"/>
      <c r="BF195" s="864"/>
      <c r="BG195" s="1"/>
      <c r="BH195" s="15"/>
      <c r="BI195" s="1"/>
      <c r="BJ195" s="1"/>
      <c r="BK195" s="1"/>
      <c r="BL195" s="1"/>
      <c r="BM195" s="1"/>
      <c r="BN195" s="1"/>
      <c r="BO195" s="1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DA195" s="1"/>
      <c r="DB195" s="868"/>
      <c r="DC195" s="868"/>
      <c r="DD195" s="1"/>
      <c r="DE195" s="1"/>
      <c r="DF195" s="1"/>
    </row>
    <row r="196">
      <c r="F196" s="1"/>
      <c r="H196" s="1"/>
      <c r="J196" s="1"/>
      <c r="L196" s="1"/>
      <c r="M196" s="1"/>
      <c r="N196" s="1"/>
      <c r="P196" s="1"/>
      <c r="R196" s="1"/>
      <c r="T196" s="1"/>
      <c r="V196" s="1"/>
      <c r="X196" s="1"/>
      <c r="Z196" s="1"/>
      <c r="AB196" s="1"/>
      <c r="AD196" s="1"/>
      <c r="AF196" s="1"/>
      <c r="AH196" s="1"/>
      <c r="AI196" s="1"/>
      <c r="AJ196" s="1"/>
      <c r="AL196" s="1"/>
      <c r="AN196" s="1"/>
      <c r="AP196" s="1"/>
      <c r="AR196" s="1"/>
      <c r="AT196" s="1"/>
      <c r="AU196" s="1"/>
      <c r="AV196" s="1"/>
      <c r="AW196" s="1"/>
      <c r="AX196" s="5"/>
      <c r="AY196" s="5"/>
      <c r="AZ196" s="5"/>
      <c r="BA196" s="5"/>
      <c r="BB196" s="5"/>
      <c r="BC196" s="5"/>
      <c r="BF196" s="864"/>
      <c r="BG196" s="1"/>
      <c r="BH196" s="15"/>
      <c r="BI196" s="1"/>
      <c r="BJ196" s="1"/>
      <c r="BK196" s="1"/>
      <c r="BL196" s="1"/>
      <c r="BM196" s="1"/>
      <c r="BN196" s="1"/>
      <c r="BO196" s="1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DA196" s="1"/>
      <c r="DB196" s="868"/>
      <c r="DC196" s="868"/>
      <c r="DD196" s="1"/>
      <c r="DE196" s="1"/>
      <c r="DF196" s="1"/>
    </row>
    <row r="197">
      <c r="F197" s="1"/>
      <c r="H197" s="1"/>
      <c r="J197" s="1"/>
      <c r="L197" s="1"/>
      <c r="M197" s="1"/>
      <c r="N197" s="1"/>
      <c r="P197" s="1"/>
      <c r="R197" s="1"/>
      <c r="T197" s="1"/>
      <c r="V197" s="1"/>
      <c r="X197" s="1"/>
      <c r="Z197" s="1"/>
      <c r="AB197" s="1"/>
      <c r="AD197" s="1"/>
      <c r="AF197" s="1"/>
      <c r="AH197" s="1"/>
      <c r="AI197" s="1"/>
      <c r="AJ197" s="1"/>
      <c r="AL197" s="1"/>
      <c r="AN197" s="1"/>
      <c r="AP197" s="1"/>
      <c r="AR197" s="1"/>
      <c r="AT197" s="1"/>
      <c r="AU197" s="1"/>
      <c r="AV197" s="1"/>
      <c r="AW197" s="1"/>
      <c r="AX197" s="5"/>
      <c r="AY197" s="5"/>
      <c r="AZ197" s="5"/>
      <c r="BA197" s="5"/>
      <c r="BB197" s="5"/>
      <c r="BC197" s="5"/>
      <c r="BF197" s="864"/>
      <c r="BG197" s="1"/>
      <c r="BH197" s="15"/>
      <c r="BI197" s="1"/>
      <c r="BJ197" s="1"/>
      <c r="BK197" s="1"/>
      <c r="BL197" s="1"/>
      <c r="BM197" s="1"/>
      <c r="BN197" s="1"/>
      <c r="BO197" s="1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DA197" s="1"/>
      <c r="DB197" s="868"/>
      <c r="DC197" s="868"/>
      <c r="DD197" s="1"/>
      <c r="DE197" s="1"/>
      <c r="DF197" s="1"/>
    </row>
    <row r="198">
      <c r="F198" s="1"/>
      <c r="H198" s="1"/>
      <c r="J198" s="1"/>
      <c r="L198" s="1"/>
      <c r="M198" s="1"/>
      <c r="N198" s="1"/>
      <c r="P198" s="1"/>
      <c r="R198" s="1"/>
      <c r="T198" s="1"/>
      <c r="V198" s="1"/>
      <c r="X198" s="1"/>
      <c r="Z198" s="1"/>
      <c r="AB198" s="1"/>
      <c r="AD198" s="1"/>
      <c r="AF198" s="1"/>
      <c r="AH198" s="1"/>
      <c r="AI198" s="1"/>
      <c r="AJ198" s="1"/>
      <c r="AL198" s="1"/>
      <c r="AN198" s="1"/>
      <c r="AP198" s="1"/>
      <c r="AR198" s="1"/>
      <c r="AT198" s="1"/>
      <c r="AU198" s="1"/>
      <c r="AV198" s="1"/>
      <c r="AW198" s="1"/>
      <c r="AX198" s="5"/>
      <c r="AY198" s="5"/>
      <c r="AZ198" s="5"/>
      <c r="BA198" s="5"/>
      <c r="BB198" s="5"/>
      <c r="BC198" s="5"/>
      <c r="BF198" s="864"/>
      <c r="BG198" s="1"/>
      <c r="BH198" s="15"/>
      <c r="BI198" s="1"/>
      <c r="BJ198" s="1"/>
      <c r="BK198" s="1"/>
      <c r="BL198" s="1"/>
      <c r="BM198" s="1"/>
      <c r="BN198" s="1"/>
      <c r="BO198" s="1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DA198" s="1"/>
      <c r="DB198" s="868"/>
      <c r="DC198" s="868"/>
      <c r="DD198" s="1"/>
      <c r="DE198" s="1"/>
      <c r="DF198" s="1"/>
    </row>
    <row r="199">
      <c r="F199" s="1"/>
      <c r="H199" s="1"/>
      <c r="J199" s="1"/>
      <c r="L199" s="1"/>
      <c r="M199" s="1"/>
      <c r="N199" s="1"/>
      <c r="P199" s="1"/>
      <c r="R199" s="1"/>
      <c r="T199" s="1"/>
      <c r="V199" s="1"/>
      <c r="X199" s="1"/>
      <c r="Z199" s="1"/>
      <c r="AB199" s="1"/>
      <c r="AD199" s="1"/>
      <c r="AF199" s="1"/>
      <c r="AH199" s="1"/>
      <c r="AI199" s="1"/>
      <c r="AJ199" s="1"/>
      <c r="AL199" s="1"/>
      <c r="AN199" s="1"/>
      <c r="AP199" s="1"/>
      <c r="AR199" s="1"/>
      <c r="AT199" s="1"/>
      <c r="AU199" s="1"/>
      <c r="AV199" s="1"/>
      <c r="AW199" s="1"/>
      <c r="AX199" s="5"/>
      <c r="AY199" s="5"/>
      <c r="AZ199" s="5"/>
      <c r="BA199" s="5"/>
      <c r="BB199" s="5"/>
      <c r="BC199" s="5"/>
      <c r="BF199" s="864"/>
      <c r="BG199" s="1"/>
      <c r="BH199" s="15"/>
      <c r="BI199" s="1"/>
      <c r="BJ199" s="1"/>
      <c r="BK199" s="1"/>
      <c r="BL199" s="1"/>
      <c r="BM199" s="1"/>
      <c r="BN199" s="1"/>
      <c r="BO199" s="1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DA199" s="1"/>
      <c r="DB199" s="868"/>
      <c r="DC199" s="868"/>
      <c r="DD199" s="1"/>
      <c r="DE199" s="1"/>
      <c r="DF199" s="1"/>
    </row>
    <row r="200">
      <c r="F200" s="1"/>
      <c r="H200" s="1"/>
      <c r="J200" s="1"/>
      <c r="L200" s="1"/>
      <c r="M200" s="1"/>
      <c r="N200" s="1"/>
      <c r="P200" s="1"/>
      <c r="R200" s="1"/>
      <c r="T200" s="1"/>
      <c r="V200" s="1"/>
      <c r="X200" s="1"/>
      <c r="Z200" s="1"/>
      <c r="AB200" s="1"/>
      <c r="AD200" s="1"/>
      <c r="AF200" s="1"/>
      <c r="AH200" s="1"/>
      <c r="AI200" s="1"/>
      <c r="AJ200" s="1"/>
      <c r="AL200" s="1"/>
      <c r="AN200" s="1"/>
      <c r="AP200" s="1"/>
      <c r="AR200" s="1"/>
      <c r="AT200" s="1"/>
      <c r="AU200" s="1"/>
      <c r="AV200" s="1"/>
      <c r="AW200" s="1"/>
      <c r="AX200" s="5"/>
      <c r="AY200" s="5"/>
      <c r="AZ200" s="5"/>
      <c r="BA200" s="5"/>
      <c r="BB200" s="5"/>
      <c r="BC200" s="5"/>
      <c r="BF200" s="864"/>
      <c r="BG200" s="1"/>
      <c r="BH200" s="15"/>
      <c r="BI200" s="1"/>
      <c r="BJ200" s="1"/>
      <c r="BK200" s="1"/>
      <c r="BL200" s="1"/>
      <c r="BM200" s="1"/>
      <c r="BN200" s="1"/>
      <c r="BO200" s="1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DA200" s="1"/>
      <c r="DB200" s="868"/>
      <c r="DC200" s="868"/>
      <c r="DD200" s="1"/>
      <c r="DE200" s="1"/>
      <c r="DF200" s="1"/>
    </row>
    <row r="201">
      <c r="F201" s="1"/>
      <c r="H201" s="1"/>
      <c r="J201" s="1"/>
      <c r="L201" s="1"/>
      <c r="M201" s="1"/>
      <c r="N201" s="1"/>
      <c r="P201" s="1"/>
      <c r="R201" s="1"/>
      <c r="T201" s="1"/>
      <c r="V201" s="1"/>
      <c r="X201" s="1"/>
      <c r="Z201" s="1"/>
      <c r="AB201" s="1"/>
      <c r="AD201" s="1"/>
      <c r="AF201" s="1"/>
      <c r="AH201" s="1"/>
      <c r="AI201" s="1"/>
      <c r="AJ201" s="1"/>
      <c r="AL201" s="1"/>
      <c r="AN201" s="1"/>
      <c r="AP201" s="1"/>
      <c r="AR201" s="1"/>
      <c r="AT201" s="1"/>
      <c r="AU201" s="1"/>
      <c r="AV201" s="1"/>
      <c r="AW201" s="1"/>
      <c r="AX201" s="5"/>
      <c r="AY201" s="5"/>
      <c r="AZ201" s="5"/>
      <c r="BA201" s="5"/>
      <c r="BB201" s="5"/>
      <c r="BC201" s="5"/>
      <c r="BF201" s="864"/>
      <c r="BG201" s="1"/>
      <c r="BH201" s="15"/>
      <c r="BI201" s="1"/>
      <c r="BJ201" s="1"/>
      <c r="BK201" s="1"/>
      <c r="BL201" s="1"/>
      <c r="BM201" s="1"/>
      <c r="BN201" s="1"/>
      <c r="BO201" s="1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DA201" s="1"/>
      <c r="DB201" s="868"/>
      <c r="DC201" s="868"/>
      <c r="DD201" s="1"/>
      <c r="DE201" s="1"/>
      <c r="DF201" s="1"/>
    </row>
    <row r="202">
      <c r="F202" s="1"/>
      <c r="H202" s="1"/>
      <c r="J202" s="1"/>
      <c r="L202" s="1"/>
      <c r="M202" s="1"/>
      <c r="N202" s="1"/>
      <c r="P202" s="1"/>
      <c r="R202" s="1"/>
      <c r="T202" s="1"/>
      <c r="V202" s="1"/>
      <c r="X202" s="1"/>
      <c r="Z202" s="1"/>
      <c r="AB202" s="1"/>
      <c r="AD202" s="1"/>
      <c r="AF202" s="1"/>
      <c r="AH202" s="1"/>
      <c r="AI202" s="1"/>
      <c r="AJ202" s="1"/>
      <c r="AL202" s="1"/>
      <c r="AN202" s="1"/>
      <c r="AP202" s="1"/>
      <c r="AR202" s="1"/>
      <c r="AT202" s="1"/>
      <c r="AU202" s="1"/>
      <c r="AV202" s="1"/>
      <c r="AW202" s="1"/>
      <c r="AX202" s="5"/>
      <c r="AY202" s="5"/>
      <c r="AZ202" s="5"/>
      <c r="BA202" s="5"/>
      <c r="BB202" s="5"/>
      <c r="BC202" s="5"/>
      <c r="BF202" s="864"/>
      <c r="BG202" s="1"/>
      <c r="BH202" s="15"/>
      <c r="BI202" s="1"/>
      <c r="BJ202" s="1"/>
      <c r="BK202" s="1"/>
      <c r="BL202" s="1"/>
      <c r="BM202" s="1"/>
      <c r="BN202" s="1"/>
      <c r="BO202" s="1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DA202" s="1"/>
      <c r="DB202" s="868"/>
      <c r="DC202" s="868"/>
      <c r="DD202" s="1"/>
      <c r="DE202" s="1"/>
      <c r="DF202" s="1"/>
    </row>
    <row r="203">
      <c r="F203" s="1"/>
      <c r="H203" s="1"/>
      <c r="J203" s="1"/>
      <c r="L203" s="1"/>
      <c r="M203" s="1"/>
      <c r="N203" s="1"/>
      <c r="P203" s="1"/>
      <c r="R203" s="1"/>
      <c r="T203" s="1"/>
      <c r="V203" s="1"/>
      <c r="X203" s="1"/>
      <c r="Z203" s="1"/>
      <c r="AB203" s="1"/>
      <c r="AD203" s="1"/>
      <c r="AF203" s="1"/>
      <c r="AH203" s="1"/>
      <c r="AI203" s="1"/>
      <c r="AJ203" s="1"/>
      <c r="AL203" s="1"/>
      <c r="AN203" s="1"/>
      <c r="AP203" s="1"/>
      <c r="AR203" s="1"/>
      <c r="AT203" s="1"/>
      <c r="AU203" s="1"/>
      <c r="AV203" s="1"/>
      <c r="AW203" s="1"/>
      <c r="AX203" s="5"/>
      <c r="AY203" s="5"/>
      <c r="AZ203" s="5"/>
      <c r="BA203" s="5"/>
      <c r="BB203" s="5"/>
      <c r="BC203" s="5"/>
      <c r="BF203" s="864"/>
      <c r="BG203" s="1"/>
      <c r="BH203" s="15"/>
      <c r="BI203" s="1"/>
      <c r="BJ203" s="1"/>
      <c r="BK203" s="1"/>
      <c r="BL203" s="1"/>
      <c r="BM203" s="1"/>
      <c r="BN203" s="1"/>
      <c r="BO203" s="1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DA203" s="1"/>
      <c r="DB203" s="868"/>
      <c r="DC203" s="868"/>
      <c r="DD203" s="1"/>
      <c r="DE203" s="1"/>
      <c r="DF203" s="1"/>
    </row>
    <row r="204">
      <c r="F204" s="1"/>
      <c r="H204" s="1"/>
      <c r="J204" s="1"/>
      <c r="L204" s="1"/>
      <c r="M204" s="1"/>
      <c r="N204" s="1"/>
      <c r="P204" s="1"/>
      <c r="R204" s="1"/>
      <c r="T204" s="1"/>
      <c r="V204" s="1"/>
      <c r="X204" s="1"/>
      <c r="Z204" s="1"/>
      <c r="AB204" s="1"/>
      <c r="AD204" s="1"/>
      <c r="AF204" s="1"/>
      <c r="AH204" s="1"/>
      <c r="AI204" s="1"/>
      <c r="AJ204" s="1"/>
      <c r="AL204" s="1"/>
      <c r="AN204" s="1"/>
      <c r="AP204" s="1"/>
      <c r="AR204" s="1"/>
      <c r="AT204" s="1"/>
      <c r="AU204" s="1"/>
      <c r="AV204" s="1"/>
      <c r="AW204" s="1"/>
      <c r="AX204" s="5"/>
      <c r="AY204" s="5"/>
      <c r="AZ204" s="5"/>
      <c r="BA204" s="5"/>
      <c r="BB204" s="5"/>
      <c r="BC204" s="5"/>
      <c r="BF204" s="864"/>
      <c r="BG204" s="1"/>
      <c r="BH204" s="15"/>
      <c r="BI204" s="1"/>
      <c r="BJ204" s="1"/>
      <c r="BK204" s="1"/>
      <c r="BL204" s="1"/>
      <c r="BM204" s="1"/>
      <c r="BN204" s="1"/>
      <c r="BO204" s="1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DA204" s="1"/>
      <c r="DB204" s="868"/>
      <c r="DC204" s="868"/>
      <c r="DD204" s="1"/>
      <c r="DE204" s="1"/>
      <c r="DF204" s="1"/>
    </row>
    <row r="205">
      <c r="F205" s="1"/>
      <c r="H205" s="1"/>
      <c r="J205" s="1"/>
      <c r="L205" s="1"/>
      <c r="M205" s="1"/>
      <c r="N205" s="1"/>
      <c r="P205" s="1"/>
      <c r="R205" s="1"/>
      <c r="T205" s="1"/>
      <c r="V205" s="1"/>
      <c r="X205" s="1"/>
      <c r="Z205" s="1"/>
      <c r="AB205" s="1"/>
      <c r="AD205" s="1"/>
      <c r="AF205" s="1"/>
      <c r="AH205" s="1"/>
      <c r="AI205" s="1"/>
      <c r="AJ205" s="1"/>
      <c r="AL205" s="1"/>
      <c r="AN205" s="1"/>
      <c r="AP205" s="1"/>
      <c r="AR205" s="1"/>
      <c r="AT205" s="1"/>
      <c r="AU205" s="1"/>
      <c r="AV205" s="1"/>
      <c r="AW205" s="1"/>
      <c r="AX205" s="5"/>
      <c r="AY205" s="5"/>
      <c r="AZ205" s="5"/>
      <c r="BA205" s="5"/>
      <c r="BB205" s="5"/>
      <c r="BC205" s="5"/>
      <c r="BF205" s="864"/>
      <c r="BG205" s="1"/>
      <c r="BH205" s="15"/>
      <c r="BI205" s="1"/>
      <c r="BJ205" s="1"/>
      <c r="BK205" s="1"/>
      <c r="BL205" s="1"/>
      <c r="BM205" s="1"/>
      <c r="BN205" s="1"/>
      <c r="BO205" s="1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DA205" s="1"/>
      <c r="DB205" s="868"/>
      <c r="DC205" s="868"/>
      <c r="DD205" s="1"/>
      <c r="DE205" s="1"/>
      <c r="DF205" s="1"/>
    </row>
    <row r="206">
      <c r="F206" s="1"/>
      <c r="H206" s="1"/>
      <c r="J206" s="1"/>
      <c r="L206" s="1"/>
      <c r="M206" s="1"/>
      <c r="N206" s="1"/>
      <c r="P206" s="1"/>
      <c r="R206" s="1"/>
      <c r="T206" s="1"/>
      <c r="V206" s="1"/>
      <c r="X206" s="1"/>
      <c r="Z206" s="1"/>
      <c r="AB206" s="1"/>
      <c r="AD206" s="1"/>
      <c r="AF206" s="1"/>
      <c r="AH206" s="1"/>
      <c r="AI206" s="1"/>
      <c r="AJ206" s="1"/>
      <c r="AL206" s="1"/>
      <c r="AN206" s="1"/>
      <c r="AP206" s="1"/>
      <c r="AR206" s="1"/>
      <c r="AT206" s="1"/>
      <c r="AU206" s="1"/>
      <c r="AV206" s="1"/>
      <c r="AW206" s="1"/>
      <c r="AX206" s="5"/>
      <c r="AY206" s="5"/>
      <c r="AZ206" s="5"/>
      <c r="BA206" s="5"/>
      <c r="BB206" s="5"/>
      <c r="BC206" s="5"/>
      <c r="BF206" s="864"/>
      <c r="BG206" s="1"/>
      <c r="BH206" s="15"/>
      <c r="BI206" s="1"/>
      <c r="BJ206" s="1"/>
      <c r="BK206" s="1"/>
      <c r="BL206" s="1"/>
      <c r="BM206" s="1"/>
      <c r="BN206" s="1"/>
      <c r="BO206" s="1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DA206" s="1"/>
      <c r="DB206" s="868"/>
      <c r="DC206" s="868"/>
      <c r="DD206" s="1"/>
      <c r="DE206" s="1"/>
      <c r="DF206" s="1"/>
    </row>
    <row r="207">
      <c r="F207" s="1"/>
      <c r="H207" s="1"/>
      <c r="J207" s="1"/>
      <c r="L207" s="1"/>
      <c r="M207" s="1"/>
      <c r="N207" s="1"/>
      <c r="P207" s="1"/>
      <c r="R207" s="1"/>
      <c r="T207" s="1"/>
      <c r="V207" s="1"/>
      <c r="X207" s="1"/>
      <c r="Z207" s="1"/>
      <c r="AB207" s="1"/>
      <c r="AD207" s="1"/>
      <c r="AF207" s="1"/>
      <c r="AH207" s="1"/>
      <c r="AI207" s="1"/>
      <c r="AJ207" s="1"/>
      <c r="AL207" s="1"/>
      <c r="AN207" s="1"/>
      <c r="AP207" s="1"/>
      <c r="AR207" s="1"/>
      <c r="AT207" s="1"/>
      <c r="AU207" s="1"/>
      <c r="AV207" s="1"/>
      <c r="AW207" s="1"/>
      <c r="AX207" s="5"/>
      <c r="AY207" s="5"/>
      <c r="AZ207" s="5"/>
      <c r="BA207" s="5"/>
      <c r="BB207" s="5"/>
      <c r="BC207" s="5"/>
      <c r="BF207" s="864"/>
      <c r="BG207" s="1"/>
      <c r="BH207" s="15"/>
      <c r="BI207" s="1"/>
      <c r="BJ207" s="1"/>
      <c r="BK207" s="1"/>
      <c r="BL207" s="1"/>
      <c r="BM207" s="1"/>
      <c r="BN207" s="1"/>
      <c r="BO207" s="1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DA207" s="1"/>
      <c r="DB207" s="868"/>
      <c r="DC207" s="868"/>
      <c r="DD207" s="1"/>
      <c r="DE207" s="1"/>
      <c r="DF207" s="1"/>
    </row>
    <row r="208">
      <c r="F208" s="1"/>
      <c r="H208" s="1"/>
      <c r="J208" s="1"/>
      <c r="L208" s="1"/>
      <c r="M208" s="1"/>
      <c r="N208" s="1"/>
      <c r="P208" s="1"/>
      <c r="R208" s="1"/>
      <c r="T208" s="1"/>
      <c r="V208" s="1"/>
      <c r="X208" s="1"/>
      <c r="Z208" s="1"/>
      <c r="AB208" s="1"/>
      <c r="AD208" s="1"/>
      <c r="AF208" s="1"/>
      <c r="AH208" s="1"/>
      <c r="AI208" s="1"/>
      <c r="AJ208" s="1"/>
      <c r="AL208" s="1"/>
      <c r="AN208" s="1"/>
      <c r="AP208" s="1"/>
      <c r="AR208" s="1"/>
      <c r="AT208" s="1"/>
      <c r="AU208" s="1"/>
      <c r="AV208" s="1"/>
      <c r="AW208" s="1"/>
      <c r="AX208" s="5"/>
      <c r="AY208" s="5"/>
      <c r="AZ208" s="5"/>
      <c r="BA208" s="5"/>
      <c r="BB208" s="5"/>
      <c r="BC208" s="5"/>
      <c r="BF208" s="864"/>
      <c r="BG208" s="1"/>
      <c r="BH208" s="15"/>
      <c r="BI208" s="1"/>
      <c r="BJ208" s="1"/>
      <c r="BK208" s="1"/>
      <c r="BL208" s="1"/>
      <c r="BM208" s="1"/>
      <c r="BN208" s="1"/>
      <c r="BO208" s="1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DA208" s="1"/>
      <c r="DB208" s="868"/>
      <c r="DC208" s="868"/>
      <c r="DD208" s="1"/>
      <c r="DE208" s="1"/>
      <c r="DF208" s="1"/>
    </row>
    <row r="209">
      <c r="F209" s="1"/>
      <c r="H209" s="1"/>
      <c r="J209" s="1"/>
      <c r="L209" s="1"/>
      <c r="M209" s="1"/>
      <c r="N209" s="1"/>
      <c r="P209" s="1"/>
      <c r="R209" s="1"/>
      <c r="T209" s="1"/>
      <c r="V209" s="1"/>
      <c r="X209" s="1"/>
      <c r="Z209" s="1"/>
      <c r="AB209" s="1"/>
      <c r="AD209" s="1"/>
      <c r="AF209" s="1"/>
      <c r="AH209" s="1"/>
      <c r="AI209" s="1"/>
      <c r="AJ209" s="1"/>
      <c r="AL209" s="1"/>
      <c r="AN209" s="1"/>
      <c r="AP209" s="1"/>
      <c r="AR209" s="1"/>
      <c r="AT209" s="1"/>
      <c r="AU209" s="1"/>
      <c r="AV209" s="1"/>
      <c r="AW209" s="1"/>
      <c r="AX209" s="5"/>
      <c r="AY209" s="5"/>
      <c r="AZ209" s="5"/>
      <c r="BA209" s="5"/>
      <c r="BB209" s="5"/>
      <c r="BC209" s="5"/>
      <c r="BF209" s="864"/>
      <c r="BG209" s="1"/>
      <c r="BH209" s="15"/>
      <c r="BI209" s="1"/>
      <c r="BJ209" s="1"/>
      <c r="BK209" s="1"/>
      <c r="BL209" s="1"/>
      <c r="BM209" s="1"/>
      <c r="BN209" s="1"/>
      <c r="BO209" s="1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DA209" s="1"/>
      <c r="DB209" s="868"/>
      <c r="DC209" s="868"/>
      <c r="DD209" s="1"/>
      <c r="DE209" s="1"/>
      <c r="DF209" s="1"/>
    </row>
    <row r="210">
      <c r="F210" s="1"/>
      <c r="H210" s="1"/>
      <c r="J210" s="1"/>
      <c r="L210" s="1"/>
      <c r="M210" s="1"/>
      <c r="N210" s="1"/>
      <c r="P210" s="1"/>
      <c r="R210" s="1"/>
      <c r="T210" s="1"/>
      <c r="V210" s="1"/>
      <c r="X210" s="1"/>
      <c r="Z210" s="1"/>
      <c r="AB210" s="1"/>
      <c r="AD210" s="1"/>
      <c r="AF210" s="1"/>
      <c r="AH210" s="1"/>
      <c r="AI210" s="1"/>
      <c r="AJ210" s="1"/>
      <c r="AL210" s="1"/>
      <c r="AN210" s="1"/>
      <c r="AP210" s="1"/>
      <c r="AR210" s="1"/>
      <c r="AT210" s="1"/>
      <c r="AU210" s="1"/>
      <c r="AV210" s="1"/>
      <c r="AW210" s="1"/>
      <c r="AX210" s="5"/>
      <c r="AY210" s="5"/>
      <c r="AZ210" s="5"/>
      <c r="BA210" s="5"/>
      <c r="BB210" s="5"/>
      <c r="BC210" s="5"/>
      <c r="BF210" s="864"/>
      <c r="BG210" s="1"/>
      <c r="BH210" s="15"/>
      <c r="BI210" s="1"/>
      <c r="BJ210" s="1"/>
      <c r="BK210" s="1"/>
      <c r="BL210" s="1"/>
      <c r="BM210" s="1"/>
      <c r="BN210" s="1"/>
      <c r="BO210" s="1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DA210" s="1"/>
      <c r="DB210" s="868"/>
      <c r="DC210" s="868"/>
      <c r="DD210" s="1"/>
      <c r="DE210" s="1"/>
      <c r="DF210" s="1"/>
    </row>
    <row r="211">
      <c r="F211" s="1"/>
      <c r="H211" s="1"/>
      <c r="J211" s="1"/>
      <c r="L211" s="1"/>
      <c r="M211" s="1"/>
      <c r="N211" s="1"/>
      <c r="P211" s="1"/>
      <c r="R211" s="1"/>
      <c r="T211" s="1"/>
      <c r="V211" s="1"/>
      <c r="X211" s="1"/>
      <c r="Z211" s="1"/>
      <c r="AB211" s="1"/>
      <c r="AD211" s="1"/>
      <c r="AF211" s="1"/>
      <c r="AH211" s="1"/>
      <c r="AI211" s="1"/>
      <c r="AJ211" s="1"/>
      <c r="AL211" s="1"/>
      <c r="AN211" s="1"/>
      <c r="AP211" s="1"/>
      <c r="AR211" s="1"/>
      <c r="AT211" s="1"/>
      <c r="AU211" s="1"/>
      <c r="AV211" s="1"/>
      <c r="AW211" s="1"/>
      <c r="AX211" s="5"/>
      <c r="AY211" s="5"/>
      <c r="AZ211" s="5"/>
      <c r="BA211" s="5"/>
      <c r="BB211" s="5"/>
      <c r="BC211" s="5"/>
      <c r="BF211" s="864"/>
      <c r="BG211" s="1"/>
      <c r="BH211" s="15"/>
      <c r="BI211" s="1"/>
      <c r="BJ211" s="1"/>
      <c r="BK211" s="1"/>
      <c r="BL211" s="1"/>
      <c r="BM211" s="1"/>
      <c r="BN211" s="1"/>
      <c r="BO211" s="1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DA211" s="1"/>
      <c r="DB211" s="868"/>
      <c r="DC211" s="868"/>
      <c r="DD211" s="1"/>
      <c r="DE211" s="1"/>
      <c r="DF211" s="1"/>
    </row>
    <row r="212">
      <c r="F212" s="1"/>
      <c r="H212" s="1"/>
      <c r="J212" s="1"/>
      <c r="L212" s="1"/>
      <c r="M212" s="1"/>
      <c r="N212" s="1"/>
      <c r="P212" s="1"/>
      <c r="R212" s="1"/>
      <c r="T212" s="1"/>
      <c r="V212" s="1"/>
      <c r="X212" s="1"/>
      <c r="Z212" s="1"/>
      <c r="AB212" s="1"/>
      <c r="AD212" s="1"/>
      <c r="AF212" s="1"/>
      <c r="AH212" s="1"/>
      <c r="AI212" s="1"/>
      <c r="AJ212" s="1"/>
      <c r="AL212" s="1"/>
      <c r="AN212" s="1"/>
      <c r="AP212" s="1"/>
      <c r="AR212" s="1"/>
      <c r="AT212" s="1"/>
      <c r="AU212" s="1"/>
      <c r="AV212" s="1"/>
      <c r="AW212" s="1"/>
      <c r="AX212" s="5"/>
      <c r="AY212" s="5"/>
      <c r="AZ212" s="5"/>
      <c r="BA212" s="5"/>
      <c r="BB212" s="5"/>
      <c r="BC212" s="5"/>
      <c r="BF212" s="864"/>
      <c r="BG212" s="1"/>
      <c r="BH212" s="15"/>
      <c r="BI212" s="1"/>
      <c r="BJ212" s="1"/>
      <c r="BK212" s="1"/>
      <c r="BL212" s="1"/>
      <c r="BM212" s="1"/>
      <c r="BN212" s="1"/>
      <c r="BO212" s="1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DA212" s="1"/>
      <c r="DB212" s="868"/>
      <c r="DC212" s="868"/>
      <c r="DD212" s="1"/>
      <c r="DE212" s="1"/>
      <c r="DF212" s="1"/>
    </row>
    <row r="213">
      <c r="F213" s="1"/>
      <c r="H213" s="1"/>
      <c r="J213" s="1"/>
      <c r="L213" s="1"/>
      <c r="M213" s="1"/>
      <c r="N213" s="1"/>
      <c r="P213" s="1"/>
      <c r="R213" s="1"/>
      <c r="T213" s="1"/>
      <c r="V213" s="1"/>
      <c r="X213" s="1"/>
      <c r="Z213" s="1"/>
      <c r="AB213" s="1"/>
      <c r="AD213" s="1"/>
      <c r="AF213" s="1"/>
      <c r="AH213" s="1"/>
      <c r="AI213" s="1"/>
      <c r="AJ213" s="1"/>
      <c r="AL213" s="1"/>
      <c r="AN213" s="1"/>
      <c r="AP213" s="1"/>
      <c r="AR213" s="1"/>
      <c r="AT213" s="1"/>
      <c r="AU213" s="1"/>
      <c r="AV213" s="1"/>
      <c r="AW213" s="1"/>
      <c r="AX213" s="5"/>
      <c r="AY213" s="5"/>
      <c r="AZ213" s="5"/>
      <c r="BA213" s="5"/>
      <c r="BB213" s="5"/>
      <c r="BC213" s="5"/>
      <c r="BF213" s="864"/>
      <c r="BG213" s="1"/>
      <c r="BH213" s="15"/>
      <c r="BI213" s="1"/>
      <c r="BJ213" s="1"/>
      <c r="BK213" s="1"/>
      <c r="BL213" s="1"/>
      <c r="BM213" s="1"/>
      <c r="BN213" s="1"/>
      <c r="BO213" s="1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DA213" s="1"/>
      <c r="DB213" s="868"/>
      <c r="DC213" s="868"/>
      <c r="DD213" s="1"/>
      <c r="DE213" s="1"/>
      <c r="DF213" s="1"/>
    </row>
    <row r="214">
      <c r="F214" s="1"/>
      <c r="H214" s="1"/>
      <c r="J214" s="1"/>
      <c r="L214" s="1"/>
      <c r="M214" s="1"/>
      <c r="N214" s="1"/>
      <c r="P214" s="1"/>
      <c r="R214" s="1"/>
      <c r="T214" s="1"/>
      <c r="V214" s="1"/>
      <c r="X214" s="1"/>
      <c r="Z214" s="1"/>
      <c r="AB214" s="1"/>
      <c r="AD214" s="1"/>
      <c r="AF214" s="1"/>
      <c r="AH214" s="1"/>
      <c r="AI214" s="1"/>
      <c r="AJ214" s="1"/>
      <c r="AL214" s="1"/>
      <c r="AN214" s="1"/>
      <c r="AP214" s="1"/>
      <c r="AR214" s="1"/>
      <c r="AT214" s="1"/>
      <c r="AU214" s="1"/>
      <c r="AV214" s="1"/>
      <c r="AW214" s="1"/>
      <c r="AX214" s="5"/>
      <c r="AY214" s="5"/>
      <c r="AZ214" s="5"/>
      <c r="BA214" s="5"/>
      <c r="BB214" s="5"/>
      <c r="BC214" s="5"/>
      <c r="BF214" s="864"/>
      <c r="BG214" s="1"/>
      <c r="BH214" s="15"/>
      <c r="BI214" s="1"/>
      <c r="BJ214" s="1"/>
      <c r="BK214" s="1"/>
      <c r="BL214" s="1"/>
      <c r="BM214" s="1"/>
      <c r="BN214" s="1"/>
      <c r="BO214" s="1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DA214" s="1"/>
      <c r="DB214" s="868"/>
      <c r="DC214" s="868"/>
      <c r="DD214" s="1"/>
      <c r="DE214" s="1"/>
      <c r="DF214" s="1"/>
    </row>
    <row r="215">
      <c r="F215" s="1"/>
      <c r="H215" s="1"/>
      <c r="J215" s="1"/>
      <c r="L215" s="1"/>
      <c r="M215" s="1"/>
      <c r="N215" s="1"/>
      <c r="P215" s="1"/>
      <c r="R215" s="1"/>
      <c r="T215" s="1"/>
      <c r="V215" s="1"/>
      <c r="X215" s="1"/>
      <c r="Z215" s="1"/>
      <c r="AB215" s="1"/>
      <c r="AD215" s="1"/>
      <c r="AF215" s="1"/>
      <c r="AH215" s="1"/>
      <c r="AI215" s="1"/>
      <c r="AJ215" s="1"/>
      <c r="AL215" s="1"/>
      <c r="AN215" s="1"/>
      <c r="AP215" s="1"/>
      <c r="AR215" s="1"/>
      <c r="AT215" s="1"/>
      <c r="AU215" s="1"/>
      <c r="AV215" s="1"/>
      <c r="AW215" s="1"/>
      <c r="AX215" s="5"/>
      <c r="AY215" s="5"/>
      <c r="AZ215" s="5"/>
      <c r="BA215" s="5"/>
      <c r="BB215" s="5"/>
      <c r="BC215" s="5"/>
      <c r="BF215" s="864"/>
      <c r="BG215" s="1"/>
      <c r="BH215" s="15"/>
      <c r="BI215" s="1"/>
      <c r="BJ215" s="1"/>
      <c r="BK215" s="1"/>
      <c r="BL215" s="1"/>
      <c r="BM215" s="1"/>
      <c r="BN215" s="1"/>
      <c r="BO215" s="1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DA215" s="1"/>
      <c r="DB215" s="868"/>
      <c r="DC215" s="868"/>
      <c r="DD215" s="1"/>
      <c r="DE215" s="1"/>
      <c r="DF215" s="1"/>
    </row>
    <row r="216">
      <c r="F216" s="1"/>
      <c r="H216" s="1"/>
      <c r="J216" s="1"/>
      <c r="L216" s="1"/>
      <c r="M216" s="1"/>
      <c r="N216" s="1"/>
      <c r="P216" s="1"/>
      <c r="R216" s="1"/>
      <c r="T216" s="1"/>
      <c r="V216" s="1"/>
      <c r="X216" s="1"/>
      <c r="Z216" s="1"/>
      <c r="AB216" s="1"/>
      <c r="AD216" s="1"/>
      <c r="AF216" s="1"/>
      <c r="AH216" s="1"/>
      <c r="AI216" s="1"/>
      <c r="AJ216" s="1"/>
      <c r="AL216" s="1"/>
      <c r="AN216" s="1"/>
      <c r="AP216" s="1"/>
      <c r="AR216" s="1"/>
      <c r="AT216" s="1"/>
      <c r="AU216" s="1"/>
      <c r="AV216" s="1"/>
      <c r="AW216" s="1"/>
      <c r="AX216" s="5"/>
      <c r="AY216" s="5"/>
      <c r="AZ216" s="5"/>
      <c r="BA216" s="5"/>
      <c r="BB216" s="5"/>
      <c r="BC216" s="5"/>
      <c r="BF216" s="15"/>
      <c r="BG216" s="1"/>
      <c r="BH216" s="15"/>
      <c r="BI216" s="1"/>
      <c r="BJ216" s="1"/>
      <c r="BK216" s="1"/>
      <c r="BL216" s="1"/>
      <c r="BM216" s="1"/>
      <c r="BN216" s="1"/>
      <c r="BO216" s="1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DA216" s="1"/>
      <c r="DB216" s="868"/>
      <c r="DC216" s="868"/>
      <c r="DD216" s="1"/>
      <c r="DE216" s="1"/>
      <c r="DF216" s="1"/>
    </row>
    <row r="217">
      <c r="F217" s="1"/>
      <c r="H217" s="1"/>
      <c r="J217" s="1"/>
      <c r="L217" s="1"/>
      <c r="M217" s="1"/>
      <c r="N217" s="1"/>
      <c r="P217" s="1"/>
      <c r="R217" s="1"/>
      <c r="T217" s="1"/>
      <c r="V217" s="1"/>
      <c r="X217" s="1"/>
      <c r="Z217" s="1"/>
      <c r="AB217" s="1"/>
      <c r="AD217" s="1"/>
      <c r="AF217" s="1"/>
      <c r="AH217" s="1"/>
      <c r="AI217" s="1"/>
      <c r="AJ217" s="1"/>
      <c r="AL217" s="1"/>
      <c r="AN217" s="1"/>
      <c r="AP217" s="1"/>
      <c r="AR217" s="1"/>
      <c r="AT217" s="1"/>
      <c r="AU217" s="1"/>
      <c r="AV217" s="1"/>
      <c r="AW217" s="1"/>
      <c r="AX217" s="5"/>
      <c r="AY217" s="5"/>
      <c r="AZ217" s="5"/>
      <c r="BA217" s="5"/>
      <c r="BB217" s="5"/>
      <c r="BC217" s="5"/>
      <c r="BF217" s="15"/>
      <c r="BG217" s="1"/>
      <c r="BH217" s="15"/>
      <c r="BI217" s="1"/>
      <c r="BJ217" s="1"/>
      <c r="BK217" s="1"/>
      <c r="BL217" s="1"/>
      <c r="BM217" s="1"/>
      <c r="BN217" s="1"/>
      <c r="BO217" s="1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DA217" s="1"/>
      <c r="DB217" s="868"/>
      <c r="DC217" s="868"/>
      <c r="DD217" s="1"/>
      <c r="DE217" s="1"/>
      <c r="DF217" s="1"/>
    </row>
    <row r="218">
      <c r="F218" s="1"/>
      <c r="H218" s="1"/>
      <c r="J218" s="1"/>
      <c r="L218" s="1"/>
      <c r="M218" s="1"/>
      <c r="N218" s="1"/>
      <c r="P218" s="1"/>
      <c r="R218" s="1"/>
      <c r="T218" s="1"/>
      <c r="V218" s="1"/>
      <c r="X218" s="1"/>
      <c r="Z218" s="1"/>
      <c r="AB218" s="1"/>
      <c r="AD218" s="1"/>
      <c r="AF218" s="1"/>
      <c r="AH218" s="1"/>
      <c r="AI218" s="1"/>
      <c r="AJ218" s="1"/>
      <c r="AL218" s="1"/>
      <c r="AN218" s="1"/>
      <c r="AP218" s="1"/>
      <c r="AR218" s="1"/>
      <c r="AT218" s="1"/>
      <c r="AU218" s="1"/>
      <c r="AV218" s="1"/>
      <c r="AW218" s="1"/>
      <c r="AX218" s="5"/>
      <c r="AY218" s="5"/>
      <c r="AZ218" s="5"/>
      <c r="BA218" s="5"/>
      <c r="BB218" s="5"/>
      <c r="BC218" s="5"/>
      <c r="BF218" s="15"/>
      <c r="BG218" s="1"/>
      <c r="BH218" s="15"/>
      <c r="BI218" s="1"/>
      <c r="BJ218" s="1"/>
      <c r="BK218" s="1"/>
      <c r="BL218" s="1"/>
      <c r="BM218" s="1"/>
      <c r="BN218" s="1"/>
      <c r="BO218" s="1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DA218" s="1"/>
      <c r="DB218" s="868"/>
      <c r="DC218" s="868"/>
      <c r="DD218" s="1"/>
      <c r="DE218" s="1"/>
      <c r="DF218" s="1"/>
    </row>
    <row r="219">
      <c r="F219" s="1"/>
      <c r="H219" s="1"/>
      <c r="J219" s="1"/>
      <c r="L219" s="1"/>
      <c r="M219" s="1"/>
      <c r="N219" s="1"/>
      <c r="P219" s="1"/>
      <c r="R219" s="1"/>
      <c r="T219" s="1"/>
      <c r="V219" s="1"/>
      <c r="X219" s="1"/>
      <c r="Z219" s="1"/>
      <c r="AB219" s="1"/>
      <c r="AD219" s="1"/>
      <c r="AF219" s="1"/>
      <c r="AH219" s="1"/>
      <c r="AI219" s="1"/>
      <c r="AJ219" s="1"/>
      <c r="AL219" s="1"/>
      <c r="AN219" s="1"/>
      <c r="AP219" s="1"/>
      <c r="AR219" s="1"/>
      <c r="AT219" s="1"/>
      <c r="AU219" s="1"/>
      <c r="AV219" s="1"/>
      <c r="AW219" s="1"/>
      <c r="AX219" s="5"/>
      <c r="AY219" s="5"/>
      <c r="AZ219" s="5"/>
      <c r="BA219" s="5"/>
      <c r="BB219" s="5"/>
      <c r="BC219" s="5"/>
      <c r="BF219" s="15"/>
      <c r="BG219" s="1"/>
      <c r="BH219" s="15"/>
      <c r="BI219" s="1"/>
      <c r="BJ219" s="1"/>
      <c r="BK219" s="1"/>
      <c r="BL219" s="1"/>
      <c r="BM219" s="1"/>
      <c r="BN219" s="1"/>
      <c r="BO219" s="1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DA219" s="1"/>
      <c r="DB219" s="868"/>
      <c r="DC219" s="868"/>
      <c r="DD219" s="1"/>
      <c r="DE219" s="1"/>
      <c r="DF219" s="1"/>
    </row>
    <row r="220">
      <c r="F220" s="1"/>
      <c r="H220" s="1"/>
      <c r="J220" s="1"/>
      <c r="L220" s="1"/>
      <c r="M220" s="1"/>
      <c r="N220" s="1"/>
      <c r="P220" s="1"/>
      <c r="R220" s="1"/>
      <c r="T220" s="1"/>
      <c r="V220" s="1"/>
      <c r="X220" s="1"/>
      <c r="Z220" s="1"/>
      <c r="AB220" s="1"/>
      <c r="AD220" s="1"/>
      <c r="AF220" s="1"/>
      <c r="AH220" s="1"/>
      <c r="AI220" s="1"/>
      <c r="AJ220" s="1"/>
      <c r="AL220" s="1"/>
      <c r="AN220" s="1"/>
      <c r="AP220" s="1"/>
      <c r="AR220" s="1"/>
      <c r="AT220" s="1"/>
      <c r="AU220" s="1"/>
      <c r="AV220" s="1"/>
      <c r="AW220" s="1"/>
      <c r="AX220" s="5"/>
      <c r="AY220" s="5"/>
      <c r="AZ220" s="5"/>
      <c r="BA220" s="5"/>
      <c r="BB220" s="5"/>
      <c r="BC220" s="5"/>
      <c r="BF220" s="15"/>
      <c r="BG220" s="1"/>
      <c r="BH220" s="15"/>
      <c r="BI220" s="1"/>
      <c r="BJ220" s="1"/>
      <c r="BK220" s="1"/>
      <c r="BL220" s="1"/>
      <c r="BM220" s="1"/>
      <c r="BN220" s="1"/>
      <c r="BO220" s="1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DA220" s="1"/>
      <c r="DB220" s="868"/>
      <c r="DC220" s="868"/>
      <c r="DD220" s="1"/>
      <c r="DE220" s="1"/>
      <c r="DF220" s="1"/>
    </row>
    <row r="221">
      <c r="F221" s="1"/>
      <c r="H221" s="1"/>
      <c r="J221" s="1"/>
      <c r="L221" s="1"/>
      <c r="M221" s="1"/>
      <c r="N221" s="1"/>
      <c r="P221" s="1"/>
      <c r="R221" s="1"/>
      <c r="T221" s="1"/>
      <c r="V221" s="1"/>
      <c r="X221" s="1"/>
      <c r="Z221" s="1"/>
      <c r="AB221" s="1"/>
      <c r="AD221" s="1"/>
      <c r="AF221" s="1"/>
      <c r="AH221" s="1"/>
      <c r="AI221" s="1"/>
      <c r="AJ221" s="1"/>
      <c r="AL221" s="1"/>
      <c r="AN221" s="1"/>
      <c r="AP221" s="1"/>
      <c r="AR221" s="1"/>
      <c r="AT221" s="1"/>
      <c r="AU221" s="1"/>
      <c r="AV221" s="1"/>
      <c r="AW221" s="1"/>
      <c r="AX221" s="5"/>
      <c r="AY221" s="5"/>
      <c r="AZ221" s="5"/>
      <c r="BA221" s="5"/>
      <c r="BB221" s="5"/>
      <c r="BC221" s="5"/>
      <c r="BF221" s="15"/>
      <c r="BG221" s="1"/>
      <c r="BH221" s="15"/>
      <c r="BI221" s="1"/>
      <c r="BJ221" s="1"/>
      <c r="BK221" s="1"/>
      <c r="BL221" s="1"/>
      <c r="BM221" s="1"/>
      <c r="BN221" s="1"/>
      <c r="BO221" s="1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DA221" s="1"/>
      <c r="DB221" s="868"/>
      <c r="DC221" s="868"/>
      <c r="DD221" s="1"/>
      <c r="DE221" s="1"/>
      <c r="DF221" s="1"/>
    </row>
    <row r="222">
      <c r="F222" s="1"/>
      <c r="H222" s="1"/>
      <c r="J222" s="1"/>
      <c r="L222" s="1"/>
      <c r="M222" s="1"/>
      <c r="N222" s="1"/>
      <c r="P222" s="1"/>
      <c r="R222" s="1"/>
      <c r="T222" s="1"/>
      <c r="V222" s="1"/>
      <c r="X222" s="1"/>
      <c r="Z222" s="1"/>
      <c r="AB222" s="1"/>
      <c r="AD222" s="1"/>
      <c r="AF222" s="1"/>
      <c r="AH222" s="1"/>
      <c r="AI222" s="1"/>
      <c r="AJ222" s="1"/>
      <c r="AL222" s="1"/>
      <c r="AN222" s="1"/>
      <c r="AP222" s="1"/>
      <c r="AR222" s="1"/>
      <c r="AT222" s="1"/>
      <c r="AU222" s="1"/>
      <c r="AV222" s="1"/>
      <c r="AW222" s="1"/>
      <c r="AX222" s="5"/>
      <c r="AY222" s="5"/>
      <c r="AZ222" s="5"/>
      <c r="BA222" s="5"/>
      <c r="BB222" s="5"/>
      <c r="BC222" s="5"/>
      <c r="BF222" s="15"/>
      <c r="BG222" s="1"/>
      <c r="BH222" s="15"/>
      <c r="BI222" s="1"/>
      <c r="BJ222" s="1"/>
      <c r="BK222" s="1"/>
      <c r="BL222" s="1"/>
      <c r="BM222" s="1"/>
      <c r="BN222" s="1"/>
      <c r="BO222" s="1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DA222" s="1"/>
      <c r="DB222" s="868"/>
      <c r="DC222" s="868"/>
      <c r="DD222" s="1"/>
      <c r="DE222" s="1"/>
      <c r="DF222" s="1"/>
    </row>
    <row r="223">
      <c r="F223" s="1"/>
      <c r="H223" s="1"/>
      <c r="J223" s="1"/>
      <c r="L223" s="1"/>
      <c r="M223" s="1"/>
      <c r="N223" s="1"/>
      <c r="P223" s="1"/>
      <c r="R223" s="1"/>
      <c r="T223" s="1"/>
      <c r="V223" s="1"/>
      <c r="X223" s="1"/>
      <c r="Z223" s="1"/>
      <c r="AB223" s="1"/>
      <c r="AD223" s="1"/>
      <c r="AF223" s="1"/>
      <c r="AH223" s="1"/>
      <c r="AI223" s="1"/>
      <c r="AJ223" s="1"/>
      <c r="AL223" s="1"/>
      <c r="AN223" s="1"/>
      <c r="AP223" s="1"/>
      <c r="AR223" s="1"/>
      <c r="AT223" s="1"/>
      <c r="AU223" s="1"/>
      <c r="AV223" s="1"/>
      <c r="AW223" s="1"/>
      <c r="AX223" s="5"/>
      <c r="AY223" s="5"/>
      <c r="AZ223" s="5"/>
      <c r="BA223" s="5"/>
      <c r="BB223" s="5"/>
      <c r="BC223" s="5"/>
      <c r="BF223" s="15"/>
      <c r="BG223" s="1"/>
      <c r="BH223" s="15"/>
      <c r="BI223" s="1"/>
      <c r="BJ223" s="1"/>
      <c r="BK223" s="1"/>
      <c r="BL223" s="1"/>
      <c r="BM223" s="1"/>
      <c r="BN223" s="1"/>
      <c r="BO223" s="1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DA223" s="1"/>
      <c r="DB223" s="868"/>
      <c r="DC223" s="868"/>
      <c r="DD223" s="1"/>
      <c r="DE223" s="1"/>
      <c r="DF223" s="1"/>
    </row>
    <row r="224">
      <c r="F224" s="1"/>
      <c r="H224" s="1"/>
      <c r="J224" s="1"/>
      <c r="L224" s="1"/>
      <c r="M224" s="1"/>
      <c r="N224" s="1"/>
      <c r="P224" s="1"/>
      <c r="R224" s="1"/>
      <c r="T224" s="1"/>
      <c r="V224" s="1"/>
      <c r="X224" s="1"/>
      <c r="Z224" s="1"/>
      <c r="AB224" s="1"/>
      <c r="AD224" s="1"/>
      <c r="AF224" s="1"/>
      <c r="AH224" s="1"/>
      <c r="AI224" s="1"/>
      <c r="AJ224" s="1"/>
      <c r="AL224" s="1"/>
      <c r="AN224" s="1"/>
      <c r="AP224" s="1"/>
      <c r="AR224" s="1"/>
      <c r="AT224" s="1"/>
      <c r="AU224" s="1"/>
      <c r="AV224" s="1"/>
      <c r="AW224" s="1"/>
      <c r="AX224" s="5"/>
      <c r="AY224" s="5"/>
      <c r="AZ224" s="5"/>
      <c r="BA224" s="5"/>
      <c r="BB224" s="5"/>
      <c r="BC224" s="5"/>
      <c r="BF224" s="15"/>
      <c r="BG224" s="1"/>
      <c r="BH224" s="15"/>
      <c r="BI224" s="1"/>
      <c r="BJ224" s="1"/>
      <c r="BK224" s="1"/>
      <c r="BL224" s="1"/>
      <c r="BM224" s="1"/>
      <c r="BN224" s="1"/>
      <c r="BO224" s="1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DA224" s="1"/>
      <c r="DB224" s="868"/>
      <c r="DC224" s="868"/>
      <c r="DD224" s="1"/>
      <c r="DE224" s="1"/>
      <c r="DF224" s="1"/>
    </row>
    <row r="225">
      <c r="F225" s="1"/>
      <c r="H225" s="1"/>
      <c r="J225" s="1"/>
      <c r="L225" s="1"/>
      <c r="M225" s="1"/>
      <c r="N225" s="1"/>
      <c r="P225" s="1"/>
      <c r="R225" s="1"/>
      <c r="T225" s="1"/>
      <c r="V225" s="1"/>
      <c r="X225" s="1"/>
      <c r="Z225" s="1"/>
      <c r="AB225" s="1"/>
      <c r="AD225" s="1"/>
      <c r="AF225" s="1"/>
      <c r="AH225" s="1"/>
      <c r="AI225" s="1"/>
      <c r="AJ225" s="1"/>
      <c r="AL225" s="1"/>
      <c r="AN225" s="1"/>
      <c r="AP225" s="1"/>
      <c r="AR225" s="1"/>
      <c r="AT225" s="1"/>
      <c r="AU225" s="1"/>
      <c r="AV225" s="1"/>
      <c r="AW225" s="1"/>
      <c r="AX225" s="5"/>
      <c r="AY225" s="5"/>
      <c r="AZ225" s="5"/>
      <c r="BA225" s="5"/>
      <c r="BB225" s="5"/>
      <c r="BC225" s="5"/>
      <c r="BF225" s="15"/>
      <c r="BG225" s="1"/>
      <c r="BH225" s="15"/>
      <c r="BI225" s="1"/>
      <c r="BJ225" s="1"/>
      <c r="BK225" s="1"/>
      <c r="BL225" s="1"/>
      <c r="BM225" s="1"/>
      <c r="BN225" s="1"/>
      <c r="BO225" s="1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DA225" s="1"/>
      <c r="DB225" s="868"/>
      <c r="DC225" s="868"/>
      <c r="DD225" s="1"/>
      <c r="DE225" s="1"/>
      <c r="DF225" s="1"/>
    </row>
    <row r="226">
      <c r="F226" s="1"/>
      <c r="H226" s="1"/>
      <c r="J226" s="1"/>
      <c r="L226" s="1"/>
      <c r="M226" s="1"/>
      <c r="N226" s="1"/>
      <c r="P226" s="1"/>
      <c r="R226" s="1"/>
      <c r="T226" s="1"/>
      <c r="V226" s="1"/>
      <c r="X226" s="1"/>
      <c r="Z226" s="1"/>
      <c r="AB226" s="1"/>
      <c r="AD226" s="1"/>
      <c r="AF226" s="1"/>
      <c r="AH226" s="1"/>
      <c r="AI226" s="1"/>
      <c r="AJ226" s="1"/>
      <c r="AL226" s="1"/>
      <c r="AN226" s="1"/>
      <c r="AP226" s="1"/>
      <c r="AR226" s="1"/>
      <c r="AT226" s="1"/>
      <c r="AU226" s="1"/>
      <c r="AV226" s="1"/>
      <c r="AW226" s="1"/>
      <c r="AX226" s="5"/>
      <c r="AY226" s="5"/>
      <c r="AZ226" s="5"/>
      <c r="BA226" s="5"/>
      <c r="BB226" s="5"/>
      <c r="BC226" s="5"/>
      <c r="BF226" s="15"/>
      <c r="BG226" s="1"/>
      <c r="BH226" s="15"/>
      <c r="BI226" s="1"/>
      <c r="BJ226" s="1"/>
      <c r="BK226" s="1"/>
      <c r="BL226" s="1"/>
      <c r="BM226" s="1"/>
      <c r="BN226" s="1"/>
      <c r="BO226" s="1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DA226" s="1"/>
      <c r="DB226" s="868"/>
      <c r="DC226" s="868"/>
      <c r="DD226" s="1"/>
      <c r="DE226" s="1"/>
      <c r="DF226" s="1"/>
    </row>
    <row r="227">
      <c r="F227" s="1"/>
      <c r="H227" s="1"/>
      <c r="J227" s="1"/>
      <c r="L227" s="1"/>
      <c r="M227" s="1"/>
      <c r="N227" s="1"/>
      <c r="P227" s="1"/>
      <c r="R227" s="1"/>
      <c r="T227" s="1"/>
      <c r="V227" s="1"/>
      <c r="X227" s="1"/>
      <c r="Z227" s="1"/>
      <c r="AB227" s="1"/>
      <c r="AD227" s="1"/>
      <c r="AF227" s="1"/>
      <c r="AH227" s="1"/>
      <c r="AI227" s="1"/>
      <c r="AJ227" s="1"/>
      <c r="AL227" s="1"/>
      <c r="AN227" s="1"/>
      <c r="AP227" s="1"/>
      <c r="AR227" s="1"/>
      <c r="AT227" s="1"/>
      <c r="AU227" s="1"/>
      <c r="AV227" s="1"/>
      <c r="AW227" s="1"/>
      <c r="AX227" s="5"/>
      <c r="AY227" s="5"/>
      <c r="AZ227" s="5"/>
      <c r="BA227" s="5"/>
      <c r="BB227" s="5"/>
      <c r="BC227" s="5"/>
      <c r="BF227" s="15"/>
      <c r="BG227" s="1"/>
      <c r="BH227" s="15"/>
      <c r="BI227" s="1"/>
      <c r="BJ227" s="1"/>
      <c r="BK227" s="1"/>
      <c r="BL227" s="1"/>
      <c r="BM227" s="1"/>
      <c r="BN227" s="1"/>
      <c r="BO227" s="1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DA227" s="1"/>
      <c r="DB227" s="868"/>
      <c r="DC227" s="868"/>
      <c r="DD227" s="1"/>
      <c r="DE227" s="1"/>
      <c r="DF227" s="1"/>
    </row>
    <row r="228">
      <c r="F228" s="1"/>
      <c r="H228" s="1"/>
      <c r="J228" s="1"/>
      <c r="L228" s="1"/>
      <c r="M228" s="1"/>
      <c r="N228" s="1"/>
      <c r="P228" s="1"/>
      <c r="R228" s="1"/>
      <c r="T228" s="1"/>
      <c r="V228" s="1"/>
      <c r="X228" s="1"/>
      <c r="Z228" s="1"/>
      <c r="AB228" s="1"/>
      <c r="AD228" s="1"/>
      <c r="AF228" s="1"/>
      <c r="AH228" s="1"/>
      <c r="AI228" s="1"/>
      <c r="AJ228" s="1"/>
      <c r="AL228" s="1"/>
      <c r="AN228" s="1"/>
      <c r="AP228" s="1"/>
      <c r="AR228" s="1"/>
      <c r="AT228" s="1"/>
      <c r="AU228" s="1"/>
      <c r="AV228" s="1"/>
      <c r="AW228" s="1"/>
      <c r="AX228" s="5"/>
      <c r="AY228" s="5"/>
      <c r="AZ228" s="5"/>
      <c r="BA228" s="5"/>
      <c r="BB228" s="5"/>
      <c r="BC228" s="5"/>
      <c r="BF228" s="15"/>
      <c r="BG228" s="1"/>
      <c r="BH228" s="15"/>
      <c r="BI228" s="1"/>
      <c r="BJ228" s="1"/>
      <c r="BK228" s="1"/>
      <c r="BL228" s="1"/>
      <c r="BM228" s="1"/>
      <c r="BN228" s="1"/>
      <c r="BO228" s="1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DA228" s="1"/>
      <c r="DB228" s="868"/>
      <c r="DC228" s="868"/>
      <c r="DD228" s="1"/>
      <c r="DE228" s="1"/>
      <c r="DF228" s="1"/>
    </row>
    <row r="229">
      <c r="F229" s="1"/>
      <c r="H229" s="1"/>
      <c r="J229" s="1"/>
      <c r="L229" s="1"/>
      <c r="M229" s="1"/>
      <c r="N229" s="1"/>
      <c r="P229" s="1"/>
      <c r="R229" s="1"/>
      <c r="T229" s="1"/>
      <c r="V229" s="1"/>
      <c r="X229" s="1"/>
      <c r="Z229" s="1"/>
      <c r="AB229" s="1"/>
      <c r="AD229" s="1"/>
      <c r="AF229" s="1"/>
      <c r="AH229" s="1"/>
      <c r="AI229" s="1"/>
      <c r="AJ229" s="1"/>
      <c r="AL229" s="1"/>
      <c r="AN229" s="1"/>
      <c r="AP229" s="1"/>
      <c r="AR229" s="1"/>
      <c r="AT229" s="1"/>
      <c r="AU229" s="1"/>
      <c r="AV229" s="1"/>
      <c r="AW229" s="1"/>
      <c r="AX229" s="5"/>
      <c r="AY229" s="5"/>
      <c r="AZ229" s="5"/>
      <c r="BA229" s="5"/>
      <c r="BB229" s="5"/>
      <c r="BC229" s="5"/>
      <c r="BF229" s="15"/>
      <c r="BG229" s="1"/>
      <c r="BH229" s="15"/>
      <c r="BI229" s="1"/>
      <c r="BJ229" s="1"/>
      <c r="BK229" s="1"/>
      <c r="BL229" s="1"/>
      <c r="BM229" s="1"/>
      <c r="BN229" s="1"/>
      <c r="BO229" s="1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DA229" s="1"/>
      <c r="DB229" s="868"/>
      <c r="DC229" s="868"/>
      <c r="DD229" s="1"/>
      <c r="DE229" s="1"/>
      <c r="DF229" s="1"/>
    </row>
    <row r="230">
      <c r="F230" s="1"/>
      <c r="H230" s="1"/>
      <c r="J230" s="1"/>
      <c r="L230" s="1"/>
      <c r="M230" s="1"/>
      <c r="N230" s="1"/>
      <c r="P230" s="1"/>
      <c r="R230" s="1"/>
      <c r="T230" s="1"/>
      <c r="V230" s="1"/>
      <c r="X230" s="1"/>
      <c r="Z230" s="1"/>
      <c r="AB230" s="1"/>
      <c r="AD230" s="1"/>
      <c r="AF230" s="1"/>
      <c r="AH230" s="1"/>
      <c r="AI230" s="1"/>
      <c r="AJ230" s="1"/>
      <c r="AL230" s="1"/>
      <c r="AN230" s="1"/>
      <c r="AP230" s="1"/>
      <c r="AR230" s="1"/>
      <c r="AT230" s="1"/>
      <c r="AU230" s="1"/>
      <c r="AV230" s="1"/>
      <c r="AW230" s="1"/>
      <c r="AX230" s="5"/>
      <c r="AY230" s="5"/>
      <c r="AZ230" s="5"/>
      <c r="BA230" s="5"/>
      <c r="BB230" s="5"/>
      <c r="BC230" s="5"/>
      <c r="BF230" s="15"/>
      <c r="BG230" s="1"/>
      <c r="BH230" s="15"/>
      <c r="BI230" s="1"/>
      <c r="BJ230" s="1"/>
      <c r="BK230" s="1"/>
      <c r="BL230" s="1"/>
      <c r="BM230" s="1"/>
      <c r="BN230" s="1"/>
      <c r="BO230" s="1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DA230" s="1"/>
      <c r="DB230" s="868"/>
      <c r="DC230" s="868"/>
      <c r="DD230" s="1"/>
      <c r="DE230" s="1"/>
      <c r="DF230" s="1"/>
    </row>
    <row r="231">
      <c r="F231" s="1"/>
      <c r="H231" s="1"/>
      <c r="J231" s="1"/>
      <c r="L231" s="1"/>
      <c r="M231" s="1"/>
      <c r="N231" s="1"/>
      <c r="P231" s="1"/>
      <c r="R231" s="1"/>
      <c r="T231" s="1"/>
      <c r="V231" s="1"/>
      <c r="X231" s="1"/>
      <c r="Z231" s="1"/>
      <c r="AB231" s="1"/>
      <c r="AD231" s="1"/>
      <c r="AF231" s="1"/>
      <c r="AH231" s="1"/>
      <c r="AI231" s="1"/>
      <c r="AJ231" s="1"/>
      <c r="AL231" s="1"/>
      <c r="AN231" s="1"/>
      <c r="AP231" s="1"/>
      <c r="AR231" s="1"/>
      <c r="AT231" s="1"/>
      <c r="AU231" s="1"/>
      <c r="AV231" s="1"/>
      <c r="AW231" s="1"/>
      <c r="AX231" s="5"/>
      <c r="AY231" s="5"/>
      <c r="AZ231" s="5"/>
      <c r="BA231" s="5"/>
      <c r="BB231" s="5"/>
      <c r="BC231" s="5"/>
      <c r="BF231" s="15"/>
      <c r="BG231" s="1"/>
      <c r="BH231" s="15"/>
      <c r="BI231" s="1"/>
      <c r="BJ231" s="1"/>
      <c r="BK231" s="1"/>
      <c r="BL231" s="1"/>
      <c r="BM231" s="1"/>
      <c r="BN231" s="1"/>
      <c r="BO231" s="1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DA231" s="1"/>
      <c r="DB231" s="868"/>
      <c r="DC231" s="868"/>
      <c r="DD231" s="1"/>
      <c r="DE231" s="1"/>
      <c r="DF231" s="1"/>
    </row>
    <row r="232">
      <c r="F232" s="1"/>
      <c r="H232" s="1"/>
      <c r="J232" s="1"/>
      <c r="L232" s="1"/>
      <c r="M232" s="1"/>
      <c r="N232" s="1"/>
      <c r="P232" s="1"/>
      <c r="R232" s="1"/>
      <c r="T232" s="1"/>
      <c r="V232" s="1"/>
      <c r="X232" s="1"/>
      <c r="Z232" s="1"/>
      <c r="AB232" s="1"/>
      <c r="AD232" s="1"/>
      <c r="AF232" s="1"/>
      <c r="AH232" s="1"/>
      <c r="AI232" s="1"/>
      <c r="AJ232" s="1"/>
      <c r="AL232" s="1"/>
      <c r="AN232" s="1"/>
      <c r="AP232" s="1"/>
      <c r="AR232" s="1"/>
      <c r="AT232" s="1"/>
      <c r="AU232" s="1"/>
      <c r="AV232" s="1"/>
      <c r="AW232" s="1"/>
      <c r="AX232" s="5"/>
      <c r="AY232" s="5"/>
      <c r="AZ232" s="5"/>
      <c r="BA232" s="5"/>
      <c r="BB232" s="5"/>
      <c r="BC232" s="5"/>
      <c r="BF232" s="15"/>
      <c r="BG232" s="1"/>
      <c r="BH232" s="15"/>
      <c r="BI232" s="1"/>
      <c r="BJ232" s="1"/>
      <c r="BK232" s="1"/>
      <c r="BL232" s="1"/>
      <c r="BM232" s="1"/>
      <c r="BN232" s="1"/>
      <c r="BO232" s="1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DA232" s="1"/>
      <c r="DB232" s="868"/>
      <c r="DC232" s="868"/>
      <c r="DD232" s="1"/>
      <c r="DE232" s="1"/>
      <c r="DF232" s="1"/>
    </row>
    <row r="233">
      <c r="F233" s="1"/>
      <c r="H233" s="1"/>
      <c r="J233" s="1"/>
      <c r="L233" s="1"/>
      <c r="M233" s="1"/>
      <c r="N233" s="1"/>
      <c r="P233" s="1"/>
      <c r="R233" s="1"/>
      <c r="T233" s="1"/>
      <c r="V233" s="1"/>
      <c r="X233" s="1"/>
      <c r="Z233" s="1"/>
      <c r="AB233" s="1"/>
      <c r="AD233" s="1"/>
      <c r="AF233" s="1"/>
      <c r="AH233" s="1"/>
      <c r="AI233" s="1"/>
      <c r="AJ233" s="1"/>
      <c r="AL233" s="1"/>
      <c r="AN233" s="1"/>
      <c r="AP233" s="1"/>
      <c r="AR233" s="1"/>
      <c r="AT233" s="1"/>
      <c r="AU233" s="1"/>
      <c r="AV233" s="1"/>
      <c r="AW233" s="1"/>
      <c r="AX233" s="5"/>
      <c r="AY233" s="5"/>
      <c r="AZ233" s="5"/>
      <c r="BA233" s="5"/>
      <c r="BB233" s="5"/>
      <c r="BC233" s="5"/>
      <c r="BF233" s="15"/>
      <c r="BG233" s="1"/>
      <c r="BH233" s="15"/>
      <c r="BI233" s="1"/>
      <c r="BJ233" s="1"/>
      <c r="BK233" s="1"/>
      <c r="BL233" s="1"/>
      <c r="BM233" s="1"/>
      <c r="BN233" s="1"/>
      <c r="BO233" s="1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DA233" s="1"/>
      <c r="DB233" s="868"/>
      <c r="DC233" s="868"/>
      <c r="DD233" s="1"/>
      <c r="DE233" s="1"/>
      <c r="DF233" s="1"/>
    </row>
    <row r="234">
      <c r="F234" s="1"/>
      <c r="H234" s="1"/>
      <c r="J234" s="1"/>
      <c r="L234" s="1"/>
      <c r="M234" s="1"/>
      <c r="N234" s="1"/>
      <c r="P234" s="1"/>
      <c r="R234" s="1"/>
      <c r="T234" s="1"/>
      <c r="V234" s="1"/>
      <c r="X234" s="1"/>
      <c r="Z234" s="1"/>
      <c r="AB234" s="1"/>
      <c r="AD234" s="1"/>
      <c r="AF234" s="1"/>
      <c r="AH234" s="1"/>
      <c r="AI234" s="1"/>
      <c r="AJ234" s="1"/>
      <c r="AL234" s="1"/>
      <c r="AN234" s="1"/>
      <c r="AP234" s="1"/>
      <c r="AR234" s="1"/>
      <c r="AT234" s="1"/>
      <c r="AU234" s="1"/>
      <c r="AV234" s="1"/>
      <c r="AW234" s="1"/>
      <c r="AX234" s="5"/>
      <c r="AY234" s="5"/>
      <c r="AZ234" s="5"/>
      <c r="BA234" s="5"/>
      <c r="BB234" s="5"/>
      <c r="BC234" s="5"/>
      <c r="BF234" s="15"/>
      <c r="BG234" s="1"/>
      <c r="BH234" s="15"/>
      <c r="BI234" s="1"/>
      <c r="BJ234" s="1"/>
      <c r="BK234" s="1"/>
      <c r="BL234" s="1"/>
      <c r="BM234" s="1"/>
      <c r="BN234" s="1"/>
      <c r="BO234" s="1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DA234" s="1"/>
      <c r="DB234" s="868"/>
      <c r="DC234" s="868"/>
      <c r="DD234" s="1"/>
      <c r="DE234" s="1"/>
      <c r="DF234" s="1"/>
    </row>
    <row r="235">
      <c r="F235" s="1"/>
      <c r="H235" s="1"/>
      <c r="J235" s="1"/>
      <c r="L235" s="1"/>
      <c r="M235" s="1"/>
      <c r="N235" s="1"/>
      <c r="P235" s="1"/>
      <c r="R235" s="1"/>
      <c r="T235" s="1"/>
      <c r="V235" s="1"/>
      <c r="X235" s="1"/>
      <c r="Z235" s="1"/>
      <c r="AB235" s="1"/>
      <c r="AD235" s="1"/>
      <c r="AF235" s="1"/>
      <c r="AH235" s="1"/>
      <c r="AI235" s="1"/>
      <c r="AJ235" s="1"/>
      <c r="AL235" s="1"/>
      <c r="AN235" s="1"/>
      <c r="AP235" s="1"/>
      <c r="AR235" s="1"/>
      <c r="AT235" s="1"/>
      <c r="AU235" s="1"/>
      <c r="AV235" s="1"/>
      <c r="AW235" s="1"/>
      <c r="AX235" s="5"/>
      <c r="AY235" s="5"/>
      <c r="AZ235" s="5"/>
      <c r="BA235" s="5"/>
      <c r="BB235" s="5"/>
      <c r="BC235" s="5"/>
      <c r="BF235" s="15"/>
      <c r="BG235" s="1"/>
      <c r="BH235" s="15"/>
      <c r="BI235" s="1"/>
      <c r="BJ235" s="1"/>
      <c r="BK235" s="1"/>
      <c r="BL235" s="1"/>
      <c r="BM235" s="1"/>
      <c r="BN235" s="1"/>
      <c r="BO235" s="1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DA235" s="1"/>
      <c r="DB235" s="868"/>
      <c r="DC235" s="868"/>
      <c r="DD235" s="1"/>
      <c r="DE235" s="1"/>
      <c r="DF235" s="1"/>
    </row>
    <row r="236">
      <c r="F236" s="1"/>
      <c r="H236" s="1"/>
      <c r="J236" s="1"/>
      <c r="L236" s="1"/>
      <c r="M236" s="1"/>
      <c r="N236" s="1"/>
      <c r="P236" s="1"/>
      <c r="R236" s="1"/>
      <c r="T236" s="1"/>
      <c r="V236" s="1"/>
      <c r="X236" s="1"/>
      <c r="Z236" s="1"/>
      <c r="AB236" s="1"/>
      <c r="AD236" s="1"/>
      <c r="AF236" s="1"/>
      <c r="AH236" s="1"/>
      <c r="AI236" s="1"/>
      <c r="AJ236" s="1"/>
      <c r="AL236" s="1"/>
      <c r="AN236" s="1"/>
      <c r="AP236" s="1"/>
      <c r="AR236" s="1"/>
      <c r="AT236" s="1"/>
      <c r="AU236" s="1"/>
      <c r="AV236" s="1"/>
      <c r="AW236" s="1"/>
      <c r="AX236" s="5"/>
      <c r="AY236" s="5"/>
      <c r="AZ236" s="5"/>
      <c r="BA236" s="5"/>
      <c r="BB236" s="5"/>
      <c r="BC236" s="5"/>
      <c r="BF236" s="15"/>
      <c r="BG236" s="1"/>
      <c r="BH236" s="15"/>
      <c r="BI236" s="1"/>
      <c r="BJ236" s="1"/>
      <c r="BK236" s="1"/>
      <c r="BL236" s="1"/>
      <c r="BM236" s="1"/>
      <c r="BN236" s="1"/>
      <c r="BO236" s="1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DA236" s="1"/>
      <c r="DB236" s="868"/>
      <c r="DC236" s="868"/>
      <c r="DD236" s="1"/>
      <c r="DE236" s="1"/>
      <c r="DF236" s="1"/>
    </row>
    <row r="237">
      <c r="F237" s="1"/>
      <c r="H237" s="1"/>
      <c r="J237" s="1"/>
      <c r="L237" s="1"/>
      <c r="M237" s="1"/>
      <c r="N237" s="1"/>
      <c r="P237" s="1"/>
      <c r="R237" s="1"/>
      <c r="T237" s="1"/>
      <c r="V237" s="1"/>
      <c r="X237" s="1"/>
      <c r="Z237" s="1"/>
      <c r="AB237" s="1"/>
      <c r="AD237" s="1"/>
      <c r="AF237" s="1"/>
      <c r="AH237" s="1"/>
      <c r="AI237" s="1"/>
      <c r="AJ237" s="1"/>
      <c r="AL237" s="1"/>
      <c r="AN237" s="1"/>
      <c r="AP237" s="1"/>
      <c r="AR237" s="1"/>
      <c r="AT237" s="1"/>
      <c r="AU237" s="1"/>
      <c r="AV237" s="1"/>
      <c r="AW237" s="1"/>
      <c r="AX237" s="5"/>
      <c r="AY237" s="5"/>
      <c r="AZ237" s="5"/>
      <c r="BA237" s="5"/>
      <c r="BB237" s="5"/>
      <c r="BC237" s="5"/>
      <c r="BF237" s="15"/>
      <c r="BG237" s="1"/>
      <c r="BH237" s="15"/>
      <c r="BI237" s="1"/>
      <c r="BJ237" s="1"/>
      <c r="BK237" s="1"/>
      <c r="BL237" s="1"/>
      <c r="BM237" s="1"/>
      <c r="BN237" s="1"/>
      <c r="BO237" s="1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DA237" s="1"/>
      <c r="DB237" s="868"/>
      <c r="DC237" s="868"/>
      <c r="DD237" s="1"/>
      <c r="DE237" s="1"/>
      <c r="DF237" s="1"/>
    </row>
    <row r="238">
      <c r="F238" s="1"/>
      <c r="H238" s="1"/>
      <c r="J238" s="1"/>
      <c r="L238" s="1"/>
      <c r="M238" s="1"/>
      <c r="N238" s="1"/>
      <c r="P238" s="1"/>
      <c r="R238" s="1"/>
      <c r="T238" s="1"/>
      <c r="V238" s="1"/>
      <c r="X238" s="1"/>
      <c r="Z238" s="1"/>
      <c r="AB238" s="1"/>
      <c r="AD238" s="1"/>
      <c r="AF238" s="1"/>
      <c r="AH238" s="1"/>
      <c r="AI238" s="1"/>
      <c r="AJ238" s="1"/>
      <c r="AL238" s="1"/>
      <c r="AN238" s="1"/>
      <c r="AP238" s="1"/>
      <c r="AR238" s="1"/>
      <c r="AT238" s="1"/>
      <c r="AU238" s="1"/>
      <c r="AV238" s="1"/>
      <c r="AW238" s="1"/>
      <c r="AX238" s="5"/>
      <c r="AY238" s="5"/>
      <c r="AZ238" s="5"/>
      <c r="BA238" s="5"/>
      <c r="BB238" s="5"/>
      <c r="BC238" s="5"/>
      <c r="BF238" s="15"/>
      <c r="BG238" s="1"/>
      <c r="BH238" s="15"/>
      <c r="BI238" s="1"/>
      <c r="BJ238" s="1"/>
      <c r="BK238" s="1"/>
      <c r="BL238" s="1"/>
      <c r="BM238" s="1"/>
      <c r="BN238" s="1"/>
      <c r="BO238" s="1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DA238" s="1"/>
      <c r="DB238" s="868"/>
      <c r="DC238" s="868"/>
      <c r="DD238" s="1"/>
      <c r="DE238" s="1"/>
      <c r="DF238" s="1"/>
    </row>
    <row r="239">
      <c r="F239" s="1"/>
      <c r="H239" s="1"/>
      <c r="J239" s="1"/>
      <c r="L239" s="1"/>
      <c r="M239" s="1"/>
      <c r="N239" s="1"/>
      <c r="P239" s="1"/>
      <c r="R239" s="1"/>
      <c r="T239" s="1"/>
      <c r="V239" s="1"/>
      <c r="X239" s="1"/>
      <c r="Z239" s="1"/>
      <c r="AB239" s="1"/>
      <c r="AD239" s="1"/>
      <c r="AF239" s="1"/>
      <c r="AH239" s="1"/>
      <c r="AI239" s="1"/>
      <c r="AJ239" s="1"/>
      <c r="AL239" s="1"/>
      <c r="AN239" s="1"/>
      <c r="AP239" s="1"/>
      <c r="AR239" s="1"/>
      <c r="AT239" s="1"/>
      <c r="AU239" s="1"/>
      <c r="AV239" s="1"/>
      <c r="AW239" s="1"/>
      <c r="AX239" s="5"/>
      <c r="AY239" s="5"/>
      <c r="AZ239" s="5"/>
      <c r="BA239" s="5"/>
      <c r="BB239" s="5"/>
      <c r="BC239" s="5"/>
      <c r="BF239" s="15"/>
      <c r="BG239" s="1"/>
      <c r="BH239" s="15"/>
      <c r="BI239" s="1"/>
      <c r="BJ239" s="1"/>
      <c r="BK239" s="1"/>
      <c r="BL239" s="1"/>
      <c r="BM239" s="1"/>
      <c r="BN239" s="1"/>
      <c r="BO239" s="1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DA239" s="1"/>
      <c r="DB239" s="868"/>
      <c r="DC239" s="868"/>
      <c r="DD239" s="1"/>
      <c r="DE239" s="1"/>
      <c r="DF239" s="1"/>
    </row>
    <row r="240">
      <c r="F240" s="1"/>
      <c r="H240" s="1"/>
      <c r="J240" s="1"/>
      <c r="L240" s="1"/>
      <c r="M240" s="1"/>
      <c r="N240" s="1"/>
      <c r="P240" s="1"/>
      <c r="R240" s="1"/>
      <c r="T240" s="1"/>
      <c r="V240" s="1"/>
      <c r="X240" s="1"/>
      <c r="Z240" s="1"/>
      <c r="AB240" s="1"/>
      <c r="AD240" s="1"/>
      <c r="AF240" s="1"/>
      <c r="AH240" s="1"/>
      <c r="AI240" s="1"/>
      <c r="AJ240" s="1"/>
      <c r="AL240" s="1"/>
      <c r="AN240" s="1"/>
      <c r="AP240" s="1"/>
      <c r="AR240" s="1"/>
      <c r="AT240" s="1"/>
      <c r="AU240" s="1"/>
      <c r="AV240" s="1"/>
      <c r="AW240" s="1"/>
      <c r="AX240" s="5"/>
      <c r="AY240" s="5"/>
      <c r="AZ240" s="5"/>
      <c r="BA240" s="5"/>
      <c r="BB240" s="5"/>
      <c r="BC240" s="5"/>
      <c r="BF240" s="15"/>
      <c r="BG240" s="1"/>
      <c r="BH240" s="15"/>
      <c r="BI240" s="1"/>
      <c r="BJ240" s="1"/>
      <c r="BK240" s="1"/>
      <c r="BL240" s="1"/>
      <c r="BM240" s="1"/>
      <c r="BN240" s="1"/>
      <c r="BO240" s="1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DA240" s="1"/>
      <c r="DB240" s="868"/>
      <c r="DC240" s="868"/>
      <c r="DD240" s="1"/>
      <c r="DE240" s="1"/>
      <c r="DF240" s="1"/>
    </row>
    <row r="241">
      <c r="F241" s="1"/>
      <c r="H241" s="1"/>
      <c r="J241" s="1"/>
      <c r="L241" s="1"/>
      <c r="M241" s="1"/>
      <c r="N241" s="1"/>
      <c r="P241" s="1"/>
      <c r="R241" s="1"/>
      <c r="T241" s="1"/>
      <c r="V241" s="1"/>
      <c r="X241" s="1"/>
      <c r="Z241" s="1"/>
      <c r="AB241" s="1"/>
      <c r="AD241" s="1"/>
      <c r="AF241" s="1"/>
      <c r="AH241" s="1"/>
      <c r="AI241" s="1"/>
      <c r="AJ241" s="1"/>
      <c r="AL241" s="1"/>
      <c r="AN241" s="1"/>
      <c r="AP241" s="1"/>
      <c r="AR241" s="1"/>
      <c r="AT241" s="1"/>
      <c r="AU241" s="1"/>
      <c r="AV241" s="1"/>
      <c r="AW241" s="1"/>
      <c r="AX241" s="5"/>
      <c r="AY241" s="5"/>
      <c r="AZ241" s="5"/>
      <c r="BA241" s="5"/>
      <c r="BB241" s="5"/>
      <c r="BC241" s="5"/>
      <c r="BF241" s="15"/>
      <c r="BG241" s="1"/>
      <c r="BH241" s="15"/>
      <c r="BI241" s="1"/>
      <c r="BJ241" s="1"/>
      <c r="BK241" s="1"/>
      <c r="BL241" s="1"/>
      <c r="BM241" s="1"/>
      <c r="BN241" s="1"/>
      <c r="BO241" s="1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DA241" s="1"/>
      <c r="DB241" s="868"/>
      <c r="DC241" s="868"/>
      <c r="DD241" s="1"/>
      <c r="DE241" s="1"/>
      <c r="DF241" s="1"/>
    </row>
    <row r="242">
      <c r="F242" s="1"/>
      <c r="H242" s="1"/>
      <c r="J242" s="1"/>
      <c r="L242" s="1"/>
      <c r="M242" s="1"/>
      <c r="N242" s="1"/>
      <c r="P242" s="1"/>
      <c r="R242" s="1"/>
      <c r="T242" s="1"/>
      <c r="V242" s="1"/>
      <c r="X242" s="1"/>
      <c r="Z242" s="1"/>
      <c r="AB242" s="1"/>
      <c r="AD242" s="1"/>
      <c r="AF242" s="1"/>
      <c r="AH242" s="1"/>
      <c r="AI242" s="1"/>
      <c r="AJ242" s="1"/>
      <c r="AL242" s="1"/>
      <c r="AN242" s="1"/>
      <c r="AP242" s="1"/>
      <c r="AR242" s="1"/>
      <c r="AT242" s="1"/>
      <c r="AU242" s="1"/>
      <c r="AV242" s="1"/>
      <c r="AW242" s="1"/>
      <c r="AX242" s="5"/>
      <c r="AY242" s="5"/>
      <c r="AZ242" s="5"/>
      <c r="BA242" s="5"/>
      <c r="BB242" s="5"/>
      <c r="BC242" s="5"/>
      <c r="BF242" s="15"/>
      <c r="BG242" s="1"/>
      <c r="BH242" s="15"/>
      <c r="BI242" s="1"/>
      <c r="BJ242" s="1"/>
      <c r="BK242" s="1"/>
      <c r="BL242" s="1"/>
      <c r="BM242" s="1"/>
      <c r="BN242" s="1"/>
      <c r="BO242" s="1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DA242" s="1"/>
      <c r="DB242" s="868"/>
      <c r="DC242" s="868"/>
      <c r="DD242" s="1"/>
      <c r="DE242" s="1"/>
      <c r="DF242" s="1"/>
    </row>
    <row r="243">
      <c r="F243" s="1"/>
      <c r="H243" s="1"/>
      <c r="J243" s="1"/>
      <c r="L243" s="1"/>
      <c r="M243" s="1"/>
      <c r="N243" s="1"/>
      <c r="P243" s="1"/>
      <c r="R243" s="1"/>
      <c r="T243" s="1"/>
      <c r="V243" s="1"/>
      <c r="X243" s="1"/>
      <c r="Z243" s="1"/>
      <c r="AB243" s="1"/>
      <c r="AD243" s="1"/>
      <c r="AF243" s="1"/>
      <c r="AH243" s="1"/>
      <c r="AI243" s="1"/>
      <c r="AJ243" s="1"/>
      <c r="AL243" s="1"/>
      <c r="AN243" s="1"/>
      <c r="AP243" s="1"/>
      <c r="AR243" s="1"/>
      <c r="AT243" s="1"/>
      <c r="AU243" s="1"/>
      <c r="AV243" s="1"/>
      <c r="AW243" s="1"/>
      <c r="AX243" s="5"/>
      <c r="AY243" s="5"/>
      <c r="AZ243" s="5"/>
      <c r="BA243" s="5"/>
      <c r="BB243" s="5"/>
      <c r="BC243" s="5"/>
      <c r="BF243" s="15"/>
      <c r="BG243" s="1"/>
      <c r="BH243" s="15"/>
      <c r="BI243" s="1"/>
      <c r="BJ243" s="1"/>
      <c r="BK243" s="1"/>
      <c r="BL243" s="1"/>
      <c r="BM243" s="1"/>
      <c r="BN243" s="1"/>
      <c r="BO243" s="1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DA243" s="1"/>
      <c r="DB243" s="868"/>
      <c r="DC243" s="868"/>
      <c r="DD243" s="1"/>
      <c r="DE243" s="1"/>
      <c r="DF243" s="1"/>
    </row>
    <row r="244">
      <c r="F244" s="1"/>
      <c r="H244" s="1"/>
      <c r="J244" s="1"/>
      <c r="L244" s="1"/>
      <c r="M244" s="1"/>
      <c r="N244" s="1"/>
      <c r="P244" s="1"/>
      <c r="R244" s="1"/>
      <c r="T244" s="1"/>
      <c r="V244" s="1"/>
      <c r="X244" s="1"/>
      <c r="Z244" s="1"/>
      <c r="AB244" s="1"/>
      <c r="AD244" s="1"/>
      <c r="AF244" s="1"/>
      <c r="AH244" s="1"/>
      <c r="AI244" s="1"/>
      <c r="AJ244" s="1"/>
      <c r="AL244" s="1"/>
      <c r="AN244" s="1"/>
      <c r="AP244" s="1"/>
      <c r="AR244" s="1"/>
      <c r="AT244" s="1"/>
      <c r="AU244" s="1"/>
      <c r="AV244" s="1"/>
      <c r="AW244" s="1"/>
      <c r="AX244" s="5"/>
      <c r="AY244" s="5"/>
      <c r="AZ244" s="5"/>
      <c r="BA244" s="5"/>
      <c r="BB244" s="5"/>
      <c r="BC244" s="5"/>
      <c r="BF244" s="15"/>
      <c r="BG244" s="1"/>
      <c r="BH244" s="15"/>
      <c r="BI244" s="1"/>
      <c r="BJ244" s="1"/>
      <c r="BK244" s="1"/>
      <c r="BL244" s="1"/>
      <c r="BM244" s="1"/>
      <c r="BN244" s="1"/>
      <c r="BO244" s="1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DA244" s="1"/>
      <c r="DB244" s="868"/>
      <c r="DC244" s="868"/>
      <c r="DD244" s="1"/>
      <c r="DE244" s="1"/>
      <c r="DF244" s="1"/>
    </row>
    <row r="245">
      <c r="F245" s="1"/>
      <c r="H245" s="1"/>
      <c r="J245" s="1"/>
      <c r="L245" s="1"/>
      <c r="M245" s="1"/>
      <c r="N245" s="1"/>
      <c r="P245" s="1"/>
      <c r="R245" s="1"/>
      <c r="T245" s="1"/>
      <c r="V245" s="1"/>
      <c r="X245" s="1"/>
      <c r="Z245" s="1"/>
      <c r="AB245" s="1"/>
      <c r="AD245" s="1"/>
      <c r="AF245" s="1"/>
      <c r="AH245" s="1"/>
      <c r="AI245" s="1"/>
      <c r="AJ245" s="1"/>
      <c r="AL245" s="1"/>
      <c r="AN245" s="1"/>
      <c r="AP245" s="1"/>
      <c r="AR245" s="1"/>
      <c r="AT245" s="1"/>
      <c r="AU245" s="1"/>
      <c r="AV245" s="1"/>
      <c r="AW245" s="1"/>
      <c r="AX245" s="5"/>
      <c r="AY245" s="5"/>
      <c r="AZ245" s="5"/>
      <c r="BA245" s="5"/>
      <c r="BB245" s="5"/>
      <c r="BC245" s="5"/>
      <c r="BF245" s="15"/>
      <c r="BG245" s="1"/>
      <c r="BH245" s="15"/>
      <c r="BI245" s="1"/>
      <c r="BJ245" s="1"/>
      <c r="BK245" s="1"/>
      <c r="BL245" s="1"/>
      <c r="BM245" s="1"/>
      <c r="BN245" s="1"/>
      <c r="BO245" s="1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DA245" s="1"/>
      <c r="DB245" s="868"/>
      <c r="DC245" s="868"/>
      <c r="DD245" s="1"/>
      <c r="DE245" s="1"/>
      <c r="DF245" s="1"/>
    </row>
    <row r="246">
      <c r="F246" s="1"/>
      <c r="H246" s="1"/>
      <c r="J246" s="1"/>
      <c r="L246" s="1"/>
      <c r="M246" s="1"/>
      <c r="N246" s="1"/>
      <c r="P246" s="1"/>
      <c r="R246" s="1"/>
      <c r="T246" s="1"/>
      <c r="V246" s="1"/>
      <c r="X246" s="1"/>
      <c r="Z246" s="1"/>
      <c r="AB246" s="1"/>
      <c r="AD246" s="1"/>
      <c r="AF246" s="1"/>
      <c r="AH246" s="1"/>
      <c r="AI246" s="1"/>
      <c r="AJ246" s="1"/>
      <c r="AL246" s="1"/>
      <c r="AN246" s="1"/>
      <c r="AP246" s="1"/>
      <c r="AR246" s="1"/>
      <c r="AT246" s="1"/>
      <c r="AU246" s="1"/>
      <c r="AV246" s="1"/>
      <c r="AW246" s="1"/>
      <c r="AX246" s="5"/>
      <c r="AY246" s="5"/>
      <c r="AZ246" s="5"/>
      <c r="BA246" s="5"/>
      <c r="BB246" s="5"/>
      <c r="BC246" s="5"/>
      <c r="BF246" s="15"/>
      <c r="BG246" s="1"/>
      <c r="BH246" s="15"/>
      <c r="BI246" s="1"/>
      <c r="BJ246" s="1"/>
      <c r="BK246" s="1"/>
      <c r="BL246" s="1"/>
      <c r="BM246" s="1"/>
      <c r="BN246" s="1"/>
      <c r="BO246" s="1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DA246" s="1"/>
      <c r="DB246" s="868"/>
      <c r="DC246" s="868"/>
      <c r="DD246" s="1"/>
      <c r="DE246" s="1"/>
      <c r="DF246" s="1"/>
    </row>
    <row r="247">
      <c r="F247" s="1"/>
      <c r="H247" s="1"/>
      <c r="J247" s="1"/>
      <c r="L247" s="1"/>
      <c r="M247" s="1"/>
      <c r="N247" s="1"/>
      <c r="P247" s="1"/>
      <c r="R247" s="1"/>
      <c r="T247" s="1"/>
      <c r="V247" s="1"/>
      <c r="X247" s="1"/>
      <c r="Z247" s="1"/>
      <c r="AB247" s="1"/>
      <c r="AD247" s="1"/>
      <c r="AF247" s="1"/>
      <c r="AH247" s="1"/>
      <c r="AI247" s="1"/>
      <c r="AJ247" s="1"/>
      <c r="AL247" s="1"/>
      <c r="AN247" s="1"/>
      <c r="AP247" s="1"/>
      <c r="AR247" s="1"/>
      <c r="AT247" s="1"/>
      <c r="AU247" s="1"/>
      <c r="AV247" s="1"/>
      <c r="AW247" s="1"/>
      <c r="AX247" s="5"/>
      <c r="AY247" s="5"/>
      <c r="AZ247" s="5"/>
      <c r="BA247" s="5"/>
      <c r="BB247" s="5"/>
      <c r="BC247" s="5"/>
      <c r="BF247" s="15"/>
      <c r="BG247" s="1"/>
      <c r="BH247" s="15"/>
      <c r="BI247" s="1"/>
      <c r="BJ247" s="1"/>
      <c r="BK247" s="1"/>
      <c r="BL247" s="1"/>
      <c r="BM247" s="1"/>
      <c r="BN247" s="1"/>
      <c r="BO247" s="1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DA247" s="1"/>
      <c r="DB247" s="868"/>
      <c r="DC247" s="868"/>
      <c r="DD247" s="1"/>
      <c r="DE247" s="1"/>
      <c r="DF247" s="1"/>
    </row>
    <row r="248">
      <c r="F248" s="1"/>
      <c r="H248" s="1"/>
      <c r="J248" s="1"/>
      <c r="L248" s="1"/>
      <c r="M248" s="1"/>
      <c r="N248" s="1"/>
      <c r="P248" s="1"/>
      <c r="R248" s="1"/>
      <c r="T248" s="1"/>
      <c r="V248" s="1"/>
      <c r="X248" s="1"/>
      <c r="Z248" s="1"/>
      <c r="AB248" s="1"/>
      <c r="AD248" s="1"/>
      <c r="AF248" s="1"/>
      <c r="AH248" s="1"/>
      <c r="AI248" s="1"/>
      <c r="AJ248" s="1"/>
      <c r="AL248" s="1"/>
      <c r="AN248" s="1"/>
      <c r="AP248" s="1"/>
      <c r="AR248" s="1"/>
      <c r="AT248" s="1"/>
      <c r="AU248" s="1"/>
      <c r="AV248" s="1"/>
      <c r="AW248" s="1"/>
      <c r="AX248" s="5"/>
      <c r="AY248" s="5"/>
      <c r="AZ248" s="5"/>
      <c r="BA248" s="5"/>
      <c r="BB248" s="5"/>
      <c r="BC248" s="5"/>
      <c r="BF248" s="15"/>
      <c r="BG248" s="1"/>
      <c r="BH248" s="15"/>
      <c r="BI248" s="1"/>
      <c r="BJ248" s="1"/>
      <c r="BK248" s="1"/>
      <c r="BL248" s="1"/>
      <c r="BM248" s="1"/>
      <c r="BN248" s="1"/>
      <c r="BO248" s="1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DA248" s="1"/>
      <c r="DB248" s="868"/>
      <c r="DC248" s="868"/>
      <c r="DD248" s="1"/>
      <c r="DE248" s="1"/>
      <c r="DF248" s="1"/>
    </row>
    <row r="249">
      <c r="F249" s="1"/>
      <c r="H249" s="1"/>
      <c r="J249" s="1"/>
      <c r="L249" s="1"/>
      <c r="M249" s="1"/>
      <c r="N249" s="1"/>
      <c r="P249" s="1"/>
      <c r="R249" s="1"/>
      <c r="T249" s="1"/>
      <c r="V249" s="1"/>
      <c r="X249" s="1"/>
      <c r="Z249" s="1"/>
      <c r="AB249" s="1"/>
      <c r="AD249" s="1"/>
      <c r="AF249" s="1"/>
      <c r="AH249" s="1"/>
      <c r="AI249" s="1"/>
      <c r="AJ249" s="1"/>
      <c r="AL249" s="1"/>
      <c r="AN249" s="1"/>
      <c r="AP249" s="1"/>
      <c r="AR249" s="1"/>
      <c r="AT249" s="1"/>
      <c r="AU249" s="1"/>
      <c r="AV249" s="1"/>
      <c r="AW249" s="1"/>
      <c r="AX249" s="5"/>
      <c r="AY249" s="5"/>
      <c r="AZ249" s="5"/>
      <c r="BA249" s="5"/>
      <c r="BB249" s="5"/>
      <c r="BC249" s="5"/>
      <c r="BF249" s="15"/>
      <c r="BG249" s="1"/>
      <c r="BH249" s="15"/>
      <c r="BI249" s="1"/>
      <c r="BJ249" s="1"/>
      <c r="BK249" s="1"/>
      <c r="BL249" s="1"/>
      <c r="BM249" s="1"/>
      <c r="BN249" s="1"/>
      <c r="BO249" s="1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DA249" s="1"/>
      <c r="DB249" s="868"/>
      <c r="DC249" s="868"/>
      <c r="DD249" s="1"/>
      <c r="DE249" s="1"/>
      <c r="DF249" s="1"/>
    </row>
    <row r="250">
      <c r="F250" s="1"/>
      <c r="H250" s="1"/>
      <c r="J250" s="1"/>
      <c r="L250" s="1"/>
      <c r="M250" s="1"/>
      <c r="N250" s="1"/>
      <c r="P250" s="1"/>
      <c r="R250" s="1"/>
      <c r="T250" s="1"/>
      <c r="V250" s="1"/>
      <c r="X250" s="1"/>
      <c r="Z250" s="1"/>
      <c r="AB250" s="1"/>
      <c r="AD250" s="1"/>
      <c r="AF250" s="1"/>
      <c r="AH250" s="1"/>
      <c r="AI250" s="1"/>
      <c r="AJ250" s="1"/>
      <c r="AL250" s="1"/>
      <c r="AN250" s="1"/>
      <c r="AP250" s="1"/>
      <c r="AR250" s="1"/>
      <c r="AT250" s="1"/>
      <c r="AU250" s="1"/>
      <c r="AV250" s="1"/>
      <c r="AW250" s="1"/>
      <c r="AX250" s="5"/>
      <c r="AY250" s="5"/>
      <c r="AZ250" s="5"/>
      <c r="BA250" s="5"/>
      <c r="BB250" s="5"/>
      <c r="BC250" s="5"/>
      <c r="BF250" s="15"/>
      <c r="BG250" s="1"/>
      <c r="BH250" s="15"/>
      <c r="BI250" s="1"/>
      <c r="BJ250" s="1"/>
      <c r="BK250" s="1"/>
      <c r="BL250" s="1"/>
      <c r="BM250" s="1"/>
      <c r="BN250" s="1"/>
      <c r="BO250" s="1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DA250" s="1"/>
      <c r="DB250" s="868"/>
      <c r="DC250" s="868"/>
      <c r="DD250" s="1"/>
      <c r="DE250" s="1"/>
      <c r="DF250" s="1"/>
    </row>
    <row r="251">
      <c r="F251" s="1"/>
      <c r="H251" s="1"/>
      <c r="J251" s="1"/>
      <c r="L251" s="1"/>
      <c r="M251" s="1"/>
      <c r="N251" s="1"/>
      <c r="P251" s="1"/>
      <c r="R251" s="1"/>
      <c r="T251" s="1"/>
      <c r="V251" s="1"/>
      <c r="X251" s="1"/>
      <c r="Z251" s="1"/>
      <c r="AB251" s="1"/>
      <c r="AD251" s="1"/>
      <c r="AF251" s="1"/>
      <c r="AH251" s="1"/>
      <c r="AI251" s="1"/>
      <c r="AJ251" s="1"/>
      <c r="AL251" s="1"/>
      <c r="AN251" s="1"/>
      <c r="AP251" s="1"/>
      <c r="AR251" s="1"/>
      <c r="AT251" s="1"/>
      <c r="AU251" s="1"/>
      <c r="AV251" s="1"/>
      <c r="AW251" s="1"/>
      <c r="AX251" s="5"/>
      <c r="AY251" s="5"/>
      <c r="AZ251" s="5"/>
      <c r="BA251" s="5"/>
      <c r="BB251" s="5"/>
      <c r="BC251" s="5"/>
      <c r="BF251" s="15"/>
      <c r="BG251" s="1"/>
      <c r="BH251" s="15"/>
      <c r="BI251" s="1"/>
      <c r="BJ251" s="1"/>
      <c r="BK251" s="1"/>
      <c r="BL251" s="1"/>
      <c r="BM251" s="1"/>
      <c r="BN251" s="1"/>
      <c r="BO251" s="1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DA251" s="1"/>
      <c r="DB251" s="868"/>
      <c r="DC251" s="868"/>
      <c r="DD251" s="1"/>
      <c r="DE251" s="1"/>
      <c r="DF251" s="1"/>
    </row>
    <row r="252">
      <c r="F252" s="1"/>
      <c r="H252" s="1"/>
      <c r="J252" s="1"/>
      <c r="L252" s="1"/>
      <c r="M252" s="1"/>
      <c r="N252" s="1"/>
      <c r="P252" s="1"/>
      <c r="R252" s="1"/>
      <c r="T252" s="1"/>
      <c r="V252" s="1"/>
      <c r="X252" s="1"/>
      <c r="Z252" s="1"/>
      <c r="AB252" s="1"/>
      <c r="AD252" s="1"/>
      <c r="AF252" s="1"/>
      <c r="AH252" s="1"/>
      <c r="AI252" s="1"/>
      <c r="AJ252" s="1"/>
      <c r="AL252" s="1"/>
      <c r="AN252" s="1"/>
      <c r="AP252" s="1"/>
      <c r="AR252" s="1"/>
      <c r="AT252" s="1"/>
      <c r="AU252" s="1"/>
      <c r="AV252" s="1"/>
      <c r="AW252" s="1"/>
      <c r="AX252" s="5"/>
      <c r="AY252" s="5"/>
      <c r="AZ252" s="5"/>
      <c r="BA252" s="5"/>
      <c r="BB252" s="5"/>
      <c r="BC252" s="5"/>
      <c r="BF252" s="15"/>
      <c r="BG252" s="1"/>
      <c r="BH252" s="15"/>
      <c r="BI252" s="1"/>
      <c r="BJ252" s="1"/>
      <c r="BK252" s="1"/>
      <c r="BL252" s="1"/>
      <c r="BM252" s="1"/>
      <c r="BN252" s="1"/>
      <c r="BO252" s="1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DA252" s="1"/>
      <c r="DB252" s="868"/>
      <c r="DC252" s="868"/>
      <c r="DD252" s="1"/>
      <c r="DE252" s="1"/>
      <c r="DF252" s="1"/>
    </row>
    <row r="253">
      <c r="F253" s="1"/>
      <c r="H253" s="1"/>
      <c r="J253" s="1"/>
      <c r="L253" s="1"/>
      <c r="M253" s="1"/>
      <c r="N253" s="1"/>
      <c r="P253" s="1"/>
      <c r="R253" s="1"/>
      <c r="T253" s="1"/>
      <c r="V253" s="1"/>
      <c r="X253" s="1"/>
      <c r="Z253" s="1"/>
      <c r="AB253" s="1"/>
      <c r="AD253" s="1"/>
      <c r="AF253" s="1"/>
      <c r="AH253" s="1"/>
      <c r="AI253" s="1"/>
      <c r="AJ253" s="1"/>
      <c r="AL253" s="1"/>
      <c r="AN253" s="1"/>
      <c r="AP253" s="1"/>
      <c r="AR253" s="1"/>
      <c r="AT253" s="1"/>
      <c r="AU253" s="1"/>
      <c r="AV253" s="1"/>
      <c r="AW253" s="1"/>
      <c r="AX253" s="5"/>
      <c r="AY253" s="5"/>
      <c r="AZ253" s="5"/>
      <c r="BA253" s="5"/>
      <c r="BB253" s="5"/>
      <c r="BC253" s="5"/>
      <c r="BF253" s="15"/>
      <c r="BG253" s="1"/>
      <c r="BH253" s="15"/>
      <c r="BI253" s="1"/>
      <c r="BJ253" s="1"/>
      <c r="BK253" s="1"/>
      <c r="BL253" s="1"/>
      <c r="BM253" s="1"/>
      <c r="BN253" s="1"/>
      <c r="BO253" s="1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DA253" s="1"/>
      <c r="DB253" s="868"/>
      <c r="DC253" s="868"/>
      <c r="DD253" s="1"/>
      <c r="DE253" s="1"/>
      <c r="DF253" s="1"/>
    </row>
    <row r="254">
      <c r="F254" s="1"/>
      <c r="H254" s="1"/>
      <c r="J254" s="1"/>
      <c r="L254" s="1"/>
      <c r="M254" s="1"/>
      <c r="N254" s="1"/>
      <c r="P254" s="1"/>
      <c r="R254" s="1"/>
      <c r="T254" s="1"/>
      <c r="V254" s="1"/>
      <c r="X254" s="1"/>
      <c r="Z254" s="1"/>
      <c r="AB254" s="1"/>
      <c r="AD254" s="1"/>
      <c r="AF254" s="1"/>
      <c r="AH254" s="1"/>
      <c r="AI254" s="1"/>
      <c r="AJ254" s="1"/>
      <c r="AL254" s="1"/>
      <c r="AN254" s="1"/>
      <c r="AP254" s="1"/>
      <c r="AR254" s="1"/>
      <c r="AT254" s="1"/>
      <c r="AU254" s="1"/>
      <c r="AV254" s="1"/>
      <c r="AW254" s="1"/>
      <c r="AX254" s="5"/>
      <c r="AY254" s="5"/>
      <c r="AZ254" s="5"/>
      <c r="BA254" s="5"/>
      <c r="BB254" s="5"/>
      <c r="BC254" s="5"/>
      <c r="BF254" s="15"/>
      <c r="BG254" s="1"/>
      <c r="BH254" s="15"/>
      <c r="BI254" s="1"/>
      <c r="BJ254" s="1"/>
      <c r="BK254" s="1"/>
      <c r="BL254" s="1"/>
      <c r="BM254" s="1"/>
      <c r="BN254" s="1"/>
      <c r="BO254" s="1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DA254" s="1"/>
      <c r="DB254" s="868"/>
      <c r="DC254" s="868"/>
      <c r="DD254" s="1"/>
      <c r="DE254" s="1"/>
      <c r="DF254" s="1"/>
    </row>
    <row r="255">
      <c r="F255" s="1"/>
      <c r="H255" s="1"/>
      <c r="J255" s="1"/>
      <c r="L255" s="1"/>
      <c r="M255" s="1"/>
      <c r="N255" s="1"/>
      <c r="P255" s="1"/>
      <c r="R255" s="1"/>
      <c r="T255" s="1"/>
      <c r="V255" s="1"/>
      <c r="X255" s="1"/>
      <c r="Z255" s="1"/>
      <c r="AB255" s="1"/>
      <c r="AD255" s="1"/>
      <c r="AF255" s="1"/>
      <c r="AH255" s="1"/>
      <c r="AI255" s="1"/>
      <c r="AJ255" s="1"/>
      <c r="AL255" s="1"/>
      <c r="AN255" s="1"/>
      <c r="AP255" s="1"/>
      <c r="AR255" s="1"/>
      <c r="AT255" s="1"/>
      <c r="AU255" s="1"/>
      <c r="AV255" s="1"/>
      <c r="AW255" s="1"/>
      <c r="AX255" s="5"/>
      <c r="AY255" s="5"/>
      <c r="AZ255" s="5"/>
      <c r="BA255" s="5"/>
      <c r="BB255" s="5"/>
      <c r="BC255" s="5"/>
      <c r="BF255" s="15"/>
      <c r="BG255" s="1"/>
      <c r="BH255" s="15"/>
      <c r="BI255" s="1"/>
      <c r="BJ255" s="1"/>
      <c r="BK255" s="1"/>
      <c r="BL255" s="1"/>
      <c r="BM255" s="1"/>
      <c r="BN255" s="1"/>
      <c r="BO255" s="1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DA255" s="1"/>
      <c r="DB255" s="868"/>
      <c r="DC255" s="868"/>
      <c r="DD255" s="1"/>
      <c r="DE255" s="1"/>
      <c r="DF255" s="1"/>
    </row>
    <row r="256">
      <c r="F256" s="1"/>
      <c r="H256" s="1"/>
      <c r="J256" s="1"/>
      <c r="L256" s="1"/>
      <c r="M256" s="1"/>
      <c r="N256" s="1"/>
      <c r="P256" s="1"/>
      <c r="R256" s="1"/>
      <c r="T256" s="1"/>
      <c r="V256" s="1"/>
      <c r="X256" s="1"/>
      <c r="Z256" s="1"/>
      <c r="AB256" s="1"/>
      <c r="AD256" s="1"/>
      <c r="AF256" s="1"/>
      <c r="AH256" s="1"/>
      <c r="AI256" s="1"/>
      <c r="AJ256" s="1"/>
      <c r="AL256" s="1"/>
      <c r="AN256" s="1"/>
      <c r="AP256" s="1"/>
      <c r="AR256" s="1"/>
      <c r="AT256" s="1"/>
      <c r="AU256" s="1"/>
      <c r="AV256" s="1"/>
      <c r="AW256" s="1"/>
      <c r="AX256" s="5"/>
      <c r="AY256" s="5"/>
      <c r="AZ256" s="5"/>
      <c r="BA256" s="5"/>
      <c r="BB256" s="5"/>
      <c r="BC256" s="5"/>
      <c r="BF256" s="15"/>
      <c r="BG256" s="1"/>
      <c r="BH256" s="15"/>
      <c r="BI256" s="1"/>
      <c r="BJ256" s="1"/>
      <c r="BK256" s="1"/>
      <c r="BL256" s="1"/>
      <c r="BM256" s="1"/>
      <c r="BN256" s="1"/>
      <c r="BO256" s="1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DA256" s="1"/>
      <c r="DB256" s="868"/>
      <c r="DC256" s="868"/>
      <c r="DD256" s="1"/>
      <c r="DE256" s="1"/>
      <c r="DF256" s="1"/>
    </row>
    <row r="257">
      <c r="F257" s="1"/>
      <c r="H257" s="1"/>
      <c r="J257" s="1"/>
      <c r="L257" s="1"/>
      <c r="M257" s="1"/>
      <c r="N257" s="1"/>
      <c r="P257" s="1"/>
      <c r="R257" s="1"/>
      <c r="T257" s="1"/>
      <c r="V257" s="1"/>
      <c r="X257" s="1"/>
      <c r="Z257" s="1"/>
      <c r="AB257" s="1"/>
      <c r="AD257" s="1"/>
      <c r="AF257" s="1"/>
      <c r="AH257" s="1"/>
      <c r="AI257" s="1"/>
      <c r="AJ257" s="1"/>
      <c r="AL257" s="1"/>
      <c r="AN257" s="1"/>
      <c r="AP257" s="1"/>
      <c r="AR257" s="1"/>
      <c r="AT257" s="1"/>
      <c r="AU257" s="1"/>
      <c r="AV257" s="1"/>
      <c r="AW257" s="1"/>
      <c r="AX257" s="5"/>
      <c r="AY257" s="5"/>
      <c r="AZ257" s="5"/>
      <c r="BA257" s="5"/>
      <c r="BB257" s="5"/>
      <c r="BC257" s="5"/>
      <c r="BF257" s="15"/>
      <c r="BG257" s="1"/>
      <c r="BH257" s="15"/>
      <c r="BI257" s="1"/>
      <c r="BJ257" s="1"/>
      <c r="BK257" s="1"/>
      <c r="BL257" s="1"/>
      <c r="BM257" s="1"/>
      <c r="BN257" s="1"/>
      <c r="BO257" s="1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DA257" s="1"/>
      <c r="DB257" s="868"/>
      <c r="DC257" s="868"/>
      <c r="DD257" s="1"/>
      <c r="DE257" s="1"/>
      <c r="DF257" s="1"/>
    </row>
    <row r="258">
      <c r="F258" s="1"/>
      <c r="H258" s="1"/>
      <c r="J258" s="1"/>
      <c r="L258" s="1"/>
      <c r="M258" s="1"/>
      <c r="N258" s="1"/>
      <c r="P258" s="1"/>
      <c r="R258" s="1"/>
      <c r="T258" s="1"/>
      <c r="V258" s="1"/>
      <c r="X258" s="1"/>
      <c r="Z258" s="1"/>
      <c r="AB258" s="1"/>
      <c r="AD258" s="1"/>
      <c r="AF258" s="1"/>
      <c r="AH258" s="1"/>
      <c r="AI258" s="1"/>
      <c r="AJ258" s="1"/>
      <c r="AL258" s="1"/>
      <c r="AN258" s="1"/>
      <c r="AP258" s="1"/>
      <c r="AR258" s="1"/>
      <c r="AT258" s="1"/>
      <c r="AU258" s="1"/>
      <c r="AV258" s="1"/>
      <c r="AW258" s="1"/>
      <c r="AX258" s="5"/>
      <c r="AY258" s="5"/>
      <c r="AZ258" s="5"/>
      <c r="BA258" s="5"/>
      <c r="BB258" s="5"/>
      <c r="BC258" s="5"/>
      <c r="BF258" s="15"/>
      <c r="BG258" s="1"/>
      <c r="BH258" s="15"/>
      <c r="BI258" s="1"/>
      <c r="BJ258" s="1"/>
      <c r="BK258" s="1"/>
      <c r="BL258" s="1"/>
      <c r="BM258" s="1"/>
      <c r="BN258" s="1"/>
      <c r="BO258" s="1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DA258" s="1"/>
      <c r="DB258" s="868"/>
      <c r="DC258" s="868"/>
      <c r="DD258" s="1"/>
      <c r="DE258" s="1"/>
      <c r="DF258" s="1"/>
    </row>
    <row r="259">
      <c r="F259" s="1"/>
      <c r="H259" s="1"/>
      <c r="J259" s="1"/>
      <c r="L259" s="1"/>
      <c r="M259" s="1"/>
      <c r="N259" s="1"/>
      <c r="P259" s="1"/>
      <c r="R259" s="1"/>
      <c r="T259" s="1"/>
      <c r="V259" s="1"/>
      <c r="X259" s="1"/>
      <c r="Z259" s="1"/>
      <c r="AB259" s="1"/>
      <c r="AD259" s="1"/>
      <c r="AF259" s="1"/>
      <c r="AH259" s="1"/>
      <c r="AI259" s="1"/>
      <c r="AJ259" s="1"/>
      <c r="AL259" s="1"/>
      <c r="AN259" s="1"/>
      <c r="AP259" s="1"/>
      <c r="AR259" s="1"/>
      <c r="AT259" s="1"/>
      <c r="AU259" s="1"/>
      <c r="AV259" s="1"/>
      <c r="AW259" s="1"/>
      <c r="AX259" s="5"/>
      <c r="AY259" s="5"/>
      <c r="AZ259" s="5"/>
      <c r="BA259" s="5"/>
      <c r="BB259" s="5"/>
      <c r="BC259" s="5"/>
      <c r="BF259" s="15"/>
      <c r="BG259" s="1"/>
      <c r="BH259" s="15"/>
      <c r="BI259" s="1"/>
      <c r="BJ259" s="1"/>
      <c r="BK259" s="1"/>
      <c r="BL259" s="1"/>
      <c r="BM259" s="1"/>
      <c r="BN259" s="1"/>
      <c r="BO259" s="1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DA259" s="1"/>
      <c r="DB259" s="868"/>
      <c r="DC259" s="868"/>
      <c r="DD259" s="1"/>
      <c r="DE259" s="1"/>
      <c r="DF259" s="1"/>
    </row>
    <row r="260">
      <c r="F260" s="1"/>
      <c r="H260" s="1"/>
      <c r="J260" s="1"/>
      <c r="L260" s="1"/>
      <c r="M260" s="1"/>
      <c r="N260" s="1"/>
      <c r="P260" s="1"/>
      <c r="R260" s="1"/>
      <c r="T260" s="1"/>
      <c r="V260" s="1"/>
      <c r="X260" s="1"/>
      <c r="Z260" s="1"/>
      <c r="AB260" s="1"/>
      <c r="AD260" s="1"/>
      <c r="AF260" s="1"/>
      <c r="AH260" s="1"/>
      <c r="AI260" s="1"/>
      <c r="AJ260" s="1"/>
      <c r="AL260" s="1"/>
      <c r="AN260" s="1"/>
      <c r="AP260" s="1"/>
      <c r="AR260" s="1"/>
      <c r="AT260" s="1"/>
      <c r="AU260" s="1"/>
      <c r="AV260" s="1"/>
      <c r="AW260" s="1"/>
      <c r="AX260" s="5"/>
      <c r="AY260" s="5"/>
      <c r="AZ260" s="5"/>
      <c r="BA260" s="5"/>
      <c r="BB260" s="5"/>
      <c r="BC260" s="5"/>
      <c r="BF260" s="15"/>
      <c r="BG260" s="1"/>
      <c r="BH260" s="15"/>
      <c r="BI260" s="1"/>
      <c r="BJ260" s="1"/>
      <c r="BK260" s="1"/>
      <c r="BL260" s="1"/>
      <c r="BM260" s="1"/>
      <c r="BN260" s="1"/>
      <c r="BO260" s="1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DA260" s="1"/>
      <c r="DB260" s="868"/>
      <c r="DC260" s="868"/>
      <c r="DD260" s="1"/>
      <c r="DE260" s="1"/>
      <c r="DF260" s="1"/>
    </row>
    <row r="261">
      <c r="F261" s="1"/>
      <c r="H261" s="1"/>
      <c r="J261" s="1"/>
      <c r="L261" s="1"/>
      <c r="M261" s="1"/>
      <c r="N261" s="1"/>
      <c r="P261" s="1"/>
      <c r="R261" s="1"/>
      <c r="T261" s="1"/>
      <c r="V261" s="1"/>
      <c r="X261" s="1"/>
      <c r="Z261" s="1"/>
      <c r="AB261" s="1"/>
      <c r="AD261" s="1"/>
      <c r="AF261" s="1"/>
      <c r="AH261" s="1"/>
      <c r="AI261" s="1"/>
      <c r="AJ261" s="1"/>
      <c r="AL261" s="1"/>
      <c r="AN261" s="1"/>
      <c r="AP261" s="1"/>
      <c r="AR261" s="1"/>
      <c r="AT261" s="1"/>
      <c r="AU261" s="1"/>
      <c r="AV261" s="1"/>
      <c r="AW261" s="1"/>
      <c r="AX261" s="5"/>
      <c r="AY261" s="5"/>
      <c r="AZ261" s="5"/>
      <c r="BA261" s="5"/>
      <c r="BB261" s="5"/>
      <c r="BC261" s="5"/>
      <c r="BF261" s="15"/>
      <c r="BG261" s="1"/>
      <c r="BH261" s="15"/>
      <c r="BI261" s="1"/>
      <c r="BJ261" s="1"/>
      <c r="BK261" s="1"/>
      <c r="BL261" s="1"/>
      <c r="BM261" s="1"/>
      <c r="BN261" s="1"/>
      <c r="BO261" s="1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DA261" s="1"/>
      <c r="DB261" s="868"/>
      <c r="DC261" s="868"/>
      <c r="DD261" s="1"/>
      <c r="DE261" s="1"/>
      <c r="DF261" s="1"/>
    </row>
    <row r="262">
      <c r="F262" s="1"/>
      <c r="H262" s="1"/>
      <c r="J262" s="1"/>
      <c r="L262" s="1"/>
      <c r="M262" s="1"/>
      <c r="N262" s="1"/>
      <c r="P262" s="1"/>
      <c r="R262" s="1"/>
      <c r="T262" s="1"/>
      <c r="V262" s="1"/>
      <c r="X262" s="1"/>
      <c r="Z262" s="1"/>
      <c r="AB262" s="1"/>
      <c r="AD262" s="1"/>
      <c r="AF262" s="1"/>
      <c r="AH262" s="1"/>
      <c r="AI262" s="1"/>
      <c r="AJ262" s="1"/>
      <c r="AL262" s="1"/>
      <c r="AN262" s="1"/>
      <c r="AP262" s="1"/>
      <c r="AR262" s="1"/>
      <c r="AT262" s="1"/>
      <c r="AU262" s="1"/>
      <c r="AV262" s="1"/>
      <c r="AW262" s="1"/>
      <c r="AX262" s="5"/>
      <c r="AY262" s="5"/>
      <c r="AZ262" s="5"/>
      <c r="BA262" s="5"/>
      <c r="BB262" s="5"/>
      <c r="BC262" s="5"/>
      <c r="BF262" s="15"/>
      <c r="BG262" s="1"/>
      <c r="BH262" s="15"/>
      <c r="BI262" s="1"/>
      <c r="BJ262" s="1"/>
      <c r="BK262" s="1"/>
      <c r="BL262" s="1"/>
      <c r="BM262" s="1"/>
      <c r="BN262" s="1"/>
      <c r="BO262" s="1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DA262" s="1"/>
      <c r="DB262" s="868"/>
      <c r="DC262" s="868"/>
      <c r="DD262" s="1"/>
      <c r="DE262" s="1"/>
      <c r="DF262" s="1"/>
    </row>
    <row r="263">
      <c r="F263" s="1"/>
      <c r="H263" s="1"/>
      <c r="J263" s="1"/>
      <c r="L263" s="1"/>
      <c r="M263" s="1"/>
      <c r="N263" s="1"/>
      <c r="P263" s="1"/>
      <c r="R263" s="1"/>
      <c r="T263" s="1"/>
      <c r="V263" s="1"/>
      <c r="X263" s="1"/>
      <c r="Z263" s="1"/>
      <c r="AB263" s="1"/>
      <c r="AD263" s="1"/>
      <c r="AF263" s="1"/>
      <c r="AH263" s="1"/>
      <c r="AI263" s="1"/>
      <c r="AJ263" s="1"/>
      <c r="AL263" s="1"/>
      <c r="AN263" s="1"/>
      <c r="AP263" s="1"/>
      <c r="AR263" s="1"/>
      <c r="AT263" s="1"/>
      <c r="AU263" s="1"/>
      <c r="AV263" s="1"/>
      <c r="AW263" s="1"/>
      <c r="AX263" s="5"/>
      <c r="AY263" s="5"/>
      <c r="AZ263" s="5"/>
      <c r="BA263" s="5"/>
      <c r="BB263" s="5"/>
      <c r="BC263" s="5"/>
      <c r="BF263" s="15"/>
      <c r="BG263" s="1"/>
      <c r="BH263" s="15"/>
      <c r="BI263" s="1"/>
      <c r="BJ263" s="1"/>
      <c r="BK263" s="1"/>
      <c r="BL263" s="1"/>
      <c r="BM263" s="1"/>
      <c r="BN263" s="1"/>
      <c r="BO263" s="1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DA263" s="1"/>
      <c r="DB263" s="868"/>
      <c r="DC263" s="868"/>
      <c r="DD263" s="1"/>
      <c r="DE263" s="1"/>
      <c r="DF263" s="1"/>
    </row>
    <row r="264">
      <c r="F264" s="1"/>
      <c r="H264" s="1"/>
      <c r="J264" s="1"/>
      <c r="L264" s="1"/>
      <c r="M264" s="1"/>
      <c r="N264" s="1"/>
      <c r="P264" s="1"/>
      <c r="R264" s="1"/>
      <c r="T264" s="1"/>
      <c r="V264" s="1"/>
      <c r="X264" s="1"/>
      <c r="Z264" s="1"/>
      <c r="AB264" s="1"/>
      <c r="AD264" s="1"/>
      <c r="AF264" s="1"/>
      <c r="AH264" s="1"/>
      <c r="AI264" s="1"/>
      <c r="AJ264" s="1"/>
      <c r="AL264" s="1"/>
      <c r="AN264" s="1"/>
      <c r="AP264" s="1"/>
      <c r="AR264" s="1"/>
      <c r="AT264" s="1"/>
      <c r="AU264" s="1"/>
      <c r="AV264" s="1"/>
      <c r="AW264" s="1"/>
      <c r="AX264" s="5"/>
      <c r="AY264" s="5"/>
      <c r="AZ264" s="5"/>
      <c r="BA264" s="5"/>
      <c r="BB264" s="5"/>
      <c r="BC264" s="5"/>
      <c r="BF264" s="15"/>
      <c r="BG264" s="1"/>
      <c r="BH264" s="15"/>
      <c r="BI264" s="1"/>
      <c r="BJ264" s="1"/>
      <c r="BK264" s="1"/>
      <c r="BL264" s="1"/>
      <c r="BM264" s="1"/>
      <c r="BN264" s="1"/>
      <c r="BO264" s="1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DA264" s="1"/>
      <c r="DB264" s="868"/>
      <c r="DC264" s="868"/>
      <c r="DD264" s="1"/>
      <c r="DE264" s="1"/>
      <c r="DF264" s="1"/>
    </row>
    <row r="265">
      <c r="F265" s="1"/>
      <c r="H265" s="1"/>
      <c r="J265" s="1"/>
      <c r="L265" s="1"/>
      <c r="M265" s="1"/>
      <c r="N265" s="1"/>
      <c r="P265" s="1"/>
      <c r="R265" s="1"/>
      <c r="T265" s="1"/>
      <c r="V265" s="1"/>
      <c r="X265" s="1"/>
      <c r="Z265" s="1"/>
      <c r="AB265" s="1"/>
      <c r="AD265" s="1"/>
      <c r="AF265" s="1"/>
      <c r="AH265" s="1"/>
      <c r="AI265" s="1"/>
      <c r="AJ265" s="1"/>
      <c r="AL265" s="1"/>
      <c r="AN265" s="1"/>
      <c r="AP265" s="1"/>
      <c r="AR265" s="1"/>
      <c r="AT265" s="1"/>
      <c r="AU265" s="1"/>
      <c r="AV265" s="1"/>
      <c r="AW265" s="1"/>
      <c r="AX265" s="5"/>
      <c r="AY265" s="5"/>
      <c r="AZ265" s="5"/>
      <c r="BA265" s="5"/>
      <c r="BB265" s="5"/>
      <c r="BC265" s="5"/>
      <c r="BF265" s="15"/>
      <c r="BG265" s="1"/>
      <c r="BH265" s="15"/>
      <c r="BI265" s="1"/>
      <c r="BJ265" s="1"/>
      <c r="BK265" s="1"/>
      <c r="BL265" s="1"/>
      <c r="BM265" s="1"/>
      <c r="BN265" s="1"/>
      <c r="BO265" s="1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DA265" s="1"/>
      <c r="DB265" s="868"/>
      <c r="DC265" s="868"/>
      <c r="DD265" s="1"/>
      <c r="DE265" s="1"/>
      <c r="DF265" s="1"/>
    </row>
    <row r="266">
      <c r="F266" s="1"/>
      <c r="H266" s="1"/>
      <c r="J266" s="1"/>
      <c r="L266" s="1"/>
      <c r="M266" s="1"/>
      <c r="N266" s="1"/>
      <c r="P266" s="1"/>
      <c r="R266" s="1"/>
      <c r="T266" s="1"/>
      <c r="V266" s="1"/>
      <c r="X266" s="1"/>
      <c r="Z266" s="1"/>
      <c r="AB266" s="1"/>
      <c r="AD266" s="1"/>
      <c r="AF266" s="1"/>
      <c r="AH266" s="1"/>
      <c r="AI266" s="1"/>
      <c r="AJ266" s="1"/>
      <c r="AL266" s="1"/>
      <c r="AN266" s="1"/>
      <c r="AP266" s="1"/>
      <c r="AR266" s="1"/>
      <c r="AT266" s="1"/>
      <c r="AU266" s="1"/>
      <c r="AV266" s="1"/>
      <c r="AW266" s="1"/>
      <c r="AX266" s="5"/>
      <c r="AY266" s="5"/>
      <c r="AZ266" s="5"/>
      <c r="BA266" s="5"/>
      <c r="BB266" s="5"/>
      <c r="BC266" s="5"/>
      <c r="BF266" s="15"/>
      <c r="BG266" s="1"/>
      <c r="BH266" s="15"/>
      <c r="BI266" s="1"/>
      <c r="BJ266" s="1"/>
      <c r="BK266" s="1"/>
      <c r="BL266" s="1"/>
      <c r="BM266" s="1"/>
      <c r="BN266" s="1"/>
      <c r="BO266" s="1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DA266" s="1"/>
      <c r="DB266" s="868"/>
      <c r="DC266" s="868"/>
      <c r="DD266" s="1"/>
      <c r="DE266" s="1"/>
      <c r="DF266" s="1"/>
    </row>
    <row r="267">
      <c r="F267" s="1"/>
      <c r="H267" s="1"/>
      <c r="J267" s="1"/>
      <c r="L267" s="1"/>
      <c r="M267" s="1"/>
      <c r="N267" s="1"/>
      <c r="P267" s="1"/>
      <c r="R267" s="1"/>
      <c r="T267" s="1"/>
      <c r="V267" s="1"/>
      <c r="X267" s="1"/>
      <c r="Z267" s="1"/>
      <c r="AB267" s="1"/>
      <c r="AD267" s="1"/>
      <c r="AF267" s="1"/>
      <c r="AH267" s="1"/>
      <c r="AI267" s="1"/>
      <c r="AJ267" s="1"/>
      <c r="AL267" s="1"/>
      <c r="AN267" s="1"/>
      <c r="AP267" s="1"/>
      <c r="AR267" s="1"/>
      <c r="AT267" s="1"/>
      <c r="AU267" s="1"/>
      <c r="AV267" s="1"/>
      <c r="AW267" s="1"/>
      <c r="AX267" s="5"/>
      <c r="AY267" s="5"/>
      <c r="AZ267" s="5"/>
      <c r="BA267" s="5"/>
      <c r="BB267" s="5"/>
      <c r="BC267" s="5"/>
      <c r="BF267" s="15"/>
      <c r="BG267" s="1"/>
      <c r="BH267" s="15"/>
      <c r="BI267" s="1"/>
      <c r="BJ267" s="1"/>
      <c r="BK267" s="1"/>
      <c r="BL267" s="1"/>
      <c r="BM267" s="1"/>
      <c r="BN267" s="1"/>
      <c r="BO267" s="1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DA267" s="1"/>
      <c r="DB267" s="868"/>
      <c r="DC267" s="868"/>
      <c r="DD267" s="1"/>
      <c r="DE267" s="1"/>
      <c r="DF267" s="1"/>
    </row>
    <row r="268">
      <c r="F268" s="1"/>
      <c r="H268" s="1"/>
      <c r="J268" s="1"/>
      <c r="L268" s="1"/>
      <c r="M268" s="1"/>
      <c r="N268" s="1"/>
      <c r="P268" s="1"/>
      <c r="R268" s="1"/>
      <c r="T268" s="1"/>
      <c r="V268" s="1"/>
      <c r="X268" s="1"/>
      <c r="Z268" s="1"/>
      <c r="AB268" s="1"/>
      <c r="AD268" s="1"/>
      <c r="AF268" s="1"/>
      <c r="AH268" s="1"/>
      <c r="AI268" s="1"/>
      <c r="AJ268" s="1"/>
      <c r="AL268" s="1"/>
      <c r="AN268" s="1"/>
      <c r="AP268" s="1"/>
      <c r="AR268" s="1"/>
      <c r="AT268" s="1"/>
      <c r="AU268" s="1"/>
      <c r="AV268" s="1"/>
      <c r="AW268" s="1"/>
      <c r="AX268" s="5"/>
      <c r="AY268" s="5"/>
      <c r="AZ268" s="5"/>
      <c r="BA268" s="5"/>
      <c r="BB268" s="5"/>
      <c r="BC268" s="5"/>
      <c r="BF268" s="15"/>
      <c r="BG268" s="1"/>
      <c r="BH268" s="15"/>
      <c r="BI268" s="1"/>
      <c r="BJ268" s="1"/>
      <c r="BK268" s="1"/>
      <c r="BL268" s="1"/>
      <c r="BM268" s="1"/>
      <c r="BN268" s="1"/>
      <c r="BO268" s="1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DA268" s="1"/>
      <c r="DB268" s="868"/>
      <c r="DC268" s="868"/>
      <c r="DD268" s="1"/>
      <c r="DE268" s="1"/>
      <c r="DF268" s="1"/>
    </row>
    <row r="269">
      <c r="F269" s="1"/>
      <c r="H269" s="1"/>
      <c r="J269" s="1"/>
      <c r="L269" s="1"/>
      <c r="M269" s="1"/>
      <c r="N269" s="1"/>
      <c r="P269" s="1"/>
      <c r="R269" s="1"/>
      <c r="T269" s="1"/>
      <c r="V269" s="1"/>
      <c r="X269" s="1"/>
      <c r="Z269" s="1"/>
      <c r="AB269" s="1"/>
      <c r="AD269" s="1"/>
      <c r="AF269" s="1"/>
      <c r="AH269" s="1"/>
      <c r="AI269" s="1"/>
      <c r="AJ269" s="1"/>
      <c r="AL269" s="1"/>
      <c r="AN269" s="1"/>
      <c r="AP269" s="1"/>
      <c r="AR269" s="1"/>
      <c r="AT269" s="1"/>
      <c r="AU269" s="1"/>
      <c r="AV269" s="1"/>
      <c r="AW269" s="1"/>
      <c r="AX269" s="5"/>
      <c r="AY269" s="5"/>
      <c r="AZ269" s="5"/>
      <c r="BA269" s="5"/>
      <c r="BB269" s="5"/>
      <c r="BC269" s="5"/>
      <c r="BF269" s="15"/>
      <c r="BG269" s="1"/>
      <c r="BH269" s="15"/>
      <c r="BI269" s="1"/>
      <c r="BJ269" s="1"/>
      <c r="BK269" s="1"/>
      <c r="BL269" s="1"/>
      <c r="BM269" s="1"/>
      <c r="BN269" s="1"/>
      <c r="BO269" s="1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DA269" s="1"/>
      <c r="DB269" s="868"/>
      <c r="DC269" s="868"/>
      <c r="DD269" s="1"/>
      <c r="DE269" s="1"/>
      <c r="DF269" s="1"/>
    </row>
    <row r="270">
      <c r="F270" s="1"/>
      <c r="H270" s="1"/>
      <c r="J270" s="1"/>
      <c r="L270" s="1"/>
      <c r="M270" s="1"/>
      <c r="N270" s="1"/>
      <c r="P270" s="1"/>
      <c r="R270" s="1"/>
      <c r="T270" s="1"/>
      <c r="V270" s="1"/>
      <c r="X270" s="1"/>
      <c r="Z270" s="1"/>
      <c r="AB270" s="1"/>
      <c r="AD270" s="1"/>
      <c r="AF270" s="1"/>
      <c r="AH270" s="1"/>
      <c r="AI270" s="1"/>
      <c r="AJ270" s="1"/>
      <c r="AL270" s="1"/>
      <c r="AN270" s="1"/>
      <c r="AP270" s="1"/>
      <c r="AR270" s="1"/>
      <c r="AT270" s="1"/>
      <c r="AU270" s="1"/>
      <c r="AV270" s="1"/>
      <c r="AW270" s="1"/>
      <c r="AX270" s="5"/>
      <c r="AY270" s="5"/>
      <c r="AZ270" s="5"/>
      <c r="BA270" s="5"/>
      <c r="BB270" s="5"/>
      <c r="BC270" s="5"/>
      <c r="BF270" s="15"/>
      <c r="BG270" s="1"/>
      <c r="BH270" s="15"/>
      <c r="BI270" s="1"/>
      <c r="BJ270" s="1"/>
      <c r="BK270" s="1"/>
      <c r="BL270" s="1"/>
      <c r="BM270" s="1"/>
      <c r="BN270" s="1"/>
      <c r="BO270" s="1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DA270" s="1"/>
      <c r="DB270" s="868"/>
      <c r="DC270" s="868"/>
      <c r="DD270" s="1"/>
      <c r="DE270" s="1"/>
      <c r="DF270" s="1"/>
    </row>
    <row r="271">
      <c r="F271" s="1"/>
      <c r="H271" s="1"/>
      <c r="J271" s="1"/>
      <c r="L271" s="1"/>
      <c r="M271" s="1"/>
      <c r="N271" s="1"/>
      <c r="P271" s="1"/>
      <c r="R271" s="1"/>
      <c r="T271" s="1"/>
      <c r="V271" s="1"/>
      <c r="X271" s="1"/>
      <c r="Z271" s="1"/>
      <c r="AB271" s="1"/>
      <c r="AD271" s="1"/>
      <c r="AF271" s="1"/>
      <c r="AH271" s="1"/>
      <c r="AI271" s="1"/>
      <c r="AJ271" s="1"/>
      <c r="AL271" s="1"/>
      <c r="AN271" s="1"/>
      <c r="AP271" s="1"/>
      <c r="AR271" s="1"/>
      <c r="AT271" s="1"/>
      <c r="AU271" s="1"/>
      <c r="AV271" s="1"/>
      <c r="AW271" s="1"/>
      <c r="AX271" s="5"/>
      <c r="AY271" s="5"/>
      <c r="AZ271" s="5"/>
      <c r="BA271" s="5"/>
      <c r="BB271" s="5"/>
      <c r="BC271" s="5"/>
      <c r="BF271" s="15"/>
      <c r="BG271" s="1"/>
      <c r="BH271" s="15"/>
      <c r="BI271" s="1"/>
      <c r="BJ271" s="1"/>
      <c r="BK271" s="1"/>
      <c r="BL271" s="1"/>
      <c r="BM271" s="1"/>
      <c r="BN271" s="1"/>
      <c r="BO271" s="1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DA271" s="1"/>
      <c r="DB271" s="868"/>
      <c r="DC271" s="868"/>
      <c r="DD271" s="1"/>
      <c r="DE271" s="1"/>
      <c r="DF271" s="1"/>
    </row>
    <row r="272">
      <c r="F272" s="1"/>
      <c r="H272" s="1"/>
      <c r="J272" s="1"/>
      <c r="L272" s="1"/>
      <c r="M272" s="1"/>
      <c r="N272" s="1"/>
      <c r="P272" s="1"/>
      <c r="R272" s="1"/>
      <c r="T272" s="1"/>
      <c r="V272" s="1"/>
      <c r="X272" s="1"/>
      <c r="Z272" s="1"/>
      <c r="AB272" s="1"/>
      <c r="AD272" s="1"/>
      <c r="AF272" s="1"/>
      <c r="AH272" s="1"/>
      <c r="AI272" s="1"/>
      <c r="AJ272" s="1"/>
      <c r="AL272" s="1"/>
      <c r="AN272" s="1"/>
      <c r="AP272" s="1"/>
      <c r="AR272" s="1"/>
      <c r="AT272" s="1"/>
      <c r="AU272" s="1"/>
      <c r="AV272" s="1"/>
      <c r="AW272" s="1"/>
      <c r="AX272" s="5"/>
      <c r="AY272" s="5"/>
      <c r="AZ272" s="5"/>
      <c r="BA272" s="5"/>
      <c r="BB272" s="5"/>
      <c r="BC272" s="5"/>
      <c r="BF272" s="15"/>
      <c r="BG272" s="1"/>
      <c r="BH272" s="15"/>
      <c r="BI272" s="1"/>
      <c r="BJ272" s="1"/>
      <c r="BK272" s="1"/>
      <c r="BL272" s="1"/>
      <c r="BM272" s="1"/>
      <c r="BN272" s="1"/>
      <c r="BO272" s="1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DA272" s="1"/>
      <c r="DB272" s="868"/>
      <c r="DC272" s="868"/>
      <c r="DD272" s="1"/>
      <c r="DE272" s="1"/>
      <c r="DF272" s="1"/>
    </row>
    <row r="273">
      <c r="F273" s="1"/>
      <c r="H273" s="1"/>
      <c r="J273" s="1"/>
      <c r="L273" s="1"/>
      <c r="M273" s="1"/>
      <c r="N273" s="1"/>
      <c r="P273" s="1"/>
      <c r="R273" s="1"/>
      <c r="T273" s="1"/>
      <c r="V273" s="1"/>
      <c r="X273" s="1"/>
      <c r="Z273" s="1"/>
      <c r="AB273" s="1"/>
      <c r="AD273" s="1"/>
      <c r="AF273" s="1"/>
      <c r="AH273" s="1"/>
      <c r="AI273" s="1"/>
      <c r="AJ273" s="1"/>
      <c r="AL273" s="1"/>
      <c r="AN273" s="1"/>
      <c r="AP273" s="1"/>
      <c r="AR273" s="1"/>
      <c r="AT273" s="1"/>
      <c r="AU273" s="1"/>
      <c r="AV273" s="1"/>
      <c r="AW273" s="1"/>
      <c r="AX273" s="5"/>
      <c r="AY273" s="5"/>
      <c r="AZ273" s="5"/>
      <c r="BA273" s="5"/>
      <c r="BB273" s="5"/>
      <c r="BC273" s="5"/>
      <c r="BF273" s="15"/>
      <c r="BG273" s="1"/>
      <c r="BH273" s="15"/>
      <c r="BI273" s="1"/>
      <c r="BJ273" s="1"/>
      <c r="BK273" s="1"/>
      <c r="BL273" s="1"/>
      <c r="BM273" s="1"/>
      <c r="BN273" s="1"/>
      <c r="BO273" s="1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DA273" s="1"/>
      <c r="DB273" s="868"/>
      <c r="DC273" s="868"/>
      <c r="DD273" s="1"/>
      <c r="DE273" s="1"/>
      <c r="DF273" s="1"/>
    </row>
    <row r="274">
      <c r="F274" s="1"/>
      <c r="H274" s="1"/>
      <c r="J274" s="1"/>
      <c r="L274" s="1"/>
      <c r="M274" s="1"/>
      <c r="N274" s="1"/>
      <c r="P274" s="1"/>
      <c r="R274" s="1"/>
      <c r="T274" s="1"/>
      <c r="V274" s="1"/>
      <c r="X274" s="1"/>
      <c r="Z274" s="1"/>
      <c r="AB274" s="1"/>
      <c r="AD274" s="1"/>
      <c r="AF274" s="1"/>
      <c r="AH274" s="1"/>
      <c r="AI274" s="1"/>
      <c r="AJ274" s="1"/>
      <c r="AL274" s="1"/>
      <c r="AN274" s="1"/>
      <c r="AP274" s="1"/>
      <c r="AR274" s="1"/>
      <c r="AT274" s="1"/>
      <c r="AU274" s="1"/>
      <c r="AV274" s="1"/>
      <c r="AW274" s="1"/>
      <c r="AX274" s="5"/>
      <c r="AY274" s="5"/>
      <c r="AZ274" s="5"/>
      <c r="BA274" s="5"/>
      <c r="BB274" s="5"/>
      <c r="BC274" s="5"/>
      <c r="BF274" s="15"/>
      <c r="BG274" s="1"/>
      <c r="BH274" s="15"/>
      <c r="BI274" s="1"/>
      <c r="BJ274" s="1"/>
      <c r="BK274" s="1"/>
      <c r="BL274" s="1"/>
      <c r="BM274" s="1"/>
      <c r="BN274" s="1"/>
      <c r="BO274" s="1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DA274" s="1"/>
      <c r="DB274" s="868"/>
      <c r="DC274" s="868"/>
      <c r="DD274" s="1"/>
      <c r="DE274" s="1"/>
      <c r="DF274" s="1"/>
    </row>
    <row r="275">
      <c r="F275" s="1"/>
      <c r="H275" s="1"/>
      <c r="J275" s="1"/>
      <c r="L275" s="1"/>
      <c r="M275" s="1"/>
      <c r="N275" s="1"/>
      <c r="P275" s="1"/>
      <c r="R275" s="1"/>
      <c r="T275" s="1"/>
      <c r="V275" s="1"/>
      <c r="X275" s="1"/>
      <c r="Z275" s="1"/>
      <c r="AB275" s="1"/>
      <c r="AD275" s="1"/>
      <c r="AF275" s="1"/>
      <c r="AH275" s="1"/>
      <c r="AI275" s="1"/>
      <c r="AJ275" s="1"/>
      <c r="AL275" s="1"/>
      <c r="AN275" s="1"/>
      <c r="AP275" s="1"/>
      <c r="AR275" s="1"/>
      <c r="AT275" s="1"/>
      <c r="AU275" s="1"/>
      <c r="AV275" s="1"/>
      <c r="AW275" s="1"/>
      <c r="AX275" s="5"/>
      <c r="AY275" s="5"/>
      <c r="AZ275" s="5"/>
      <c r="BA275" s="5"/>
      <c r="BB275" s="5"/>
      <c r="BC275" s="5"/>
      <c r="BF275" s="15"/>
      <c r="BG275" s="1"/>
      <c r="BH275" s="15"/>
      <c r="BI275" s="1"/>
      <c r="BJ275" s="1"/>
      <c r="BK275" s="1"/>
      <c r="BL275" s="1"/>
      <c r="BM275" s="1"/>
      <c r="BN275" s="1"/>
      <c r="BO275" s="1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DA275" s="1"/>
      <c r="DB275" s="868"/>
      <c r="DC275" s="868"/>
      <c r="DD275" s="1"/>
      <c r="DE275" s="1"/>
      <c r="DF275" s="1"/>
    </row>
    <row r="276">
      <c r="F276" s="1"/>
      <c r="H276" s="1"/>
      <c r="J276" s="1"/>
      <c r="L276" s="1"/>
      <c r="M276" s="1"/>
      <c r="N276" s="1"/>
      <c r="P276" s="1"/>
      <c r="R276" s="1"/>
      <c r="T276" s="1"/>
      <c r="V276" s="1"/>
      <c r="X276" s="1"/>
      <c r="Z276" s="1"/>
      <c r="AB276" s="1"/>
      <c r="AD276" s="1"/>
      <c r="AF276" s="1"/>
      <c r="AH276" s="1"/>
      <c r="AI276" s="1"/>
      <c r="AJ276" s="1"/>
      <c r="AL276" s="1"/>
      <c r="AN276" s="1"/>
      <c r="AP276" s="1"/>
      <c r="AR276" s="1"/>
      <c r="AT276" s="1"/>
      <c r="AU276" s="1"/>
      <c r="AV276" s="1"/>
      <c r="AW276" s="1"/>
      <c r="AX276" s="5"/>
      <c r="AY276" s="5"/>
      <c r="AZ276" s="5"/>
      <c r="BA276" s="5"/>
      <c r="BB276" s="5"/>
      <c r="BC276" s="5"/>
      <c r="BF276" s="15"/>
      <c r="BG276" s="1"/>
      <c r="BH276" s="15"/>
      <c r="BI276" s="1"/>
      <c r="BJ276" s="1"/>
      <c r="BK276" s="1"/>
      <c r="BL276" s="1"/>
      <c r="BM276" s="1"/>
      <c r="BN276" s="1"/>
      <c r="BO276" s="1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DA276" s="1"/>
      <c r="DB276" s="868"/>
      <c r="DC276" s="868"/>
      <c r="DD276" s="1"/>
      <c r="DE276" s="1"/>
      <c r="DF276" s="1"/>
    </row>
    <row r="277">
      <c r="F277" s="1"/>
      <c r="H277" s="1"/>
      <c r="J277" s="1"/>
      <c r="L277" s="1"/>
      <c r="M277" s="1"/>
      <c r="N277" s="1"/>
      <c r="P277" s="1"/>
      <c r="R277" s="1"/>
      <c r="T277" s="1"/>
      <c r="V277" s="1"/>
      <c r="X277" s="1"/>
      <c r="Z277" s="1"/>
      <c r="AB277" s="1"/>
      <c r="AD277" s="1"/>
      <c r="AF277" s="1"/>
      <c r="AH277" s="1"/>
      <c r="AI277" s="1"/>
      <c r="AJ277" s="1"/>
      <c r="AL277" s="1"/>
      <c r="AN277" s="1"/>
      <c r="AP277" s="1"/>
      <c r="AR277" s="1"/>
      <c r="AT277" s="1"/>
      <c r="AU277" s="1"/>
      <c r="AV277" s="1"/>
      <c r="AW277" s="1"/>
      <c r="AX277" s="5"/>
      <c r="AY277" s="5"/>
      <c r="AZ277" s="5"/>
      <c r="BA277" s="5"/>
      <c r="BB277" s="5"/>
      <c r="BC277" s="5"/>
      <c r="BF277" s="15"/>
      <c r="BG277" s="1"/>
      <c r="BH277" s="15"/>
      <c r="BI277" s="1"/>
      <c r="BJ277" s="1"/>
      <c r="BK277" s="1"/>
      <c r="BL277" s="1"/>
      <c r="BM277" s="1"/>
      <c r="BN277" s="1"/>
      <c r="BO277" s="1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DA277" s="1"/>
      <c r="DB277" s="868"/>
      <c r="DC277" s="868"/>
      <c r="DD277" s="1"/>
      <c r="DE277" s="1"/>
      <c r="DF277" s="1"/>
    </row>
    <row r="278">
      <c r="F278" s="1"/>
      <c r="H278" s="1"/>
      <c r="J278" s="1"/>
      <c r="L278" s="1"/>
      <c r="M278" s="1"/>
      <c r="N278" s="1"/>
      <c r="P278" s="1"/>
      <c r="R278" s="1"/>
      <c r="T278" s="1"/>
      <c r="V278" s="1"/>
      <c r="X278" s="1"/>
      <c r="Z278" s="1"/>
      <c r="AB278" s="1"/>
      <c r="AD278" s="1"/>
      <c r="AF278" s="1"/>
      <c r="AH278" s="1"/>
      <c r="AI278" s="1"/>
      <c r="AJ278" s="1"/>
      <c r="AL278" s="1"/>
      <c r="AN278" s="1"/>
      <c r="AP278" s="1"/>
      <c r="AR278" s="1"/>
      <c r="AT278" s="1"/>
      <c r="AU278" s="1"/>
      <c r="AV278" s="1"/>
      <c r="AW278" s="1"/>
      <c r="AX278" s="5"/>
      <c r="AY278" s="5"/>
      <c r="AZ278" s="5"/>
      <c r="BA278" s="5"/>
      <c r="BB278" s="5"/>
      <c r="BC278" s="5"/>
      <c r="BF278" s="15"/>
      <c r="BG278" s="1"/>
      <c r="BH278" s="15"/>
      <c r="BI278" s="1"/>
      <c r="BJ278" s="1"/>
      <c r="BK278" s="1"/>
      <c r="BL278" s="1"/>
      <c r="BM278" s="1"/>
      <c r="BN278" s="1"/>
      <c r="BO278" s="1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DA278" s="1"/>
      <c r="DB278" s="868"/>
      <c r="DC278" s="868"/>
      <c r="DD278" s="1"/>
      <c r="DE278" s="1"/>
      <c r="DF278" s="1"/>
    </row>
    <row r="279">
      <c r="F279" s="1"/>
      <c r="H279" s="1"/>
      <c r="J279" s="1"/>
      <c r="L279" s="1"/>
      <c r="M279" s="1"/>
      <c r="N279" s="1"/>
      <c r="P279" s="1"/>
      <c r="R279" s="1"/>
      <c r="T279" s="1"/>
      <c r="V279" s="1"/>
      <c r="X279" s="1"/>
      <c r="Z279" s="1"/>
      <c r="AB279" s="1"/>
      <c r="AD279" s="1"/>
      <c r="AF279" s="1"/>
      <c r="AH279" s="1"/>
      <c r="AI279" s="1"/>
      <c r="AJ279" s="1"/>
      <c r="AL279" s="1"/>
      <c r="AN279" s="1"/>
      <c r="AP279" s="1"/>
      <c r="AR279" s="1"/>
      <c r="AT279" s="1"/>
      <c r="AU279" s="1"/>
      <c r="AV279" s="1"/>
      <c r="AW279" s="1"/>
      <c r="AX279" s="5"/>
      <c r="AY279" s="5"/>
      <c r="AZ279" s="5"/>
      <c r="BA279" s="5"/>
      <c r="BB279" s="5"/>
      <c r="BC279" s="5"/>
      <c r="BF279" s="15"/>
      <c r="BG279" s="1"/>
      <c r="BH279" s="15"/>
      <c r="BI279" s="1"/>
      <c r="BJ279" s="1"/>
      <c r="BK279" s="1"/>
      <c r="BL279" s="1"/>
      <c r="BM279" s="1"/>
      <c r="BN279" s="1"/>
      <c r="BO279" s="1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DA279" s="1"/>
      <c r="DB279" s="868"/>
      <c r="DC279" s="868"/>
      <c r="DD279" s="1"/>
      <c r="DE279" s="1"/>
      <c r="DF279" s="1"/>
    </row>
    <row r="280">
      <c r="F280" s="1"/>
      <c r="H280" s="1"/>
      <c r="J280" s="1"/>
      <c r="L280" s="1"/>
      <c r="M280" s="1"/>
      <c r="N280" s="1"/>
      <c r="P280" s="1"/>
      <c r="R280" s="1"/>
      <c r="T280" s="1"/>
      <c r="V280" s="1"/>
      <c r="X280" s="1"/>
      <c r="Z280" s="1"/>
      <c r="AB280" s="1"/>
      <c r="AD280" s="1"/>
      <c r="AF280" s="1"/>
      <c r="AH280" s="1"/>
      <c r="AI280" s="1"/>
      <c r="AJ280" s="1"/>
      <c r="AL280" s="1"/>
      <c r="AN280" s="1"/>
      <c r="AP280" s="1"/>
      <c r="AR280" s="1"/>
      <c r="AT280" s="1"/>
      <c r="AU280" s="1"/>
      <c r="AV280" s="1"/>
      <c r="AW280" s="1"/>
      <c r="AX280" s="5"/>
      <c r="AY280" s="5"/>
      <c r="AZ280" s="5"/>
      <c r="BA280" s="5"/>
      <c r="BB280" s="5"/>
      <c r="BC280" s="5"/>
      <c r="BF280" s="15"/>
      <c r="BG280" s="1"/>
      <c r="BH280" s="15"/>
      <c r="BI280" s="1"/>
      <c r="BJ280" s="1"/>
      <c r="BK280" s="1"/>
      <c r="BL280" s="1"/>
      <c r="BM280" s="1"/>
      <c r="BN280" s="1"/>
      <c r="BO280" s="1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DA280" s="1"/>
      <c r="DB280" s="868"/>
      <c r="DC280" s="868"/>
      <c r="DD280" s="1"/>
      <c r="DE280" s="1"/>
      <c r="DF280" s="1"/>
    </row>
    <row r="281">
      <c r="F281" s="1"/>
      <c r="H281" s="1"/>
      <c r="J281" s="1"/>
      <c r="L281" s="1"/>
      <c r="M281" s="1"/>
      <c r="N281" s="1"/>
      <c r="P281" s="1"/>
      <c r="R281" s="1"/>
      <c r="T281" s="1"/>
      <c r="V281" s="1"/>
      <c r="X281" s="1"/>
      <c r="Z281" s="1"/>
      <c r="AB281" s="1"/>
      <c r="AD281" s="1"/>
      <c r="AF281" s="1"/>
      <c r="AH281" s="1"/>
      <c r="AI281" s="1"/>
      <c r="AJ281" s="1"/>
      <c r="AL281" s="1"/>
      <c r="AN281" s="1"/>
      <c r="AP281" s="1"/>
      <c r="AR281" s="1"/>
      <c r="AT281" s="1"/>
      <c r="AU281" s="1"/>
      <c r="AV281" s="1"/>
      <c r="AW281" s="1"/>
      <c r="AX281" s="5"/>
      <c r="AY281" s="5"/>
      <c r="AZ281" s="5"/>
      <c r="BA281" s="5"/>
      <c r="BB281" s="5"/>
      <c r="BC281" s="5"/>
      <c r="BF281" s="15"/>
      <c r="BG281" s="1"/>
      <c r="BH281" s="15"/>
      <c r="BI281" s="1"/>
      <c r="BJ281" s="1"/>
      <c r="BK281" s="1"/>
      <c r="BL281" s="1"/>
      <c r="BM281" s="1"/>
      <c r="BN281" s="1"/>
      <c r="BO281" s="1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DA281" s="1"/>
      <c r="DB281" s="868"/>
      <c r="DC281" s="868"/>
      <c r="DD281" s="1"/>
      <c r="DE281" s="1"/>
      <c r="DF281" s="1"/>
    </row>
    <row r="282">
      <c r="F282" s="1"/>
      <c r="H282" s="1"/>
      <c r="J282" s="1"/>
      <c r="L282" s="1"/>
      <c r="M282" s="1"/>
      <c r="N282" s="1"/>
      <c r="P282" s="1"/>
      <c r="R282" s="1"/>
      <c r="T282" s="1"/>
      <c r="V282" s="1"/>
      <c r="X282" s="1"/>
      <c r="Z282" s="1"/>
      <c r="AB282" s="1"/>
      <c r="AD282" s="1"/>
      <c r="AF282" s="1"/>
      <c r="AH282" s="1"/>
      <c r="AI282" s="1"/>
      <c r="AJ282" s="1"/>
      <c r="AL282" s="1"/>
      <c r="AN282" s="1"/>
      <c r="AP282" s="1"/>
      <c r="AR282" s="1"/>
      <c r="AT282" s="1"/>
      <c r="AU282" s="1"/>
      <c r="AV282" s="1"/>
      <c r="AW282" s="1"/>
      <c r="AX282" s="5"/>
      <c r="AY282" s="5"/>
      <c r="AZ282" s="5"/>
      <c r="BA282" s="5"/>
      <c r="BB282" s="5"/>
      <c r="BC282" s="5"/>
      <c r="BF282" s="15"/>
      <c r="BG282" s="1"/>
      <c r="BH282" s="15"/>
      <c r="BI282" s="1"/>
      <c r="BJ282" s="1"/>
      <c r="BK282" s="1"/>
      <c r="BL282" s="1"/>
      <c r="BM282" s="1"/>
      <c r="BN282" s="1"/>
      <c r="BO282" s="1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DA282" s="1"/>
      <c r="DB282" s="868"/>
      <c r="DC282" s="868"/>
      <c r="DD282" s="1"/>
      <c r="DE282" s="1"/>
      <c r="DF282" s="1"/>
    </row>
    <row r="283">
      <c r="F283" s="1"/>
      <c r="H283" s="1"/>
      <c r="J283" s="1"/>
      <c r="L283" s="1"/>
      <c r="M283" s="1"/>
      <c r="N283" s="1"/>
      <c r="P283" s="1"/>
      <c r="R283" s="1"/>
      <c r="T283" s="1"/>
      <c r="V283" s="1"/>
      <c r="X283" s="1"/>
      <c r="Z283" s="1"/>
      <c r="AB283" s="1"/>
      <c r="AD283" s="1"/>
      <c r="AF283" s="1"/>
      <c r="AH283" s="1"/>
      <c r="AI283" s="1"/>
      <c r="AJ283" s="1"/>
      <c r="AL283" s="1"/>
      <c r="AN283" s="1"/>
      <c r="AP283" s="1"/>
      <c r="AR283" s="1"/>
      <c r="AT283" s="1"/>
      <c r="AU283" s="1"/>
      <c r="AV283" s="1"/>
      <c r="AW283" s="1"/>
      <c r="AX283" s="5"/>
      <c r="AY283" s="5"/>
      <c r="AZ283" s="5"/>
      <c r="BA283" s="5"/>
      <c r="BB283" s="5"/>
      <c r="BC283" s="5"/>
      <c r="BF283" s="15"/>
      <c r="BG283" s="1"/>
      <c r="BH283" s="15"/>
      <c r="BI283" s="1"/>
      <c r="BJ283" s="1"/>
      <c r="BK283" s="1"/>
      <c r="BL283" s="1"/>
      <c r="BM283" s="1"/>
      <c r="BN283" s="1"/>
      <c r="BO283" s="1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DA283" s="1"/>
      <c r="DB283" s="868"/>
      <c r="DC283" s="868"/>
      <c r="DD283" s="1"/>
      <c r="DE283" s="1"/>
      <c r="DF283" s="1"/>
    </row>
    <row r="284">
      <c r="F284" s="1"/>
      <c r="H284" s="1"/>
      <c r="J284" s="1"/>
      <c r="L284" s="1"/>
      <c r="M284" s="1"/>
      <c r="N284" s="1"/>
      <c r="P284" s="1"/>
      <c r="R284" s="1"/>
      <c r="T284" s="1"/>
      <c r="V284" s="1"/>
      <c r="X284" s="1"/>
      <c r="Z284" s="1"/>
      <c r="AB284" s="1"/>
      <c r="AD284" s="1"/>
      <c r="AF284" s="1"/>
      <c r="AH284" s="1"/>
      <c r="AI284" s="1"/>
      <c r="AJ284" s="1"/>
      <c r="AL284" s="1"/>
      <c r="AN284" s="1"/>
      <c r="AP284" s="1"/>
      <c r="AR284" s="1"/>
      <c r="AT284" s="1"/>
      <c r="AU284" s="1"/>
      <c r="AV284" s="1"/>
      <c r="AW284" s="1"/>
      <c r="AX284" s="5"/>
      <c r="AY284" s="5"/>
      <c r="AZ284" s="5"/>
      <c r="BA284" s="5"/>
      <c r="BB284" s="5"/>
      <c r="BC284" s="5"/>
      <c r="BF284" s="15"/>
      <c r="BG284" s="1"/>
      <c r="BH284" s="15"/>
      <c r="BI284" s="1"/>
      <c r="BJ284" s="1"/>
      <c r="BK284" s="1"/>
      <c r="BL284" s="1"/>
      <c r="BM284" s="1"/>
      <c r="BN284" s="1"/>
      <c r="BO284" s="1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DA284" s="1"/>
      <c r="DB284" s="868"/>
      <c r="DC284" s="868"/>
      <c r="DD284" s="1"/>
      <c r="DE284" s="1"/>
      <c r="DF284" s="1"/>
    </row>
    <row r="285">
      <c r="F285" s="1"/>
      <c r="H285" s="1"/>
      <c r="J285" s="1"/>
      <c r="L285" s="1"/>
      <c r="M285" s="1"/>
      <c r="N285" s="1"/>
      <c r="P285" s="1"/>
      <c r="R285" s="1"/>
      <c r="T285" s="1"/>
      <c r="V285" s="1"/>
      <c r="X285" s="1"/>
      <c r="Z285" s="1"/>
      <c r="AB285" s="1"/>
      <c r="AD285" s="1"/>
      <c r="AF285" s="1"/>
      <c r="AH285" s="1"/>
      <c r="AI285" s="1"/>
      <c r="AJ285" s="1"/>
      <c r="AL285" s="1"/>
      <c r="AN285" s="1"/>
      <c r="AP285" s="1"/>
      <c r="AR285" s="1"/>
      <c r="AT285" s="1"/>
      <c r="AU285" s="1"/>
      <c r="AV285" s="1"/>
      <c r="AW285" s="1"/>
      <c r="AX285" s="5"/>
      <c r="AY285" s="5"/>
      <c r="AZ285" s="5"/>
      <c r="BA285" s="5"/>
      <c r="BB285" s="5"/>
      <c r="BC285" s="5"/>
      <c r="BF285" s="15"/>
      <c r="BG285" s="1"/>
      <c r="BH285" s="15"/>
      <c r="BI285" s="1"/>
      <c r="BJ285" s="1"/>
      <c r="BK285" s="1"/>
      <c r="BL285" s="1"/>
      <c r="BM285" s="1"/>
      <c r="BN285" s="1"/>
      <c r="BO285" s="1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DA285" s="1"/>
      <c r="DB285" s="868"/>
      <c r="DC285" s="868"/>
      <c r="DD285" s="1"/>
      <c r="DE285" s="1"/>
      <c r="DF285" s="1"/>
    </row>
    <row r="286">
      <c r="F286" s="1"/>
      <c r="H286" s="1"/>
      <c r="J286" s="1"/>
      <c r="L286" s="1"/>
      <c r="M286" s="1"/>
      <c r="N286" s="1"/>
      <c r="P286" s="1"/>
      <c r="R286" s="1"/>
      <c r="T286" s="1"/>
      <c r="V286" s="1"/>
      <c r="X286" s="1"/>
      <c r="Z286" s="1"/>
      <c r="AB286" s="1"/>
      <c r="AD286" s="1"/>
      <c r="AF286" s="1"/>
      <c r="AH286" s="1"/>
      <c r="AI286" s="1"/>
      <c r="AJ286" s="1"/>
      <c r="AL286" s="1"/>
      <c r="AN286" s="1"/>
      <c r="AP286" s="1"/>
      <c r="AR286" s="1"/>
      <c r="AT286" s="1"/>
      <c r="AU286" s="1"/>
      <c r="AV286" s="1"/>
      <c r="AW286" s="1"/>
      <c r="AX286" s="5"/>
      <c r="AY286" s="5"/>
      <c r="AZ286" s="5"/>
      <c r="BA286" s="5"/>
      <c r="BB286" s="5"/>
      <c r="BC286" s="5"/>
      <c r="BF286" s="15"/>
      <c r="BG286" s="1"/>
      <c r="BH286" s="15"/>
      <c r="BI286" s="1"/>
      <c r="BJ286" s="1"/>
      <c r="BK286" s="1"/>
      <c r="BL286" s="1"/>
      <c r="BM286" s="1"/>
      <c r="BN286" s="1"/>
      <c r="BO286" s="1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DA286" s="1"/>
      <c r="DB286" s="868"/>
      <c r="DC286" s="868"/>
      <c r="DD286" s="1"/>
      <c r="DE286" s="1"/>
      <c r="DF286" s="1"/>
    </row>
    <row r="287">
      <c r="F287" s="1"/>
      <c r="H287" s="1"/>
      <c r="J287" s="1"/>
      <c r="L287" s="1"/>
      <c r="M287" s="1"/>
      <c r="N287" s="1"/>
      <c r="P287" s="1"/>
      <c r="R287" s="1"/>
      <c r="T287" s="1"/>
      <c r="V287" s="1"/>
      <c r="X287" s="1"/>
      <c r="Z287" s="1"/>
      <c r="AB287" s="1"/>
      <c r="AD287" s="1"/>
      <c r="AF287" s="1"/>
      <c r="AH287" s="1"/>
      <c r="AI287" s="1"/>
      <c r="AJ287" s="1"/>
      <c r="AL287" s="1"/>
      <c r="AN287" s="1"/>
      <c r="AP287" s="1"/>
      <c r="AR287" s="1"/>
      <c r="AT287" s="1"/>
      <c r="AU287" s="1"/>
      <c r="AV287" s="1"/>
      <c r="AW287" s="1"/>
      <c r="AX287" s="5"/>
      <c r="AY287" s="5"/>
      <c r="AZ287" s="5"/>
      <c r="BA287" s="5"/>
      <c r="BB287" s="5"/>
      <c r="BC287" s="5"/>
      <c r="BF287" s="15"/>
      <c r="BG287" s="1"/>
      <c r="BH287" s="15"/>
      <c r="BI287" s="1"/>
      <c r="BJ287" s="1"/>
      <c r="BK287" s="1"/>
      <c r="BL287" s="1"/>
      <c r="BM287" s="1"/>
      <c r="BN287" s="1"/>
      <c r="BO287" s="1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DA287" s="1"/>
      <c r="DB287" s="868"/>
      <c r="DC287" s="868"/>
      <c r="DD287" s="1"/>
      <c r="DE287" s="1"/>
      <c r="DF287" s="1"/>
    </row>
    <row r="288">
      <c r="F288" s="1"/>
      <c r="H288" s="1"/>
      <c r="J288" s="1"/>
      <c r="L288" s="1"/>
      <c r="M288" s="1"/>
      <c r="N288" s="1"/>
      <c r="P288" s="1"/>
      <c r="R288" s="1"/>
      <c r="T288" s="1"/>
      <c r="V288" s="1"/>
      <c r="X288" s="1"/>
      <c r="Z288" s="1"/>
      <c r="AB288" s="1"/>
      <c r="AD288" s="1"/>
      <c r="AF288" s="1"/>
      <c r="AH288" s="1"/>
      <c r="AI288" s="1"/>
      <c r="AJ288" s="1"/>
      <c r="AL288" s="1"/>
      <c r="AN288" s="1"/>
      <c r="AP288" s="1"/>
      <c r="AR288" s="1"/>
      <c r="AT288" s="1"/>
      <c r="AU288" s="1"/>
      <c r="AV288" s="1"/>
      <c r="AW288" s="1"/>
      <c r="AX288" s="5"/>
      <c r="AY288" s="5"/>
      <c r="AZ288" s="5"/>
      <c r="BA288" s="5"/>
      <c r="BB288" s="5"/>
      <c r="BC288" s="5"/>
      <c r="BF288" s="15"/>
      <c r="BG288" s="1"/>
      <c r="BH288" s="15"/>
      <c r="BI288" s="1"/>
      <c r="BJ288" s="1"/>
      <c r="BK288" s="1"/>
      <c r="BL288" s="1"/>
      <c r="BM288" s="1"/>
      <c r="BN288" s="1"/>
      <c r="BO288" s="1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DA288" s="1"/>
      <c r="DB288" s="868"/>
      <c r="DC288" s="868"/>
      <c r="DD288" s="1"/>
      <c r="DE288" s="1"/>
      <c r="DF288" s="1"/>
    </row>
    <row r="289">
      <c r="F289" s="1"/>
      <c r="H289" s="1"/>
      <c r="J289" s="1"/>
      <c r="L289" s="1"/>
      <c r="M289" s="1"/>
      <c r="N289" s="1"/>
      <c r="P289" s="1"/>
      <c r="R289" s="1"/>
      <c r="T289" s="1"/>
      <c r="V289" s="1"/>
      <c r="X289" s="1"/>
      <c r="Z289" s="1"/>
      <c r="AB289" s="1"/>
      <c r="AD289" s="1"/>
      <c r="AF289" s="1"/>
      <c r="AH289" s="1"/>
      <c r="AI289" s="1"/>
      <c r="AJ289" s="1"/>
      <c r="AL289" s="1"/>
      <c r="AN289" s="1"/>
      <c r="AP289" s="1"/>
      <c r="AR289" s="1"/>
      <c r="AT289" s="1"/>
      <c r="AU289" s="1"/>
      <c r="AV289" s="1"/>
      <c r="AW289" s="1"/>
      <c r="AX289" s="5"/>
      <c r="AY289" s="5"/>
      <c r="AZ289" s="5"/>
      <c r="BA289" s="5"/>
      <c r="BB289" s="5"/>
      <c r="BC289" s="5"/>
      <c r="BF289" s="15"/>
      <c r="BG289" s="1"/>
      <c r="BH289" s="15"/>
      <c r="BI289" s="1"/>
      <c r="BJ289" s="1"/>
      <c r="BK289" s="1"/>
      <c r="BL289" s="1"/>
      <c r="BM289" s="1"/>
      <c r="BN289" s="1"/>
      <c r="BO289" s="1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DA289" s="1"/>
      <c r="DB289" s="868"/>
      <c r="DC289" s="868"/>
      <c r="DD289" s="1"/>
      <c r="DE289" s="1"/>
      <c r="DF289" s="1"/>
    </row>
    <row r="290">
      <c r="F290" s="1"/>
      <c r="H290" s="1"/>
      <c r="J290" s="1"/>
      <c r="L290" s="1"/>
      <c r="M290" s="1"/>
      <c r="N290" s="1"/>
      <c r="P290" s="1"/>
      <c r="R290" s="1"/>
      <c r="T290" s="1"/>
      <c r="V290" s="1"/>
      <c r="X290" s="1"/>
      <c r="Z290" s="1"/>
      <c r="AB290" s="1"/>
      <c r="AD290" s="1"/>
      <c r="AF290" s="1"/>
      <c r="AH290" s="1"/>
      <c r="AI290" s="1"/>
      <c r="AJ290" s="1"/>
      <c r="AL290" s="1"/>
      <c r="AN290" s="1"/>
      <c r="AP290" s="1"/>
      <c r="AR290" s="1"/>
      <c r="AT290" s="1"/>
      <c r="AU290" s="1"/>
      <c r="AV290" s="1"/>
      <c r="AW290" s="1"/>
      <c r="AX290" s="5"/>
      <c r="AY290" s="5"/>
      <c r="AZ290" s="5"/>
      <c r="BA290" s="5"/>
      <c r="BB290" s="5"/>
      <c r="BC290" s="5"/>
      <c r="BF290" s="15"/>
      <c r="BG290" s="1"/>
      <c r="BH290" s="15"/>
      <c r="BI290" s="1"/>
      <c r="BJ290" s="1"/>
      <c r="BK290" s="1"/>
      <c r="BL290" s="1"/>
      <c r="BM290" s="1"/>
      <c r="BN290" s="1"/>
      <c r="BO290" s="1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DA290" s="1"/>
      <c r="DB290" s="868"/>
      <c r="DC290" s="868"/>
      <c r="DD290" s="1"/>
      <c r="DE290" s="1"/>
      <c r="DF290" s="1"/>
    </row>
    <row r="291">
      <c r="F291" s="1"/>
      <c r="H291" s="1"/>
      <c r="J291" s="1"/>
      <c r="L291" s="1"/>
      <c r="M291" s="1"/>
      <c r="N291" s="1"/>
      <c r="P291" s="1"/>
      <c r="R291" s="1"/>
      <c r="T291" s="1"/>
      <c r="V291" s="1"/>
      <c r="X291" s="1"/>
      <c r="Z291" s="1"/>
      <c r="AB291" s="1"/>
      <c r="AD291" s="1"/>
      <c r="AF291" s="1"/>
      <c r="AH291" s="1"/>
      <c r="AI291" s="1"/>
      <c r="AJ291" s="1"/>
      <c r="AL291" s="1"/>
      <c r="AN291" s="1"/>
      <c r="AP291" s="1"/>
      <c r="AR291" s="1"/>
      <c r="AT291" s="1"/>
      <c r="AU291" s="1"/>
      <c r="AV291" s="1"/>
      <c r="AW291" s="1"/>
      <c r="AX291" s="5"/>
      <c r="AY291" s="5"/>
      <c r="AZ291" s="5"/>
      <c r="BA291" s="5"/>
      <c r="BB291" s="5"/>
      <c r="BC291" s="5"/>
      <c r="BF291" s="15"/>
      <c r="BG291" s="1"/>
      <c r="BH291" s="15"/>
      <c r="BI291" s="1"/>
      <c r="BJ291" s="1"/>
      <c r="BK291" s="1"/>
      <c r="BL291" s="1"/>
      <c r="BM291" s="1"/>
      <c r="BN291" s="1"/>
      <c r="BO291" s="1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DA291" s="1"/>
      <c r="DB291" s="868"/>
      <c r="DC291" s="868"/>
      <c r="DD291" s="1"/>
      <c r="DE291" s="1"/>
      <c r="DF291" s="1"/>
    </row>
    <row r="292">
      <c r="F292" s="1"/>
      <c r="H292" s="1"/>
      <c r="J292" s="1"/>
      <c r="L292" s="1"/>
      <c r="M292" s="1"/>
      <c r="N292" s="1"/>
      <c r="P292" s="1"/>
      <c r="R292" s="1"/>
      <c r="T292" s="1"/>
      <c r="V292" s="1"/>
      <c r="X292" s="1"/>
      <c r="Z292" s="1"/>
      <c r="AB292" s="1"/>
      <c r="AD292" s="1"/>
      <c r="AF292" s="1"/>
      <c r="AH292" s="1"/>
      <c r="AI292" s="1"/>
      <c r="AJ292" s="1"/>
      <c r="AL292" s="1"/>
      <c r="AN292" s="1"/>
      <c r="AP292" s="1"/>
      <c r="AR292" s="1"/>
      <c r="AT292" s="1"/>
      <c r="AU292" s="1"/>
      <c r="AV292" s="1"/>
      <c r="AW292" s="1"/>
      <c r="AX292" s="5"/>
      <c r="AY292" s="5"/>
      <c r="AZ292" s="5"/>
      <c r="BA292" s="5"/>
      <c r="BB292" s="5"/>
      <c r="BC292" s="5"/>
      <c r="BF292" s="15"/>
      <c r="BG292" s="1"/>
      <c r="BH292" s="15"/>
      <c r="BI292" s="1"/>
      <c r="BJ292" s="1"/>
      <c r="BK292" s="1"/>
      <c r="BL292" s="1"/>
      <c r="BM292" s="1"/>
      <c r="BN292" s="1"/>
      <c r="BO292" s="1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DA292" s="1"/>
      <c r="DB292" s="868"/>
      <c r="DC292" s="868"/>
      <c r="DD292" s="1"/>
      <c r="DE292" s="1"/>
      <c r="DF292" s="1"/>
    </row>
    <row r="293">
      <c r="F293" s="1"/>
      <c r="H293" s="1"/>
      <c r="J293" s="1"/>
      <c r="L293" s="1"/>
      <c r="M293" s="1"/>
      <c r="N293" s="1"/>
      <c r="P293" s="1"/>
      <c r="R293" s="1"/>
      <c r="T293" s="1"/>
      <c r="V293" s="1"/>
      <c r="X293" s="1"/>
      <c r="Z293" s="1"/>
      <c r="AB293" s="1"/>
      <c r="AD293" s="1"/>
      <c r="AF293" s="1"/>
      <c r="AH293" s="1"/>
      <c r="AI293" s="1"/>
      <c r="AJ293" s="1"/>
      <c r="AL293" s="1"/>
      <c r="AN293" s="1"/>
      <c r="AP293" s="1"/>
      <c r="AR293" s="1"/>
      <c r="AT293" s="1"/>
      <c r="AU293" s="1"/>
      <c r="AV293" s="1"/>
      <c r="AW293" s="1"/>
      <c r="AX293" s="5"/>
      <c r="AY293" s="5"/>
      <c r="AZ293" s="5"/>
      <c r="BA293" s="5"/>
      <c r="BB293" s="5"/>
      <c r="BC293" s="5"/>
      <c r="BF293" s="15"/>
      <c r="BG293" s="1"/>
      <c r="BH293" s="15"/>
      <c r="BI293" s="1"/>
      <c r="BJ293" s="1"/>
      <c r="BK293" s="1"/>
      <c r="BL293" s="1"/>
      <c r="BM293" s="1"/>
      <c r="BN293" s="1"/>
      <c r="BO293" s="1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DA293" s="1"/>
      <c r="DB293" s="868"/>
      <c r="DC293" s="868"/>
      <c r="DD293" s="1"/>
      <c r="DE293" s="1"/>
      <c r="DF293" s="1"/>
    </row>
    <row r="294">
      <c r="F294" s="1"/>
      <c r="H294" s="1"/>
      <c r="J294" s="1"/>
      <c r="L294" s="1"/>
      <c r="M294" s="1"/>
      <c r="N294" s="1"/>
      <c r="P294" s="1"/>
      <c r="R294" s="1"/>
      <c r="T294" s="1"/>
      <c r="V294" s="1"/>
      <c r="X294" s="1"/>
      <c r="Z294" s="1"/>
      <c r="AB294" s="1"/>
      <c r="AD294" s="1"/>
      <c r="AF294" s="1"/>
      <c r="AH294" s="1"/>
      <c r="AI294" s="1"/>
      <c r="AJ294" s="1"/>
      <c r="AL294" s="1"/>
      <c r="AN294" s="1"/>
      <c r="AP294" s="1"/>
      <c r="AR294" s="1"/>
      <c r="AT294" s="1"/>
      <c r="AU294" s="1"/>
      <c r="AV294" s="1"/>
      <c r="AW294" s="1"/>
      <c r="AX294" s="5"/>
      <c r="AY294" s="5"/>
      <c r="AZ294" s="5"/>
      <c r="BA294" s="5"/>
      <c r="BB294" s="5"/>
      <c r="BC294" s="5"/>
      <c r="BF294" s="15"/>
      <c r="BG294" s="1"/>
      <c r="BH294" s="15"/>
      <c r="BI294" s="1"/>
      <c r="BJ294" s="1"/>
      <c r="BK294" s="1"/>
      <c r="BL294" s="1"/>
      <c r="BM294" s="1"/>
      <c r="BN294" s="1"/>
      <c r="BO294" s="1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DA294" s="1"/>
      <c r="DB294" s="868"/>
      <c r="DC294" s="868"/>
      <c r="DD294" s="1"/>
      <c r="DE294" s="1"/>
      <c r="DF294" s="1"/>
    </row>
    <row r="295">
      <c r="F295" s="1"/>
      <c r="H295" s="1"/>
      <c r="J295" s="1"/>
      <c r="L295" s="1"/>
      <c r="M295" s="1"/>
      <c r="N295" s="1"/>
      <c r="P295" s="1"/>
      <c r="R295" s="1"/>
      <c r="T295" s="1"/>
      <c r="V295" s="1"/>
      <c r="X295" s="1"/>
      <c r="Z295" s="1"/>
      <c r="AB295" s="1"/>
      <c r="AD295" s="1"/>
      <c r="AF295" s="1"/>
      <c r="AH295" s="1"/>
      <c r="AI295" s="1"/>
      <c r="AJ295" s="1"/>
      <c r="AL295" s="1"/>
      <c r="AN295" s="1"/>
      <c r="AP295" s="1"/>
      <c r="AR295" s="1"/>
      <c r="AT295" s="1"/>
      <c r="AU295" s="1"/>
      <c r="AV295" s="1"/>
      <c r="AW295" s="1"/>
      <c r="AX295" s="5"/>
      <c r="AY295" s="5"/>
      <c r="AZ295" s="5"/>
      <c r="BA295" s="5"/>
      <c r="BB295" s="5"/>
      <c r="BC295" s="5"/>
      <c r="BF295" s="15"/>
      <c r="BG295" s="1"/>
      <c r="BH295" s="15"/>
      <c r="BI295" s="1"/>
      <c r="BJ295" s="1"/>
      <c r="BK295" s="1"/>
      <c r="BL295" s="1"/>
      <c r="BM295" s="1"/>
      <c r="BN295" s="1"/>
      <c r="BO295" s="1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DA295" s="1"/>
      <c r="DB295" s="868"/>
      <c r="DC295" s="868"/>
      <c r="DD295" s="1"/>
      <c r="DE295" s="1"/>
      <c r="DF295" s="1"/>
    </row>
    <row r="296">
      <c r="F296" s="1"/>
      <c r="H296" s="1"/>
      <c r="J296" s="1"/>
      <c r="L296" s="1"/>
      <c r="M296" s="1"/>
      <c r="N296" s="1"/>
      <c r="P296" s="1"/>
      <c r="R296" s="1"/>
      <c r="T296" s="1"/>
      <c r="V296" s="1"/>
      <c r="X296" s="1"/>
      <c r="Z296" s="1"/>
      <c r="AB296" s="1"/>
      <c r="AD296" s="1"/>
      <c r="AF296" s="1"/>
      <c r="AH296" s="1"/>
      <c r="AI296" s="1"/>
      <c r="AJ296" s="1"/>
      <c r="AL296" s="1"/>
      <c r="AN296" s="1"/>
      <c r="AP296" s="1"/>
      <c r="AR296" s="1"/>
      <c r="AT296" s="1"/>
      <c r="AU296" s="1"/>
      <c r="AV296" s="1"/>
      <c r="AW296" s="1"/>
      <c r="AX296" s="5"/>
      <c r="AY296" s="5"/>
      <c r="AZ296" s="5"/>
      <c r="BA296" s="5"/>
      <c r="BB296" s="5"/>
      <c r="BC296" s="5"/>
      <c r="BF296" s="15"/>
      <c r="BG296" s="1"/>
      <c r="BH296" s="15"/>
      <c r="BI296" s="1"/>
      <c r="BJ296" s="1"/>
      <c r="BK296" s="1"/>
      <c r="BL296" s="1"/>
      <c r="BM296" s="1"/>
      <c r="BN296" s="1"/>
      <c r="BO296" s="1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DA296" s="1"/>
      <c r="DB296" s="868"/>
      <c r="DC296" s="868"/>
      <c r="DD296" s="1"/>
      <c r="DE296" s="1"/>
      <c r="DF296" s="1"/>
    </row>
    <row r="297">
      <c r="F297" s="1"/>
      <c r="H297" s="1"/>
      <c r="J297" s="1"/>
      <c r="L297" s="1"/>
      <c r="M297" s="1"/>
      <c r="N297" s="1"/>
      <c r="P297" s="1"/>
      <c r="R297" s="1"/>
      <c r="T297" s="1"/>
      <c r="V297" s="1"/>
      <c r="X297" s="1"/>
      <c r="Z297" s="1"/>
      <c r="AB297" s="1"/>
      <c r="AD297" s="1"/>
      <c r="AF297" s="1"/>
      <c r="AH297" s="1"/>
      <c r="AI297" s="1"/>
      <c r="AJ297" s="1"/>
      <c r="AL297" s="1"/>
      <c r="AN297" s="1"/>
      <c r="AP297" s="1"/>
      <c r="AR297" s="1"/>
      <c r="AT297" s="1"/>
      <c r="AU297" s="1"/>
      <c r="AV297" s="1"/>
      <c r="AW297" s="1"/>
      <c r="AX297" s="5"/>
      <c r="AY297" s="5"/>
      <c r="AZ297" s="5"/>
      <c r="BA297" s="5"/>
      <c r="BB297" s="5"/>
      <c r="BC297" s="5"/>
      <c r="BF297" s="15"/>
      <c r="BG297" s="1"/>
      <c r="BH297" s="15"/>
      <c r="BI297" s="1"/>
      <c r="BJ297" s="1"/>
      <c r="BK297" s="1"/>
      <c r="BL297" s="1"/>
      <c r="BM297" s="1"/>
      <c r="BN297" s="1"/>
      <c r="BO297" s="1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DA297" s="1"/>
      <c r="DB297" s="868"/>
      <c r="DC297" s="868"/>
      <c r="DD297" s="1"/>
      <c r="DE297" s="1"/>
      <c r="DF297" s="1"/>
    </row>
    <row r="298">
      <c r="F298" s="1"/>
      <c r="H298" s="1"/>
      <c r="J298" s="1"/>
      <c r="L298" s="1"/>
      <c r="M298" s="1"/>
      <c r="N298" s="1"/>
      <c r="P298" s="1"/>
      <c r="R298" s="1"/>
      <c r="T298" s="1"/>
      <c r="V298" s="1"/>
      <c r="X298" s="1"/>
      <c r="Z298" s="1"/>
      <c r="AB298" s="1"/>
      <c r="AD298" s="1"/>
      <c r="AF298" s="1"/>
      <c r="AH298" s="1"/>
      <c r="AI298" s="1"/>
      <c r="AJ298" s="1"/>
      <c r="AL298" s="1"/>
      <c r="AN298" s="1"/>
      <c r="AP298" s="1"/>
      <c r="AR298" s="1"/>
      <c r="AT298" s="1"/>
      <c r="AU298" s="1"/>
      <c r="AV298" s="1"/>
      <c r="AW298" s="1"/>
      <c r="AX298" s="5"/>
      <c r="AY298" s="5"/>
      <c r="AZ298" s="5"/>
      <c r="BA298" s="5"/>
      <c r="BB298" s="5"/>
      <c r="BC298" s="5"/>
      <c r="BF298" s="15"/>
      <c r="BG298" s="1"/>
      <c r="BH298" s="15"/>
      <c r="BI298" s="1"/>
      <c r="BJ298" s="1"/>
      <c r="BK298" s="1"/>
      <c r="BL298" s="1"/>
      <c r="BM298" s="1"/>
      <c r="BN298" s="1"/>
      <c r="BO298" s="1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DA298" s="1"/>
      <c r="DB298" s="868"/>
      <c r="DC298" s="868"/>
      <c r="DD298" s="1"/>
      <c r="DE298" s="1"/>
      <c r="DF298" s="1"/>
    </row>
    <row r="299">
      <c r="F299" s="1"/>
      <c r="H299" s="1"/>
      <c r="J299" s="1"/>
      <c r="L299" s="1"/>
      <c r="M299" s="1"/>
      <c r="N299" s="1"/>
      <c r="P299" s="1"/>
      <c r="R299" s="1"/>
      <c r="T299" s="1"/>
      <c r="V299" s="1"/>
      <c r="X299" s="1"/>
      <c r="Z299" s="1"/>
      <c r="AB299" s="1"/>
      <c r="AD299" s="1"/>
      <c r="AF299" s="1"/>
      <c r="AH299" s="1"/>
      <c r="AI299" s="1"/>
      <c r="AJ299" s="1"/>
      <c r="AL299" s="1"/>
      <c r="AN299" s="1"/>
      <c r="AP299" s="1"/>
      <c r="AR299" s="1"/>
      <c r="AT299" s="1"/>
      <c r="AU299" s="1"/>
      <c r="AV299" s="1"/>
      <c r="AW299" s="1"/>
      <c r="AX299" s="5"/>
      <c r="AY299" s="5"/>
      <c r="AZ299" s="5"/>
      <c r="BA299" s="5"/>
      <c r="BB299" s="5"/>
      <c r="BC299" s="5"/>
      <c r="BF299" s="15"/>
      <c r="BG299" s="1"/>
      <c r="BH299" s="15"/>
      <c r="BI299" s="1"/>
      <c r="BJ299" s="1"/>
      <c r="BK299" s="1"/>
      <c r="BL299" s="1"/>
      <c r="BM299" s="1"/>
      <c r="BN299" s="1"/>
      <c r="BO299" s="1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DA299" s="1"/>
      <c r="DB299" s="868"/>
      <c r="DC299" s="868"/>
      <c r="DD299" s="1"/>
      <c r="DE299" s="1"/>
      <c r="DF299" s="1"/>
    </row>
    <row r="300">
      <c r="F300" s="1"/>
      <c r="H300" s="1"/>
      <c r="J300" s="1"/>
      <c r="L300" s="1"/>
      <c r="M300" s="1"/>
      <c r="N300" s="1"/>
      <c r="P300" s="1"/>
      <c r="R300" s="1"/>
      <c r="T300" s="1"/>
      <c r="V300" s="1"/>
      <c r="X300" s="1"/>
      <c r="Z300" s="1"/>
      <c r="AB300" s="1"/>
      <c r="AD300" s="1"/>
      <c r="AF300" s="1"/>
      <c r="AH300" s="1"/>
      <c r="AI300" s="1"/>
      <c r="AJ300" s="1"/>
      <c r="AL300" s="1"/>
      <c r="AN300" s="1"/>
      <c r="AP300" s="1"/>
      <c r="AR300" s="1"/>
      <c r="AT300" s="1"/>
      <c r="AU300" s="1"/>
      <c r="AV300" s="1"/>
      <c r="AW300" s="1"/>
      <c r="AX300" s="5"/>
      <c r="AY300" s="5"/>
      <c r="AZ300" s="5"/>
      <c r="BA300" s="5"/>
      <c r="BB300" s="5"/>
      <c r="BC300" s="5"/>
      <c r="BF300" s="15"/>
      <c r="BG300" s="1"/>
      <c r="BH300" s="15"/>
      <c r="BI300" s="1"/>
      <c r="BJ300" s="1"/>
      <c r="BK300" s="1"/>
      <c r="BL300" s="1"/>
      <c r="BM300" s="1"/>
      <c r="BN300" s="1"/>
      <c r="BO300" s="1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DA300" s="1"/>
      <c r="DB300" s="868"/>
      <c r="DC300" s="868"/>
      <c r="DD300" s="1"/>
      <c r="DE300" s="1"/>
      <c r="DF300" s="1"/>
    </row>
    <row r="301">
      <c r="F301" s="1"/>
      <c r="H301" s="1"/>
      <c r="J301" s="1"/>
      <c r="L301" s="1"/>
      <c r="M301" s="1"/>
      <c r="N301" s="1"/>
      <c r="P301" s="1"/>
      <c r="R301" s="1"/>
      <c r="T301" s="1"/>
      <c r="V301" s="1"/>
      <c r="X301" s="1"/>
      <c r="Z301" s="1"/>
      <c r="AB301" s="1"/>
      <c r="AD301" s="1"/>
      <c r="AF301" s="1"/>
      <c r="AH301" s="1"/>
      <c r="AI301" s="1"/>
      <c r="AJ301" s="1"/>
      <c r="AL301" s="1"/>
      <c r="AN301" s="1"/>
      <c r="AP301" s="1"/>
      <c r="AR301" s="1"/>
      <c r="AT301" s="1"/>
      <c r="AU301" s="1"/>
      <c r="AV301" s="1"/>
      <c r="AW301" s="1"/>
      <c r="AX301" s="5"/>
      <c r="AY301" s="5"/>
      <c r="AZ301" s="5"/>
      <c r="BA301" s="5"/>
      <c r="BB301" s="5"/>
      <c r="BC301" s="5"/>
      <c r="BF301" s="15"/>
      <c r="BG301" s="1"/>
      <c r="BH301" s="15"/>
      <c r="BI301" s="1"/>
      <c r="BJ301" s="1"/>
      <c r="BK301" s="1"/>
      <c r="BL301" s="1"/>
      <c r="BM301" s="1"/>
      <c r="BN301" s="1"/>
      <c r="BO301" s="1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DA301" s="1"/>
      <c r="DB301" s="868"/>
      <c r="DC301" s="868"/>
      <c r="DD301" s="1"/>
      <c r="DE301" s="1"/>
      <c r="DF301" s="1"/>
    </row>
    <row r="302">
      <c r="F302" s="1"/>
      <c r="H302" s="1"/>
      <c r="J302" s="1"/>
      <c r="L302" s="1"/>
      <c r="M302" s="1"/>
      <c r="N302" s="1"/>
      <c r="P302" s="1"/>
      <c r="R302" s="1"/>
      <c r="T302" s="1"/>
      <c r="V302" s="1"/>
      <c r="X302" s="1"/>
      <c r="Z302" s="1"/>
      <c r="AB302" s="1"/>
      <c r="AD302" s="1"/>
      <c r="AF302" s="1"/>
      <c r="AH302" s="1"/>
      <c r="AI302" s="1"/>
      <c r="AJ302" s="1"/>
      <c r="AL302" s="1"/>
      <c r="AN302" s="1"/>
      <c r="AP302" s="1"/>
      <c r="AR302" s="1"/>
      <c r="AT302" s="1"/>
      <c r="AU302" s="1"/>
      <c r="AV302" s="1"/>
      <c r="AW302" s="1"/>
      <c r="AX302" s="5"/>
      <c r="AY302" s="5"/>
      <c r="AZ302" s="5"/>
      <c r="BA302" s="5"/>
      <c r="BB302" s="5"/>
      <c r="BC302" s="5"/>
      <c r="BF302" s="15"/>
      <c r="BG302" s="1"/>
      <c r="BH302" s="15"/>
      <c r="BI302" s="1"/>
      <c r="BJ302" s="1"/>
      <c r="BK302" s="1"/>
      <c r="BL302" s="1"/>
      <c r="BM302" s="1"/>
      <c r="BN302" s="1"/>
      <c r="BO302" s="1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DA302" s="1"/>
      <c r="DB302" s="868"/>
      <c r="DC302" s="868"/>
      <c r="DD302" s="1"/>
      <c r="DE302" s="1"/>
      <c r="DF302" s="1"/>
    </row>
    <row r="303">
      <c r="F303" s="1"/>
      <c r="H303" s="1"/>
      <c r="J303" s="1"/>
      <c r="L303" s="1"/>
      <c r="M303" s="1"/>
      <c r="N303" s="1"/>
      <c r="P303" s="1"/>
      <c r="R303" s="1"/>
      <c r="T303" s="1"/>
      <c r="V303" s="1"/>
      <c r="X303" s="1"/>
      <c r="Z303" s="1"/>
      <c r="AB303" s="1"/>
      <c r="AD303" s="1"/>
      <c r="AF303" s="1"/>
      <c r="AH303" s="1"/>
      <c r="AI303" s="1"/>
      <c r="AJ303" s="1"/>
      <c r="AL303" s="1"/>
      <c r="AN303" s="1"/>
      <c r="AP303" s="1"/>
      <c r="AR303" s="1"/>
      <c r="AT303" s="1"/>
      <c r="AU303" s="1"/>
      <c r="AV303" s="1"/>
      <c r="AW303" s="1"/>
      <c r="AX303" s="5"/>
      <c r="AY303" s="5"/>
      <c r="AZ303" s="5"/>
      <c r="BA303" s="5"/>
      <c r="BB303" s="5"/>
      <c r="BC303" s="5"/>
      <c r="BF303" s="15"/>
      <c r="BG303" s="1"/>
      <c r="BH303" s="15"/>
      <c r="BI303" s="1"/>
      <c r="BJ303" s="1"/>
      <c r="BK303" s="1"/>
      <c r="BL303" s="1"/>
      <c r="BM303" s="1"/>
      <c r="BN303" s="1"/>
      <c r="BO303" s="1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DA303" s="1"/>
      <c r="DB303" s="868"/>
      <c r="DC303" s="868"/>
      <c r="DD303" s="1"/>
      <c r="DE303" s="1"/>
      <c r="DF303" s="1"/>
    </row>
    <row r="304">
      <c r="F304" s="1"/>
      <c r="H304" s="1"/>
      <c r="J304" s="1"/>
      <c r="L304" s="1"/>
      <c r="M304" s="1"/>
      <c r="N304" s="1"/>
      <c r="P304" s="1"/>
      <c r="R304" s="1"/>
      <c r="T304" s="1"/>
      <c r="V304" s="1"/>
      <c r="X304" s="1"/>
      <c r="Z304" s="1"/>
      <c r="AB304" s="1"/>
      <c r="AD304" s="1"/>
      <c r="AF304" s="1"/>
      <c r="AH304" s="1"/>
      <c r="AI304" s="1"/>
      <c r="AJ304" s="1"/>
      <c r="AL304" s="1"/>
      <c r="AN304" s="1"/>
      <c r="AP304" s="1"/>
      <c r="AR304" s="1"/>
      <c r="AT304" s="1"/>
      <c r="AU304" s="1"/>
      <c r="AV304" s="1"/>
      <c r="AW304" s="1"/>
      <c r="AX304" s="5"/>
      <c r="AY304" s="5"/>
      <c r="AZ304" s="5"/>
      <c r="BA304" s="5"/>
      <c r="BB304" s="5"/>
      <c r="BC304" s="5"/>
      <c r="BF304" s="15"/>
      <c r="BG304" s="1"/>
      <c r="BH304" s="15"/>
      <c r="BI304" s="1"/>
      <c r="BJ304" s="1"/>
      <c r="BK304" s="1"/>
      <c r="BL304" s="1"/>
      <c r="BM304" s="1"/>
      <c r="BN304" s="1"/>
      <c r="BO304" s="1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DA304" s="1"/>
      <c r="DB304" s="868"/>
      <c r="DC304" s="868"/>
      <c r="DD304" s="1"/>
      <c r="DE304" s="1"/>
      <c r="DF304" s="1"/>
    </row>
    <row r="305">
      <c r="F305" s="1"/>
      <c r="H305" s="1"/>
      <c r="J305" s="1"/>
      <c r="L305" s="1"/>
      <c r="M305" s="1"/>
      <c r="N305" s="1"/>
      <c r="P305" s="1"/>
      <c r="R305" s="1"/>
      <c r="T305" s="1"/>
      <c r="V305" s="1"/>
      <c r="X305" s="1"/>
      <c r="Z305" s="1"/>
      <c r="AB305" s="1"/>
      <c r="AD305" s="1"/>
      <c r="AF305" s="1"/>
      <c r="AH305" s="1"/>
      <c r="AI305" s="1"/>
      <c r="AJ305" s="1"/>
      <c r="AL305" s="1"/>
      <c r="AN305" s="1"/>
      <c r="AP305" s="1"/>
      <c r="AR305" s="1"/>
      <c r="AT305" s="1"/>
      <c r="AU305" s="1"/>
      <c r="AV305" s="1"/>
      <c r="AW305" s="1"/>
      <c r="AX305" s="5"/>
      <c r="AY305" s="5"/>
      <c r="AZ305" s="5"/>
      <c r="BA305" s="5"/>
      <c r="BB305" s="5"/>
      <c r="BC305" s="5"/>
      <c r="BF305" s="15"/>
      <c r="BG305" s="1"/>
      <c r="BH305" s="15"/>
      <c r="BI305" s="1"/>
      <c r="BJ305" s="1"/>
      <c r="BK305" s="1"/>
      <c r="BL305" s="1"/>
      <c r="BM305" s="1"/>
      <c r="BN305" s="1"/>
      <c r="BO305" s="1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DA305" s="1"/>
      <c r="DB305" s="868"/>
      <c r="DC305" s="868"/>
      <c r="DD305" s="1"/>
      <c r="DE305" s="1"/>
      <c r="DF305" s="1"/>
    </row>
    <row r="306">
      <c r="F306" s="1"/>
      <c r="H306" s="1"/>
      <c r="J306" s="1"/>
      <c r="L306" s="1"/>
      <c r="M306" s="1"/>
      <c r="N306" s="1"/>
      <c r="P306" s="1"/>
      <c r="R306" s="1"/>
      <c r="T306" s="1"/>
      <c r="V306" s="1"/>
      <c r="X306" s="1"/>
      <c r="Z306" s="1"/>
      <c r="AB306" s="1"/>
      <c r="AD306" s="1"/>
      <c r="AF306" s="1"/>
      <c r="AH306" s="1"/>
      <c r="AI306" s="1"/>
      <c r="AJ306" s="1"/>
      <c r="AL306" s="1"/>
      <c r="AN306" s="1"/>
      <c r="AP306" s="1"/>
      <c r="AR306" s="1"/>
      <c r="AT306" s="1"/>
      <c r="AU306" s="1"/>
      <c r="AV306" s="1"/>
      <c r="AW306" s="1"/>
      <c r="AX306" s="5"/>
      <c r="AY306" s="5"/>
      <c r="AZ306" s="5"/>
      <c r="BA306" s="5"/>
      <c r="BB306" s="5"/>
      <c r="BC306" s="5"/>
      <c r="BF306" s="15"/>
      <c r="BG306" s="1"/>
      <c r="BH306" s="15"/>
      <c r="BI306" s="1"/>
      <c r="BJ306" s="1"/>
      <c r="BK306" s="1"/>
      <c r="BL306" s="1"/>
      <c r="BM306" s="1"/>
      <c r="BN306" s="1"/>
      <c r="BO306" s="1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DA306" s="1"/>
      <c r="DB306" s="868"/>
      <c r="DC306" s="868"/>
      <c r="DD306" s="1"/>
      <c r="DE306" s="1"/>
      <c r="DF306" s="1"/>
    </row>
    <row r="307">
      <c r="F307" s="1"/>
      <c r="H307" s="1"/>
      <c r="J307" s="1"/>
      <c r="L307" s="1"/>
      <c r="M307" s="1"/>
      <c r="N307" s="1"/>
      <c r="P307" s="1"/>
      <c r="R307" s="1"/>
      <c r="T307" s="1"/>
      <c r="V307" s="1"/>
      <c r="X307" s="1"/>
      <c r="Z307" s="1"/>
      <c r="AB307" s="1"/>
      <c r="AD307" s="1"/>
      <c r="AF307" s="1"/>
      <c r="AH307" s="1"/>
      <c r="AI307" s="1"/>
      <c r="AJ307" s="1"/>
      <c r="AL307" s="1"/>
      <c r="AN307" s="1"/>
      <c r="AP307" s="1"/>
      <c r="AR307" s="1"/>
      <c r="AT307" s="1"/>
      <c r="AU307" s="1"/>
      <c r="AV307" s="1"/>
      <c r="AW307" s="1"/>
      <c r="AX307" s="5"/>
      <c r="AY307" s="5"/>
      <c r="AZ307" s="5"/>
      <c r="BA307" s="5"/>
      <c r="BB307" s="5"/>
      <c r="BC307" s="5"/>
      <c r="BF307" s="15"/>
      <c r="BG307" s="1"/>
      <c r="BH307" s="15"/>
      <c r="BI307" s="1"/>
      <c r="BJ307" s="1"/>
      <c r="BK307" s="1"/>
      <c r="BL307" s="1"/>
      <c r="BM307" s="1"/>
      <c r="BN307" s="1"/>
      <c r="BO307" s="1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DA307" s="1"/>
      <c r="DB307" s="868"/>
      <c r="DC307" s="868"/>
      <c r="DD307" s="1"/>
      <c r="DE307" s="1"/>
      <c r="DF307" s="1"/>
    </row>
    <row r="308">
      <c r="F308" s="1"/>
      <c r="H308" s="1"/>
      <c r="J308" s="1"/>
      <c r="L308" s="1"/>
      <c r="M308" s="1"/>
      <c r="N308" s="1"/>
      <c r="P308" s="1"/>
      <c r="R308" s="1"/>
      <c r="T308" s="1"/>
      <c r="V308" s="1"/>
      <c r="X308" s="1"/>
      <c r="Z308" s="1"/>
      <c r="AB308" s="1"/>
      <c r="AD308" s="1"/>
      <c r="AF308" s="1"/>
      <c r="AH308" s="1"/>
      <c r="AI308" s="1"/>
      <c r="AJ308" s="1"/>
      <c r="AL308" s="1"/>
      <c r="AN308" s="1"/>
      <c r="AP308" s="1"/>
      <c r="AR308" s="1"/>
      <c r="AT308" s="1"/>
      <c r="AU308" s="1"/>
      <c r="AV308" s="1"/>
      <c r="AW308" s="1"/>
      <c r="AX308" s="5"/>
      <c r="AY308" s="5"/>
      <c r="AZ308" s="5"/>
      <c r="BA308" s="5"/>
      <c r="BB308" s="5"/>
      <c r="BC308" s="5"/>
      <c r="BF308" s="15"/>
      <c r="BG308" s="1"/>
      <c r="BH308" s="15"/>
      <c r="BI308" s="1"/>
      <c r="BJ308" s="1"/>
      <c r="BK308" s="1"/>
      <c r="BL308" s="1"/>
      <c r="BM308" s="1"/>
      <c r="BN308" s="1"/>
      <c r="BO308" s="1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DA308" s="1"/>
      <c r="DB308" s="868"/>
      <c r="DC308" s="868"/>
      <c r="DD308" s="1"/>
      <c r="DE308" s="1"/>
      <c r="DF308" s="1"/>
    </row>
    <row r="309">
      <c r="F309" s="1"/>
      <c r="H309" s="1"/>
      <c r="J309" s="1"/>
      <c r="L309" s="1"/>
      <c r="M309" s="1"/>
      <c r="N309" s="1"/>
      <c r="P309" s="1"/>
      <c r="R309" s="1"/>
      <c r="T309" s="1"/>
      <c r="V309" s="1"/>
      <c r="X309" s="1"/>
      <c r="Z309" s="1"/>
      <c r="AB309" s="1"/>
      <c r="AD309" s="1"/>
      <c r="AF309" s="1"/>
      <c r="AH309" s="1"/>
      <c r="AI309" s="1"/>
      <c r="AJ309" s="1"/>
      <c r="AL309" s="1"/>
      <c r="AN309" s="1"/>
      <c r="AP309" s="1"/>
      <c r="AR309" s="1"/>
      <c r="AT309" s="1"/>
      <c r="AU309" s="1"/>
      <c r="AV309" s="1"/>
      <c r="AW309" s="1"/>
      <c r="AX309" s="5"/>
      <c r="AY309" s="5"/>
      <c r="AZ309" s="5"/>
      <c r="BA309" s="5"/>
      <c r="BB309" s="5"/>
      <c r="BC309" s="5"/>
      <c r="BF309" s="15"/>
      <c r="BG309" s="1"/>
      <c r="BH309" s="15"/>
      <c r="BI309" s="1"/>
      <c r="BJ309" s="1"/>
      <c r="BK309" s="1"/>
      <c r="BL309" s="1"/>
      <c r="BM309" s="1"/>
      <c r="BN309" s="1"/>
      <c r="BO309" s="1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DA309" s="1"/>
      <c r="DB309" s="868"/>
      <c r="DC309" s="868"/>
      <c r="DD309" s="1"/>
      <c r="DE309" s="1"/>
      <c r="DF309" s="1"/>
    </row>
    <row r="310">
      <c r="F310" s="1"/>
      <c r="H310" s="1"/>
      <c r="J310" s="1"/>
      <c r="L310" s="1"/>
      <c r="M310" s="1"/>
      <c r="N310" s="1"/>
      <c r="P310" s="1"/>
      <c r="R310" s="1"/>
      <c r="T310" s="1"/>
      <c r="V310" s="1"/>
      <c r="X310" s="1"/>
      <c r="Z310" s="1"/>
      <c r="AB310" s="1"/>
      <c r="AD310" s="1"/>
      <c r="AF310" s="1"/>
      <c r="AH310" s="1"/>
      <c r="AI310" s="1"/>
      <c r="AJ310" s="1"/>
      <c r="AL310" s="1"/>
      <c r="AN310" s="1"/>
      <c r="AP310" s="1"/>
      <c r="AR310" s="1"/>
      <c r="AT310" s="1"/>
      <c r="AU310" s="1"/>
      <c r="AV310" s="1"/>
      <c r="AW310" s="1"/>
      <c r="AX310" s="5"/>
      <c r="AY310" s="5"/>
      <c r="AZ310" s="5"/>
      <c r="BA310" s="5"/>
      <c r="BB310" s="5"/>
      <c r="BC310" s="5"/>
      <c r="BF310" s="15"/>
      <c r="BG310" s="1"/>
      <c r="BH310" s="15"/>
      <c r="BI310" s="1"/>
      <c r="BJ310" s="1"/>
      <c r="BK310" s="1"/>
      <c r="BL310" s="1"/>
      <c r="BM310" s="1"/>
      <c r="BN310" s="1"/>
      <c r="BO310" s="1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DA310" s="1"/>
      <c r="DB310" s="868"/>
      <c r="DC310" s="868"/>
      <c r="DD310" s="1"/>
      <c r="DE310" s="1"/>
      <c r="DF310" s="1"/>
    </row>
    <row r="311">
      <c r="F311" s="1"/>
      <c r="H311" s="1"/>
      <c r="J311" s="1"/>
      <c r="L311" s="1"/>
      <c r="M311" s="1"/>
      <c r="N311" s="1"/>
      <c r="P311" s="1"/>
      <c r="R311" s="1"/>
      <c r="T311" s="1"/>
      <c r="V311" s="1"/>
      <c r="X311" s="1"/>
      <c r="Z311" s="1"/>
      <c r="AB311" s="1"/>
      <c r="AD311" s="1"/>
      <c r="AF311" s="1"/>
      <c r="AH311" s="1"/>
      <c r="AI311" s="1"/>
      <c r="AJ311" s="1"/>
      <c r="AL311" s="1"/>
      <c r="AN311" s="1"/>
      <c r="AP311" s="1"/>
      <c r="AR311" s="1"/>
      <c r="AT311" s="1"/>
      <c r="AU311" s="1"/>
      <c r="AV311" s="1"/>
      <c r="AW311" s="1"/>
      <c r="AX311" s="5"/>
      <c r="AY311" s="5"/>
      <c r="AZ311" s="5"/>
      <c r="BA311" s="5"/>
      <c r="BB311" s="5"/>
      <c r="BC311" s="5"/>
      <c r="BF311" s="15"/>
      <c r="BG311" s="1"/>
      <c r="BH311" s="15"/>
      <c r="BI311" s="1"/>
      <c r="BJ311" s="1"/>
      <c r="BK311" s="1"/>
      <c r="BL311" s="1"/>
      <c r="BM311" s="1"/>
      <c r="BN311" s="1"/>
      <c r="BO311" s="1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DA311" s="1"/>
      <c r="DB311" s="868"/>
      <c r="DC311" s="868"/>
      <c r="DD311" s="1"/>
      <c r="DE311" s="1"/>
      <c r="DF311" s="1"/>
    </row>
    <row r="312">
      <c r="F312" s="1"/>
      <c r="H312" s="1"/>
      <c r="J312" s="1"/>
      <c r="L312" s="1"/>
      <c r="M312" s="1"/>
      <c r="N312" s="1"/>
      <c r="P312" s="1"/>
      <c r="R312" s="1"/>
      <c r="T312" s="1"/>
      <c r="V312" s="1"/>
      <c r="X312" s="1"/>
      <c r="Z312" s="1"/>
      <c r="AB312" s="1"/>
      <c r="AD312" s="1"/>
      <c r="AF312" s="1"/>
      <c r="AH312" s="1"/>
      <c r="AI312" s="1"/>
      <c r="AJ312" s="1"/>
      <c r="AL312" s="1"/>
      <c r="AN312" s="1"/>
      <c r="AP312" s="1"/>
      <c r="AR312" s="1"/>
      <c r="AT312" s="1"/>
      <c r="AU312" s="1"/>
      <c r="AV312" s="1"/>
      <c r="AW312" s="1"/>
      <c r="AX312" s="5"/>
      <c r="AY312" s="5"/>
      <c r="AZ312" s="5"/>
      <c r="BA312" s="5"/>
      <c r="BB312" s="5"/>
      <c r="BC312" s="5"/>
      <c r="BF312" s="15"/>
      <c r="BG312" s="1"/>
      <c r="BH312" s="15"/>
      <c r="BI312" s="1"/>
      <c r="BJ312" s="1"/>
      <c r="BK312" s="1"/>
      <c r="BL312" s="1"/>
      <c r="BM312" s="1"/>
      <c r="BN312" s="1"/>
      <c r="BO312" s="1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DA312" s="1"/>
      <c r="DB312" s="868"/>
      <c r="DC312" s="868"/>
      <c r="DD312" s="1"/>
      <c r="DE312" s="1"/>
      <c r="DF312" s="1"/>
    </row>
    <row r="313">
      <c r="F313" s="1"/>
      <c r="H313" s="1"/>
      <c r="J313" s="1"/>
      <c r="L313" s="1"/>
      <c r="M313" s="1"/>
      <c r="N313" s="1"/>
      <c r="P313" s="1"/>
      <c r="R313" s="1"/>
      <c r="T313" s="1"/>
      <c r="V313" s="1"/>
      <c r="X313" s="1"/>
      <c r="Z313" s="1"/>
      <c r="AB313" s="1"/>
      <c r="AD313" s="1"/>
      <c r="AF313" s="1"/>
      <c r="AH313" s="1"/>
      <c r="AI313" s="1"/>
      <c r="AJ313" s="1"/>
      <c r="AL313" s="1"/>
      <c r="AN313" s="1"/>
      <c r="AP313" s="1"/>
      <c r="AR313" s="1"/>
      <c r="AT313" s="1"/>
      <c r="AU313" s="1"/>
      <c r="AV313" s="1"/>
      <c r="AW313" s="1"/>
      <c r="AX313" s="5"/>
      <c r="AY313" s="5"/>
      <c r="AZ313" s="5"/>
      <c r="BA313" s="5"/>
      <c r="BB313" s="5"/>
      <c r="BC313" s="5"/>
      <c r="BF313" s="15"/>
      <c r="BG313" s="1"/>
      <c r="BH313" s="15"/>
      <c r="BI313" s="1"/>
      <c r="BJ313" s="1"/>
      <c r="BK313" s="1"/>
      <c r="BL313" s="1"/>
      <c r="BM313" s="1"/>
      <c r="BN313" s="1"/>
      <c r="BO313" s="1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DA313" s="1"/>
      <c r="DB313" s="868"/>
      <c r="DC313" s="868"/>
      <c r="DD313" s="1"/>
      <c r="DE313" s="1"/>
      <c r="DF313" s="1"/>
    </row>
    <row r="314">
      <c r="F314" s="1"/>
      <c r="H314" s="1"/>
      <c r="J314" s="1"/>
      <c r="L314" s="1"/>
      <c r="M314" s="1"/>
      <c r="N314" s="1"/>
      <c r="P314" s="1"/>
      <c r="R314" s="1"/>
      <c r="T314" s="1"/>
      <c r="V314" s="1"/>
      <c r="X314" s="1"/>
      <c r="Z314" s="1"/>
      <c r="AB314" s="1"/>
      <c r="AD314" s="1"/>
      <c r="AF314" s="1"/>
      <c r="AH314" s="1"/>
      <c r="AI314" s="1"/>
      <c r="AJ314" s="1"/>
      <c r="AL314" s="1"/>
      <c r="AN314" s="1"/>
      <c r="AP314" s="1"/>
      <c r="AR314" s="1"/>
      <c r="AT314" s="1"/>
      <c r="AU314" s="1"/>
      <c r="AV314" s="1"/>
      <c r="AW314" s="1"/>
      <c r="AX314" s="5"/>
      <c r="AY314" s="5"/>
      <c r="AZ314" s="5"/>
      <c r="BA314" s="5"/>
      <c r="BB314" s="5"/>
      <c r="BC314" s="5"/>
      <c r="BF314" s="15"/>
      <c r="BG314" s="1"/>
      <c r="BH314" s="15"/>
      <c r="BI314" s="1"/>
      <c r="BJ314" s="1"/>
      <c r="BK314" s="1"/>
      <c r="BL314" s="1"/>
      <c r="BM314" s="1"/>
      <c r="BN314" s="1"/>
      <c r="BO314" s="1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DA314" s="1"/>
      <c r="DB314" s="868"/>
      <c r="DC314" s="868"/>
      <c r="DD314" s="1"/>
      <c r="DE314" s="1"/>
      <c r="DF314" s="1"/>
    </row>
    <row r="315">
      <c r="F315" s="1"/>
      <c r="H315" s="1"/>
      <c r="J315" s="1"/>
      <c r="L315" s="1"/>
      <c r="M315" s="1"/>
      <c r="N315" s="1"/>
      <c r="P315" s="1"/>
      <c r="R315" s="1"/>
      <c r="T315" s="1"/>
      <c r="V315" s="1"/>
      <c r="X315" s="1"/>
      <c r="Z315" s="1"/>
      <c r="AB315" s="1"/>
      <c r="AD315" s="1"/>
      <c r="AF315" s="1"/>
      <c r="AH315" s="1"/>
      <c r="AI315" s="1"/>
      <c r="AJ315" s="1"/>
      <c r="AL315" s="1"/>
      <c r="AN315" s="1"/>
      <c r="AP315" s="1"/>
      <c r="AR315" s="1"/>
      <c r="AT315" s="1"/>
      <c r="AU315" s="1"/>
      <c r="AV315" s="1"/>
      <c r="AW315" s="1"/>
      <c r="AX315" s="5"/>
      <c r="AY315" s="5"/>
      <c r="AZ315" s="5"/>
      <c r="BA315" s="5"/>
      <c r="BB315" s="5"/>
      <c r="BC315" s="5"/>
      <c r="BF315" s="15"/>
      <c r="BG315" s="1"/>
      <c r="BH315" s="15"/>
      <c r="BI315" s="1"/>
      <c r="BJ315" s="1"/>
      <c r="BK315" s="1"/>
      <c r="BL315" s="1"/>
      <c r="BM315" s="1"/>
      <c r="BN315" s="1"/>
      <c r="BO315" s="1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DA315" s="1"/>
      <c r="DB315" s="868"/>
      <c r="DC315" s="868"/>
      <c r="DD315" s="1"/>
      <c r="DE315" s="1"/>
      <c r="DF315" s="1"/>
    </row>
    <row r="316">
      <c r="F316" s="1"/>
      <c r="H316" s="1"/>
      <c r="J316" s="1"/>
      <c r="L316" s="1"/>
      <c r="M316" s="1"/>
      <c r="N316" s="1"/>
      <c r="P316" s="1"/>
      <c r="R316" s="1"/>
      <c r="T316" s="1"/>
      <c r="V316" s="1"/>
      <c r="X316" s="1"/>
      <c r="Z316" s="1"/>
      <c r="AB316" s="1"/>
      <c r="AD316" s="1"/>
      <c r="AF316" s="1"/>
      <c r="AH316" s="1"/>
      <c r="AI316" s="1"/>
      <c r="AJ316" s="1"/>
      <c r="AL316" s="1"/>
      <c r="AN316" s="1"/>
      <c r="AP316" s="1"/>
      <c r="AR316" s="1"/>
      <c r="AT316" s="1"/>
      <c r="AU316" s="1"/>
      <c r="AV316" s="1"/>
      <c r="AW316" s="1"/>
      <c r="AX316" s="5"/>
      <c r="AY316" s="5"/>
      <c r="AZ316" s="5"/>
      <c r="BA316" s="5"/>
      <c r="BB316" s="5"/>
      <c r="BC316" s="5"/>
      <c r="BF316" s="15"/>
      <c r="BG316" s="1"/>
      <c r="BH316" s="15"/>
      <c r="BI316" s="1"/>
      <c r="BJ316" s="1"/>
      <c r="BK316" s="1"/>
      <c r="BL316" s="1"/>
      <c r="BM316" s="1"/>
      <c r="BN316" s="1"/>
      <c r="BO316" s="1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DA316" s="1"/>
      <c r="DB316" s="868"/>
      <c r="DC316" s="868"/>
      <c r="DD316" s="1"/>
      <c r="DE316" s="1"/>
      <c r="DF316" s="1"/>
    </row>
    <row r="317">
      <c r="F317" s="1"/>
      <c r="H317" s="1"/>
      <c r="J317" s="1"/>
      <c r="L317" s="1"/>
      <c r="M317" s="1"/>
      <c r="N317" s="1"/>
      <c r="P317" s="1"/>
      <c r="R317" s="1"/>
      <c r="T317" s="1"/>
      <c r="V317" s="1"/>
      <c r="X317" s="1"/>
      <c r="Z317" s="1"/>
      <c r="AB317" s="1"/>
      <c r="AD317" s="1"/>
      <c r="AF317" s="1"/>
      <c r="AH317" s="1"/>
      <c r="AI317" s="1"/>
      <c r="AJ317" s="1"/>
      <c r="AL317" s="1"/>
      <c r="AN317" s="1"/>
      <c r="AP317" s="1"/>
      <c r="AR317" s="1"/>
      <c r="AT317" s="1"/>
      <c r="AU317" s="1"/>
      <c r="AV317" s="1"/>
      <c r="AW317" s="1"/>
      <c r="AX317" s="5"/>
      <c r="AY317" s="5"/>
      <c r="AZ317" s="5"/>
      <c r="BA317" s="5"/>
      <c r="BB317" s="5"/>
      <c r="BC317" s="5"/>
      <c r="BF317" s="15"/>
      <c r="BG317" s="1"/>
      <c r="BH317" s="15"/>
      <c r="BI317" s="1"/>
      <c r="BJ317" s="1"/>
      <c r="BK317" s="1"/>
      <c r="BL317" s="1"/>
      <c r="BM317" s="1"/>
      <c r="BN317" s="1"/>
      <c r="BO317" s="1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DA317" s="1"/>
      <c r="DB317" s="868"/>
      <c r="DC317" s="868"/>
      <c r="DD317" s="1"/>
      <c r="DE317" s="1"/>
      <c r="DF317" s="1"/>
    </row>
    <row r="318">
      <c r="F318" s="1"/>
      <c r="H318" s="1"/>
      <c r="J318" s="1"/>
      <c r="L318" s="1"/>
      <c r="M318" s="1"/>
      <c r="N318" s="1"/>
      <c r="P318" s="1"/>
      <c r="R318" s="1"/>
      <c r="T318" s="1"/>
      <c r="V318" s="1"/>
      <c r="X318" s="1"/>
      <c r="Z318" s="1"/>
      <c r="AB318" s="1"/>
      <c r="AD318" s="1"/>
      <c r="AF318" s="1"/>
      <c r="AH318" s="1"/>
      <c r="AI318" s="1"/>
      <c r="AJ318" s="1"/>
      <c r="AL318" s="1"/>
      <c r="AN318" s="1"/>
      <c r="AP318" s="1"/>
      <c r="AR318" s="1"/>
      <c r="AT318" s="1"/>
      <c r="AU318" s="1"/>
      <c r="AV318" s="1"/>
      <c r="AW318" s="1"/>
      <c r="AX318" s="5"/>
      <c r="AY318" s="5"/>
      <c r="AZ318" s="5"/>
      <c r="BA318" s="5"/>
      <c r="BB318" s="5"/>
      <c r="BC318" s="5"/>
      <c r="BF318" s="15"/>
      <c r="BG318" s="1"/>
      <c r="BH318" s="15"/>
      <c r="BI318" s="1"/>
      <c r="BJ318" s="1"/>
      <c r="BK318" s="1"/>
      <c r="BL318" s="1"/>
      <c r="BM318" s="1"/>
      <c r="BN318" s="1"/>
      <c r="BO318" s="1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DA318" s="1"/>
      <c r="DB318" s="868"/>
      <c r="DC318" s="868"/>
      <c r="DD318" s="1"/>
      <c r="DE318" s="1"/>
      <c r="DF318" s="1"/>
    </row>
    <row r="319">
      <c r="F319" s="1"/>
      <c r="H319" s="1"/>
      <c r="J319" s="1"/>
      <c r="L319" s="1"/>
      <c r="M319" s="1"/>
      <c r="N319" s="1"/>
      <c r="P319" s="1"/>
      <c r="R319" s="1"/>
      <c r="T319" s="1"/>
      <c r="V319" s="1"/>
      <c r="X319" s="1"/>
      <c r="Z319" s="1"/>
      <c r="AB319" s="1"/>
      <c r="AD319" s="1"/>
      <c r="AF319" s="1"/>
      <c r="AH319" s="1"/>
      <c r="AI319" s="1"/>
      <c r="AJ319" s="1"/>
      <c r="AL319" s="1"/>
      <c r="AN319" s="1"/>
      <c r="AP319" s="1"/>
      <c r="AR319" s="1"/>
      <c r="AT319" s="1"/>
      <c r="AU319" s="1"/>
      <c r="AV319" s="1"/>
      <c r="AW319" s="1"/>
      <c r="AX319" s="5"/>
      <c r="AY319" s="5"/>
      <c r="AZ319" s="5"/>
      <c r="BA319" s="5"/>
      <c r="BB319" s="5"/>
      <c r="BC319" s="5"/>
      <c r="BF319" s="15"/>
      <c r="BG319" s="1"/>
      <c r="BH319" s="15"/>
      <c r="BI319" s="1"/>
      <c r="BJ319" s="1"/>
      <c r="BK319" s="1"/>
      <c r="BL319" s="1"/>
      <c r="BM319" s="1"/>
      <c r="BN319" s="1"/>
      <c r="BO319" s="1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DA319" s="1"/>
      <c r="DB319" s="868"/>
      <c r="DC319" s="868"/>
      <c r="DD319" s="1"/>
      <c r="DE319" s="1"/>
      <c r="DF319" s="1"/>
    </row>
    <row r="320">
      <c r="F320" s="1"/>
      <c r="H320" s="1"/>
      <c r="J320" s="1"/>
      <c r="L320" s="1"/>
      <c r="M320" s="1"/>
      <c r="N320" s="1"/>
      <c r="P320" s="1"/>
      <c r="R320" s="1"/>
      <c r="T320" s="1"/>
      <c r="V320" s="1"/>
      <c r="X320" s="1"/>
      <c r="Z320" s="1"/>
      <c r="AB320" s="1"/>
      <c r="AD320" s="1"/>
      <c r="AF320" s="1"/>
      <c r="AH320" s="1"/>
      <c r="AI320" s="1"/>
      <c r="AJ320" s="1"/>
      <c r="AL320" s="1"/>
      <c r="AN320" s="1"/>
      <c r="AP320" s="1"/>
      <c r="AR320" s="1"/>
      <c r="AT320" s="1"/>
      <c r="AU320" s="1"/>
      <c r="AV320" s="1"/>
      <c r="AW320" s="1"/>
      <c r="AX320" s="5"/>
      <c r="AY320" s="5"/>
      <c r="AZ320" s="5"/>
      <c r="BA320" s="5"/>
      <c r="BB320" s="5"/>
      <c r="BC320" s="5"/>
      <c r="BF320" s="15"/>
      <c r="BG320" s="1"/>
      <c r="BH320" s="15"/>
      <c r="BI320" s="1"/>
      <c r="BJ320" s="1"/>
      <c r="BK320" s="1"/>
      <c r="BL320" s="1"/>
      <c r="BM320" s="1"/>
      <c r="BN320" s="1"/>
      <c r="BO320" s="1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DA320" s="1"/>
      <c r="DB320" s="868"/>
      <c r="DC320" s="868"/>
      <c r="DD320" s="1"/>
      <c r="DE320" s="1"/>
      <c r="DF320" s="1"/>
    </row>
    <row r="321">
      <c r="F321" s="1"/>
      <c r="H321" s="1"/>
      <c r="J321" s="1"/>
      <c r="L321" s="1"/>
      <c r="M321" s="1"/>
      <c r="N321" s="1"/>
      <c r="P321" s="1"/>
      <c r="R321" s="1"/>
      <c r="T321" s="1"/>
      <c r="V321" s="1"/>
      <c r="X321" s="1"/>
      <c r="Z321" s="1"/>
      <c r="AB321" s="1"/>
      <c r="AD321" s="1"/>
      <c r="AF321" s="1"/>
      <c r="AH321" s="1"/>
      <c r="AI321" s="1"/>
      <c r="AJ321" s="1"/>
      <c r="AL321" s="1"/>
      <c r="AN321" s="1"/>
      <c r="AP321" s="1"/>
      <c r="AR321" s="1"/>
      <c r="AT321" s="1"/>
      <c r="AU321" s="1"/>
      <c r="AV321" s="1"/>
      <c r="AW321" s="1"/>
      <c r="AX321" s="5"/>
      <c r="AY321" s="5"/>
      <c r="AZ321" s="5"/>
      <c r="BA321" s="5"/>
      <c r="BB321" s="5"/>
      <c r="BC321" s="5"/>
      <c r="BF321" s="15"/>
      <c r="BG321" s="1"/>
      <c r="BH321" s="15"/>
      <c r="BI321" s="1"/>
      <c r="BJ321" s="1"/>
      <c r="BK321" s="1"/>
      <c r="BL321" s="1"/>
      <c r="BM321" s="1"/>
      <c r="BN321" s="1"/>
      <c r="BO321" s="1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DA321" s="1"/>
      <c r="DB321" s="868"/>
      <c r="DC321" s="868"/>
      <c r="DD321" s="1"/>
      <c r="DE321" s="1"/>
      <c r="DF321" s="1"/>
    </row>
    <row r="322">
      <c r="F322" s="1"/>
      <c r="H322" s="1"/>
      <c r="J322" s="1"/>
      <c r="L322" s="1"/>
      <c r="M322" s="1"/>
      <c r="N322" s="1"/>
      <c r="P322" s="1"/>
      <c r="R322" s="1"/>
      <c r="T322" s="1"/>
      <c r="V322" s="1"/>
      <c r="X322" s="1"/>
      <c r="Z322" s="1"/>
      <c r="AB322" s="1"/>
      <c r="AD322" s="1"/>
      <c r="AF322" s="1"/>
      <c r="AH322" s="1"/>
      <c r="AI322" s="1"/>
      <c r="AJ322" s="1"/>
      <c r="AL322" s="1"/>
      <c r="AN322" s="1"/>
      <c r="AP322" s="1"/>
      <c r="AR322" s="1"/>
      <c r="AT322" s="1"/>
      <c r="AU322" s="1"/>
      <c r="AV322" s="1"/>
      <c r="AW322" s="1"/>
      <c r="AX322" s="5"/>
      <c r="AY322" s="5"/>
      <c r="AZ322" s="5"/>
      <c r="BA322" s="5"/>
      <c r="BB322" s="5"/>
      <c r="BC322" s="5"/>
      <c r="BF322" s="15"/>
      <c r="BG322" s="1"/>
      <c r="BH322" s="15"/>
      <c r="BI322" s="1"/>
      <c r="BJ322" s="1"/>
      <c r="BK322" s="1"/>
      <c r="BL322" s="1"/>
      <c r="BM322" s="1"/>
      <c r="BN322" s="1"/>
      <c r="BO322" s="1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DA322" s="1"/>
      <c r="DB322" s="868"/>
      <c r="DC322" s="868"/>
      <c r="DD322" s="1"/>
      <c r="DE322" s="1"/>
      <c r="DF322" s="1"/>
    </row>
    <row r="323">
      <c r="F323" s="1"/>
      <c r="H323" s="1"/>
      <c r="J323" s="1"/>
      <c r="L323" s="1"/>
      <c r="M323" s="1"/>
      <c r="N323" s="1"/>
      <c r="P323" s="1"/>
      <c r="R323" s="1"/>
      <c r="T323" s="1"/>
      <c r="V323" s="1"/>
      <c r="X323" s="1"/>
      <c r="Z323" s="1"/>
      <c r="AB323" s="1"/>
      <c r="AD323" s="1"/>
      <c r="AF323" s="1"/>
      <c r="AH323" s="1"/>
      <c r="AI323" s="1"/>
      <c r="AJ323" s="1"/>
      <c r="AL323" s="1"/>
      <c r="AN323" s="1"/>
      <c r="AP323" s="1"/>
      <c r="AR323" s="1"/>
      <c r="AT323" s="1"/>
      <c r="AU323" s="1"/>
      <c r="AV323" s="1"/>
      <c r="AW323" s="1"/>
      <c r="AX323" s="5"/>
      <c r="AY323" s="5"/>
      <c r="AZ323" s="5"/>
      <c r="BA323" s="5"/>
      <c r="BB323" s="5"/>
      <c r="BC323" s="5"/>
      <c r="BF323" s="15"/>
      <c r="BG323" s="1"/>
      <c r="BH323" s="15"/>
      <c r="BI323" s="1"/>
      <c r="BJ323" s="1"/>
      <c r="BK323" s="1"/>
      <c r="BL323" s="1"/>
      <c r="BM323" s="1"/>
      <c r="BN323" s="1"/>
      <c r="BO323" s="1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DA323" s="1"/>
      <c r="DB323" s="868"/>
      <c r="DC323" s="868"/>
      <c r="DD323" s="1"/>
      <c r="DE323" s="1"/>
      <c r="DF323" s="1"/>
    </row>
    <row r="324">
      <c r="F324" s="1"/>
      <c r="H324" s="1"/>
      <c r="J324" s="1"/>
      <c r="L324" s="1"/>
      <c r="M324" s="1"/>
      <c r="N324" s="1"/>
      <c r="P324" s="1"/>
      <c r="R324" s="1"/>
      <c r="T324" s="1"/>
      <c r="V324" s="1"/>
      <c r="X324" s="1"/>
      <c r="Z324" s="1"/>
      <c r="AB324" s="1"/>
      <c r="AD324" s="1"/>
      <c r="AF324" s="1"/>
      <c r="AH324" s="1"/>
      <c r="AI324" s="1"/>
      <c r="AJ324" s="1"/>
      <c r="AL324" s="1"/>
      <c r="AN324" s="1"/>
      <c r="AP324" s="1"/>
      <c r="AR324" s="1"/>
      <c r="AT324" s="1"/>
      <c r="AU324" s="1"/>
      <c r="AV324" s="1"/>
      <c r="AW324" s="1"/>
      <c r="AX324" s="5"/>
      <c r="AY324" s="5"/>
      <c r="AZ324" s="5"/>
      <c r="BA324" s="5"/>
      <c r="BB324" s="5"/>
      <c r="BC324" s="5"/>
      <c r="BF324" s="15"/>
      <c r="BG324" s="1"/>
      <c r="BH324" s="15"/>
      <c r="BI324" s="1"/>
      <c r="BJ324" s="1"/>
      <c r="BK324" s="1"/>
      <c r="BL324" s="1"/>
      <c r="BM324" s="1"/>
      <c r="BN324" s="1"/>
      <c r="BO324" s="1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DA324" s="1"/>
      <c r="DB324" s="868"/>
      <c r="DC324" s="868"/>
      <c r="DD324" s="1"/>
      <c r="DE324" s="1"/>
      <c r="DF324" s="1"/>
    </row>
    <row r="325">
      <c r="F325" s="1"/>
      <c r="H325" s="1"/>
      <c r="J325" s="1"/>
      <c r="L325" s="1"/>
      <c r="M325" s="1"/>
      <c r="N325" s="1"/>
      <c r="P325" s="1"/>
      <c r="R325" s="1"/>
      <c r="T325" s="1"/>
      <c r="V325" s="1"/>
      <c r="X325" s="1"/>
      <c r="Z325" s="1"/>
      <c r="AB325" s="1"/>
      <c r="AD325" s="1"/>
      <c r="AF325" s="1"/>
      <c r="AH325" s="1"/>
      <c r="AI325" s="1"/>
      <c r="AJ325" s="1"/>
      <c r="AL325" s="1"/>
      <c r="AN325" s="1"/>
      <c r="AP325" s="1"/>
      <c r="AR325" s="1"/>
      <c r="AT325" s="1"/>
      <c r="AU325" s="1"/>
      <c r="AV325" s="1"/>
      <c r="AW325" s="1"/>
      <c r="AX325" s="5"/>
      <c r="AY325" s="5"/>
      <c r="AZ325" s="5"/>
      <c r="BA325" s="5"/>
      <c r="BB325" s="5"/>
      <c r="BC325" s="5"/>
      <c r="BF325" s="15"/>
      <c r="BG325" s="1"/>
      <c r="BH325" s="15"/>
      <c r="BI325" s="1"/>
      <c r="BJ325" s="1"/>
      <c r="BK325" s="1"/>
      <c r="BL325" s="1"/>
      <c r="BM325" s="1"/>
      <c r="BN325" s="1"/>
      <c r="BO325" s="1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DA325" s="1"/>
      <c r="DB325" s="868"/>
      <c r="DC325" s="868"/>
      <c r="DD325" s="1"/>
      <c r="DE325" s="1"/>
      <c r="DF325" s="1"/>
    </row>
    <row r="326">
      <c r="F326" s="1"/>
      <c r="H326" s="1"/>
      <c r="J326" s="1"/>
      <c r="L326" s="1"/>
      <c r="M326" s="1"/>
      <c r="N326" s="1"/>
      <c r="P326" s="1"/>
      <c r="R326" s="1"/>
      <c r="T326" s="1"/>
      <c r="V326" s="1"/>
      <c r="X326" s="1"/>
      <c r="Z326" s="1"/>
      <c r="AB326" s="1"/>
      <c r="AD326" s="1"/>
      <c r="AF326" s="1"/>
      <c r="AH326" s="1"/>
      <c r="AI326" s="1"/>
      <c r="AJ326" s="1"/>
      <c r="AL326" s="1"/>
      <c r="AN326" s="1"/>
      <c r="AP326" s="1"/>
      <c r="AR326" s="1"/>
      <c r="AT326" s="1"/>
      <c r="AU326" s="1"/>
      <c r="AV326" s="1"/>
      <c r="AW326" s="1"/>
      <c r="AX326" s="5"/>
      <c r="AY326" s="5"/>
      <c r="AZ326" s="5"/>
      <c r="BA326" s="5"/>
      <c r="BB326" s="5"/>
      <c r="BC326" s="5"/>
      <c r="BF326" s="15"/>
      <c r="BG326" s="1"/>
      <c r="BH326" s="15"/>
      <c r="BI326" s="1"/>
      <c r="BJ326" s="1"/>
      <c r="BK326" s="1"/>
      <c r="BL326" s="1"/>
      <c r="BM326" s="1"/>
      <c r="BN326" s="1"/>
      <c r="BO326" s="1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DA326" s="1"/>
      <c r="DB326" s="868"/>
      <c r="DC326" s="868"/>
      <c r="DD326" s="1"/>
      <c r="DE326" s="1"/>
      <c r="DF326" s="1"/>
    </row>
    <row r="327">
      <c r="F327" s="1"/>
      <c r="H327" s="1"/>
      <c r="J327" s="1"/>
      <c r="L327" s="1"/>
      <c r="M327" s="1"/>
      <c r="N327" s="1"/>
      <c r="P327" s="1"/>
      <c r="R327" s="1"/>
      <c r="T327" s="1"/>
      <c r="V327" s="1"/>
      <c r="X327" s="1"/>
      <c r="Z327" s="1"/>
      <c r="AB327" s="1"/>
      <c r="AD327" s="1"/>
      <c r="AF327" s="1"/>
      <c r="AH327" s="1"/>
      <c r="AI327" s="1"/>
      <c r="AJ327" s="1"/>
      <c r="AL327" s="1"/>
      <c r="AN327" s="1"/>
      <c r="AP327" s="1"/>
      <c r="AR327" s="1"/>
      <c r="AT327" s="1"/>
      <c r="AU327" s="1"/>
      <c r="AV327" s="1"/>
      <c r="AW327" s="1"/>
      <c r="AX327" s="5"/>
      <c r="AY327" s="5"/>
      <c r="AZ327" s="5"/>
      <c r="BA327" s="5"/>
      <c r="BB327" s="5"/>
      <c r="BC327" s="5"/>
      <c r="BF327" s="15"/>
      <c r="BG327" s="1"/>
      <c r="BH327" s="15"/>
      <c r="BI327" s="1"/>
      <c r="BJ327" s="1"/>
      <c r="BK327" s="1"/>
      <c r="BL327" s="1"/>
      <c r="BM327" s="1"/>
      <c r="BN327" s="1"/>
      <c r="BO327" s="1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DA327" s="1"/>
      <c r="DB327" s="868"/>
      <c r="DC327" s="868"/>
      <c r="DD327" s="1"/>
      <c r="DE327" s="1"/>
      <c r="DF327" s="1"/>
    </row>
    <row r="328">
      <c r="F328" s="1"/>
      <c r="H328" s="1"/>
      <c r="J328" s="1"/>
      <c r="L328" s="1"/>
      <c r="M328" s="1"/>
      <c r="N328" s="1"/>
      <c r="P328" s="1"/>
      <c r="R328" s="1"/>
      <c r="T328" s="1"/>
      <c r="V328" s="1"/>
      <c r="X328" s="1"/>
      <c r="Z328" s="1"/>
      <c r="AB328" s="1"/>
      <c r="AD328" s="1"/>
      <c r="AF328" s="1"/>
      <c r="AH328" s="1"/>
      <c r="AI328" s="1"/>
      <c r="AJ328" s="1"/>
      <c r="AL328" s="1"/>
      <c r="AN328" s="1"/>
      <c r="AP328" s="1"/>
      <c r="AR328" s="1"/>
      <c r="AT328" s="1"/>
      <c r="AU328" s="1"/>
      <c r="AV328" s="1"/>
      <c r="AW328" s="1"/>
      <c r="AX328" s="5"/>
      <c r="AY328" s="5"/>
      <c r="AZ328" s="5"/>
      <c r="BA328" s="5"/>
      <c r="BB328" s="5"/>
      <c r="BC328" s="5"/>
      <c r="BF328" s="15"/>
      <c r="BG328" s="1"/>
      <c r="BH328" s="15"/>
      <c r="BI328" s="1"/>
      <c r="BJ328" s="1"/>
      <c r="BK328" s="1"/>
      <c r="BL328" s="1"/>
      <c r="BM328" s="1"/>
      <c r="BN328" s="1"/>
      <c r="BO328" s="1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DA328" s="1"/>
      <c r="DB328" s="868"/>
      <c r="DC328" s="868"/>
      <c r="DD328" s="1"/>
      <c r="DE328" s="1"/>
      <c r="DF328" s="1"/>
    </row>
    <row r="329">
      <c r="F329" s="1"/>
      <c r="H329" s="1"/>
      <c r="J329" s="1"/>
      <c r="L329" s="1"/>
      <c r="M329" s="1"/>
      <c r="N329" s="1"/>
      <c r="P329" s="1"/>
      <c r="R329" s="1"/>
      <c r="T329" s="1"/>
      <c r="V329" s="1"/>
      <c r="X329" s="1"/>
      <c r="Z329" s="1"/>
      <c r="AB329" s="1"/>
      <c r="AD329" s="1"/>
      <c r="AF329" s="1"/>
      <c r="AH329" s="1"/>
      <c r="AI329" s="1"/>
      <c r="AJ329" s="1"/>
      <c r="AL329" s="1"/>
      <c r="AN329" s="1"/>
      <c r="AP329" s="1"/>
      <c r="AR329" s="1"/>
      <c r="AT329" s="1"/>
      <c r="AU329" s="1"/>
      <c r="AV329" s="1"/>
      <c r="AW329" s="1"/>
      <c r="AX329" s="5"/>
      <c r="AY329" s="5"/>
      <c r="AZ329" s="5"/>
      <c r="BA329" s="5"/>
      <c r="BB329" s="5"/>
      <c r="BC329" s="5"/>
      <c r="BF329" s="15"/>
      <c r="BG329" s="1"/>
      <c r="BH329" s="15"/>
      <c r="BI329" s="1"/>
      <c r="BJ329" s="1"/>
      <c r="BK329" s="1"/>
      <c r="BL329" s="1"/>
      <c r="BM329" s="1"/>
      <c r="BN329" s="1"/>
      <c r="BO329" s="1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DA329" s="1"/>
      <c r="DB329" s="868"/>
      <c r="DC329" s="868"/>
      <c r="DD329" s="1"/>
      <c r="DE329" s="1"/>
      <c r="DF329" s="1"/>
    </row>
    <row r="330">
      <c r="F330" s="1"/>
      <c r="H330" s="1"/>
      <c r="J330" s="1"/>
      <c r="L330" s="1"/>
      <c r="M330" s="1"/>
      <c r="N330" s="1"/>
      <c r="P330" s="1"/>
      <c r="R330" s="1"/>
      <c r="T330" s="1"/>
      <c r="V330" s="1"/>
      <c r="X330" s="1"/>
      <c r="Z330" s="1"/>
      <c r="AB330" s="1"/>
      <c r="AD330" s="1"/>
      <c r="AF330" s="1"/>
      <c r="AH330" s="1"/>
      <c r="AI330" s="1"/>
      <c r="AJ330" s="1"/>
      <c r="AL330" s="1"/>
      <c r="AN330" s="1"/>
      <c r="AP330" s="1"/>
      <c r="AR330" s="1"/>
      <c r="AT330" s="1"/>
      <c r="AU330" s="1"/>
      <c r="AV330" s="1"/>
      <c r="AW330" s="1"/>
      <c r="AX330" s="5"/>
      <c r="AY330" s="5"/>
      <c r="AZ330" s="5"/>
      <c r="BA330" s="5"/>
      <c r="BB330" s="5"/>
      <c r="BC330" s="5"/>
      <c r="BF330" s="15"/>
      <c r="BG330" s="1"/>
      <c r="BH330" s="15"/>
      <c r="BI330" s="1"/>
      <c r="BJ330" s="1"/>
      <c r="BK330" s="1"/>
      <c r="BL330" s="1"/>
      <c r="BM330" s="1"/>
      <c r="BN330" s="1"/>
      <c r="BO330" s="1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DA330" s="1"/>
      <c r="DB330" s="868"/>
      <c r="DC330" s="868"/>
      <c r="DD330" s="1"/>
      <c r="DE330" s="1"/>
      <c r="DF330" s="1"/>
    </row>
    <row r="331">
      <c r="F331" s="1"/>
      <c r="H331" s="1"/>
      <c r="J331" s="1"/>
      <c r="L331" s="1"/>
      <c r="M331" s="1"/>
      <c r="N331" s="1"/>
      <c r="P331" s="1"/>
      <c r="R331" s="1"/>
      <c r="T331" s="1"/>
      <c r="V331" s="1"/>
      <c r="X331" s="1"/>
      <c r="Z331" s="1"/>
      <c r="AB331" s="1"/>
      <c r="AD331" s="1"/>
      <c r="AF331" s="1"/>
      <c r="AH331" s="1"/>
      <c r="AI331" s="1"/>
      <c r="AJ331" s="1"/>
      <c r="AL331" s="1"/>
      <c r="AN331" s="1"/>
      <c r="AP331" s="1"/>
      <c r="AR331" s="1"/>
      <c r="AT331" s="1"/>
      <c r="AU331" s="1"/>
      <c r="AV331" s="1"/>
      <c r="AW331" s="1"/>
      <c r="AX331" s="5"/>
      <c r="AY331" s="5"/>
      <c r="AZ331" s="5"/>
      <c r="BA331" s="5"/>
      <c r="BB331" s="5"/>
      <c r="BC331" s="5"/>
      <c r="BF331" s="15"/>
      <c r="BG331" s="1"/>
      <c r="BH331" s="15"/>
      <c r="BI331" s="1"/>
      <c r="BJ331" s="1"/>
      <c r="BK331" s="1"/>
      <c r="BL331" s="1"/>
      <c r="BM331" s="1"/>
      <c r="BN331" s="1"/>
      <c r="BO331" s="1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DA331" s="1"/>
      <c r="DB331" s="868"/>
      <c r="DC331" s="868"/>
      <c r="DD331" s="1"/>
      <c r="DE331" s="1"/>
      <c r="DF331" s="1"/>
    </row>
    <row r="332">
      <c r="F332" s="1"/>
      <c r="H332" s="1"/>
      <c r="J332" s="1"/>
      <c r="L332" s="1"/>
      <c r="M332" s="1"/>
      <c r="N332" s="1"/>
      <c r="P332" s="1"/>
      <c r="R332" s="1"/>
      <c r="T332" s="1"/>
      <c r="V332" s="1"/>
      <c r="X332" s="1"/>
      <c r="Z332" s="1"/>
      <c r="AB332" s="1"/>
      <c r="AD332" s="1"/>
      <c r="AF332" s="1"/>
      <c r="AH332" s="1"/>
      <c r="AI332" s="1"/>
      <c r="AJ332" s="1"/>
      <c r="AL332" s="1"/>
      <c r="AN332" s="1"/>
      <c r="AP332" s="1"/>
      <c r="AR332" s="1"/>
      <c r="AT332" s="1"/>
      <c r="AU332" s="1"/>
      <c r="AV332" s="1"/>
      <c r="AW332" s="1"/>
      <c r="AX332" s="5"/>
      <c r="AY332" s="5"/>
      <c r="AZ332" s="5"/>
      <c r="BA332" s="5"/>
      <c r="BB332" s="5"/>
      <c r="BC332" s="5"/>
      <c r="BF332" s="15"/>
      <c r="BG332" s="1"/>
      <c r="BH332" s="15"/>
      <c r="BI332" s="1"/>
      <c r="BJ332" s="1"/>
      <c r="BK332" s="1"/>
      <c r="BL332" s="1"/>
      <c r="BM332" s="1"/>
      <c r="BN332" s="1"/>
      <c r="BO332" s="1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DA332" s="1"/>
      <c r="DB332" s="868"/>
      <c r="DC332" s="868"/>
      <c r="DD332" s="1"/>
      <c r="DE332" s="1"/>
      <c r="DF332" s="1"/>
    </row>
    <row r="333">
      <c r="F333" s="1"/>
      <c r="H333" s="1"/>
      <c r="J333" s="1"/>
      <c r="L333" s="1"/>
      <c r="M333" s="1"/>
      <c r="N333" s="1"/>
      <c r="P333" s="1"/>
      <c r="R333" s="1"/>
      <c r="T333" s="1"/>
      <c r="V333" s="1"/>
      <c r="X333" s="1"/>
      <c r="Z333" s="1"/>
      <c r="AB333" s="1"/>
      <c r="AD333" s="1"/>
      <c r="AF333" s="1"/>
      <c r="AH333" s="1"/>
      <c r="AI333" s="1"/>
      <c r="AJ333" s="1"/>
      <c r="AL333" s="1"/>
      <c r="AN333" s="1"/>
      <c r="AP333" s="1"/>
      <c r="AR333" s="1"/>
      <c r="AT333" s="1"/>
      <c r="AU333" s="1"/>
      <c r="AV333" s="1"/>
      <c r="AW333" s="1"/>
      <c r="AX333" s="5"/>
      <c r="AY333" s="5"/>
      <c r="AZ333" s="5"/>
      <c r="BA333" s="5"/>
      <c r="BB333" s="5"/>
      <c r="BC333" s="5"/>
      <c r="BF333" s="15"/>
      <c r="BG333" s="1"/>
      <c r="BH333" s="15"/>
      <c r="BI333" s="1"/>
      <c r="BJ333" s="1"/>
      <c r="BK333" s="1"/>
      <c r="BL333" s="1"/>
      <c r="BM333" s="1"/>
      <c r="BN333" s="1"/>
      <c r="BO333" s="1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DA333" s="1"/>
      <c r="DB333" s="868"/>
      <c r="DC333" s="868"/>
      <c r="DD333" s="1"/>
      <c r="DE333" s="1"/>
      <c r="DF333" s="1"/>
    </row>
    <row r="334">
      <c r="F334" s="1"/>
      <c r="H334" s="1"/>
      <c r="J334" s="1"/>
      <c r="L334" s="1"/>
      <c r="M334" s="1"/>
      <c r="N334" s="1"/>
      <c r="P334" s="1"/>
      <c r="R334" s="1"/>
      <c r="T334" s="1"/>
      <c r="V334" s="1"/>
      <c r="X334" s="1"/>
      <c r="Z334" s="1"/>
      <c r="AB334" s="1"/>
      <c r="AD334" s="1"/>
      <c r="AF334" s="1"/>
      <c r="AH334" s="1"/>
      <c r="AI334" s="1"/>
      <c r="AJ334" s="1"/>
      <c r="AL334" s="1"/>
      <c r="AN334" s="1"/>
      <c r="AP334" s="1"/>
      <c r="AR334" s="1"/>
      <c r="AT334" s="1"/>
      <c r="AU334" s="1"/>
      <c r="AV334" s="1"/>
      <c r="AW334" s="1"/>
      <c r="AX334" s="5"/>
      <c r="AY334" s="5"/>
      <c r="AZ334" s="5"/>
      <c r="BA334" s="5"/>
      <c r="BB334" s="5"/>
      <c r="BC334" s="5"/>
      <c r="BF334" s="15"/>
      <c r="BG334" s="1"/>
      <c r="BH334" s="15"/>
      <c r="BI334" s="1"/>
      <c r="BJ334" s="1"/>
      <c r="BK334" s="1"/>
      <c r="BL334" s="1"/>
      <c r="BM334" s="1"/>
      <c r="BN334" s="1"/>
      <c r="BO334" s="1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DA334" s="1"/>
      <c r="DB334" s="868"/>
      <c r="DC334" s="868"/>
      <c r="DD334" s="1"/>
      <c r="DE334" s="1"/>
      <c r="DF334" s="1"/>
    </row>
    <row r="335">
      <c r="F335" s="1"/>
      <c r="H335" s="1"/>
      <c r="J335" s="1"/>
      <c r="L335" s="1"/>
      <c r="M335" s="1"/>
      <c r="N335" s="1"/>
      <c r="P335" s="1"/>
      <c r="R335" s="1"/>
      <c r="T335" s="1"/>
      <c r="V335" s="1"/>
      <c r="X335" s="1"/>
      <c r="Z335" s="1"/>
      <c r="AB335" s="1"/>
      <c r="AD335" s="1"/>
      <c r="AF335" s="1"/>
      <c r="AH335" s="1"/>
      <c r="AI335" s="1"/>
      <c r="AJ335" s="1"/>
      <c r="AL335" s="1"/>
      <c r="AN335" s="1"/>
      <c r="AP335" s="1"/>
      <c r="AR335" s="1"/>
      <c r="AT335" s="1"/>
      <c r="AU335" s="1"/>
      <c r="AV335" s="1"/>
      <c r="AW335" s="1"/>
      <c r="AX335" s="5"/>
      <c r="AY335" s="5"/>
      <c r="AZ335" s="5"/>
      <c r="BA335" s="5"/>
      <c r="BB335" s="5"/>
      <c r="BC335" s="5"/>
      <c r="BF335" s="15"/>
      <c r="BG335" s="1"/>
      <c r="BH335" s="15"/>
      <c r="BI335" s="1"/>
      <c r="BJ335" s="1"/>
      <c r="BK335" s="1"/>
      <c r="BL335" s="1"/>
      <c r="BM335" s="1"/>
      <c r="BN335" s="1"/>
      <c r="BO335" s="1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DA335" s="1"/>
      <c r="DB335" s="868"/>
      <c r="DC335" s="868"/>
      <c r="DD335" s="1"/>
      <c r="DE335" s="1"/>
      <c r="DF335" s="1"/>
    </row>
    <row r="336">
      <c r="F336" s="1"/>
      <c r="H336" s="1"/>
      <c r="J336" s="1"/>
      <c r="L336" s="1"/>
      <c r="M336" s="1"/>
      <c r="N336" s="1"/>
      <c r="P336" s="1"/>
      <c r="R336" s="1"/>
      <c r="T336" s="1"/>
      <c r="V336" s="1"/>
      <c r="X336" s="1"/>
      <c r="Z336" s="1"/>
      <c r="AB336" s="1"/>
      <c r="AD336" s="1"/>
      <c r="AF336" s="1"/>
      <c r="AH336" s="1"/>
      <c r="AI336" s="1"/>
      <c r="AJ336" s="1"/>
      <c r="AL336" s="1"/>
      <c r="AN336" s="1"/>
      <c r="AP336" s="1"/>
      <c r="AR336" s="1"/>
      <c r="AT336" s="1"/>
      <c r="AU336" s="1"/>
      <c r="AV336" s="1"/>
      <c r="AW336" s="1"/>
      <c r="AX336" s="5"/>
      <c r="AY336" s="5"/>
      <c r="AZ336" s="5"/>
      <c r="BA336" s="5"/>
      <c r="BB336" s="5"/>
      <c r="BC336" s="5"/>
      <c r="BF336" s="15"/>
      <c r="BG336" s="1"/>
      <c r="BH336" s="15"/>
      <c r="BI336" s="1"/>
      <c r="BJ336" s="1"/>
      <c r="BK336" s="1"/>
      <c r="BL336" s="1"/>
      <c r="BM336" s="1"/>
      <c r="BN336" s="1"/>
      <c r="BO336" s="1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DA336" s="1"/>
      <c r="DB336" s="868"/>
      <c r="DC336" s="868"/>
      <c r="DD336" s="1"/>
      <c r="DE336" s="1"/>
      <c r="DF336" s="1"/>
    </row>
    <row r="337">
      <c r="F337" s="1"/>
      <c r="H337" s="1"/>
      <c r="J337" s="1"/>
      <c r="L337" s="1"/>
      <c r="M337" s="1"/>
      <c r="N337" s="1"/>
      <c r="P337" s="1"/>
      <c r="R337" s="1"/>
      <c r="T337" s="1"/>
      <c r="V337" s="1"/>
      <c r="X337" s="1"/>
      <c r="Z337" s="1"/>
      <c r="AB337" s="1"/>
      <c r="AD337" s="1"/>
      <c r="AF337" s="1"/>
      <c r="AH337" s="1"/>
      <c r="AI337" s="1"/>
      <c r="AJ337" s="1"/>
      <c r="AL337" s="1"/>
      <c r="AN337" s="1"/>
      <c r="AP337" s="1"/>
      <c r="AR337" s="1"/>
      <c r="AT337" s="1"/>
      <c r="AU337" s="1"/>
      <c r="AV337" s="1"/>
      <c r="AW337" s="1"/>
      <c r="AX337" s="5"/>
      <c r="AY337" s="5"/>
      <c r="AZ337" s="5"/>
      <c r="BA337" s="5"/>
      <c r="BB337" s="5"/>
      <c r="BC337" s="5"/>
      <c r="BF337" s="15"/>
      <c r="BG337" s="1"/>
      <c r="BH337" s="15"/>
      <c r="BI337" s="1"/>
      <c r="BJ337" s="1"/>
      <c r="BK337" s="1"/>
      <c r="BL337" s="1"/>
      <c r="BM337" s="1"/>
      <c r="BN337" s="1"/>
      <c r="BO337" s="1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DA337" s="1"/>
      <c r="DB337" s="868"/>
      <c r="DC337" s="868"/>
      <c r="DD337" s="1"/>
      <c r="DE337" s="1"/>
      <c r="DF337" s="1"/>
    </row>
    <row r="338">
      <c r="F338" s="1"/>
      <c r="H338" s="1"/>
      <c r="J338" s="1"/>
      <c r="L338" s="1"/>
      <c r="M338" s="1"/>
      <c r="N338" s="1"/>
      <c r="P338" s="1"/>
      <c r="R338" s="1"/>
      <c r="T338" s="1"/>
      <c r="V338" s="1"/>
      <c r="X338" s="1"/>
      <c r="Z338" s="1"/>
      <c r="AB338" s="1"/>
      <c r="AD338" s="1"/>
      <c r="AF338" s="1"/>
      <c r="AH338" s="1"/>
      <c r="AI338" s="1"/>
      <c r="AJ338" s="1"/>
      <c r="AL338" s="1"/>
      <c r="AN338" s="1"/>
      <c r="AP338" s="1"/>
      <c r="AR338" s="1"/>
      <c r="AT338" s="1"/>
      <c r="AU338" s="1"/>
      <c r="AV338" s="1"/>
      <c r="AW338" s="1"/>
      <c r="AX338" s="5"/>
      <c r="AY338" s="5"/>
      <c r="AZ338" s="5"/>
      <c r="BA338" s="5"/>
      <c r="BB338" s="5"/>
      <c r="BC338" s="5"/>
      <c r="BF338" s="15"/>
      <c r="BG338" s="1"/>
      <c r="BH338" s="15"/>
      <c r="BI338" s="1"/>
      <c r="BJ338" s="1"/>
      <c r="BK338" s="1"/>
      <c r="BL338" s="1"/>
      <c r="BM338" s="1"/>
      <c r="BN338" s="1"/>
      <c r="BO338" s="1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DA338" s="1"/>
      <c r="DB338" s="868"/>
      <c r="DC338" s="868"/>
      <c r="DD338" s="1"/>
      <c r="DE338" s="1"/>
      <c r="DF338" s="1"/>
    </row>
    <row r="339">
      <c r="F339" s="1"/>
      <c r="H339" s="1"/>
      <c r="J339" s="1"/>
      <c r="L339" s="1"/>
      <c r="M339" s="1"/>
      <c r="N339" s="1"/>
      <c r="P339" s="1"/>
      <c r="R339" s="1"/>
      <c r="T339" s="1"/>
      <c r="V339" s="1"/>
      <c r="X339" s="1"/>
      <c r="Z339" s="1"/>
      <c r="AB339" s="1"/>
      <c r="AD339" s="1"/>
      <c r="AF339" s="1"/>
      <c r="AH339" s="1"/>
      <c r="AI339" s="1"/>
      <c r="AJ339" s="1"/>
      <c r="AL339" s="1"/>
      <c r="AN339" s="1"/>
      <c r="AP339" s="1"/>
      <c r="AR339" s="1"/>
      <c r="AT339" s="1"/>
      <c r="AU339" s="1"/>
      <c r="AV339" s="1"/>
      <c r="AW339" s="1"/>
      <c r="AX339" s="5"/>
      <c r="AY339" s="5"/>
      <c r="AZ339" s="5"/>
      <c r="BA339" s="5"/>
      <c r="BB339" s="5"/>
      <c r="BC339" s="5"/>
      <c r="BF339" s="15"/>
      <c r="BG339" s="1"/>
      <c r="BH339" s="15"/>
      <c r="BI339" s="1"/>
      <c r="BJ339" s="1"/>
      <c r="BK339" s="1"/>
      <c r="BL339" s="1"/>
      <c r="BM339" s="1"/>
      <c r="BN339" s="1"/>
      <c r="BO339" s="1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DA339" s="1"/>
      <c r="DB339" s="868"/>
      <c r="DC339" s="868"/>
      <c r="DD339" s="1"/>
      <c r="DE339" s="1"/>
      <c r="DF339" s="1"/>
    </row>
    <row r="340">
      <c r="F340" s="1"/>
      <c r="H340" s="1"/>
      <c r="J340" s="1"/>
      <c r="L340" s="1"/>
      <c r="M340" s="1"/>
      <c r="N340" s="1"/>
      <c r="P340" s="1"/>
      <c r="R340" s="1"/>
      <c r="T340" s="1"/>
      <c r="V340" s="1"/>
      <c r="X340" s="1"/>
      <c r="Z340" s="1"/>
      <c r="AB340" s="1"/>
      <c r="AD340" s="1"/>
      <c r="AF340" s="1"/>
      <c r="AH340" s="1"/>
      <c r="AI340" s="1"/>
      <c r="AJ340" s="1"/>
      <c r="AL340" s="1"/>
      <c r="AN340" s="1"/>
      <c r="AP340" s="1"/>
      <c r="AR340" s="1"/>
      <c r="AT340" s="1"/>
      <c r="AU340" s="1"/>
      <c r="AV340" s="1"/>
      <c r="AW340" s="1"/>
      <c r="AX340" s="5"/>
      <c r="AY340" s="5"/>
      <c r="AZ340" s="5"/>
      <c r="BA340" s="5"/>
      <c r="BB340" s="5"/>
      <c r="BC340" s="5"/>
      <c r="BF340" s="15"/>
      <c r="BG340" s="1"/>
      <c r="BH340" s="15"/>
      <c r="BI340" s="1"/>
      <c r="BJ340" s="1"/>
      <c r="BK340" s="1"/>
      <c r="BL340" s="1"/>
      <c r="BM340" s="1"/>
      <c r="BN340" s="1"/>
      <c r="BO340" s="1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DA340" s="1"/>
      <c r="DB340" s="868"/>
      <c r="DC340" s="868"/>
      <c r="DD340" s="1"/>
      <c r="DE340" s="1"/>
      <c r="DF340" s="1"/>
    </row>
    <row r="341">
      <c r="F341" s="1"/>
      <c r="H341" s="1"/>
      <c r="J341" s="1"/>
      <c r="L341" s="1"/>
      <c r="M341" s="1"/>
      <c r="N341" s="1"/>
      <c r="P341" s="1"/>
      <c r="R341" s="1"/>
      <c r="T341" s="1"/>
      <c r="V341" s="1"/>
      <c r="X341" s="1"/>
      <c r="Z341" s="1"/>
      <c r="AB341" s="1"/>
      <c r="AD341" s="1"/>
      <c r="AF341" s="1"/>
      <c r="AH341" s="1"/>
      <c r="AI341" s="1"/>
      <c r="AJ341" s="1"/>
      <c r="AL341" s="1"/>
      <c r="AN341" s="1"/>
      <c r="AP341" s="1"/>
      <c r="AR341" s="1"/>
      <c r="AT341" s="1"/>
      <c r="AU341" s="1"/>
      <c r="AV341" s="1"/>
      <c r="AW341" s="1"/>
      <c r="AX341" s="5"/>
      <c r="AY341" s="5"/>
      <c r="AZ341" s="5"/>
      <c r="BA341" s="5"/>
      <c r="BB341" s="5"/>
      <c r="BC341" s="5"/>
      <c r="BF341" s="15"/>
      <c r="BG341" s="1"/>
      <c r="BH341" s="15"/>
      <c r="BI341" s="1"/>
      <c r="BJ341" s="1"/>
      <c r="BK341" s="1"/>
      <c r="BL341" s="1"/>
      <c r="BM341" s="1"/>
      <c r="BN341" s="1"/>
      <c r="BO341" s="1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DA341" s="1"/>
      <c r="DB341" s="868"/>
      <c r="DC341" s="868"/>
      <c r="DD341" s="1"/>
      <c r="DE341" s="1"/>
      <c r="DF341" s="1"/>
    </row>
    <row r="342">
      <c r="F342" s="1"/>
      <c r="H342" s="1"/>
      <c r="J342" s="1"/>
      <c r="L342" s="1"/>
      <c r="M342" s="1"/>
      <c r="N342" s="1"/>
      <c r="P342" s="1"/>
      <c r="R342" s="1"/>
      <c r="T342" s="1"/>
      <c r="V342" s="1"/>
      <c r="X342" s="1"/>
      <c r="Z342" s="1"/>
      <c r="AB342" s="1"/>
      <c r="AD342" s="1"/>
      <c r="AF342" s="1"/>
      <c r="AH342" s="1"/>
      <c r="AI342" s="1"/>
      <c r="AJ342" s="1"/>
      <c r="AL342" s="1"/>
      <c r="AN342" s="1"/>
      <c r="AP342" s="1"/>
      <c r="AR342" s="1"/>
      <c r="AT342" s="1"/>
      <c r="AU342" s="1"/>
      <c r="AV342" s="1"/>
      <c r="AW342" s="1"/>
      <c r="AX342" s="5"/>
      <c r="AY342" s="5"/>
      <c r="AZ342" s="5"/>
      <c r="BA342" s="5"/>
      <c r="BB342" s="5"/>
      <c r="BC342" s="5"/>
      <c r="BF342" s="15"/>
      <c r="BG342" s="1"/>
      <c r="BH342" s="15"/>
      <c r="BI342" s="1"/>
      <c r="BJ342" s="1"/>
      <c r="BK342" s="1"/>
      <c r="BL342" s="1"/>
      <c r="BM342" s="1"/>
      <c r="BN342" s="1"/>
      <c r="BO342" s="1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DA342" s="1"/>
      <c r="DB342" s="868"/>
      <c r="DC342" s="868"/>
      <c r="DD342" s="1"/>
      <c r="DE342" s="1"/>
      <c r="DF342" s="1"/>
    </row>
    <row r="343">
      <c r="F343" s="1"/>
      <c r="H343" s="1"/>
      <c r="J343" s="1"/>
      <c r="L343" s="1"/>
      <c r="M343" s="1"/>
      <c r="N343" s="1"/>
      <c r="P343" s="1"/>
      <c r="R343" s="1"/>
      <c r="T343" s="1"/>
      <c r="V343" s="1"/>
      <c r="X343" s="1"/>
      <c r="Z343" s="1"/>
      <c r="AB343" s="1"/>
      <c r="AD343" s="1"/>
      <c r="AF343" s="1"/>
      <c r="AH343" s="1"/>
      <c r="AI343" s="1"/>
      <c r="AJ343" s="1"/>
      <c r="AL343" s="1"/>
      <c r="AN343" s="1"/>
      <c r="AP343" s="1"/>
      <c r="AR343" s="1"/>
      <c r="AT343" s="1"/>
      <c r="AU343" s="1"/>
      <c r="AV343" s="1"/>
      <c r="AW343" s="1"/>
      <c r="AX343" s="5"/>
      <c r="AY343" s="5"/>
      <c r="AZ343" s="5"/>
      <c r="BA343" s="5"/>
      <c r="BB343" s="5"/>
      <c r="BC343" s="5"/>
      <c r="BF343" s="15"/>
      <c r="BG343" s="1"/>
      <c r="BH343" s="15"/>
      <c r="BI343" s="1"/>
      <c r="BJ343" s="1"/>
      <c r="BK343" s="1"/>
      <c r="BL343" s="1"/>
      <c r="BM343" s="1"/>
      <c r="BN343" s="1"/>
      <c r="BO343" s="1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DA343" s="1"/>
      <c r="DB343" s="868"/>
      <c r="DC343" s="868"/>
      <c r="DD343" s="1"/>
      <c r="DE343" s="1"/>
      <c r="DF343" s="1"/>
    </row>
    <row r="344">
      <c r="F344" s="1"/>
      <c r="H344" s="1"/>
      <c r="J344" s="1"/>
      <c r="L344" s="1"/>
      <c r="M344" s="1"/>
      <c r="N344" s="1"/>
      <c r="P344" s="1"/>
      <c r="R344" s="1"/>
      <c r="T344" s="1"/>
      <c r="V344" s="1"/>
      <c r="X344" s="1"/>
      <c r="Z344" s="1"/>
      <c r="AB344" s="1"/>
      <c r="AD344" s="1"/>
      <c r="AF344" s="1"/>
      <c r="AH344" s="1"/>
      <c r="AI344" s="1"/>
      <c r="AJ344" s="1"/>
      <c r="AL344" s="1"/>
      <c r="AN344" s="1"/>
      <c r="AP344" s="1"/>
      <c r="AR344" s="1"/>
      <c r="AT344" s="1"/>
      <c r="AU344" s="1"/>
      <c r="AV344" s="1"/>
      <c r="AW344" s="1"/>
      <c r="AX344" s="5"/>
      <c r="AY344" s="5"/>
      <c r="AZ344" s="5"/>
      <c r="BA344" s="5"/>
      <c r="BB344" s="5"/>
      <c r="BC344" s="5"/>
      <c r="BF344" s="15"/>
      <c r="BG344" s="1"/>
      <c r="BH344" s="15"/>
      <c r="BI344" s="1"/>
      <c r="BJ344" s="1"/>
      <c r="BK344" s="1"/>
      <c r="BL344" s="1"/>
      <c r="BM344" s="1"/>
      <c r="BN344" s="1"/>
      <c r="BO344" s="1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DA344" s="1"/>
      <c r="DB344" s="868"/>
      <c r="DC344" s="868"/>
      <c r="DD344" s="1"/>
      <c r="DE344" s="1"/>
      <c r="DF344" s="1"/>
    </row>
    <row r="345">
      <c r="F345" s="1"/>
      <c r="H345" s="1"/>
      <c r="J345" s="1"/>
      <c r="L345" s="1"/>
      <c r="M345" s="1"/>
      <c r="N345" s="1"/>
      <c r="P345" s="1"/>
      <c r="R345" s="1"/>
      <c r="T345" s="1"/>
      <c r="V345" s="1"/>
      <c r="X345" s="1"/>
      <c r="Z345" s="1"/>
      <c r="AB345" s="1"/>
      <c r="AD345" s="1"/>
      <c r="AF345" s="1"/>
      <c r="AH345" s="1"/>
      <c r="AI345" s="1"/>
      <c r="AJ345" s="1"/>
      <c r="AL345" s="1"/>
      <c r="AN345" s="1"/>
      <c r="AP345" s="1"/>
      <c r="AR345" s="1"/>
      <c r="AT345" s="1"/>
      <c r="AU345" s="1"/>
      <c r="AV345" s="1"/>
      <c r="AW345" s="1"/>
      <c r="AX345" s="5"/>
      <c r="AY345" s="5"/>
      <c r="AZ345" s="5"/>
      <c r="BA345" s="5"/>
      <c r="BB345" s="5"/>
      <c r="BC345" s="5"/>
      <c r="BF345" s="15"/>
      <c r="BG345" s="1"/>
      <c r="BH345" s="15"/>
      <c r="BI345" s="1"/>
      <c r="BJ345" s="1"/>
      <c r="BK345" s="1"/>
      <c r="BL345" s="1"/>
      <c r="BM345" s="1"/>
      <c r="BN345" s="1"/>
      <c r="BO345" s="1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DA345" s="1"/>
      <c r="DB345" s="868"/>
      <c r="DC345" s="868"/>
      <c r="DD345" s="1"/>
      <c r="DE345" s="1"/>
      <c r="DF345" s="1"/>
    </row>
    <row r="346">
      <c r="F346" s="1"/>
      <c r="H346" s="1"/>
      <c r="J346" s="1"/>
      <c r="L346" s="1"/>
      <c r="M346" s="1"/>
      <c r="N346" s="1"/>
      <c r="P346" s="1"/>
      <c r="R346" s="1"/>
      <c r="T346" s="1"/>
      <c r="V346" s="1"/>
      <c r="X346" s="1"/>
      <c r="Z346" s="1"/>
      <c r="AB346" s="1"/>
      <c r="AD346" s="1"/>
      <c r="AF346" s="1"/>
      <c r="AH346" s="1"/>
      <c r="AI346" s="1"/>
      <c r="AJ346" s="1"/>
      <c r="AL346" s="1"/>
      <c r="AN346" s="1"/>
      <c r="AP346" s="1"/>
      <c r="AR346" s="1"/>
      <c r="AT346" s="1"/>
      <c r="AU346" s="1"/>
      <c r="AV346" s="1"/>
      <c r="AW346" s="1"/>
      <c r="AX346" s="5"/>
      <c r="AY346" s="5"/>
      <c r="AZ346" s="5"/>
      <c r="BA346" s="5"/>
      <c r="BB346" s="5"/>
      <c r="BC346" s="5"/>
      <c r="BF346" s="15"/>
      <c r="BG346" s="1"/>
      <c r="BH346" s="15"/>
      <c r="BI346" s="1"/>
      <c r="BJ346" s="1"/>
      <c r="BK346" s="1"/>
      <c r="BL346" s="1"/>
      <c r="BM346" s="1"/>
      <c r="BN346" s="1"/>
      <c r="BO346" s="1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DA346" s="1"/>
      <c r="DB346" s="868"/>
      <c r="DC346" s="868"/>
      <c r="DD346" s="1"/>
      <c r="DE346" s="1"/>
      <c r="DF346" s="1"/>
    </row>
    <row r="347">
      <c r="F347" s="1"/>
      <c r="H347" s="1"/>
      <c r="J347" s="1"/>
      <c r="L347" s="1"/>
      <c r="M347" s="1"/>
      <c r="N347" s="1"/>
      <c r="P347" s="1"/>
      <c r="R347" s="1"/>
      <c r="T347" s="1"/>
      <c r="V347" s="1"/>
      <c r="X347" s="1"/>
      <c r="Z347" s="1"/>
      <c r="AB347" s="1"/>
      <c r="AD347" s="1"/>
      <c r="AF347" s="1"/>
      <c r="AH347" s="1"/>
      <c r="AI347" s="1"/>
      <c r="AJ347" s="1"/>
      <c r="AL347" s="1"/>
      <c r="AN347" s="1"/>
      <c r="AP347" s="1"/>
      <c r="AR347" s="1"/>
      <c r="AT347" s="1"/>
      <c r="AU347" s="1"/>
      <c r="AV347" s="1"/>
      <c r="AW347" s="1"/>
      <c r="AX347" s="5"/>
      <c r="AY347" s="5"/>
      <c r="AZ347" s="5"/>
      <c r="BA347" s="5"/>
      <c r="BB347" s="5"/>
      <c r="BC347" s="5"/>
      <c r="BF347" s="15"/>
      <c r="BG347" s="1"/>
      <c r="BH347" s="15"/>
      <c r="BI347" s="1"/>
      <c r="BJ347" s="1"/>
      <c r="BK347" s="1"/>
      <c r="BL347" s="1"/>
      <c r="BM347" s="1"/>
      <c r="BN347" s="1"/>
      <c r="BO347" s="1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DA347" s="1"/>
      <c r="DB347" s="868"/>
      <c r="DC347" s="868"/>
      <c r="DD347" s="1"/>
      <c r="DE347" s="1"/>
      <c r="DF347" s="1"/>
    </row>
    <row r="348">
      <c r="F348" s="1"/>
      <c r="H348" s="1"/>
      <c r="J348" s="1"/>
      <c r="L348" s="1"/>
      <c r="M348" s="1"/>
      <c r="N348" s="1"/>
      <c r="P348" s="1"/>
      <c r="R348" s="1"/>
      <c r="T348" s="1"/>
      <c r="V348" s="1"/>
      <c r="X348" s="1"/>
      <c r="Z348" s="1"/>
      <c r="AB348" s="1"/>
      <c r="AD348" s="1"/>
      <c r="AF348" s="1"/>
      <c r="AH348" s="1"/>
      <c r="AI348" s="1"/>
      <c r="AJ348" s="1"/>
      <c r="AL348" s="1"/>
      <c r="AN348" s="1"/>
      <c r="AP348" s="1"/>
      <c r="AR348" s="1"/>
      <c r="AT348" s="1"/>
      <c r="AU348" s="1"/>
      <c r="AV348" s="1"/>
      <c r="AW348" s="1"/>
      <c r="AX348" s="5"/>
      <c r="AY348" s="5"/>
      <c r="AZ348" s="5"/>
      <c r="BA348" s="5"/>
      <c r="BB348" s="5"/>
      <c r="BC348" s="5"/>
      <c r="BF348" s="15"/>
      <c r="BG348" s="1"/>
      <c r="BH348" s="15"/>
      <c r="BI348" s="1"/>
      <c r="BJ348" s="1"/>
      <c r="BK348" s="1"/>
      <c r="BL348" s="1"/>
      <c r="BM348" s="1"/>
      <c r="BN348" s="1"/>
      <c r="BO348" s="1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DA348" s="1"/>
      <c r="DB348" s="868"/>
      <c r="DC348" s="868"/>
      <c r="DD348" s="1"/>
      <c r="DE348" s="1"/>
      <c r="DF348" s="1"/>
    </row>
    <row r="349">
      <c r="F349" s="1"/>
      <c r="H349" s="1"/>
      <c r="J349" s="1"/>
      <c r="L349" s="1"/>
      <c r="M349" s="1"/>
      <c r="N349" s="1"/>
      <c r="P349" s="1"/>
      <c r="R349" s="1"/>
      <c r="T349" s="1"/>
      <c r="V349" s="1"/>
      <c r="X349" s="1"/>
      <c r="Z349" s="1"/>
      <c r="AB349" s="1"/>
      <c r="AD349" s="1"/>
      <c r="AF349" s="1"/>
      <c r="AH349" s="1"/>
      <c r="AI349" s="1"/>
      <c r="AJ349" s="1"/>
      <c r="AL349" s="1"/>
      <c r="AN349" s="1"/>
      <c r="AP349" s="1"/>
      <c r="AR349" s="1"/>
      <c r="AT349" s="1"/>
      <c r="AU349" s="1"/>
      <c r="AV349" s="1"/>
      <c r="AW349" s="1"/>
      <c r="AX349" s="5"/>
      <c r="AY349" s="5"/>
      <c r="AZ349" s="5"/>
      <c r="BA349" s="5"/>
      <c r="BB349" s="5"/>
      <c r="BC349" s="5"/>
      <c r="BF349" s="15"/>
      <c r="BG349" s="1"/>
      <c r="BH349" s="15"/>
      <c r="BI349" s="1"/>
      <c r="BJ349" s="1"/>
      <c r="BK349" s="1"/>
      <c r="BL349" s="1"/>
      <c r="BM349" s="1"/>
      <c r="BN349" s="1"/>
      <c r="BO349" s="1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DA349" s="1"/>
      <c r="DB349" s="868"/>
      <c r="DC349" s="868"/>
      <c r="DD349" s="1"/>
      <c r="DE349" s="1"/>
      <c r="DF349" s="1"/>
    </row>
    <row r="350">
      <c r="F350" s="1"/>
      <c r="H350" s="1"/>
      <c r="J350" s="1"/>
      <c r="L350" s="1"/>
      <c r="M350" s="1"/>
      <c r="N350" s="1"/>
      <c r="P350" s="1"/>
      <c r="R350" s="1"/>
      <c r="T350" s="1"/>
      <c r="V350" s="1"/>
      <c r="X350" s="1"/>
      <c r="Z350" s="1"/>
      <c r="AB350" s="1"/>
      <c r="AD350" s="1"/>
      <c r="AF350" s="1"/>
      <c r="AH350" s="1"/>
      <c r="AI350" s="1"/>
      <c r="AJ350" s="1"/>
      <c r="AL350" s="1"/>
      <c r="AN350" s="1"/>
      <c r="AP350" s="1"/>
      <c r="AR350" s="1"/>
      <c r="AT350" s="1"/>
      <c r="AU350" s="1"/>
      <c r="AV350" s="1"/>
      <c r="AW350" s="1"/>
      <c r="AX350" s="5"/>
      <c r="AY350" s="5"/>
      <c r="AZ350" s="5"/>
      <c r="BA350" s="5"/>
      <c r="BB350" s="5"/>
      <c r="BC350" s="5"/>
      <c r="BF350" s="15"/>
      <c r="BG350" s="1"/>
      <c r="BH350" s="15"/>
      <c r="BI350" s="1"/>
      <c r="BJ350" s="1"/>
      <c r="BK350" s="1"/>
      <c r="BL350" s="1"/>
      <c r="BM350" s="1"/>
      <c r="BN350" s="1"/>
      <c r="BO350" s="1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DA350" s="1"/>
      <c r="DB350" s="868"/>
      <c r="DC350" s="868"/>
      <c r="DD350" s="1"/>
      <c r="DE350" s="1"/>
      <c r="DF350" s="1"/>
    </row>
    <row r="351">
      <c r="F351" s="1"/>
      <c r="H351" s="1"/>
      <c r="J351" s="1"/>
      <c r="L351" s="1"/>
      <c r="M351" s="1"/>
      <c r="N351" s="1"/>
      <c r="P351" s="1"/>
      <c r="R351" s="1"/>
      <c r="T351" s="1"/>
      <c r="V351" s="1"/>
      <c r="X351" s="1"/>
      <c r="Z351" s="1"/>
      <c r="AB351" s="1"/>
      <c r="AD351" s="1"/>
      <c r="AF351" s="1"/>
      <c r="AH351" s="1"/>
      <c r="AI351" s="1"/>
      <c r="AJ351" s="1"/>
      <c r="AL351" s="1"/>
      <c r="AN351" s="1"/>
      <c r="AP351" s="1"/>
      <c r="AR351" s="1"/>
      <c r="AT351" s="1"/>
      <c r="AU351" s="1"/>
      <c r="AV351" s="1"/>
      <c r="AW351" s="1"/>
      <c r="AX351" s="5"/>
      <c r="AY351" s="5"/>
      <c r="AZ351" s="5"/>
      <c r="BA351" s="5"/>
      <c r="BB351" s="5"/>
      <c r="BC351" s="5"/>
      <c r="BF351" s="15"/>
      <c r="BG351" s="1"/>
      <c r="BH351" s="15"/>
      <c r="BI351" s="1"/>
      <c r="BJ351" s="1"/>
      <c r="BK351" s="1"/>
      <c r="BL351" s="1"/>
      <c r="BM351" s="1"/>
      <c r="BN351" s="1"/>
      <c r="BO351" s="1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DA351" s="1"/>
      <c r="DB351" s="868"/>
      <c r="DC351" s="868"/>
      <c r="DD351" s="1"/>
      <c r="DE351" s="1"/>
      <c r="DF351" s="1"/>
    </row>
    <row r="352">
      <c r="F352" s="1"/>
      <c r="H352" s="1"/>
      <c r="J352" s="1"/>
      <c r="L352" s="1"/>
      <c r="M352" s="1"/>
      <c r="N352" s="1"/>
      <c r="P352" s="1"/>
      <c r="R352" s="1"/>
      <c r="T352" s="1"/>
      <c r="V352" s="1"/>
      <c r="X352" s="1"/>
      <c r="Z352" s="1"/>
      <c r="AB352" s="1"/>
      <c r="AD352" s="1"/>
      <c r="AF352" s="1"/>
      <c r="AH352" s="1"/>
      <c r="AI352" s="1"/>
      <c r="AJ352" s="1"/>
      <c r="AL352" s="1"/>
      <c r="AN352" s="1"/>
      <c r="AP352" s="1"/>
      <c r="AR352" s="1"/>
      <c r="AT352" s="1"/>
      <c r="AU352" s="1"/>
      <c r="AV352" s="1"/>
      <c r="AW352" s="1"/>
      <c r="AX352" s="5"/>
      <c r="AY352" s="5"/>
      <c r="AZ352" s="5"/>
      <c r="BA352" s="5"/>
      <c r="BB352" s="5"/>
      <c r="BC352" s="5"/>
      <c r="BF352" s="15"/>
      <c r="BG352" s="1"/>
      <c r="BH352" s="15"/>
      <c r="BI352" s="1"/>
      <c r="BJ352" s="1"/>
      <c r="BK352" s="1"/>
      <c r="BL352" s="1"/>
      <c r="BM352" s="1"/>
      <c r="BN352" s="1"/>
      <c r="BO352" s="1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DA352" s="1"/>
      <c r="DB352" s="868"/>
      <c r="DC352" s="868"/>
      <c r="DD352" s="1"/>
      <c r="DE352" s="1"/>
      <c r="DF352" s="1"/>
    </row>
    <row r="353">
      <c r="F353" s="1"/>
      <c r="H353" s="1"/>
      <c r="J353" s="1"/>
      <c r="L353" s="1"/>
      <c r="M353" s="1"/>
      <c r="N353" s="1"/>
      <c r="P353" s="1"/>
      <c r="R353" s="1"/>
      <c r="T353" s="1"/>
      <c r="V353" s="1"/>
      <c r="X353" s="1"/>
      <c r="Z353" s="1"/>
      <c r="AB353" s="1"/>
      <c r="AD353" s="1"/>
      <c r="AF353" s="1"/>
      <c r="AH353" s="1"/>
      <c r="AI353" s="1"/>
      <c r="AJ353" s="1"/>
      <c r="AL353" s="1"/>
      <c r="AN353" s="1"/>
      <c r="AP353" s="1"/>
      <c r="AR353" s="1"/>
      <c r="AT353" s="1"/>
      <c r="AU353" s="1"/>
      <c r="AV353" s="1"/>
      <c r="AW353" s="1"/>
      <c r="AX353" s="5"/>
      <c r="AY353" s="5"/>
      <c r="AZ353" s="5"/>
      <c r="BA353" s="5"/>
      <c r="BB353" s="5"/>
      <c r="BC353" s="5"/>
      <c r="BF353" s="15"/>
      <c r="BG353" s="1"/>
      <c r="BH353" s="15"/>
      <c r="BI353" s="1"/>
      <c r="BJ353" s="1"/>
      <c r="BK353" s="1"/>
      <c r="BL353" s="1"/>
      <c r="BM353" s="1"/>
      <c r="BN353" s="1"/>
      <c r="BO353" s="1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DA353" s="1"/>
      <c r="DB353" s="868"/>
      <c r="DC353" s="868"/>
      <c r="DD353" s="1"/>
      <c r="DE353" s="1"/>
      <c r="DF353" s="1"/>
    </row>
    <row r="354">
      <c r="F354" s="1"/>
      <c r="H354" s="1"/>
      <c r="J354" s="1"/>
      <c r="L354" s="1"/>
      <c r="M354" s="1"/>
      <c r="N354" s="1"/>
      <c r="P354" s="1"/>
      <c r="R354" s="1"/>
      <c r="T354" s="1"/>
      <c r="V354" s="1"/>
      <c r="X354" s="1"/>
      <c r="Z354" s="1"/>
      <c r="AB354" s="1"/>
      <c r="AD354" s="1"/>
      <c r="AF354" s="1"/>
      <c r="AH354" s="1"/>
      <c r="AI354" s="1"/>
      <c r="AJ354" s="1"/>
      <c r="AL354" s="1"/>
      <c r="AN354" s="1"/>
      <c r="AP354" s="1"/>
      <c r="AR354" s="1"/>
      <c r="AT354" s="1"/>
      <c r="AU354" s="1"/>
      <c r="AV354" s="1"/>
      <c r="AW354" s="1"/>
      <c r="AX354" s="5"/>
      <c r="AY354" s="5"/>
      <c r="AZ354" s="5"/>
      <c r="BA354" s="5"/>
      <c r="BB354" s="5"/>
      <c r="BC354" s="5"/>
      <c r="BF354" s="15"/>
      <c r="BG354" s="1"/>
      <c r="BH354" s="15"/>
      <c r="BI354" s="1"/>
      <c r="BJ354" s="1"/>
      <c r="BK354" s="1"/>
      <c r="BL354" s="1"/>
      <c r="BM354" s="1"/>
      <c r="BN354" s="1"/>
      <c r="BO354" s="1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DA354" s="1"/>
      <c r="DB354" s="868"/>
      <c r="DC354" s="868"/>
      <c r="DD354" s="1"/>
      <c r="DE354" s="1"/>
      <c r="DF354" s="1"/>
    </row>
    <row r="355">
      <c r="F355" s="1"/>
      <c r="H355" s="1"/>
      <c r="J355" s="1"/>
      <c r="L355" s="1"/>
      <c r="M355" s="1"/>
      <c r="N355" s="1"/>
      <c r="P355" s="1"/>
      <c r="R355" s="1"/>
      <c r="T355" s="1"/>
      <c r="V355" s="1"/>
      <c r="X355" s="1"/>
      <c r="Z355" s="1"/>
      <c r="AB355" s="1"/>
      <c r="AD355" s="1"/>
      <c r="AF355" s="1"/>
      <c r="AH355" s="1"/>
      <c r="AI355" s="1"/>
      <c r="AJ355" s="1"/>
      <c r="AL355" s="1"/>
      <c r="AN355" s="1"/>
      <c r="AP355" s="1"/>
      <c r="AR355" s="1"/>
      <c r="AT355" s="1"/>
      <c r="AU355" s="1"/>
      <c r="AV355" s="1"/>
      <c r="AW355" s="1"/>
      <c r="AX355" s="5"/>
      <c r="AY355" s="5"/>
      <c r="AZ355" s="5"/>
      <c r="BA355" s="5"/>
      <c r="BB355" s="5"/>
      <c r="BC355" s="5"/>
      <c r="BF355" s="15"/>
      <c r="BG355" s="1"/>
      <c r="BH355" s="15"/>
      <c r="BI355" s="1"/>
      <c r="BJ355" s="1"/>
      <c r="BK355" s="1"/>
      <c r="BL355" s="1"/>
      <c r="BM355" s="1"/>
      <c r="BN355" s="1"/>
      <c r="BO355" s="1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DA355" s="1"/>
      <c r="DB355" s="868"/>
      <c r="DC355" s="868"/>
      <c r="DD355" s="1"/>
      <c r="DE355" s="1"/>
      <c r="DF355" s="1"/>
    </row>
    <row r="356">
      <c r="F356" s="1"/>
      <c r="H356" s="1"/>
      <c r="J356" s="1"/>
      <c r="L356" s="1"/>
      <c r="M356" s="1"/>
      <c r="N356" s="1"/>
      <c r="P356" s="1"/>
      <c r="R356" s="1"/>
      <c r="T356" s="1"/>
      <c r="V356" s="1"/>
      <c r="X356" s="1"/>
      <c r="Z356" s="1"/>
      <c r="AB356" s="1"/>
      <c r="AD356" s="1"/>
      <c r="AF356" s="1"/>
      <c r="AH356" s="1"/>
      <c r="AI356" s="1"/>
      <c r="AJ356" s="1"/>
      <c r="AL356" s="1"/>
      <c r="AN356" s="1"/>
      <c r="AP356" s="1"/>
      <c r="AR356" s="1"/>
      <c r="AT356" s="1"/>
      <c r="AU356" s="1"/>
      <c r="AV356" s="1"/>
      <c r="AW356" s="1"/>
      <c r="AX356" s="5"/>
      <c r="AY356" s="5"/>
      <c r="AZ356" s="5"/>
      <c r="BA356" s="5"/>
      <c r="BB356" s="5"/>
      <c r="BC356" s="5"/>
      <c r="BF356" s="15"/>
      <c r="BG356" s="1"/>
      <c r="BH356" s="15"/>
      <c r="BI356" s="1"/>
      <c r="BJ356" s="1"/>
      <c r="BK356" s="1"/>
      <c r="BL356" s="1"/>
      <c r="BM356" s="1"/>
      <c r="BN356" s="1"/>
      <c r="BO356" s="1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DA356" s="1"/>
      <c r="DB356" s="868"/>
      <c r="DC356" s="868"/>
      <c r="DD356" s="1"/>
      <c r="DE356" s="1"/>
      <c r="DF356" s="1"/>
    </row>
    <row r="357">
      <c r="F357" s="1"/>
      <c r="H357" s="1"/>
      <c r="J357" s="1"/>
      <c r="L357" s="1"/>
      <c r="M357" s="1"/>
      <c r="N357" s="1"/>
      <c r="P357" s="1"/>
      <c r="R357" s="1"/>
      <c r="T357" s="1"/>
      <c r="V357" s="1"/>
      <c r="X357" s="1"/>
      <c r="Z357" s="1"/>
      <c r="AB357" s="1"/>
      <c r="AD357" s="1"/>
      <c r="AF357" s="1"/>
      <c r="AH357" s="1"/>
      <c r="AI357" s="1"/>
      <c r="AJ357" s="1"/>
      <c r="AL357" s="1"/>
      <c r="AN357" s="1"/>
      <c r="AP357" s="1"/>
      <c r="AR357" s="1"/>
      <c r="AT357" s="1"/>
      <c r="AU357" s="1"/>
      <c r="AV357" s="1"/>
      <c r="AW357" s="1"/>
      <c r="AX357" s="5"/>
      <c r="AY357" s="5"/>
      <c r="AZ357" s="5"/>
      <c r="BA357" s="5"/>
      <c r="BB357" s="5"/>
      <c r="BC357" s="5"/>
      <c r="BF357" s="15"/>
      <c r="BG357" s="1"/>
      <c r="BH357" s="15"/>
      <c r="BI357" s="1"/>
      <c r="BJ357" s="1"/>
      <c r="BK357" s="1"/>
      <c r="BL357" s="1"/>
      <c r="BM357" s="1"/>
      <c r="BN357" s="1"/>
      <c r="BO357" s="1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DA357" s="1"/>
      <c r="DB357" s="868"/>
      <c r="DC357" s="868"/>
      <c r="DD357" s="1"/>
      <c r="DE357" s="1"/>
      <c r="DF357" s="1"/>
    </row>
    <row r="358">
      <c r="F358" s="1"/>
      <c r="H358" s="1"/>
      <c r="J358" s="1"/>
      <c r="L358" s="1"/>
      <c r="M358" s="1"/>
      <c r="N358" s="1"/>
      <c r="P358" s="1"/>
      <c r="R358" s="1"/>
      <c r="T358" s="1"/>
      <c r="V358" s="1"/>
      <c r="X358" s="1"/>
      <c r="Z358" s="1"/>
      <c r="AB358" s="1"/>
      <c r="AD358" s="1"/>
      <c r="AF358" s="1"/>
      <c r="AH358" s="1"/>
      <c r="AI358" s="1"/>
      <c r="AJ358" s="1"/>
      <c r="AL358" s="1"/>
      <c r="AN358" s="1"/>
      <c r="AP358" s="1"/>
      <c r="AR358" s="1"/>
      <c r="AT358" s="1"/>
      <c r="AU358" s="1"/>
      <c r="AV358" s="1"/>
      <c r="AW358" s="1"/>
      <c r="AX358" s="5"/>
      <c r="AY358" s="5"/>
      <c r="AZ358" s="5"/>
      <c r="BA358" s="5"/>
      <c r="BB358" s="5"/>
      <c r="BC358" s="5"/>
      <c r="BF358" s="15"/>
      <c r="BG358" s="1"/>
      <c r="BH358" s="15"/>
      <c r="BI358" s="1"/>
      <c r="BJ358" s="1"/>
      <c r="BK358" s="1"/>
      <c r="BL358" s="1"/>
      <c r="BM358" s="1"/>
      <c r="BN358" s="1"/>
      <c r="BO358" s="1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DA358" s="1"/>
      <c r="DB358" s="868"/>
      <c r="DC358" s="868"/>
      <c r="DD358" s="1"/>
      <c r="DE358" s="1"/>
      <c r="DF358" s="1"/>
    </row>
    <row r="359">
      <c r="F359" s="1"/>
      <c r="H359" s="1"/>
      <c r="J359" s="1"/>
      <c r="L359" s="1"/>
      <c r="M359" s="1"/>
      <c r="N359" s="1"/>
      <c r="P359" s="1"/>
      <c r="R359" s="1"/>
      <c r="T359" s="1"/>
      <c r="V359" s="1"/>
      <c r="X359" s="1"/>
      <c r="Z359" s="1"/>
      <c r="AB359" s="1"/>
      <c r="AD359" s="1"/>
      <c r="AF359" s="1"/>
      <c r="AH359" s="1"/>
      <c r="AI359" s="1"/>
      <c r="AJ359" s="1"/>
      <c r="AL359" s="1"/>
      <c r="AN359" s="1"/>
      <c r="AP359" s="1"/>
      <c r="AR359" s="1"/>
      <c r="AT359" s="1"/>
      <c r="AU359" s="1"/>
      <c r="AV359" s="1"/>
      <c r="AW359" s="1"/>
      <c r="AX359" s="5"/>
      <c r="AY359" s="5"/>
      <c r="AZ359" s="5"/>
      <c r="BA359" s="5"/>
      <c r="BB359" s="5"/>
      <c r="BC359" s="5"/>
      <c r="BF359" s="15"/>
      <c r="BG359" s="1"/>
      <c r="BH359" s="15"/>
      <c r="BI359" s="1"/>
      <c r="BJ359" s="1"/>
      <c r="BK359" s="1"/>
      <c r="BL359" s="1"/>
      <c r="BM359" s="1"/>
      <c r="BN359" s="1"/>
      <c r="BO359" s="1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DA359" s="1"/>
      <c r="DB359" s="868"/>
      <c r="DC359" s="868"/>
      <c r="DD359" s="1"/>
      <c r="DE359" s="1"/>
      <c r="DF359" s="1"/>
    </row>
    <row r="360">
      <c r="F360" s="1"/>
      <c r="H360" s="1"/>
      <c r="J360" s="1"/>
      <c r="L360" s="1"/>
      <c r="M360" s="1"/>
      <c r="N360" s="1"/>
      <c r="P360" s="1"/>
      <c r="R360" s="1"/>
      <c r="T360" s="1"/>
      <c r="V360" s="1"/>
      <c r="X360" s="1"/>
      <c r="Z360" s="1"/>
      <c r="AB360" s="1"/>
      <c r="AD360" s="1"/>
      <c r="AF360" s="1"/>
      <c r="AH360" s="1"/>
      <c r="AI360" s="1"/>
      <c r="AJ360" s="1"/>
      <c r="AL360" s="1"/>
      <c r="AN360" s="1"/>
      <c r="AP360" s="1"/>
      <c r="AR360" s="1"/>
      <c r="AT360" s="1"/>
      <c r="AU360" s="1"/>
      <c r="AV360" s="1"/>
      <c r="AW360" s="1"/>
      <c r="AX360" s="5"/>
      <c r="AY360" s="5"/>
      <c r="AZ360" s="5"/>
      <c r="BA360" s="5"/>
      <c r="BB360" s="5"/>
      <c r="BC360" s="5"/>
      <c r="BF360" s="15"/>
      <c r="BG360" s="1"/>
      <c r="BH360" s="15"/>
      <c r="BI360" s="1"/>
      <c r="BJ360" s="1"/>
      <c r="BK360" s="1"/>
      <c r="BL360" s="1"/>
      <c r="BM360" s="1"/>
      <c r="BN360" s="1"/>
      <c r="BO360" s="1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DA360" s="1"/>
      <c r="DB360" s="868"/>
      <c r="DC360" s="868"/>
      <c r="DD360" s="1"/>
      <c r="DE360" s="1"/>
      <c r="DF360" s="1"/>
    </row>
    <row r="361">
      <c r="F361" s="1"/>
      <c r="H361" s="1"/>
      <c r="J361" s="1"/>
      <c r="L361" s="1"/>
      <c r="M361" s="1"/>
      <c r="N361" s="1"/>
      <c r="P361" s="1"/>
      <c r="R361" s="1"/>
      <c r="T361" s="1"/>
      <c r="V361" s="1"/>
      <c r="X361" s="1"/>
      <c r="Z361" s="1"/>
      <c r="AB361" s="1"/>
      <c r="AD361" s="1"/>
      <c r="AF361" s="1"/>
      <c r="AH361" s="1"/>
      <c r="AI361" s="1"/>
      <c r="AJ361" s="1"/>
      <c r="AL361" s="1"/>
      <c r="AN361" s="1"/>
      <c r="AP361" s="1"/>
      <c r="AR361" s="1"/>
      <c r="AT361" s="1"/>
      <c r="AU361" s="1"/>
      <c r="AV361" s="1"/>
      <c r="AW361" s="1"/>
      <c r="AX361" s="5"/>
      <c r="AY361" s="5"/>
      <c r="AZ361" s="5"/>
      <c r="BA361" s="5"/>
      <c r="BB361" s="5"/>
      <c r="BC361" s="5"/>
      <c r="BF361" s="15"/>
      <c r="BG361" s="1"/>
      <c r="BH361" s="15"/>
      <c r="BI361" s="1"/>
      <c r="BJ361" s="1"/>
      <c r="BK361" s="1"/>
      <c r="BL361" s="1"/>
      <c r="BM361" s="1"/>
      <c r="BN361" s="1"/>
      <c r="BO361" s="1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DA361" s="1"/>
      <c r="DB361" s="868"/>
      <c r="DC361" s="868"/>
      <c r="DD361" s="1"/>
      <c r="DE361" s="1"/>
      <c r="DF361" s="1"/>
    </row>
    <row r="362">
      <c r="F362" s="1"/>
      <c r="H362" s="1"/>
      <c r="J362" s="1"/>
      <c r="L362" s="1"/>
      <c r="M362" s="1"/>
      <c r="N362" s="1"/>
      <c r="P362" s="1"/>
      <c r="R362" s="1"/>
      <c r="T362" s="1"/>
      <c r="V362" s="1"/>
      <c r="X362" s="1"/>
      <c r="Z362" s="1"/>
      <c r="AB362" s="1"/>
      <c r="AD362" s="1"/>
      <c r="AF362" s="1"/>
      <c r="AH362" s="1"/>
      <c r="AI362" s="1"/>
      <c r="AJ362" s="1"/>
      <c r="AL362" s="1"/>
      <c r="AN362" s="1"/>
      <c r="AP362" s="1"/>
      <c r="AR362" s="1"/>
      <c r="AT362" s="1"/>
      <c r="AU362" s="1"/>
      <c r="AV362" s="1"/>
      <c r="AW362" s="1"/>
      <c r="AX362" s="5"/>
      <c r="AY362" s="5"/>
      <c r="AZ362" s="5"/>
      <c r="BA362" s="5"/>
      <c r="BB362" s="5"/>
      <c r="BC362" s="5"/>
      <c r="BF362" s="15"/>
      <c r="BG362" s="1"/>
      <c r="BH362" s="15"/>
      <c r="BI362" s="1"/>
      <c r="BJ362" s="1"/>
      <c r="BK362" s="1"/>
      <c r="BL362" s="1"/>
      <c r="BM362" s="1"/>
      <c r="BN362" s="1"/>
      <c r="BO362" s="1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DA362" s="1"/>
      <c r="DB362" s="868"/>
      <c r="DC362" s="868"/>
      <c r="DD362" s="1"/>
      <c r="DE362" s="1"/>
      <c r="DF362" s="1"/>
    </row>
    <row r="363">
      <c r="F363" s="1"/>
      <c r="H363" s="1"/>
      <c r="J363" s="1"/>
      <c r="L363" s="1"/>
      <c r="M363" s="1"/>
      <c r="N363" s="1"/>
      <c r="P363" s="1"/>
      <c r="R363" s="1"/>
      <c r="T363" s="1"/>
      <c r="V363" s="1"/>
      <c r="X363" s="1"/>
      <c r="Z363" s="1"/>
      <c r="AB363" s="1"/>
      <c r="AD363" s="1"/>
      <c r="AF363" s="1"/>
      <c r="AH363" s="1"/>
      <c r="AI363" s="1"/>
      <c r="AJ363" s="1"/>
      <c r="AL363" s="1"/>
      <c r="AN363" s="1"/>
      <c r="AP363" s="1"/>
      <c r="AR363" s="1"/>
      <c r="AT363" s="1"/>
      <c r="AU363" s="1"/>
      <c r="AV363" s="1"/>
      <c r="AW363" s="1"/>
      <c r="AX363" s="5"/>
      <c r="AY363" s="5"/>
      <c r="AZ363" s="5"/>
      <c r="BA363" s="5"/>
      <c r="BB363" s="5"/>
      <c r="BC363" s="5"/>
      <c r="BF363" s="15"/>
      <c r="BG363" s="1"/>
      <c r="BH363" s="15"/>
      <c r="BI363" s="1"/>
      <c r="BJ363" s="1"/>
      <c r="BK363" s="1"/>
      <c r="BL363" s="1"/>
      <c r="BM363" s="1"/>
      <c r="BN363" s="1"/>
      <c r="BO363" s="1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DA363" s="1"/>
      <c r="DB363" s="868"/>
      <c r="DC363" s="868"/>
      <c r="DD363" s="1"/>
      <c r="DE363" s="1"/>
      <c r="DF363" s="1"/>
    </row>
    <row r="364">
      <c r="F364" s="1"/>
      <c r="H364" s="1"/>
      <c r="J364" s="1"/>
      <c r="L364" s="1"/>
      <c r="M364" s="1"/>
      <c r="N364" s="1"/>
      <c r="P364" s="1"/>
      <c r="R364" s="1"/>
      <c r="T364" s="1"/>
      <c r="V364" s="1"/>
      <c r="X364" s="1"/>
      <c r="Z364" s="1"/>
      <c r="AB364" s="1"/>
      <c r="AD364" s="1"/>
      <c r="AF364" s="1"/>
      <c r="AH364" s="1"/>
      <c r="AI364" s="1"/>
      <c r="AJ364" s="1"/>
      <c r="AL364" s="1"/>
      <c r="AN364" s="1"/>
      <c r="AP364" s="1"/>
      <c r="AR364" s="1"/>
      <c r="AT364" s="1"/>
      <c r="AU364" s="1"/>
      <c r="AV364" s="1"/>
      <c r="AW364" s="1"/>
      <c r="AX364" s="5"/>
      <c r="AY364" s="5"/>
      <c r="AZ364" s="5"/>
      <c r="BA364" s="5"/>
      <c r="BB364" s="5"/>
      <c r="BC364" s="5"/>
      <c r="BF364" s="15"/>
      <c r="BG364" s="1"/>
      <c r="BH364" s="15"/>
      <c r="BI364" s="1"/>
      <c r="BJ364" s="1"/>
      <c r="BK364" s="1"/>
      <c r="BL364" s="1"/>
      <c r="BM364" s="1"/>
      <c r="BN364" s="1"/>
      <c r="BO364" s="1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DA364" s="1"/>
      <c r="DB364" s="868"/>
      <c r="DC364" s="868"/>
      <c r="DD364" s="1"/>
      <c r="DE364" s="1"/>
      <c r="DF364" s="1"/>
    </row>
    <row r="365">
      <c r="F365" s="1"/>
      <c r="H365" s="1"/>
      <c r="J365" s="1"/>
      <c r="L365" s="1"/>
      <c r="M365" s="1"/>
      <c r="N365" s="1"/>
      <c r="P365" s="1"/>
      <c r="R365" s="1"/>
      <c r="T365" s="1"/>
      <c r="V365" s="1"/>
      <c r="X365" s="1"/>
      <c r="Z365" s="1"/>
      <c r="AB365" s="1"/>
      <c r="AD365" s="1"/>
      <c r="AF365" s="1"/>
      <c r="AH365" s="1"/>
      <c r="AI365" s="1"/>
      <c r="AJ365" s="1"/>
      <c r="AL365" s="1"/>
      <c r="AN365" s="1"/>
      <c r="AP365" s="1"/>
      <c r="AR365" s="1"/>
      <c r="AT365" s="1"/>
      <c r="AU365" s="1"/>
      <c r="AV365" s="1"/>
      <c r="AW365" s="1"/>
      <c r="AX365" s="5"/>
      <c r="AY365" s="5"/>
      <c r="AZ365" s="5"/>
      <c r="BA365" s="5"/>
      <c r="BB365" s="5"/>
      <c r="BC365" s="5"/>
      <c r="BF365" s="15"/>
      <c r="BG365" s="1"/>
      <c r="BH365" s="15"/>
      <c r="BI365" s="1"/>
      <c r="BJ365" s="1"/>
      <c r="BK365" s="1"/>
      <c r="BL365" s="1"/>
      <c r="BM365" s="1"/>
      <c r="BN365" s="1"/>
      <c r="BO365" s="1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DA365" s="1"/>
      <c r="DB365" s="868"/>
      <c r="DC365" s="868"/>
      <c r="DD365" s="1"/>
      <c r="DE365" s="1"/>
      <c r="DF365" s="1"/>
    </row>
    <row r="366">
      <c r="F366" s="1"/>
      <c r="H366" s="1"/>
      <c r="J366" s="1"/>
      <c r="L366" s="1"/>
      <c r="M366" s="1"/>
      <c r="N366" s="1"/>
      <c r="P366" s="1"/>
      <c r="R366" s="1"/>
      <c r="T366" s="1"/>
      <c r="V366" s="1"/>
      <c r="X366" s="1"/>
      <c r="Z366" s="1"/>
      <c r="AB366" s="1"/>
      <c r="AD366" s="1"/>
      <c r="AF366" s="1"/>
      <c r="AH366" s="1"/>
      <c r="AI366" s="1"/>
      <c r="AJ366" s="1"/>
      <c r="AL366" s="1"/>
      <c r="AN366" s="1"/>
      <c r="AP366" s="1"/>
      <c r="AR366" s="1"/>
      <c r="AT366" s="1"/>
      <c r="AU366" s="1"/>
      <c r="AV366" s="1"/>
      <c r="AW366" s="1"/>
      <c r="AX366" s="5"/>
      <c r="AY366" s="5"/>
      <c r="AZ366" s="5"/>
      <c r="BA366" s="5"/>
      <c r="BB366" s="5"/>
      <c r="BC366" s="5"/>
      <c r="BF366" s="15"/>
      <c r="BG366" s="1"/>
      <c r="BH366" s="15"/>
      <c r="BI366" s="1"/>
      <c r="BJ366" s="1"/>
      <c r="BK366" s="1"/>
      <c r="BL366" s="1"/>
      <c r="BM366" s="1"/>
      <c r="BN366" s="1"/>
      <c r="BO366" s="1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DA366" s="1"/>
      <c r="DB366" s="868"/>
      <c r="DC366" s="868"/>
      <c r="DD366" s="1"/>
      <c r="DE366" s="1"/>
      <c r="DF366" s="1"/>
    </row>
    <row r="367">
      <c r="F367" s="1"/>
      <c r="H367" s="1"/>
      <c r="J367" s="1"/>
      <c r="L367" s="1"/>
      <c r="M367" s="1"/>
      <c r="N367" s="1"/>
      <c r="P367" s="1"/>
      <c r="R367" s="1"/>
      <c r="T367" s="1"/>
      <c r="V367" s="1"/>
      <c r="X367" s="1"/>
      <c r="Z367" s="1"/>
      <c r="AB367" s="1"/>
      <c r="AD367" s="1"/>
      <c r="AF367" s="1"/>
      <c r="AH367" s="1"/>
      <c r="AI367" s="1"/>
      <c r="AJ367" s="1"/>
      <c r="AL367" s="1"/>
      <c r="AN367" s="1"/>
      <c r="AP367" s="1"/>
      <c r="AR367" s="1"/>
      <c r="AT367" s="1"/>
      <c r="AU367" s="1"/>
      <c r="AV367" s="1"/>
      <c r="AW367" s="1"/>
      <c r="AX367" s="5"/>
      <c r="AY367" s="5"/>
      <c r="AZ367" s="5"/>
      <c r="BA367" s="5"/>
      <c r="BB367" s="5"/>
      <c r="BC367" s="5"/>
      <c r="BF367" s="15"/>
      <c r="BG367" s="1"/>
      <c r="BH367" s="15"/>
      <c r="BI367" s="1"/>
      <c r="BJ367" s="1"/>
      <c r="BK367" s="1"/>
      <c r="BL367" s="1"/>
      <c r="BM367" s="1"/>
      <c r="BN367" s="1"/>
      <c r="BO367" s="1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DA367" s="1"/>
      <c r="DB367" s="868"/>
      <c r="DC367" s="868"/>
      <c r="DD367" s="1"/>
      <c r="DE367" s="1"/>
      <c r="DF367" s="1"/>
    </row>
    <row r="368">
      <c r="F368" s="1"/>
      <c r="H368" s="1"/>
      <c r="J368" s="1"/>
      <c r="L368" s="1"/>
      <c r="M368" s="1"/>
      <c r="N368" s="1"/>
      <c r="P368" s="1"/>
      <c r="R368" s="1"/>
      <c r="T368" s="1"/>
      <c r="V368" s="1"/>
      <c r="X368" s="1"/>
      <c r="Z368" s="1"/>
      <c r="AB368" s="1"/>
      <c r="AD368" s="1"/>
      <c r="AF368" s="1"/>
      <c r="AH368" s="1"/>
      <c r="AI368" s="1"/>
      <c r="AJ368" s="1"/>
      <c r="AL368" s="1"/>
      <c r="AN368" s="1"/>
      <c r="AP368" s="1"/>
      <c r="AR368" s="1"/>
      <c r="AT368" s="1"/>
      <c r="AU368" s="1"/>
      <c r="AV368" s="1"/>
      <c r="AW368" s="1"/>
      <c r="AX368" s="5"/>
      <c r="AY368" s="5"/>
      <c r="AZ368" s="5"/>
      <c r="BA368" s="5"/>
      <c r="BB368" s="5"/>
      <c r="BC368" s="5"/>
      <c r="BF368" s="15"/>
      <c r="BG368" s="1"/>
      <c r="BH368" s="15"/>
      <c r="BI368" s="1"/>
      <c r="BJ368" s="1"/>
      <c r="BK368" s="1"/>
      <c r="BL368" s="1"/>
      <c r="BM368" s="1"/>
      <c r="BN368" s="1"/>
      <c r="BO368" s="1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DA368" s="1"/>
      <c r="DB368" s="868"/>
      <c r="DC368" s="868"/>
      <c r="DD368" s="1"/>
      <c r="DE368" s="1"/>
      <c r="DF368" s="1"/>
    </row>
    <row r="369">
      <c r="F369" s="1"/>
      <c r="H369" s="1"/>
      <c r="J369" s="1"/>
      <c r="L369" s="1"/>
      <c r="M369" s="1"/>
      <c r="N369" s="1"/>
      <c r="P369" s="1"/>
      <c r="R369" s="1"/>
      <c r="T369" s="1"/>
      <c r="V369" s="1"/>
      <c r="X369" s="1"/>
      <c r="Z369" s="1"/>
      <c r="AB369" s="1"/>
      <c r="AD369" s="1"/>
      <c r="AF369" s="1"/>
      <c r="AH369" s="1"/>
      <c r="AI369" s="1"/>
      <c r="AJ369" s="1"/>
      <c r="AL369" s="1"/>
      <c r="AN369" s="1"/>
      <c r="AP369" s="1"/>
      <c r="AR369" s="1"/>
      <c r="AT369" s="1"/>
      <c r="AU369" s="1"/>
      <c r="AV369" s="1"/>
      <c r="AW369" s="1"/>
      <c r="AX369" s="5"/>
      <c r="AY369" s="5"/>
      <c r="AZ369" s="5"/>
      <c r="BA369" s="5"/>
      <c r="BB369" s="5"/>
      <c r="BC369" s="5"/>
      <c r="BF369" s="15"/>
      <c r="BG369" s="1"/>
      <c r="BH369" s="15"/>
      <c r="BI369" s="1"/>
      <c r="BJ369" s="1"/>
      <c r="BK369" s="1"/>
      <c r="BL369" s="1"/>
      <c r="BM369" s="1"/>
      <c r="BN369" s="1"/>
      <c r="BO369" s="1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DA369" s="1"/>
      <c r="DB369" s="868"/>
      <c r="DC369" s="868"/>
      <c r="DD369" s="1"/>
      <c r="DE369" s="1"/>
      <c r="DF369" s="1"/>
    </row>
    <row r="370">
      <c r="F370" s="1"/>
      <c r="H370" s="1"/>
      <c r="J370" s="1"/>
      <c r="L370" s="1"/>
      <c r="M370" s="1"/>
      <c r="N370" s="1"/>
      <c r="P370" s="1"/>
      <c r="R370" s="1"/>
      <c r="T370" s="1"/>
      <c r="V370" s="1"/>
      <c r="X370" s="1"/>
      <c r="Z370" s="1"/>
      <c r="AB370" s="1"/>
      <c r="AD370" s="1"/>
      <c r="AF370" s="1"/>
      <c r="AH370" s="1"/>
      <c r="AI370" s="1"/>
      <c r="AJ370" s="1"/>
      <c r="AL370" s="1"/>
      <c r="AN370" s="1"/>
      <c r="AP370" s="1"/>
      <c r="AR370" s="1"/>
      <c r="AT370" s="1"/>
      <c r="AU370" s="1"/>
      <c r="AV370" s="1"/>
      <c r="AW370" s="1"/>
      <c r="AX370" s="5"/>
      <c r="AY370" s="5"/>
      <c r="AZ370" s="5"/>
      <c r="BA370" s="5"/>
      <c r="BB370" s="5"/>
      <c r="BC370" s="5"/>
      <c r="BF370" s="15"/>
      <c r="BG370" s="1"/>
      <c r="BH370" s="15"/>
      <c r="BI370" s="1"/>
      <c r="BJ370" s="1"/>
      <c r="BK370" s="1"/>
      <c r="BL370" s="1"/>
      <c r="BM370" s="1"/>
      <c r="BN370" s="1"/>
      <c r="BO370" s="1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DA370" s="1"/>
      <c r="DB370" s="868"/>
      <c r="DC370" s="868"/>
      <c r="DD370" s="1"/>
      <c r="DE370" s="1"/>
      <c r="DF370" s="1"/>
    </row>
    <row r="371">
      <c r="F371" s="1"/>
      <c r="H371" s="1"/>
      <c r="J371" s="1"/>
      <c r="L371" s="1"/>
      <c r="M371" s="1"/>
      <c r="N371" s="1"/>
      <c r="P371" s="1"/>
      <c r="R371" s="1"/>
      <c r="T371" s="1"/>
      <c r="V371" s="1"/>
      <c r="X371" s="1"/>
      <c r="Z371" s="1"/>
      <c r="AB371" s="1"/>
      <c r="AD371" s="1"/>
      <c r="AF371" s="1"/>
      <c r="AH371" s="1"/>
      <c r="AI371" s="1"/>
      <c r="AJ371" s="1"/>
      <c r="AL371" s="1"/>
      <c r="AN371" s="1"/>
      <c r="AP371" s="1"/>
      <c r="AR371" s="1"/>
      <c r="AT371" s="1"/>
      <c r="AU371" s="1"/>
      <c r="AV371" s="1"/>
      <c r="AW371" s="1"/>
      <c r="AX371" s="5"/>
      <c r="AY371" s="5"/>
      <c r="AZ371" s="5"/>
      <c r="BA371" s="5"/>
      <c r="BB371" s="5"/>
      <c r="BC371" s="5"/>
      <c r="BF371" s="15"/>
      <c r="BG371" s="1"/>
      <c r="BH371" s="15"/>
      <c r="BI371" s="1"/>
      <c r="BJ371" s="1"/>
      <c r="BK371" s="1"/>
      <c r="BL371" s="1"/>
      <c r="BM371" s="1"/>
      <c r="BN371" s="1"/>
      <c r="BO371" s="1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DA371" s="1"/>
      <c r="DB371" s="868"/>
      <c r="DC371" s="868"/>
      <c r="DD371" s="1"/>
      <c r="DE371" s="1"/>
      <c r="DF371" s="1"/>
    </row>
    <row r="372">
      <c r="F372" s="1"/>
      <c r="H372" s="1"/>
      <c r="J372" s="1"/>
      <c r="L372" s="1"/>
      <c r="M372" s="1"/>
      <c r="N372" s="1"/>
      <c r="P372" s="1"/>
      <c r="R372" s="1"/>
      <c r="T372" s="1"/>
      <c r="V372" s="1"/>
      <c r="X372" s="1"/>
      <c r="Z372" s="1"/>
      <c r="AB372" s="1"/>
      <c r="AD372" s="1"/>
      <c r="AF372" s="1"/>
      <c r="AH372" s="1"/>
      <c r="AI372" s="1"/>
      <c r="AJ372" s="1"/>
      <c r="AL372" s="1"/>
      <c r="AN372" s="1"/>
      <c r="AP372" s="1"/>
      <c r="AR372" s="1"/>
      <c r="AT372" s="1"/>
      <c r="AU372" s="1"/>
      <c r="AV372" s="1"/>
      <c r="AW372" s="1"/>
      <c r="AX372" s="5"/>
      <c r="AY372" s="5"/>
      <c r="AZ372" s="5"/>
      <c r="BA372" s="5"/>
      <c r="BB372" s="5"/>
      <c r="BC372" s="5"/>
      <c r="BF372" s="15"/>
      <c r="BG372" s="1"/>
      <c r="BH372" s="15"/>
      <c r="BI372" s="1"/>
      <c r="BJ372" s="1"/>
      <c r="BK372" s="1"/>
      <c r="BL372" s="1"/>
      <c r="BM372" s="1"/>
      <c r="BN372" s="1"/>
      <c r="BO372" s="1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DA372" s="1"/>
      <c r="DB372" s="868"/>
      <c r="DC372" s="868"/>
      <c r="DD372" s="1"/>
      <c r="DE372" s="1"/>
      <c r="DF372" s="1"/>
    </row>
    <row r="373">
      <c r="F373" s="1"/>
      <c r="H373" s="1"/>
      <c r="J373" s="1"/>
      <c r="L373" s="1"/>
      <c r="M373" s="1"/>
      <c r="N373" s="1"/>
      <c r="P373" s="1"/>
      <c r="R373" s="1"/>
      <c r="T373" s="1"/>
      <c r="V373" s="1"/>
      <c r="X373" s="1"/>
      <c r="Z373" s="1"/>
      <c r="AB373" s="1"/>
      <c r="AD373" s="1"/>
      <c r="AF373" s="1"/>
      <c r="AH373" s="1"/>
      <c r="AI373" s="1"/>
      <c r="AJ373" s="1"/>
      <c r="AL373" s="1"/>
      <c r="AN373" s="1"/>
      <c r="AP373" s="1"/>
      <c r="AR373" s="1"/>
      <c r="AT373" s="1"/>
      <c r="AU373" s="1"/>
      <c r="AV373" s="1"/>
      <c r="AW373" s="1"/>
      <c r="AX373" s="5"/>
      <c r="AY373" s="5"/>
      <c r="AZ373" s="5"/>
      <c r="BA373" s="5"/>
      <c r="BB373" s="5"/>
      <c r="BC373" s="5"/>
      <c r="BF373" s="15"/>
      <c r="BG373" s="1"/>
      <c r="BH373" s="15"/>
      <c r="BI373" s="1"/>
      <c r="BJ373" s="1"/>
      <c r="BK373" s="1"/>
      <c r="BL373" s="1"/>
      <c r="BM373" s="1"/>
      <c r="BN373" s="1"/>
      <c r="BO373" s="1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DA373" s="1"/>
      <c r="DB373" s="868"/>
      <c r="DC373" s="868"/>
      <c r="DD373" s="1"/>
      <c r="DE373" s="1"/>
      <c r="DF373" s="1"/>
    </row>
    <row r="374">
      <c r="F374" s="1"/>
      <c r="H374" s="1"/>
      <c r="J374" s="1"/>
      <c r="L374" s="1"/>
      <c r="M374" s="1"/>
      <c r="N374" s="1"/>
      <c r="P374" s="1"/>
      <c r="R374" s="1"/>
      <c r="T374" s="1"/>
      <c r="V374" s="1"/>
      <c r="X374" s="1"/>
      <c r="Z374" s="1"/>
      <c r="AB374" s="1"/>
      <c r="AD374" s="1"/>
      <c r="AF374" s="1"/>
      <c r="AH374" s="1"/>
      <c r="AI374" s="1"/>
      <c r="AJ374" s="1"/>
      <c r="AL374" s="1"/>
      <c r="AN374" s="1"/>
      <c r="AP374" s="1"/>
      <c r="AR374" s="1"/>
      <c r="AT374" s="1"/>
      <c r="AU374" s="1"/>
      <c r="AV374" s="1"/>
      <c r="AW374" s="1"/>
      <c r="AX374" s="5"/>
      <c r="AY374" s="5"/>
      <c r="AZ374" s="5"/>
      <c r="BA374" s="5"/>
      <c r="BB374" s="5"/>
      <c r="BC374" s="5"/>
      <c r="BF374" s="15"/>
      <c r="BG374" s="1"/>
      <c r="BH374" s="15"/>
      <c r="BI374" s="1"/>
      <c r="BJ374" s="1"/>
      <c r="BK374" s="1"/>
      <c r="BL374" s="1"/>
      <c r="BM374" s="1"/>
      <c r="BN374" s="1"/>
      <c r="BO374" s="1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DA374" s="1"/>
      <c r="DB374" s="868"/>
      <c r="DC374" s="868"/>
      <c r="DD374" s="1"/>
      <c r="DE374" s="1"/>
      <c r="DF374" s="1"/>
    </row>
    <row r="375">
      <c r="F375" s="1"/>
      <c r="H375" s="1"/>
      <c r="J375" s="1"/>
      <c r="L375" s="1"/>
      <c r="M375" s="1"/>
      <c r="N375" s="1"/>
      <c r="P375" s="1"/>
      <c r="R375" s="1"/>
      <c r="T375" s="1"/>
      <c r="V375" s="1"/>
      <c r="X375" s="1"/>
      <c r="Z375" s="1"/>
      <c r="AB375" s="1"/>
      <c r="AD375" s="1"/>
      <c r="AF375" s="1"/>
      <c r="AH375" s="1"/>
      <c r="AI375" s="1"/>
      <c r="AJ375" s="1"/>
      <c r="AL375" s="1"/>
      <c r="AN375" s="1"/>
      <c r="AP375" s="1"/>
      <c r="AR375" s="1"/>
      <c r="AT375" s="1"/>
      <c r="AU375" s="1"/>
      <c r="AV375" s="1"/>
      <c r="AW375" s="1"/>
      <c r="AX375" s="5"/>
      <c r="AY375" s="5"/>
      <c r="AZ375" s="5"/>
      <c r="BA375" s="5"/>
      <c r="BB375" s="5"/>
      <c r="BC375" s="5"/>
      <c r="BF375" s="15"/>
      <c r="BG375" s="1"/>
      <c r="BH375" s="15"/>
      <c r="BI375" s="1"/>
      <c r="BJ375" s="1"/>
      <c r="BK375" s="1"/>
      <c r="BL375" s="1"/>
      <c r="BM375" s="1"/>
      <c r="BN375" s="1"/>
      <c r="BO375" s="1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DA375" s="1"/>
      <c r="DB375" s="868"/>
      <c r="DC375" s="868"/>
      <c r="DD375" s="1"/>
      <c r="DE375" s="1"/>
      <c r="DF375" s="1"/>
    </row>
    <row r="376">
      <c r="F376" s="1"/>
      <c r="H376" s="1"/>
      <c r="J376" s="1"/>
      <c r="L376" s="1"/>
      <c r="M376" s="1"/>
      <c r="N376" s="1"/>
      <c r="P376" s="1"/>
      <c r="R376" s="1"/>
      <c r="T376" s="1"/>
      <c r="V376" s="1"/>
      <c r="X376" s="1"/>
      <c r="Z376" s="1"/>
      <c r="AB376" s="1"/>
      <c r="AD376" s="1"/>
      <c r="AF376" s="1"/>
      <c r="AH376" s="1"/>
      <c r="AI376" s="1"/>
      <c r="AJ376" s="1"/>
      <c r="AL376" s="1"/>
      <c r="AN376" s="1"/>
      <c r="AP376" s="1"/>
      <c r="AR376" s="1"/>
      <c r="AT376" s="1"/>
      <c r="AU376" s="1"/>
      <c r="AV376" s="1"/>
      <c r="AW376" s="1"/>
      <c r="AX376" s="5"/>
      <c r="AY376" s="5"/>
      <c r="AZ376" s="5"/>
      <c r="BA376" s="5"/>
      <c r="BB376" s="5"/>
      <c r="BC376" s="5"/>
      <c r="BF376" s="15"/>
      <c r="BG376" s="1"/>
      <c r="BH376" s="15"/>
      <c r="BI376" s="1"/>
      <c r="BJ376" s="1"/>
      <c r="BK376" s="1"/>
      <c r="BL376" s="1"/>
      <c r="BM376" s="1"/>
      <c r="BN376" s="1"/>
      <c r="BO376" s="1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DA376" s="1"/>
      <c r="DB376" s="868"/>
      <c r="DC376" s="868"/>
      <c r="DD376" s="1"/>
      <c r="DE376" s="1"/>
      <c r="DF376" s="1"/>
    </row>
    <row r="377">
      <c r="F377" s="1"/>
      <c r="H377" s="1"/>
      <c r="J377" s="1"/>
      <c r="L377" s="1"/>
      <c r="M377" s="1"/>
      <c r="N377" s="1"/>
      <c r="P377" s="1"/>
      <c r="R377" s="1"/>
      <c r="T377" s="1"/>
      <c r="V377" s="1"/>
      <c r="X377" s="1"/>
      <c r="Z377" s="1"/>
      <c r="AB377" s="1"/>
      <c r="AD377" s="1"/>
      <c r="AF377" s="1"/>
      <c r="AH377" s="1"/>
      <c r="AI377" s="1"/>
      <c r="AJ377" s="1"/>
      <c r="AL377" s="1"/>
      <c r="AN377" s="1"/>
      <c r="AP377" s="1"/>
      <c r="AR377" s="1"/>
      <c r="AT377" s="1"/>
      <c r="AU377" s="1"/>
      <c r="AV377" s="1"/>
      <c r="AW377" s="1"/>
      <c r="AX377" s="5"/>
      <c r="AY377" s="5"/>
      <c r="AZ377" s="5"/>
      <c r="BA377" s="5"/>
      <c r="BB377" s="5"/>
      <c r="BC377" s="5"/>
      <c r="BF377" s="15"/>
      <c r="BG377" s="1"/>
      <c r="BH377" s="15"/>
      <c r="BI377" s="1"/>
      <c r="BJ377" s="1"/>
      <c r="BK377" s="1"/>
      <c r="BL377" s="1"/>
      <c r="BM377" s="1"/>
      <c r="BN377" s="1"/>
      <c r="BO377" s="1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DA377" s="1"/>
      <c r="DB377" s="868"/>
      <c r="DC377" s="868"/>
      <c r="DD377" s="1"/>
      <c r="DE377" s="1"/>
      <c r="DF377" s="1"/>
    </row>
    <row r="378">
      <c r="F378" s="1"/>
      <c r="H378" s="1"/>
      <c r="J378" s="1"/>
      <c r="L378" s="1"/>
      <c r="M378" s="1"/>
      <c r="N378" s="1"/>
      <c r="P378" s="1"/>
      <c r="R378" s="1"/>
      <c r="T378" s="1"/>
      <c r="V378" s="1"/>
      <c r="X378" s="1"/>
      <c r="Z378" s="1"/>
      <c r="AB378" s="1"/>
      <c r="AD378" s="1"/>
      <c r="AF378" s="1"/>
      <c r="AH378" s="1"/>
      <c r="AI378" s="1"/>
      <c r="AJ378" s="1"/>
      <c r="AL378" s="1"/>
      <c r="AN378" s="1"/>
      <c r="AP378" s="1"/>
      <c r="AR378" s="1"/>
      <c r="AT378" s="1"/>
      <c r="AU378" s="1"/>
      <c r="AV378" s="1"/>
      <c r="AW378" s="1"/>
      <c r="AX378" s="5"/>
      <c r="AY378" s="5"/>
      <c r="AZ378" s="5"/>
      <c r="BA378" s="5"/>
      <c r="BB378" s="5"/>
      <c r="BC378" s="5"/>
      <c r="BF378" s="15"/>
      <c r="BG378" s="1"/>
      <c r="BH378" s="15"/>
      <c r="BI378" s="1"/>
      <c r="BJ378" s="1"/>
      <c r="BK378" s="1"/>
      <c r="BL378" s="1"/>
      <c r="BM378" s="1"/>
      <c r="BN378" s="1"/>
      <c r="BO378" s="1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DA378" s="1"/>
      <c r="DB378" s="868"/>
      <c r="DC378" s="868"/>
      <c r="DD378" s="1"/>
      <c r="DE378" s="1"/>
      <c r="DF378" s="1"/>
    </row>
    <row r="379">
      <c r="F379" s="1"/>
      <c r="H379" s="1"/>
      <c r="J379" s="1"/>
      <c r="L379" s="1"/>
      <c r="M379" s="1"/>
      <c r="N379" s="1"/>
      <c r="P379" s="1"/>
      <c r="R379" s="1"/>
      <c r="T379" s="1"/>
      <c r="V379" s="1"/>
      <c r="X379" s="1"/>
      <c r="Z379" s="1"/>
      <c r="AB379" s="1"/>
      <c r="AD379" s="1"/>
      <c r="AF379" s="1"/>
      <c r="AH379" s="1"/>
      <c r="AI379" s="1"/>
      <c r="AJ379" s="1"/>
      <c r="AL379" s="1"/>
      <c r="AN379" s="1"/>
      <c r="AP379" s="1"/>
      <c r="AR379" s="1"/>
      <c r="AT379" s="1"/>
      <c r="AU379" s="1"/>
      <c r="AV379" s="1"/>
      <c r="AW379" s="1"/>
      <c r="AX379" s="5"/>
      <c r="AY379" s="5"/>
      <c r="AZ379" s="5"/>
      <c r="BA379" s="5"/>
      <c r="BB379" s="5"/>
      <c r="BC379" s="5"/>
      <c r="BF379" s="15"/>
      <c r="BG379" s="1"/>
      <c r="BH379" s="15"/>
      <c r="BI379" s="1"/>
      <c r="BJ379" s="1"/>
      <c r="BK379" s="1"/>
      <c r="BL379" s="1"/>
      <c r="BM379" s="1"/>
      <c r="BN379" s="1"/>
      <c r="BO379" s="1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DA379" s="1"/>
      <c r="DB379" s="868"/>
      <c r="DC379" s="868"/>
      <c r="DD379" s="1"/>
      <c r="DE379" s="1"/>
      <c r="DF379" s="1"/>
    </row>
    <row r="380">
      <c r="F380" s="1"/>
      <c r="H380" s="1"/>
      <c r="J380" s="1"/>
      <c r="L380" s="1"/>
      <c r="M380" s="1"/>
      <c r="N380" s="1"/>
      <c r="P380" s="1"/>
      <c r="R380" s="1"/>
      <c r="T380" s="1"/>
      <c r="V380" s="1"/>
      <c r="X380" s="1"/>
      <c r="Z380" s="1"/>
      <c r="AB380" s="1"/>
      <c r="AD380" s="1"/>
      <c r="AF380" s="1"/>
      <c r="AH380" s="1"/>
      <c r="AI380" s="1"/>
      <c r="AJ380" s="1"/>
      <c r="AL380" s="1"/>
      <c r="AN380" s="1"/>
      <c r="AP380" s="1"/>
      <c r="AR380" s="1"/>
      <c r="AT380" s="1"/>
      <c r="AU380" s="1"/>
      <c r="AV380" s="1"/>
      <c r="AW380" s="1"/>
      <c r="AX380" s="5"/>
      <c r="AY380" s="5"/>
      <c r="AZ380" s="5"/>
      <c r="BA380" s="5"/>
      <c r="BB380" s="5"/>
      <c r="BC380" s="5"/>
      <c r="BF380" s="15"/>
      <c r="BG380" s="1"/>
      <c r="BH380" s="15"/>
      <c r="BI380" s="1"/>
      <c r="BJ380" s="1"/>
      <c r="BK380" s="1"/>
      <c r="BL380" s="1"/>
      <c r="BM380" s="1"/>
      <c r="BN380" s="1"/>
      <c r="BO380" s="1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DA380" s="1"/>
      <c r="DB380" s="868"/>
      <c r="DC380" s="868"/>
      <c r="DD380" s="1"/>
      <c r="DE380" s="1"/>
      <c r="DF380" s="1"/>
    </row>
    <row r="381">
      <c r="F381" s="1"/>
      <c r="H381" s="1"/>
      <c r="J381" s="1"/>
      <c r="L381" s="1"/>
      <c r="M381" s="1"/>
      <c r="N381" s="1"/>
      <c r="P381" s="1"/>
      <c r="R381" s="1"/>
      <c r="T381" s="1"/>
      <c r="V381" s="1"/>
      <c r="X381" s="1"/>
      <c r="Z381" s="1"/>
      <c r="AB381" s="1"/>
      <c r="AD381" s="1"/>
      <c r="AF381" s="1"/>
      <c r="AH381" s="1"/>
      <c r="AI381" s="1"/>
      <c r="AJ381" s="1"/>
      <c r="AL381" s="1"/>
      <c r="AN381" s="1"/>
      <c r="AP381" s="1"/>
      <c r="AR381" s="1"/>
      <c r="AT381" s="1"/>
      <c r="AU381" s="1"/>
      <c r="AV381" s="1"/>
      <c r="AW381" s="1"/>
      <c r="AX381" s="5"/>
      <c r="AY381" s="5"/>
      <c r="AZ381" s="5"/>
      <c r="BA381" s="5"/>
      <c r="BB381" s="5"/>
      <c r="BC381" s="5"/>
      <c r="BF381" s="15"/>
      <c r="BG381" s="1"/>
      <c r="BH381" s="15"/>
      <c r="BI381" s="1"/>
      <c r="BJ381" s="1"/>
      <c r="BK381" s="1"/>
      <c r="BL381" s="1"/>
      <c r="BM381" s="1"/>
      <c r="BN381" s="1"/>
      <c r="BO381" s="1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DA381" s="1"/>
      <c r="DB381" s="868"/>
      <c r="DC381" s="868"/>
      <c r="DD381" s="1"/>
      <c r="DE381" s="1"/>
      <c r="DF381" s="1"/>
    </row>
    <row r="382">
      <c r="F382" s="1"/>
      <c r="H382" s="1"/>
      <c r="J382" s="1"/>
      <c r="L382" s="1"/>
      <c r="M382" s="1"/>
      <c r="N382" s="1"/>
      <c r="P382" s="1"/>
      <c r="R382" s="1"/>
      <c r="T382" s="1"/>
      <c r="V382" s="1"/>
      <c r="X382" s="1"/>
      <c r="Z382" s="1"/>
      <c r="AB382" s="1"/>
      <c r="AD382" s="1"/>
      <c r="AF382" s="1"/>
      <c r="AH382" s="1"/>
      <c r="AI382" s="1"/>
      <c r="AJ382" s="1"/>
      <c r="AL382" s="1"/>
      <c r="AN382" s="1"/>
      <c r="AP382" s="1"/>
      <c r="AR382" s="1"/>
      <c r="AT382" s="1"/>
      <c r="AU382" s="1"/>
      <c r="AV382" s="1"/>
      <c r="AW382" s="1"/>
      <c r="AX382" s="5"/>
      <c r="AY382" s="5"/>
      <c r="AZ382" s="5"/>
      <c r="BA382" s="5"/>
      <c r="BB382" s="5"/>
      <c r="BC382" s="5"/>
      <c r="BF382" s="15"/>
      <c r="BG382" s="1"/>
      <c r="BH382" s="15"/>
      <c r="BI382" s="1"/>
      <c r="BJ382" s="1"/>
      <c r="BK382" s="1"/>
      <c r="BL382" s="1"/>
      <c r="BM382" s="1"/>
      <c r="BN382" s="1"/>
      <c r="BO382" s="1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DA382" s="1"/>
      <c r="DB382" s="868"/>
      <c r="DC382" s="868"/>
      <c r="DD382" s="1"/>
      <c r="DE382" s="1"/>
      <c r="DF382" s="1"/>
    </row>
    <row r="383">
      <c r="F383" s="1"/>
      <c r="H383" s="1"/>
      <c r="J383" s="1"/>
      <c r="L383" s="1"/>
      <c r="M383" s="1"/>
      <c r="N383" s="1"/>
      <c r="P383" s="1"/>
      <c r="R383" s="1"/>
      <c r="T383" s="1"/>
      <c r="V383" s="1"/>
      <c r="X383" s="1"/>
      <c r="Z383" s="1"/>
      <c r="AB383" s="1"/>
      <c r="AD383" s="1"/>
      <c r="AF383" s="1"/>
      <c r="AH383" s="1"/>
      <c r="AI383" s="1"/>
      <c r="AJ383" s="1"/>
      <c r="AL383" s="1"/>
      <c r="AN383" s="1"/>
      <c r="AP383" s="1"/>
      <c r="AR383" s="1"/>
      <c r="AT383" s="1"/>
      <c r="AU383" s="1"/>
      <c r="AV383" s="1"/>
      <c r="AW383" s="1"/>
      <c r="AX383" s="5"/>
      <c r="AY383" s="5"/>
      <c r="AZ383" s="5"/>
      <c r="BA383" s="5"/>
      <c r="BB383" s="5"/>
      <c r="BC383" s="5"/>
      <c r="BF383" s="15"/>
      <c r="BG383" s="1"/>
      <c r="BH383" s="15"/>
      <c r="BI383" s="1"/>
      <c r="BJ383" s="1"/>
      <c r="BK383" s="1"/>
      <c r="BL383" s="1"/>
      <c r="BM383" s="1"/>
      <c r="BN383" s="1"/>
      <c r="BO383" s="1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DA383" s="1"/>
      <c r="DB383" s="868"/>
      <c r="DC383" s="868"/>
      <c r="DD383" s="1"/>
      <c r="DE383" s="1"/>
      <c r="DF383" s="1"/>
    </row>
    <row r="384">
      <c r="F384" s="1"/>
      <c r="H384" s="1"/>
      <c r="J384" s="1"/>
      <c r="L384" s="1"/>
      <c r="M384" s="1"/>
      <c r="N384" s="1"/>
      <c r="P384" s="1"/>
      <c r="R384" s="1"/>
      <c r="T384" s="1"/>
      <c r="V384" s="1"/>
      <c r="X384" s="1"/>
      <c r="Z384" s="1"/>
      <c r="AB384" s="1"/>
      <c r="AD384" s="1"/>
      <c r="AF384" s="1"/>
      <c r="AH384" s="1"/>
      <c r="AI384" s="1"/>
      <c r="AJ384" s="1"/>
      <c r="AL384" s="1"/>
      <c r="AN384" s="1"/>
      <c r="AP384" s="1"/>
      <c r="AR384" s="1"/>
      <c r="AT384" s="1"/>
      <c r="AU384" s="1"/>
      <c r="AV384" s="1"/>
      <c r="AW384" s="1"/>
      <c r="AX384" s="5"/>
      <c r="AY384" s="5"/>
      <c r="AZ384" s="5"/>
      <c r="BA384" s="5"/>
      <c r="BB384" s="5"/>
      <c r="BC384" s="5"/>
      <c r="BF384" s="15"/>
      <c r="BG384" s="1"/>
      <c r="BH384" s="15"/>
      <c r="BI384" s="1"/>
      <c r="BJ384" s="1"/>
      <c r="BK384" s="1"/>
      <c r="BL384" s="1"/>
      <c r="BM384" s="1"/>
      <c r="BN384" s="1"/>
      <c r="BO384" s="1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DA384" s="1"/>
      <c r="DB384" s="868"/>
      <c r="DC384" s="868"/>
      <c r="DD384" s="1"/>
      <c r="DE384" s="1"/>
      <c r="DF384" s="1"/>
    </row>
    <row r="385">
      <c r="F385" s="1"/>
      <c r="H385" s="1"/>
      <c r="J385" s="1"/>
      <c r="L385" s="1"/>
      <c r="M385" s="1"/>
      <c r="N385" s="1"/>
      <c r="P385" s="1"/>
      <c r="R385" s="1"/>
      <c r="T385" s="1"/>
      <c r="V385" s="1"/>
      <c r="X385" s="1"/>
      <c r="Z385" s="1"/>
      <c r="AB385" s="1"/>
      <c r="AD385" s="1"/>
      <c r="AF385" s="1"/>
      <c r="AH385" s="1"/>
      <c r="AI385" s="1"/>
      <c r="AJ385" s="1"/>
      <c r="AL385" s="1"/>
      <c r="AN385" s="1"/>
      <c r="AP385" s="1"/>
      <c r="AR385" s="1"/>
      <c r="AT385" s="1"/>
      <c r="AU385" s="1"/>
      <c r="AV385" s="1"/>
      <c r="AW385" s="1"/>
      <c r="AX385" s="5"/>
      <c r="AY385" s="5"/>
      <c r="AZ385" s="5"/>
      <c r="BA385" s="5"/>
      <c r="BB385" s="5"/>
      <c r="BC385" s="5"/>
      <c r="BF385" s="15"/>
      <c r="BG385" s="1"/>
      <c r="BH385" s="15"/>
      <c r="BI385" s="1"/>
      <c r="BJ385" s="1"/>
      <c r="BK385" s="1"/>
      <c r="BL385" s="1"/>
      <c r="BM385" s="1"/>
      <c r="BN385" s="1"/>
      <c r="BO385" s="1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DA385" s="1"/>
      <c r="DB385" s="868"/>
      <c r="DC385" s="868"/>
      <c r="DD385" s="1"/>
      <c r="DE385" s="1"/>
      <c r="DF385" s="1"/>
    </row>
    <row r="386">
      <c r="F386" s="1"/>
      <c r="H386" s="1"/>
      <c r="J386" s="1"/>
      <c r="L386" s="1"/>
      <c r="M386" s="1"/>
      <c r="N386" s="1"/>
      <c r="P386" s="1"/>
      <c r="R386" s="1"/>
      <c r="T386" s="1"/>
      <c r="V386" s="1"/>
      <c r="X386" s="1"/>
      <c r="Z386" s="1"/>
      <c r="AB386" s="1"/>
      <c r="AD386" s="1"/>
      <c r="AF386" s="1"/>
      <c r="AH386" s="1"/>
      <c r="AI386" s="1"/>
      <c r="AJ386" s="1"/>
      <c r="AL386" s="1"/>
      <c r="AN386" s="1"/>
      <c r="AP386" s="1"/>
      <c r="AR386" s="1"/>
      <c r="AT386" s="1"/>
      <c r="AU386" s="1"/>
      <c r="AV386" s="1"/>
      <c r="AW386" s="1"/>
      <c r="AX386" s="5"/>
      <c r="AY386" s="5"/>
      <c r="AZ386" s="5"/>
      <c r="BA386" s="5"/>
      <c r="BB386" s="5"/>
      <c r="BC386" s="5"/>
      <c r="BF386" s="15"/>
      <c r="BG386" s="1"/>
      <c r="BH386" s="15"/>
      <c r="BI386" s="1"/>
      <c r="BJ386" s="1"/>
      <c r="BK386" s="1"/>
      <c r="BL386" s="1"/>
      <c r="BM386" s="1"/>
      <c r="BN386" s="1"/>
      <c r="BO386" s="1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DA386" s="1"/>
      <c r="DB386" s="868"/>
      <c r="DC386" s="868"/>
      <c r="DD386" s="1"/>
      <c r="DE386" s="1"/>
      <c r="DF386" s="1"/>
    </row>
    <row r="387">
      <c r="F387" s="1"/>
      <c r="H387" s="1"/>
      <c r="J387" s="1"/>
      <c r="L387" s="1"/>
      <c r="M387" s="1"/>
      <c r="N387" s="1"/>
      <c r="P387" s="1"/>
      <c r="R387" s="1"/>
      <c r="T387" s="1"/>
      <c r="V387" s="1"/>
      <c r="X387" s="1"/>
      <c r="Z387" s="1"/>
      <c r="AB387" s="1"/>
      <c r="AD387" s="1"/>
      <c r="AF387" s="1"/>
      <c r="AH387" s="1"/>
      <c r="AI387" s="1"/>
      <c r="AJ387" s="1"/>
      <c r="AL387" s="1"/>
      <c r="AN387" s="1"/>
      <c r="AP387" s="1"/>
      <c r="AR387" s="1"/>
      <c r="AT387" s="1"/>
      <c r="AU387" s="1"/>
      <c r="AV387" s="1"/>
      <c r="AW387" s="1"/>
      <c r="AX387" s="5"/>
      <c r="AY387" s="5"/>
      <c r="AZ387" s="5"/>
      <c r="BA387" s="5"/>
      <c r="BB387" s="5"/>
      <c r="BC387" s="5"/>
      <c r="BF387" s="15"/>
      <c r="BG387" s="1"/>
      <c r="BH387" s="15"/>
      <c r="BI387" s="1"/>
      <c r="BJ387" s="1"/>
      <c r="BK387" s="1"/>
      <c r="BL387" s="1"/>
      <c r="BM387" s="1"/>
      <c r="BN387" s="1"/>
      <c r="BO387" s="1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DA387" s="1"/>
      <c r="DB387" s="868"/>
      <c r="DC387" s="868"/>
      <c r="DD387" s="1"/>
      <c r="DE387" s="1"/>
      <c r="DF387" s="1"/>
    </row>
    <row r="388">
      <c r="F388" s="1"/>
      <c r="H388" s="1"/>
      <c r="J388" s="1"/>
      <c r="L388" s="1"/>
      <c r="M388" s="1"/>
      <c r="N388" s="1"/>
      <c r="P388" s="1"/>
      <c r="R388" s="1"/>
      <c r="T388" s="1"/>
      <c r="V388" s="1"/>
      <c r="X388" s="1"/>
      <c r="Z388" s="1"/>
      <c r="AB388" s="1"/>
      <c r="AD388" s="1"/>
      <c r="AF388" s="1"/>
      <c r="AH388" s="1"/>
      <c r="AI388" s="1"/>
      <c r="AJ388" s="1"/>
      <c r="AL388" s="1"/>
      <c r="AN388" s="1"/>
      <c r="AP388" s="1"/>
      <c r="AR388" s="1"/>
      <c r="AT388" s="1"/>
      <c r="AU388" s="1"/>
      <c r="AV388" s="1"/>
      <c r="AW388" s="1"/>
      <c r="AX388" s="5"/>
      <c r="AY388" s="5"/>
      <c r="AZ388" s="5"/>
      <c r="BA388" s="5"/>
      <c r="BB388" s="5"/>
      <c r="BC388" s="5"/>
      <c r="BF388" s="15"/>
      <c r="BG388" s="1"/>
      <c r="BH388" s="15"/>
      <c r="BI388" s="1"/>
      <c r="BJ388" s="1"/>
      <c r="BK388" s="1"/>
      <c r="BL388" s="1"/>
      <c r="BM388" s="1"/>
      <c r="BN388" s="1"/>
      <c r="BO388" s="1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DA388" s="1"/>
      <c r="DB388" s="868"/>
      <c r="DC388" s="868"/>
      <c r="DD388" s="1"/>
      <c r="DE388" s="1"/>
      <c r="DF388" s="1"/>
    </row>
    <row r="389">
      <c r="F389" s="1"/>
      <c r="H389" s="1"/>
      <c r="J389" s="1"/>
      <c r="L389" s="1"/>
      <c r="M389" s="1"/>
      <c r="N389" s="1"/>
      <c r="P389" s="1"/>
      <c r="R389" s="1"/>
      <c r="T389" s="1"/>
      <c r="V389" s="1"/>
      <c r="X389" s="1"/>
      <c r="Z389" s="1"/>
      <c r="AB389" s="1"/>
      <c r="AD389" s="1"/>
      <c r="AF389" s="1"/>
      <c r="AH389" s="1"/>
      <c r="AI389" s="1"/>
      <c r="AJ389" s="1"/>
      <c r="AL389" s="1"/>
      <c r="AN389" s="1"/>
      <c r="AP389" s="1"/>
      <c r="AR389" s="1"/>
      <c r="AT389" s="1"/>
      <c r="AU389" s="1"/>
      <c r="AV389" s="1"/>
      <c r="AW389" s="1"/>
      <c r="AX389" s="5"/>
      <c r="AY389" s="5"/>
      <c r="AZ389" s="5"/>
      <c r="BA389" s="5"/>
      <c r="BB389" s="5"/>
      <c r="BC389" s="5"/>
      <c r="BF389" s="15"/>
      <c r="BG389" s="1"/>
      <c r="BH389" s="15"/>
      <c r="BI389" s="1"/>
      <c r="BJ389" s="1"/>
      <c r="BK389" s="1"/>
      <c r="BL389" s="1"/>
      <c r="BM389" s="1"/>
      <c r="BN389" s="1"/>
      <c r="BO389" s="1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DA389" s="1"/>
      <c r="DB389" s="868"/>
      <c r="DC389" s="868"/>
      <c r="DD389" s="1"/>
      <c r="DE389" s="1"/>
      <c r="DF389" s="1"/>
    </row>
    <row r="390">
      <c r="F390" s="1"/>
      <c r="H390" s="1"/>
      <c r="J390" s="1"/>
      <c r="L390" s="1"/>
      <c r="M390" s="1"/>
      <c r="N390" s="1"/>
      <c r="P390" s="1"/>
      <c r="R390" s="1"/>
      <c r="T390" s="1"/>
      <c r="V390" s="1"/>
      <c r="X390" s="1"/>
      <c r="Z390" s="1"/>
      <c r="AB390" s="1"/>
      <c r="AD390" s="1"/>
      <c r="AF390" s="1"/>
      <c r="AH390" s="1"/>
      <c r="AI390" s="1"/>
      <c r="AJ390" s="1"/>
      <c r="AL390" s="1"/>
      <c r="AN390" s="1"/>
      <c r="AP390" s="1"/>
      <c r="AR390" s="1"/>
      <c r="AT390" s="1"/>
      <c r="AU390" s="1"/>
      <c r="AV390" s="1"/>
      <c r="AW390" s="1"/>
      <c r="AX390" s="5"/>
      <c r="AY390" s="5"/>
      <c r="AZ390" s="5"/>
      <c r="BA390" s="5"/>
      <c r="BB390" s="5"/>
      <c r="BC390" s="5"/>
      <c r="BF390" s="15"/>
      <c r="BG390" s="1"/>
      <c r="BH390" s="15"/>
      <c r="BI390" s="1"/>
      <c r="BJ390" s="1"/>
      <c r="BK390" s="1"/>
      <c r="BL390" s="1"/>
      <c r="BM390" s="1"/>
      <c r="BN390" s="1"/>
      <c r="BO390" s="1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DA390" s="1"/>
      <c r="DB390" s="868"/>
      <c r="DC390" s="868"/>
      <c r="DD390" s="1"/>
      <c r="DE390" s="1"/>
      <c r="DF390" s="1"/>
    </row>
    <row r="391">
      <c r="F391" s="1"/>
      <c r="H391" s="1"/>
      <c r="J391" s="1"/>
      <c r="L391" s="1"/>
      <c r="M391" s="1"/>
      <c r="N391" s="1"/>
      <c r="P391" s="1"/>
      <c r="R391" s="1"/>
      <c r="T391" s="1"/>
      <c r="V391" s="1"/>
      <c r="X391" s="1"/>
      <c r="Z391" s="1"/>
      <c r="AB391" s="1"/>
      <c r="AD391" s="1"/>
      <c r="AF391" s="1"/>
      <c r="AH391" s="1"/>
      <c r="AI391" s="1"/>
      <c r="AJ391" s="1"/>
      <c r="AL391" s="1"/>
      <c r="AN391" s="1"/>
      <c r="AP391" s="1"/>
      <c r="AR391" s="1"/>
      <c r="AT391" s="1"/>
      <c r="AU391" s="1"/>
      <c r="AV391" s="1"/>
      <c r="AW391" s="1"/>
      <c r="AX391" s="5"/>
      <c r="AY391" s="5"/>
      <c r="AZ391" s="5"/>
      <c r="BA391" s="5"/>
      <c r="BB391" s="5"/>
      <c r="BC391" s="5"/>
      <c r="BF391" s="15"/>
      <c r="BG391" s="1"/>
      <c r="BH391" s="15"/>
      <c r="BI391" s="1"/>
      <c r="BJ391" s="1"/>
      <c r="BK391" s="1"/>
      <c r="BL391" s="1"/>
      <c r="BM391" s="1"/>
      <c r="BN391" s="1"/>
      <c r="BO391" s="1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DA391" s="1"/>
      <c r="DB391" s="868"/>
      <c r="DC391" s="868"/>
      <c r="DD391" s="1"/>
      <c r="DE391" s="1"/>
      <c r="DF391" s="1"/>
    </row>
    <row r="392">
      <c r="F392" s="1"/>
      <c r="H392" s="1"/>
      <c r="J392" s="1"/>
      <c r="L392" s="1"/>
      <c r="M392" s="1"/>
      <c r="N392" s="1"/>
      <c r="P392" s="1"/>
      <c r="R392" s="1"/>
      <c r="T392" s="1"/>
      <c r="V392" s="1"/>
      <c r="X392" s="1"/>
      <c r="Z392" s="1"/>
      <c r="AB392" s="1"/>
      <c r="AD392" s="1"/>
      <c r="AF392" s="1"/>
      <c r="AH392" s="1"/>
      <c r="AI392" s="1"/>
      <c r="AJ392" s="1"/>
      <c r="AL392" s="1"/>
      <c r="AN392" s="1"/>
      <c r="AP392" s="1"/>
      <c r="AR392" s="1"/>
      <c r="AT392" s="1"/>
      <c r="AU392" s="1"/>
      <c r="AV392" s="1"/>
      <c r="AW392" s="1"/>
      <c r="AX392" s="5"/>
      <c r="AY392" s="5"/>
      <c r="AZ392" s="5"/>
      <c r="BA392" s="5"/>
      <c r="BB392" s="5"/>
      <c r="BC392" s="5"/>
      <c r="BF392" s="15"/>
      <c r="BG392" s="1"/>
      <c r="BH392" s="15"/>
      <c r="BI392" s="1"/>
      <c r="BJ392" s="1"/>
      <c r="BK392" s="1"/>
      <c r="BL392" s="1"/>
      <c r="BM392" s="1"/>
      <c r="BN392" s="1"/>
      <c r="BO392" s="1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DA392" s="1"/>
      <c r="DB392" s="868"/>
      <c r="DC392" s="868"/>
      <c r="DD392" s="1"/>
      <c r="DE392" s="1"/>
      <c r="DF392" s="1"/>
    </row>
    <row r="393">
      <c r="F393" s="1"/>
      <c r="H393" s="1"/>
      <c r="J393" s="1"/>
      <c r="L393" s="1"/>
      <c r="M393" s="1"/>
      <c r="N393" s="1"/>
      <c r="P393" s="1"/>
      <c r="R393" s="1"/>
      <c r="T393" s="1"/>
      <c r="V393" s="1"/>
      <c r="X393" s="1"/>
      <c r="Z393" s="1"/>
      <c r="AB393" s="1"/>
      <c r="AD393" s="1"/>
      <c r="AF393" s="1"/>
      <c r="AH393" s="1"/>
      <c r="AI393" s="1"/>
      <c r="AJ393" s="1"/>
      <c r="AL393" s="1"/>
      <c r="AN393" s="1"/>
      <c r="AP393" s="1"/>
      <c r="AR393" s="1"/>
      <c r="AT393" s="1"/>
      <c r="AU393" s="1"/>
      <c r="AV393" s="1"/>
      <c r="AW393" s="1"/>
      <c r="AX393" s="5"/>
      <c r="AY393" s="5"/>
      <c r="AZ393" s="5"/>
      <c r="BA393" s="5"/>
      <c r="BB393" s="5"/>
      <c r="BC393" s="5"/>
      <c r="BF393" s="15"/>
      <c r="BG393" s="1"/>
      <c r="BH393" s="15"/>
      <c r="BI393" s="1"/>
      <c r="BJ393" s="1"/>
      <c r="BK393" s="1"/>
      <c r="BL393" s="1"/>
      <c r="BM393" s="1"/>
      <c r="BN393" s="1"/>
      <c r="BO393" s="1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DA393" s="1"/>
      <c r="DB393" s="868"/>
      <c r="DC393" s="868"/>
      <c r="DD393" s="1"/>
      <c r="DE393" s="1"/>
      <c r="DF393" s="1"/>
    </row>
    <row r="394">
      <c r="F394" s="1"/>
      <c r="H394" s="1"/>
      <c r="J394" s="1"/>
      <c r="L394" s="1"/>
      <c r="M394" s="1"/>
      <c r="N394" s="1"/>
      <c r="P394" s="1"/>
      <c r="R394" s="1"/>
      <c r="T394" s="1"/>
      <c r="V394" s="1"/>
      <c r="X394" s="1"/>
      <c r="Z394" s="1"/>
      <c r="AB394" s="1"/>
      <c r="AD394" s="1"/>
      <c r="AF394" s="1"/>
      <c r="AH394" s="1"/>
      <c r="AI394" s="1"/>
      <c r="AJ394" s="1"/>
      <c r="AL394" s="1"/>
      <c r="AN394" s="1"/>
      <c r="AP394" s="1"/>
      <c r="AR394" s="1"/>
      <c r="AT394" s="1"/>
      <c r="AU394" s="1"/>
      <c r="AV394" s="1"/>
      <c r="AW394" s="1"/>
      <c r="AX394" s="5"/>
      <c r="AY394" s="5"/>
      <c r="AZ394" s="5"/>
      <c r="BA394" s="5"/>
      <c r="BB394" s="5"/>
      <c r="BC394" s="5"/>
      <c r="BF394" s="15"/>
      <c r="BG394" s="1"/>
      <c r="BH394" s="15"/>
      <c r="BI394" s="1"/>
      <c r="BJ394" s="1"/>
      <c r="BK394" s="1"/>
      <c r="BL394" s="1"/>
      <c r="BM394" s="1"/>
      <c r="BN394" s="1"/>
      <c r="BO394" s="1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DA394" s="1"/>
      <c r="DB394" s="868"/>
      <c r="DC394" s="868"/>
      <c r="DD394" s="1"/>
      <c r="DE394" s="1"/>
      <c r="DF394" s="1"/>
    </row>
    <row r="395">
      <c r="F395" s="1"/>
      <c r="H395" s="1"/>
      <c r="J395" s="1"/>
      <c r="L395" s="1"/>
      <c r="M395" s="1"/>
      <c r="N395" s="1"/>
      <c r="P395" s="1"/>
      <c r="R395" s="1"/>
      <c r="T395" s="1"/>
      <c r="V395" s="1"/>
      <c r="X395" s="1"/>
      <c r="Z395" s="1"/>
      <c r="AB395" s="1"/>
      <c r="AD395" s="1"/>
      <c r="AF395" s="1"/>
      <c r="AH395" s="1"/>
      <c r="AI395" s="1"/>
      <c r="AJ395" s="1"/>
      <c r="AL395" s="1"/>
      <c r="AN395" s="1"/>
      <c r="AP395" s="1"/>
      <c r="AR395" s="1"/>
      <c r="AT395" s="1"/>
      <c r="AU395" s="1"/>
      <c r="AV395" s="1"/>
      <c r="AW395" s="1"/>
      <c r="AX395" s="5"/>
      <c r="AY395" s="5"/>
      <c r="AZ395" s="5"/>
      <c r="BA395" s="5"/>
      <c r="BB395" s="5"/>
      <c r="BC395" s="5"/>
      <c r="BF395" s="15"/>
      <c r="BG395" s="1"/>
      <c r="BH395" s="15"/>
      <c r="BI395" s="1"/>
      <c r="BJ395" s="1"/>
      <c r="BK395" s="1"/>
      <c r="BL395" s="1"/>
      <c r="BM395" s="1"/>
      <c r="BN395" s="1"/>
      <c r="BO395" s="1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DA395" s="1"/>
      <c r="DB395" s="868"/>
      <c r="DC395" s="868"/>
      <c r="DD395" s="1"/>
      <c r="DE395" s="1"/>
      <c r="DF395" s="1"/>
    </row>
    <row r="396">
      <c r="F396" s="1"/>
      <c r="H396" s="1"/>
      <c r="J396" s="1"/>
      <c r="L396" s="1"/>
      <c r="M396" s="1"/>
      <c r="N396" s="1"/>
      <c r="P396" s="1"/>
      <c r="R396" s="1"/>
      <c r="T396" s="1"/>
      <c r="V396" s="1"/>
      <c r="X396" s="1"/>
      <c r="Z396" s="1"/>
      <c r="AB396" s="1"/>
      <c r="AD396" s="1"/>
      <c r="AF396" s="1"/>
      <c r="AH396" s="1"/>
      <c r="AI396" s="1"/>
      <c r="AJ396" s="1"/>
      <c r="AL396" s="1"/>
      <c r="AN396" s="1"/>
      <c r="AP396" s="1"/>
      <c r="AR396" s="1"/>
      <c r="AT396" s="1"/>
      <c r="AU396" s="1"/>
      <c r="AV396" s="1"/>
      <c r="AW396" s="1"/>
      <c r="AX396" s="5"/>
      <c r="AY396" s="5"/>
      <c r="AZ396" s="5"/>
      <c r="BA396" s="5"/>
      <c r="BB396" s="5"/>
      <c r="BC396" s="5"/>
      <c r="BF396" s="15"/>
      <c r="BG396" s="1"/>
      <c r="BH396" s="15"/>
      <c r="BI396" s="1"/>
      <c r="BJ396" s="1"/>
      <c r="BK396" s="1"/>
      <c r="BL396" s="1"/>
      <c r="BM396" s="1"/>
      <c r="BN396" s="1"/>
      <c r="BO396" s="1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DA396" s="1"/>
      <c r="DB396" s="868"/>
      <c r="DC396" s="868"/>
      <c r="DD396" s="1"/>
      <c r="DE396" s="1"/>
      <c r="DF396" s="1"/>
    </row>
    <row r="397">
      <c r="F397" s="1"/>
      <c r="H397" s="1"/>
      <c r="J397" s="1"/>
      <c r="L397" s="1"/>
      <c r="M397" s="1"/>
      <c r="N397" s="1"/>
      <c r="P397" s="1"/>
      <c r="R397" s="1"/>
      <c r="T397" s="1"/>
      <c r="V397" s="1"/>
      <c r="X397" s="1"/>
      <c r="Z397" s="1"/>
      <c r="AB397" s="1"/>
      <c r="AD397" s="1"/>
      <c r="AF397" s="1"/>
      <c r="AH397" s="1"/>
      <c r="AI397" s="1"/>
      <c r="AJ397" s="1"/>
      <c r="AL397" s="1"/>
      <c r="AN397" s="1"/>
      <c r="AP397" s="1"/>
      <c r="AR397" s="1"/>
      <c r="AT397" s="1"/>
      <c r="AU397" s="1"/>
      <c r="AV397" s="1"/>
      <c r="AW397" s="1"/>
      <c r="AX397" s="5"/>
      <c r="AY397" s="5"/>
      <c r="AZ397" s="5"/>
      <c r="BA397" s="5"/>
      <c r="BB397" s="5"/>
      <c r="BC397" s="5"/>
      <c r="BF397" s="15"/>
      <c r="BG397" s="1"/>
      <c r="BH397" s="15"/>
      <c r="BI397" s="1"/>
      <c r="BJ397" s="1"/>
      <c r="BK397" s="1"/>
      <c r="BL397" s="1"/>
      <c r="BM397" s="1"/>
      <c r="BN397" s="1"/>
      <c r="BO397" s="1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DA397" s="1"/>
      <c r="DB397" s="868"/>
      <c r="DC397" s="868"/>
      <c r="DD397" s="1"/>
      <c r="DE397" s="1"/>
      <c r="DF397" s="1"/>
    </row>
    <row r="398">
      <c r="F398" s="1"/>
      <c r="H398" s="1"/>
      <c r="J398" s="1"/>
      <c r="L398" s="1"/>
      <c r="M398" s="1"/>
      <c r="N398" s="1"/>
      <c r="P398" s="1"/>
      <c r="R398" s="1"/>
      <c r="T398" s="1"/>
      <c r="V398" s="1"/>
      <c r="X398" s="1"/>
      <c r="Z398" s="1"/>
      <c r="AB398" s="1"/>
      <c r="AD398" s="1"/>
      <c r="AF398" s="1"/>
      <c r="AH398" s="1"/>
      <c r="AI398" s="1"/>
      <c r="AJ398" s="1"/>
      <c r="AL398" s="1"/>
      <c r="AN398" s="1"/>
      <c r="AP398" s="1"/>
      <c r="AR398" s="1"/>
      <c r="AT398" s="1"/>
      <c r="AU398" s="1"/>
      <c r="AV398" s="1"/>
      <c r="AW398" s="1"/>
      <c r="AX398" s="5"/>
      <c r="AY398" s="5"/>
      <c r="AZ398" s="5"/>
      <c r="BA398" s="5"/>
      <c r="BB398" s="5"/>
      <c r="BC398" s="5"/>
      <c r="BF398" s="15"/>
      <c r="BG398" s="1"/>
      <c r="BH398" s="15"/>
      <c r="BI398" s="1"/>
      <c r="BJ398" s="1"/>
      <c r="BK398" s="1"/>
      <c r="BL398" s="1"/>
      <c r="BM398" s="1"/>
      <c r="BN398" s="1"/>
      <c r="BO398" s="1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DA398" s="1"/>
      <c r="DB398" s="868"/>
      <c r="DC398" s="868"/>
      <c r="DD398" s="1"/>
      <c r="DE398" s="1"/>
      <c r="DF398" s="1"/>
    </row>
    <row r="399">
      <c r="F399" s="1"/>
      <c r="H399" s="1"/>
      <c r="J399" s="1"/>
      <c r="L399" s="1"/>
      <c r="M399" s="1"/>
      <c r="N399" s="1"/>
      <c r="P399" s="1"/>
      <c r="R399" s="1"/>
      <c r="T399" s="1"/>
      <c r="V399" s="1"/>
      <c r="X399" s="1"/>
      <c r="Z399" s="1"/>
      <c r="AB399" s="1"/>
      <c r="AD399" s="1"/>
      <c r="AF399" s="1"/>
      <c r="AH399" s="1"/>
      <c r="AI399" s="1"/>
      <c r="AJ399" s="1"/>
      <c r="AL399" s="1"/>
      <c r="AN399" s="1"/>
      <c r="AP399" s="1"/>
      <c r="AR399" s="1"/>
      <c r="AT399" s="1"/>
      <c r="AU399" s="1"/>
      <c r="AV399" s="1"/>
      <c r="AW399" s="1"/>
      <c r="AX399" s="5"/>
      <c r="AY399" s="5"/>
      <c r="AZ399" s="5"/>
      <c r="BA399" s="5"/>
      <c r="BB399" s="5"/>
      <c r="BC399" s="5"/>
      <c r="BF399" s="15"/>
      <c r="BG399" s="1"/>
      <c r="BH399" s="15"/>
      <c r="BI399" s="1"/>
      <c r="BJ399" s="1"/>
      <c r="BK399" s="1"/>
      <c r="BL399" s="1"/>
      <c r="BM399" s="1"/>
      <c r="BN399" s="1"/>
      <c r="BO399" s="1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DA399" s="1"/>
      <c r="DB399" s="868"/>
      <c r="DC399" s="868"/>
      <c r="DD399" s="1"/>
      <c r="DE399" s="1"/>
      <c r="DF399" s="1"/>
    </row>
    <row r="400">
      <c r="F400" s="1"/>
      <c r="H400" s="1"/>
      <c r="J400" s="1"/>
      <c r="L400" s="1"/>
      <c r="M400" s="1"/>
      <c r="N400" s="1"/>
      <c r="P400" s="1"/>
      <c r="R400" s="1"/>
      <c r="T400" s="1"/>
      <c r="V400" s="1"/>
      <c r="X400" s="1"/>
      <c r="Z400" s="1"/>
      <c r="AB400" s="1"/>
      <c r="AD400" s="1"/>
      <c r="AF400" s="1"/>
      <c r="AH400" s="1"/>
      <c r="AI400" s="1"/>
      <c r="AJ400" s="1"/>
      <c r="AL400" s="1"/>
      <c r="AN400" s="1"/>
      <c r="AP400" s="1"/>
      <c r="AR400" s="1"/>
      <c r="AT400" s="1"/>
      <c r="AU400" s="1"/>
      <c r="AV400" s="1"/>
      <c r="AW400" s="1"/>
      <c r="AX400" s="5"/>
      <c r="AY400" s="5"/>
      <c r="AZ400" s="5"/>
      <c r="BA400" s="5"/>
      <c r="BB400" s="5"/>
      <c r="BC400" s="5"/>
      <c r="BF400" s="15"/>
      <c r="BG400" s="1"/>
      <c r="BH400" s="15"/>
      <c r="BI400" s="1"/>
      <c r="BJ400" s="1"/>
      <c r="BK400" s="1"/>
      <c r="BL400" s="1"/>
      <c r="BM400" s="1"/>
      <c r="BN400" s="1"/>
      <c r="BO400" s="1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DA400" s="1"/>
      <c r="DB400" s="868"/>
      <c r="DC400" s="868"/>
      <c r="DD400" s="1"/>
      <c r="DE400" s="1"/>
      <c r="DF400" s="1"/>
    </row>
    <row r="401">
      <c r="F401" s="1"/>
      <c r="H401" s="1"/>
      <c r="J401" s="1"/>
      <c r="L401" s="1"/>
      <c r="M401" s="1"/>
      <c r="N401" s="1"/>
      <c r="P401" s="1"/>
      <c r="R401" s="1"/>
      <c r="T401" s="1"/>
      <c r="V401" s="1"/>
      <c r="X401" s="1"/>
      <c r="Z401" s="1"/>
      <c r="AB401" s="1"/>
      <c r="AD401" s="1"/>
      <c r="AF401" s="1"/>
      <c r="AH401" s="1"/>
      <c r="AI401" s="1"/>
      <c r="AJ401" s="1"/>
      <c r="AL401" s="1"/>
      <c r="AN401" s="1"/>
      <c r="AP401" s="1"/>
      <c r="AR401" s="1"/>
      <c r="AT401" s="1"/>
      <c r="AU401" s="1"/>
      <c r="AV401" s="1"/>
      <c r="AW401" s="1"/>
      <c r="AX401" s="5"/>
      <c r="AY401" s="5"/>
      <c r="AZ401" s="5"/>
      <c r="BA401" s="5"/>
      <c r="BB401" s="5"/>
      <c r="BC401" s="5"/>
      <c r="BF401" s="15"/>
      <c r="BG401" s="1"/>
      <c r="BH401" s="15"/>
      <c r="BI401" s="1"/>
      <c r="BJ401" s="1"/>
      <c r="BK401" s="1"/>
      <c r="BL401" s="1"/>
      <c r="BM401" s="1"/>
      <c r="BN401" s="1"/>
      <c r="BO401" s="1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DA401" s="1"/>
      <c r="DB401" s="868"/>
      <c r="DC401" s="868"/>
      <c r="DD401" s="1"/>
      <c r="DE401" s="1"/>
      <c r="DF401" s="1"/>
    </row>
    <row r="402">
      <c r="F402" s="1"/>
      <c r="H402" s="1"/>
      <c r="J402" s="1"/>
      <c r="L402" s="1"/>
      <c r="M402" s="1"/>
      <c r="N402" s="1"/>
      <c r="P402" s="1"/>
      <c r="R402" s="1"/>
      <c r="T402" s="1"/>
      <c r="V402" s="1"/>
      <c r="X402" s="1"/>
      <c r="Z402" s="1"/>
      <c r="AB402" s="1"/>
      <c r="AD402" s="1"/>
      <c r="AF402" s="1"/>
      <c r="AH402" s="1"/>
      <c r="AI402" s="1"/>
      <c r="AJ402" s="1"/>
      <c r="AL402" s="1"/>
      <c r="AN402" s="1"/>
      <c r="AP402" s="1"/>
      <c r="AR402" s="1"/>
      <c r="AT402" s="1"/>
      <c r="AU402" s="1"/>
      <c r="AV402" s="1"/>
      <c r="AW402" s="1"/>
      <c r="AX402" s="5"/>
      <c r="AY402" s="5"/>
      <c r="AZ402" s="5"/>
      <c r="BA402" s="5"/>
      <c r="BB402" s="5"/>
      <c r="BC402" s="5"/>
      <c r="BF402" s="15"/>
      <c r="BG402" s="1"/>
      <c r="BH402" s="15"/>
      <c r="BI402" s="1"/>
      <c r="BJ402" s="1"/>
      <c r="BK402" s="1"/>
      <c r="BL402" s="1"/>
      <c r="BM402" s="1"/>
      <c r="BN402" s="1"/>
      <c r="BO402" s="1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DA402" s="1"/>
      <c r="DB402" s="868"/>
      <c r="DC402" s="868"/>
      <c r="DD402" s="1"/>
      <c r="DE402" s="1"/>
      <c r="DF402" s="1"/>
    </row>
    <row r="403">
      <c r="F403" s="1"/>
      <c r="H403" s="1"/>
      <c r="J403" s="1"/>
      <c r="L403" s="1"/>
      <c r="M403" s="1"/>
      <c r="N403" s="1"/>
      <c r="P403" s="1"/>
      <c r="R403" s="1"/>
      <c r="T403" s="1"/>
      <c r="V403" s="1"/>
      <c r="X403" s="1"/>
      <c r="Z403" s="1"/>
      <c r="AB403" s="1"/>
      <c r="AD403" s="1"/>
      <c r="AF403" s="1"/>
      <c r="AH403" s="1"/>
      <c r="AI403" s="1"/>
      <c r="AJ403" s="1"/>
      <c r="AL403" s="1"/>
      <c r="AN403" s="1"/>
      <c r="AP403" s="1"/>
      <c r="AR403" s="1"/>
      <c r="AT403" s="1"/>
      <c r="AU403" s="1"/>
      <c r="AV403" s="1"/>
      <c r="AW403" s="1"/>
      <c r="AX403" s="5"/>
      <c r="AY403" s="5"/>
      <c r="AZ403" s="5"/>
      <c r="BA403" s="5"/>
      <c r="BB403" s="5"/>
      <c r="BC403" s="5"/>
      <c r="BF403" s="15"/>
      <c r="BG403" s="1"/>
      <c r="BH403" s="15"/>
      <c r="BI403" s="1"/>
      <c r="BJ403" s="1"/>
      <c r="BK403" s="1"/>
      <c r="BL403" s="1"/>
      <c r="BM403" s="1"/>
      <c r="BN403" s="1"/>
      <c r="BO403" s="1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DA403" s="1"/>
      <c r="DB403" s="868"/>
      <c r="DC403" s="868"/>
      <c r="DD403" s="1"/>
      <c r="DE403" s="1"/>
      <c r="DF403" s="1"/>
    </row>
    <row r="404">
      <c r="F404" s="1"/>
      <c r="H404" s="1"/>
      <c r="J404" s="1"/>
      <c r="L404" s="1"/>
      <c r="M404" s="1"/>
      <c r="N404" s="1"/>
      <c r="P404" s="1"/>
      <c r="R404" s="1"/>
      <c r="T404" s="1"/>
      <c r="V404" s="1"/>
      <c r="X404" s="1"/>
      <c r="Z404" s="1"/>
      <c r="AB404" s="1"/>
      <c r="AD404" s="1"/>
      <c r="AF404" s="1"/>
      <c r="AH404" s="1"/>
      <c r="AI404" s="1"/>
      <c r="AJ404" s="1"/>
      <c r="AL404" s="1"/>
      <c r="AN404" s="1"/>
      <c r="AP404" s="1"/>
      <c r="AR404" s="1"/>
      <c r="AT404" s="1"/>
      <c r="AU404" s="1"/>
      <c r="AV404" s="1"/>
      <c r="AW404" s="1"/>
      <c r="AX404" s="5"/>
      <c r="AY404" s="5"/>
      <c r="AZ404" s="5"/>
      <c r="BA404" s="5"/>
      <c r="BB404" s="5"/>
      <c r="BC404" s="5"/>
      <c r="BF404" s="15"/>
      <c r="BG404" s="1"/>
      <c r="BH404" s="15"/>
      <c r="BI404" s="1"/>
      <c r="BJ404" s="1"/>
      <c r="BK404" s="1"/>
      <c r="BL404" s="1"/>
      <c r="BM404" s="1"/>
      <c r="BN404" s="1"/>
      <c r="BO404" s="1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DA404" s="1"/>
      <c r="DB404" s="868"/>
      <c r="DC404" s="868"/>
      <c r="DD404" s="1"/>
      <c r="DE404" s="1"/>
      <c r="DF404" s="1"/>
    </row>
    <row r="405">
      <c r="F405" s="1"/>
      <c r="H405" s="1"/>
      <c r="J405" s="1"/>
      <c r="L405" s="1"/>
      <c r="M405" s="1"/>
      <c r="N405" s="1"/>
      <c r="P405" s="1"/>
      <c r="R405" s="1"/>
      <c r="T405" s="1"/>
      <c r="V405" s="1"/>
      <c r="X405" s="1"/>
      <c r="Z405" s="1"/>
      <c r="AB405" s="1"/>
      <c r="AD405" s="1"/>
      <c r="AF405" s="1"/>
      <c r="AH405" s="1"/>
      <c r="AI405" s="1"/>
      <c r="AJ405" s="1"/>
      <c r="AL405" s="1"/>
      <c r="AN405" s="1"/>
      <c r="AP405" s="1"/>
      <c r="AR405" s="1"/>
      <c r="AT405" s="1"/>
      <c r="AU405" s="1"/>
      <c r="AV405" s="1"/>
      <c r="AW405" s="1"/>
      <c r="AX405" s="5"/>
      <c r="AY405" s="5"/>
      <c r="AZ405" s="5"/>
      <c r="BA405" s="5"/>
      <c r="BB405" s="5"/>
      <c r="BC405" s="5"/>
      <c r="BF405" s="15"/>
      <c r="BG405" s="1"/>
      <c r="BH405" s="15"/>
      <c r="BI405" s="1"/>
      <c r="BJ405" s="1"/>
      <c r="BK405" s="1"/>
      <c r="BL405" s="1"/>
      <c r="BM405" s="1"/>
      <c r="BN405" s="1"/>
      <c r="BO405" s="1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DA405" s="1"/>
      <c r="DB405" s="868"/>
      <c r="DC405" s="868"/>
      <c r="DD405" s="1"/>
      <c r="DE405" s="1"/>
      <c r="DF405" s="1"/>
    </row>
    <row r="406">
      <c r="F406" s="1"/>
      <c r="H406" s="1"/>
      <c r="J406" s="1"/>
      <c r="L406" s="1"/>
      <c r="M406" s="1"/>
      <c r="N406" s="1"/>
      <c r="P406" s="1"/>
      <c r="R406" s="1"/>
      <c r="T406" s="1"/>
      <c r="V406" s="1"/>
      <c r="X406" s="1"/>
      <c r="Z406" s="1"/>
      <c r="AB406" s="1"/>
      <c r="AD406" s="1"/>
      <c r="AF406" s="1"/>
      <c r="AH406" s="1"/>
      <c r="AI406" s="1"/>
      <c r="AJ406" s="1"/>
      <c r="AL406" s="1"/>
      <c r="AN406" s="1"/>
      <c r="AP406" s="1"/>
      <c r="AR406" s="1"/>
      <c r="AT406" s="1"/>
      <c r="AU406" s="1"/>
      <c r="AV406" s="1"/>
      <c r="AW406" s="1"/>
      <c r="AX406" s="5"/>
      <c r="AY406" s="5"/>
      <c r="AZ406" s="5"/>
      <c r="BA406" s="5"/>
      <c r="BB406" s="5"/>
      <c r="BC406" s="5"/>
      <c r="BF406" s="15"/>
      <c r="BG406" s="1"/>
      <c r="BH406" s="15"/>
      <c r="BI406" s="1"/>
      <c r="BJ406" s="1"/>
      <c r="BK406" s="1"/>
      <c r="BL406" s="1"/>
      <c r="BM406" s="1"/>
      <c r="BN406" s="1"/>
      <c r="BO406" s="1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DA406" s="1"/>
      <c r="DB406" s="868"/>
      <c r="DC406" s="868"/>
      <c r="DD406" s="1"/>
      <c r="DE406" s="1"/>
      <c r="DF406" s="1"/>
    </row>
    <row r="407">
      <c r="F407" s="1"/>
      <c r="H407" s="1"/>
      <c r="J407" s="1"/>
      <c r="L407" s="1"/>
      <c r="M407" s="1"/>
      <c r="N407" s="1"/>
      <c r="P407" s="1"/>
      <c r="R407" s="1"/>
      <c r="T407" s="1"/>
      <c r="V407" s="1"/>
      <c r="X407" s="1"/>
      <c r="Z407" s="1"/>
      <c r="AB407" s="1"/>
      <c r="AD407" s="1"/>
      <c r="AF407" s="1"/>
      <c r="AH407" s="1"/>
      <c r="AI407" s="1"/>
      <c r="AJ407" s="1"/>
      <c r="AL407" s="1"/>
      <c r="AN407" s="1"/>
      <c r="AP407" s="1"/>
      <c r="AR407" s="1"/>
      <c r="AT407" s="1"/>
      <c r="AU407" s="1"/>
      <c r="AV407" s="1"/>
      <c r="AW407" s="1"/>
      <c r="AX407" s="5"/>
      <c r="AY407" s="5"/>
      <c r="AZ407" s="5"/>
      <c r="BA407" s="5"/>
      <c r="BB407" s="5"/>
      <c r="BC407" s="5"/>
      <c r="BF407" s="15"/>
      <c r="BG407" s="1"/>
      <c r="BH407" s="15"/>
      <c r="BI407" s="1"/>
      <c r="BJ407" s="1"/>
      <c r="BK407" s="1"/>
      <c r="BL407" s="1"/>
      <c r="BM407" s="1"/>
      <c r="BN407" s="1"/>
      <c r="BO407" s="1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DA407" s="1"/>
      <c r="DB407" s="868"/>
      <c r="DC407" s="868"/>
      <c r="DD407" s="1"/>
      <c r="DE407" s="1"/>
      <c r="DF407" s="1"/>
    </row>
    <row r="408">
      <c r="F408" s="1"/>
      <c r="H408" s="1"/>
      <c r="J408" s="1"/>
      <c r="L408" s="1"/>
      <c r="M408" s="1"/>
      <c r="N408" s="1"/>
      <c r="P408" s="1"/>
      <c r="R408" s="1"/>
      <c r="T408" s="1"/>
      <c r="V408" s="1"/>
      <c r="X408" s="1"/>
      <c r="Z408" s="1"/>
      <c r="AB408" s="1"/>
      <c r="AD408" s="1"/>
      <c r="AF408" s="1"/>
      <c r="AH408" s="1"/>
      <c r="AI408" s="1"/>
      <c r="AJ408" s="1"/>
      <c r="AL408" s="1"/>
      <c r="AN408" s="1"/>
      <c r="AP408" s="1"/>
      <c r="AR408" s="1"/>
      <c r="AT408" s="1"/>
      <c r="AU408" s="1"/>
      <c r="AV408" s="1"/>
      <c r="AW408" s="1"/>
      <c r="AX408" s="5"/>
      <c r="AY408" s="5"/>
      <c r="AZ408" s="5"/>
      <c r="BA408" s="5"/>
      <c r="BB408" s="5"/>
      <c r="BC408" s="5"/>
      <c r="BF408" s="15"/>
      <c r="BG408" s="1"/>
      <c r="BH408" s="15"/>
      <c r="BI408" s="1"/>
      <c r="BJ408" s="1"/>
      <c r="BK408" s="1"/>
      <c r="BL408" s="1"/>
      <c r="BM408" s="1"/>
      <c r="BN408" s="1"/>
      <c r="BO408" s="1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DA408" s="1"/>
      <c r="DB408" s="868"/>
      <c r="DC408" s="868"/>
      <c r="DD408" s="1"/>
      <c r="DE408" s="1"/>
      <c r="DF408" s="1"/>
    </row>
    <row r="409">
      <c r="F409" s="1"/>
      <c r="H409" s="1"/>
      <c r="J409" s="1"/>
      <c r="L409" s="1"/>
      <c r="M409" s="1"/>
      <c r="N409" s="1"/>
      <c r="P409" s="1"/>
      <c r="R409" s="1"/>
      <c r="T409" s="1"/>
      <c r="V409" s="1"/>
      <c r="X409" s="1"/>
      <c r="Z409" s="1"/>
      <c r="AB409" s="1"/>
      <c r="AD409" s="1"/>
      <c r="AF409" s="1"/>
      <c r="AH409" s="1"/>
      <c r="AI409" s="1"/>
      <c r="AJ409" s="1"/>
      <c r="AL409" s="1"/>
      <c r="AN409" s="1"/>
      <c r="AP409" s="1"/>
      <c r="AR409" s="1"/>
      <c r="AT409" s="1"/>
      <c r="AU409" s="1"/>
      <c r="AV409" s="1"/>
      <c r="AW409" s="1"/>
      <c r="AX409" s="5"/>
      <c r="AY409" s="5"/>
      <c r="AZ409" s="5"/>
      <c r="BA409" s="5"/>
      <c r="BB409" s="5"/>
      <c r="BC409" s="5"/>
      <c r="BF409" s="15"/>
      <c r="BG409" s="1"/>
      <c r="BH409" s="15"/>
      <c r="BI409" s="1"/>
      <c r="BJ409" s="1"/>
      <c r="BK409" s="1"/>
      <c r="BL409" s="1"/>
      <c r="BM409" s="1"/>
      <c r="BN409" s="1"/>
      <c r="BO409" s="1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DA409" s="1"/>
      <c r="DB409" s="868"/>
      <c r="DC409" s="868"/>
      <c r="DD409" s="1"/>
      <c r="DE409" s="1"/>
      <c r="DF409" s="1"/>
    </row>
    <row r="410">
      <c r="F410" s="1"/>
      <c r="H410" s="1"/>
      <c r="J410" s="1"/>
      <c r="L410" s="1"/>
      <c r="M410" s="1"/>
      <c r="N410" s="1"/>
      <c r="P410" s="1"/>
      <c r="R410" s="1"/>
      <c r="T410" s="1"/>
      <c r="V410" s="1"/>
      <c r="X410" s="1"/>
      <c r="Z410" s="1"/>
      <c r="AB410" s="1"/>
      <c r="AD410" s="1"/>
      <c r="AF410" s="1"/>
      <c r="AH410" s="1"/>
      <c r="AI410" s="1"/>
      <c r="AJ410" s="1"/>
      <c r="AL410" s="1"/>
      <c r="AN410" s="1"/>
      <c r="AP410" s="1"/>
      <c r="AR410" s="1"/>
      <c r="AT410" s="1"/>
      <c r="AU410" s="1"/>
      <c r="AV410" s="1"/>
      <c r="AW410" s="1"/>
      <c r="AX410" s="5"/>
      <c r="AY410" s="5"/>
      <c r="AZ410" s="5"/>
      <c r="BA410" s="5"/>
      <c r="BB410" s="5"/>
      <c r="BC410" s="5"/>
      <c r="BF410" s="15"/>
      <c r="BG410" s="1"/>
      <c r="BH410" s="15"/>
      <c r="BI410" s="1"/>
      <c r="BJ410" s="1"/>
      <c r="BK410" s="1"/>
      <c r="BL410" s="1"/>
      <c r="BM410" s="1"/>
      <c r="BN410" s="1"/>
      <c r="BO410" s="1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DA410" s="1"/>
      <c r="DB410" s="868"/>
      <c r="DC410" s="868"/>
      <c r="DD410" s="1"/>
      <c r="DE410" s="1"/>
      <c r="DF410" s="1"/>
    </row>
    <row r="411">
      <c r="F411" s="1"/>
      <c r="H411" s="1"/>
      <c r="J411" s="1"/>
      <c r="L411" s="1"/>
      <c r="M411" s="1"/>
      <c r="N411" s="1"/>
      <c r="P411" s="1"/>
      <c r="R411" s="1"/>
      <c r="T411" s="1"/>
      <c r="V411" s="1"/>
      <c r="X411" s="1"/>
      <c r="Z411" s="1"/>
      <c r="AB411" s="1"/>
      <c r="AD411" s="1"/>
      <c r="AF411" s="1"/>
      <c r="AH411" s="1"/>
      <c r="AI411" s="1"/>
      <c r="AJ411" s="1"/>
      <c r="AL411" s="1"/>
      <c r="AN411" s="1"/>
      <c r="AP411" s="1"/>
      <c r="AR411" s="1"/>
      <c r="AT411" s="1"/>
      <c r="AU411" s="1"/>
      <c r="AV411" s="1"/>
      <c r="AW411" s="1"/>
      <c r="AX411" s="5"/>
      <c r="AY411" s="5"/>
      <c r="AZ411" s="5"/>
      <c r="BA411" s="5"/>
      <c r="BB411" s="5"/>
      <c r="BC411" s="5"/>
      <c r="BF411" s="15"/>
      <c r="BG411" s="1"/>
      <c r="BH411" s="15"/>
      <c r="BI411" s="1"/>
      <c r="BJ411" s="1"/>
      <c r="BK411" s="1"/>
      <c r="BL411" s="1"/>
      <c r="BM411" s="1"/>
      <c r="BN411" s="1"/>
      <c r="BO411" s="1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DA411" s="1"/>
      <c r="DB411" s="868"/>
      <c r="DC411" s="868"/>
      <c r="DD411" s="1"/>
      <c r="DE411" s="1"/>
      <c r="DF411" s="1"/>
    </row>
    <row r="412">
      <c r="F412" s="1"/>
      <c r="H412" s="1"/>
      <c r="J412" s="1"/>
      <c r="L412" s="1"/>
      <c r="M412" s="1"/>
      <c r="N412" s="1"/>
      <c r="P412" s="1"/>
      <c r="R412" s="1"/>
      <c r="T412" s="1"/>
      <c r="V412" s="1"/>
      <c r="X412" s="1"/>
      <c r="Z412" s="1"/>
      <c r="AB412" s="1"/>
      <c r="AD412" s="1"/>
      <c r="AF412" s="1"/>
      <c r="AH412" s="1"/>
      <c r="AI412" s="1"/>
      <c r="AJ412" s="1"/>
      <c r="AL412" s="1"/>
      <c r="AN412" s="1"/>
      <c r="AP412" s="1"/>
      <c r="AR412" s="1"/>
      <c r="AT412" s="1"/>
      <c r="AU412" s="1"/>
      <c r="AV412" s="1"/>
      <c r="AW412" s="1"/>
      <c r="AX412" s="5"/>
      <c r="AY412" s="5"/>
      <c r="AZ412" s="5"/>
      <c r="BA412" s="5"/>
      <c r="BB412" s="5"/>
      <c r="BC412" s="5"/>
      <c r="BF412" s="15"/>
      <c r="BG412" s="1"/>
      <c r="BH412" s="15"/>
      <c r="BI412" s="1"/>
      <c r="BJ412" s="1"/>
      <c r="BK412" s="1"/>
      <c r="BL412" s="1"/>
      <c r="BM412" s="1"/>
      <c r="BN412" s="1"/>
      <c r="BO412" s="1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DA412" s="1"/>
      <c r="DB412" s="868"/>
      <c r="DC412" s="868"/>
      <c r="DD412" s="1"/>
      <c r="DE412" s="1"/>
      <c r="DF412" s="1"/>
    </row>
    <row r="413">
      <c r="F413" s="1"/>
      <c r="H413" s="1"/>
      <c r="J413" s="1"/>
      <c r="L413" s="1"/>
      <c r="M413" s="1"/>
      <c r="N413" s="1"/>
      <c r="P413" s="1"/>
      <c r="R413" s="1"/>
      <c r="T413" s="1"/>
      <c r="V413" s="1"/>
      <c r="X413" s="1"/>
      <c r="Z413" s="1"/>
      <c r="AB413" s="1"/>
      <c r="AD413" s="1"/>
      <c r="AF413" s="1"/>
      <c r="AH413" s="1"/>
      <c r="AI413" s="1"/>
      <c r="AJ413" s="1"/>
      <c r="AL413" s="1"/>
      <c r="AN413" s="1"/>
      <c r="AP413" s="1"/>
      <c r="AR413" s="1"/>
      <c r="AT413" s="1"/>
      <c r="AU413" s="1"/>
      <c r="AV413" s="1"/>
      <c r="AW413" s="1"/>
      <c r="AX413" s="5"/>
      <c r="AY413" s="5"/>
      <c r="AZ413" s="5"/>
      <c r="BA413" s="5"/>
      <c r="BB413" s="5"/>
      <c r="BC413" s="5"/>
      <c r="BF413" s="15"/>
      <c r="BG413" s="1"/>
      <c r="BH413" s="15"/>
      <c r="BI413" s="1"/>
      <c r="BJ413" s="1"/>
      <c r="BK413" s="1"/>
      <c r="BL413" s="1"/>
      <c r="BM413" s="1"/>
      <c r="BN413" s="1"/>
      <c r="BO413" s="1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DA413" s="1"/>
      <c r="DB413" s="868"/>
      <c r="DC413" s="868"/>
      <c r="DD413" s="1"/>
      <c r="DE413" s="1"/>
      <c r="DF413" s="1"/>
    </row>
    <row r="414">
      <c r="F414" s="1"/>
      <c r="H414" s="1"/>
      <c r="J414" s="1"/>
      <c r="L414" s="1"/>
      <c r="M414" s="1"/>
      <c r="N414" s="1"/>
      <c r="P414" s="1"/>
      <c r="R414" s="1"/>
      <c r="T414" s="1"/>
      <c r="V414" s="1"/>
      <c r="X414" s="1"/>
      <c r="Z414" s="1"/>
      <c r="AB414" s="1"/>
      <c r="AD414" s="1"/>
      <c r="AF414" s="1"/>
      <c r="AH414" s="1"/>
      <c r="AI414" s="1"/>
      <c r="AJ414" s="1"/>
      <c r="AL414" s="1"/>
      <c r="AN414" s="1"/>
      <c r="AP414" s="1"/>
      <c r="AR414" s="1"/>
      <c r="AT414" s="1"/>
      <c r="AU414" s="1"/>
      <c r="AV414" s="1"/>
      <c r="AW414" s="1"/>
      <c r="AX414" s="5"/>
      <c r="AY414" s="5"/>
      <c r="AZ414" s="5"/>
      <c r="BA414" s="5"/>
      <c r="BB414" s="5"/>
      <c r="BC414" s="5"/>
      <c r="BF414" s="15"/>
      <c r="BG414" s="1"/>
      <c r="BH414" s="15"/>
      <c r="BI414" s="1"/>
      <c r="BJ414" s="1"/>
      <c r="BK414" s="1"/>
      <c r="BL414" s="1"/>
      <c r="BM414" s="1"/>
      <c r="BN414" s="1"/>
      <c r="BO414" s="1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DA414" s="1"/>
      <c r="DB414" s="868"/>
      <c r="DC414" s="868"/>
      <c r="DD414" s="1"/>
      <c r="DE414" s="1"/>
      <c r="DF414" s="1"/>
    </row>
    <row r="415">
      <c r="F415" s="1"/>
      <c r="H415" s="1"/>
      <c r="J415" s="1"/>
      <c r="L415" s="1"/>
      <c r="M415" s="1"/>
      <c r="N415" s="1"/>
      <c r="P415" s="1"/>
      <c r="R415" s="1"/>
      <c r="T415" s="1"/>
      <c r="V415" s="1"/>
      <c r="X415" s="1"/>
      <c r="Z415" s="1"/>
      <c r="AB415" s="1"/>
      <c r="AD415" s="1"/>
      <c r="AF415" s="1"/>
      <c r="AH415" s="1"/>
      <c r="AI415" s="1"/>
      <c r="AJ415" s="1"/>
      <c r="AL415" s="1"/>
      <c r="AN415" s="1"/>
      <c r="AP415" s="1"/>
      <c r="AR415" s="1"/>
      <c r="AT415" s="1"/>
      <c r="AU415" s="1"/>
      <c r="AV415" s="1"/>
      <c r="AW415" s="1"/>
      <c r="AX415" s="5"/>
      <c r="AY415" s="5"/>
      <c r="AZ415" s="5"/>
      <c r="BA415" s="5"/>
      <c r="BB415" s="5"/>
      <c r="BC415" s="5"/>
      <c r="BF415" s="15"/>
      <c r="BG415" s="1"/>
      <c r="BH415" s="15"/>
      <c r="BI415" s="1"/>
      <c r="BJ415" s="1"/>
      <c r="BK415" s="1"/>
      <c r="BL415" s="1"/>
      <c r="BM415" s="1"/>
      <c r="BN415" s="1"/>
      <c r="BO415" s="1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DA415" s="1"/>
      <c r="DB415" s="868"/>
      <c r="DC415" s="868"/>
      <c r="DD415" s="1"/>
      <c r="DE415" s="1"/>
      <c r="DF415" s="1"/>
    </row>
    <row r="416">
      <c r="F416" s="1"/>
      <c r="H416" s="1"/>
      <c r="J416" s="1"/>
      <c r="L416" s="1"/>
      <c r="M416" s="1"/>
      <c r="N416" s="1"/>
      <c r="P416" s="1"/>
      <c r="R416" s="1"/>
      <c r="T416" s="1"/>
      <c r="V416" s="1"/>
      <c r="X416" s="1"/>
      <c r="Z416" s="1"/>
      <c r="AB416" s="1"/>
      <c r="AD416" s="1"/>
      <c r="AF416" s="1"/>
      <c r="AH416" s="1"/>
      <c r="AI416" s="1"/>
      <c r="AJ416" s="1"/>
      <c r="AL416" s="1"/>
      <c r="AN416" s="1"/>
      <c r="AP416" s="1"/>
      <c r="AR416" s="1"/>
      <c r="AT416" s="1"/>
      <c r="AU416" s="1"/>
      <c r="AV416" s="1"/>
      <c r="AW416" s="1"/>
      <c r="AX416" s="5"/>
      <c r="AY416" s="5"/>
      <c r="AZ416" s="5"/>
      <c r="BA416" s="5"/>
      <c r="BB416" s="5"/>
      <c r="BC416" s="5"/>
      <c r="BF416" s="15"/>
      <c r="BG416" s="1"/>
      <c r="BH416" s="15"/>
      <c r="BI416" s="1"/>
      <c r="BJ416" s="1"/>
      <c r="BK416" s="1"/>
      <c r="BL416" s="1"/>
      <c r="BM416" s="1"/>
      <c r="BN416" s="1"/>
      <c r="BO416" s="1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DA416" s="1"/>
      <c r="DB416" s="868"/>
      <c r="DC416" s="868"/>
      <c r="DD416" s="1"/>
      <c r="DE416" s="1"/>
      <c r="DF416" s="1"/>
    </row>
    <row r="417">
      <c r="F417" s="1"/>
      <c r="H417" s="1"/>
      <c r="J417" s="1"/>
      <c r="L417" s="1"/>
      <c r="M417" s="1"/>
      <c r="N417" s="1"/>
      <c r="P417" s="1"/>
      <c r="R417" s="1"/>
      <c r="T417" s="1"/>
      <c r="V417" s="1"/>
      <c r="X417" s="1"/>
      <c r="Z417" s="1"/>
      <c r="AB417" s="1"/>
      <c r="AD417" s="1"/>
      <c r="AF417" s="1"/>
      <c r="AH417" s="1"/>
      <c r="AI417" s="1"/>
      <c r="AJ417" s="1"/>
      <c r="AL417" s="1"/>
      <c r="AN417" s="1"/>
      <c r="AP417" s="1"/>
      <c r="AR417" s="1"/>
      <c r="AT417" s="1"/>
      <c r="AU417" s="1"/>
      <c r="AV417" s="1"/>
      <c r="AW417" s="1"/>
      <c r="AX417" s="5"/>
      <c r="AY417" s="5"/>
      <c r="AZ417" s="5"/>
      <c r="BA417" s="5"/>
      <c r="BB417" s="5"/>
      <c r="BC417" s="5"/>
      <c r="BF417" s="15"/>
      <c r="BG417" s="1"/>
      <c r="BH417" s="15"/>
      <c r="BI417" s="1"/>
      <c r="BJ417" s="1"/>
      <c r="BK417" s="1"/>
      <c r="BL417" s="1"/>
      <c r="BM417" s="1"/>
      <c r="BN417" s="1"/>
      <c r="BO417" s="1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DA417" s="1"/>
      <c r="DB417" s="868"/>
      <c r="DC417" s="868"/>
      <c r="DD417" s="1"/>
      <c r="DE417" s="1"/>
      <c r="DF417" s="1"/>
    </row>
    <row r="418">
      <c r="F418" s="1"/>
      <c r="H418" s="1"/>
      <c r="J418" s="1"/>
      <c r="L418" s="1"/>
      <c r="M418" s="1"/>
      <c r="N418" s="1"/>
      <c r="P418" s="1"/>
      <c r="R418" s="1"/>
      <c r="T418" s="1"/>
      <c r="V418" s="1"/>
      <c r="X418" s="1"/>
      <c r="Z418" s="1"/>
      <c r="AB418" s="1"/>
      <c r="AD418" s="1"/>
      <c r="AF418" s="1"/>
      <c r="AH418" s="1"/>
      <c r="AI418" s="1"/>
      <c r="AJ418" s="1"/>
      <c r="AL418" s="1"/>
      <c r="AN418" s="1"/>
      <c r="AP418" s="1"/>
      <c r="AR418" s="1"/>
      <c r="AT418" s="1"/>
      <c r="AU418" s="1"/>
      <c r="AV418" s="1"/>
      <c r="AW418" s="1"/>
      <c r="AX418" s="5"/>
      <c r="AY418" s="5"/>
      <c r="AZ418" s="5"/>
      <c r="BA418" s="5"/>
      <c r="BB418" s="5"/>
      <c r="BC418" s="5"/>
      <c r="BF418" s="15"/>
      <c r="BG418" s="1"/>
      <c r="BH418" s="15"/>
      <c r="BI418" s="1"/>
      <c r="BJ418" s="1"/>
      <c r="BK418" s="1"/>
      <c r="BL418" s="1"/>
      <c r="BM418" s="1"/>
      <c r="BN418" s="1"/>
      <c r="BO418" s="1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DA418" s="1"/>
      <c r="DB418" s="868"/>
      <c r="DC418" s="868"/>
      <c r="DD418" s="1"/>
      <c r="DE418" s="1"/>
      <c r="DF418" s="1"/>
    </row>
    <row r="419">
      <c r="F419" s="1"/>
      <c r="H419" s="1"/>
      <c r="J419" s="1"/>
      <c r="L419" s="1"/>
      <c r="M419" s="1"/>
      <c r="N419" s="1"/>
      <c r="P419" s="1"/>
      <c r="R419" s="1"/>
      <c r="T419" s="1"/>
      <c r="V419" s="1"/>
      <c r="X419" s="1"/>
      <c r="Z419" s="1"/>
      <c r="AB419" s="1"/>
      <c r="AD419" s="1"/>
      <c r="AF419" s="1"/>
      <c r="AH419" s="1"/>
      <c r="AI419" s="1"/>
      <c r="AJ419" s="1"/>
      <c r="AL419" s="1"/>
      <c r="AN419" s="1"/>
      <c r="AP419" s="1"/>
      <c r="AR419" s="1"/>
      <c r="AT419" s="1"/>
      <c r="AU419" s="1"/>
      <c r="AV419" s="1"/>
      <c r="AW419" s="1"/>
      <c r="AX419" s="5"/>
      <c r="AY419" s="5"/>
      <c r="AZ419" s="5"/>
      <c r="BA419" s="5"/>
      <c r="BB419" s="5"/>
      <c r="BC419" s="5"/>
      <c r="BF419" s="15"/>
      <c r="BG419" s="1"/>
      <c r="BH419" s="15"/>
      <c r="BI419" s="1"/>
      <c r="BJ419" s="1"/>
      <c r="BK419" s="1"/>
      <c r="BL419" s="1"/>
      <c r="BM419" s="1"/>
      <c r="BN419" s="1"/>
      <c r="BO419" s="1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DA419" s="1"/>
      <c r="DB419" s="868"/>
      <c r="DC419" s="868"/>
      <c r="DD419" s="1"/>
      <c r="DE419" s="1"/>
      <c r="DF419" s="1"/>
    </row>
    <row r="420">
      <c r="F420" s="1"/>
      <c r="H420" s="1"/>
      <c r="J420" s="1"/>
      <c r="L420" s="1"/>
      <c r="M420" s="1"/>
      <c r="N420" s="1"/>
      <c r="P420" s="1"/>
      <c r="R420" s="1"/>
      <c r="T420" s="1"/>
      <c r="V420" s="1"/>
      <c r="X420" s="1"/>
      <c r="Z420" s="1"/>
      <c r="AB420" s="1"/>
      <c r="AD420" s="1"/>
      <c r="AF420" s="1"/>
      <c r="AH420" s="1"/>
      <c r="AI420" s="1"/>
      <c r="AJ420" s="1"/>
      <c r="AL420" s="1"/>
      <c r="AN420" s="1"/>
      <c r="AP420" s="1"/>
      <c r="AR420" s="1"/>
      <c r="AT420" s="1"/>
      <c r="AU420" s="1"/>
      <c r="AV420" s="1"/>
      <c r="AW420" s="1"/>
      <c r="AX420" s="5"/>
      <c r="AY420" s="5"/>
      <c r="AZ420" s="5"/>
      <c r="BA420" s="5"/>
      <c r="BB420" s="5"/>
      <c r="BC420" s="5"/>
      <c r="BF420" s="15"/>
      <c r="BG420" s="1"/>
      <c r="BH420" s="15"/>
      <c r="BI420" s="1"/>
      <c r="BJ420" s="1"/>
      <c r="BK420" s="1"/>
      <c r="BL420" s="1"/>
      <c r="BM420" s="1"/>
      <c r="BN420" s="1"/>
      <c r="BO420" s="1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DA420" s="1"/>
      <c r="DB420" s="868"/>
      <c r="DC420" s="868"/>
      <c r="DD420" s="1"/>
      <c r="DE420" s="1"/>
      <c r="DF420" s="1"/>
    </row>
    <row r="421">
      <c r="F421" s="1"/>
      <c r="H421" s="1"/>
      <c r="J421" s="1"/>
      <c r="L421" s="1"/>
      <c r="M421" s="1"/>
      <c r="N421" s="1"/>
      <c r="P421" s="1"/>
      <c r="R421" s="1"/>
      <c r="T421" s="1"/>
      <c r="V421" s="1"/>
      <c r="X421" s="1"/>
      <c r="Z421" s="1"/>
      <c r="AB421" s="1"/>
      <c r="AD421" s="1"/>
      <c r="AF421" s="1"/>
      <c r="AH421" s="1"/>
      <c r="AI421" s="1"/>
      <c r="AJ421" s="1"/>
      <c r="AL421" s="1"/>
      <c r="AN421" s="1"/>
      <c r="AP421" s="1"/>
      <c r="AR421" s="1"/>
      <c r="AT421" s="1"/>
      <c r="AU421" s="1"/>
      <c r="AV421" s="1"/>
      <c r="AW421" s="1"/>
      <c r="AX421" s="5"/>
      <c r="AY421" s="5"/>
      <c r="AZ421" s="5"/>
      <c r="BA421" s="5"/>
      <c r="BB421" s="5"/>
      <c r="BC421" s="5"/>
      <c r="BF421" s="15"/>
      <c r="BG421" s="1"/>
      <c r="BH421" s="15"/>
      <c r="BI421" s="1"/>
      <c r="BJ421" s="1"/>
      <c r="BK421" s="1"/>
      <c r="BL421" s="1"/>
      <c r="BM421" s="1"/>
      <c r="BN421" s="1"/>
      <c r="BO421" s="1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DA421" s="1"/>
      <c r="DB421" s="868"/>
      <c r="DC421" s="868"/>
      <c r="DD421" s="1"/>
      <c r="DE421" s="1"/>
      <c r="DF421" s="1"/>
    </row>
    <row r="422">
      <c r="F422" s="1"/>
      <c r="H422" s="1"/>
      <c r="J422" s="1"/>
      <c r="L422" s="1"/>
      <c r="M422" s="1"/>
      <c r="N422" s="1"/>
      <c r="P422" s="1"/>
      <c r="R422" s="1"/>
      <c r="T422" s="1"/>
      <c r="V422" s="1"/>
      <c r="X422" s="1"/>
      <c r="Z422" s="1"/>
      <c r="AB422" s="1"/>
      <c r="AD422" s="1"/>
      <c r="AF422" s="1"/>
      <c r="AH422" s="1"/>
      <c r="AI422" s="1"/>
      <c r="AJ422" s="1"/>
      <c r="AL422" s="1"/>
      <c r="AN422" s="1"/>
      <c r="AP422" s="1"/>
      <c r="AR422" s="1"/>
      <c r="AT422" s="1"/>
      <c r="AU422" s="1"/>
      <c r="AV422" s="1"/>
      <c r="AW422" s="1"/>
      <c r="AX422" s="5"/>
      <c r="AY422" s="5"/>
      <c r="AZ422" s="5"/>
      <c r="BA422" s="5"/>
      <c r="BB422" s="5"/>
      <c r="BC422" s="5"/>
      <c r="BF422" s="15"/>
      <c r="BG422" s="1"/>
      <c r="BH422" s="15"/>
      <c r="BI422" s="1"/>
      <c r="BJ422" s="1"/>
      <c r="BK422" s="1"/>
      <c r="BL422" s="1"/>
      <c r="BM422" s="1"/>
      <c r="BN422" s="1"/>
      <c r="BO422" s="1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DA422" s="1"/>
      <c r="DB422" s="868"/>
      <c r="DC422" s="868"/>
      <c r="DD422" s="1"/>
      <c r="DE422" s="1"/>
      <c r="DF422" s="1"/>
    </row>
    <row r="423">
      <c r="F423" s="1"/>
      <c r="H423" s="1"/>
      <c r="J423" s="1"/>
      <c r="L423" s="1"/>
      <c r="M423" s="1"/>
      <c r="N423" s="1"/>
      <c r="P423" s="1"/>
      <c r="R423" s="1"/>
      <c r="T423" s="1"/>
      <c r="V423" s="1"/>
      <c r="X423" s="1"/>
      <c r="Z423" s="1"/>
      <c r="AB423" s="1"/>
      <c r="AD423" s="1"/>
      <c r="AF423" s="1"/>
      <c r="AH423" s="1"/>
      <c r="AI423" s="1"/>
      <c r="AJ423" s="1"/>
      <c r="AL423" s="1"/>
      <c r="AN423" s="1"/>
      <c r="AP423" s="1"/>
      <c r="AR423" s="1"/>
      <c r="AT423" s="1"/>
      <c r="AU423" s="1"/>
      <c r="AV423" s="1"/>
      <c r="AW423" s="1"/>
      <c r="AX423" s="5"/>
      <c r="AY423" s="5"/>
      <c r="AZ423" s="5"/>
      <c r="BA423" s="5"/>
      <c r="BB423" s="5"/>
      <c r="BC423" s="5"/>
      <c r="BF423" s="15"/>
      <c r="BG423" s="1"/>
      <c r="BH423" s="15"/>
      <c r="BI423" s="1"/>
      <c r="BJ423" s="1"/>
      <c r="BK423" s="1"/>
      <c r="BL423" s="1"/>
      <c r="BM423" s="1"/>
      <c r="BN423" s="1"/>
      <c r="BO423" s="1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DA423" s="1"/>
      <c r="DB423" s="868"/>
      <c r="DC423" s="868"/>
      <c r="DD423" s="1"/>
      <c r="DE423" s="1"/>
      <c r="DF423" s="1"/>
    </row>
    <row r="424">
      <c r="F424" s="1"/>
      <c r="H424" s="1"/>
      <c r="J424" s="1"/>
      <c r="L424" s="1"/>
      <c r="M424" s="1"/>
      <c r="N424" s="1"/>
      <c r="P424" s="1"/>
      <c r="R424" s="1"/>
      <c r="T424" s="1"/>
      <c r="V424" s="1"/>
      <c r="X424" s="1"/>
      <c r="Z424" s="1"/>
      <c r="AB424" s="1"/>
      <c r="AD424" s="1"/>
      <c r="AF424" s="1"/>
      <c r="AH424" s="1"/>
      <c r="AI424" s="1"/>
      <c r="AJ424" s="1"/>
      <c r="AL424" s="1"/>
      <c r="AN424" s="1"/>
      <c r="AP424" s="1"/>
      <c r="AR424" s="1"/>
      <c r="AT424" s="1"/>
      <c r="AU424" s="1"/>
      <c r="AV424" s="1"/>
      <c r="AW424" s="1"/>
      <c r="AX424" s="5"/>
      <c r="AY424" s="5"/>
      <c r="AZ424" s="5"/>
      <c r="BA424" s="5"/>
      <c r="BB424" s="5"/>
      <c r="BC424" s="5"/>
      <c r="BF424" s="15"/>
      <c r="BG424" s="1"/>
      <c r="BH424" s="15"/>
      <c r="BI424" s="1"/>
      <c r="BJ424" s="1"/>
      <c r="BK424" s="1"/>
      <c r="BL424" s="1"/>
      <c r="BM424" s="1"/>
      <c r="BN424" s="1"/>
      <c r="BO424" s="1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DA424" s="1"/>
      <c r="DB424" s="868"/>
      <c r="DC424" s="868"/>
      <c r="DD424" s="1"/>
      <c r="DE424" s="1"/>
      <c r="DF424" s="1"/>
    </row>
    <row r="425">
      <c r="F425" s="1"/>
      <c r="H425" s="1"/>
      <c r="J425" s="1"/>
      <c r="L425" s="1"/>
      <c r="M425" s="1"/>
      <c r="N425" s="1"/>
      <c r="P425" s="1"/>
      <c r="R425" s="1"/>
      <c r="T425" s="1"/>
      <c r="V425" s="1"/>
      <c r="X425" s="1"/>
      <c r="Z425" s="1"/>
      <c r="AB425" s="1"/>
      <c r="AD425" s="1"/>
      <c r="AF425" s="1"/>
      <c r="AH425" s="1"/>
      <c r="AI425" s="1"/>
      <c r="AJ425" s="1"/>
      <c r="AL425" s="1"/>
      <c r="AN425" s="1"/>
      <c r="AP425" s="1"/>
      <c r="AR425" s="1"/>
      <c r="AT425" s="1"/>
      <c r="AU425" s="1"/>
      <c r="AV425" s="1"/>
      <c r="AW425" s="1"/>
      <c r="AX425" s="5"/>
      <c r="AY425" s="5"/>
      <c r="AZ425" s="5"/>
      <c r="BA425" s="5"/>
      <c r="BB425" s="5"/>
      <c r="BC425" s="5"/>
      <c r="BF425" s="15"/>
      <c r="BG425" s="1"/>
      <c r="BH425" s="15"/>
      <c r="BI425" s="1"/>
      <c r="BJ425" s="1"/>
      <c r="BK425" s="1"/>
      <c r="BL425" s="1"/>
      <c r="BM425" s="1"/>
      <c r="BN425" s="1"/>
      <c r="BO425" s="1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DA425" s="1"/>
      <c r="DB425" s="868"/>
      <c r="DC425" s="868"/>
      <c r="DD425" s="1"/>
      <c r="DE425" s="1"/>
      <c r="DF425" s="1"/>
    </row>
    <row r="426">
      <c r="F426" s="1"/>
      <c r="H426" s="1"/>
      <c r="J426" s="1"/>
      <c r="L426" s="1"/>
      <c r="M426" s="1"/>
      <c r="N426" s="1"/>
      <c r="P426" s="1"/>
      <c r="R426" s="1"/>
      <c r="T426" s="1"/>
      <c r="V426" s="1"/>
      <c r="X426" s="1"/>
      <c r="Z426" s="1"/>
      <c r="AB426" s="1"/>
      <c r="AD426" s="1"/>
      <c r="AF426" s="1"/>
      <c r="AH426" s="1"/>
      <c r="AI426" s="1"/>
      <c r="AJ426" s="1"/>
      <c r="AL426" s="1"/>
      <c r="AN426" s="1"/>
      <c r="AP426" s="1"/>
      <c r="AR426" s="1"/>
      <c r="AT426" s="1"/>
      <c r="AU426" s="1"/>
      <c r="AV426" s="1"/>
      <c r="AW426" s="1"/>
      <c r="AX426" s="5"/>
      <c r="AY426" s="5"/>
      <c r="AZ426" s="5"/>
      <c r="BA426" s="5"/>
      <c r="BB426" s="5"/>
      <c r="BC426" s="5"/>
      <c r="BF426" s="15"/>
      <c r="BG426" s="1"/>
      <c r="BH426" s="15"/>
      <c r="BI426" s="1"/>
      <c r="BJ426" s="1"/>
      <c r="BK426" s="1"/>
      <c r="BL426" s="1"/>
      <c r="BM426" s="1"/>
      <c r="BN426" s="1"/>
      <c r="BO426" s="1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DA426" s="1"/>
      <c r="DB426" s="868"/>
      <c r="DC426" s="868"/>
      <c r="DD426" s="1"/>
      <c r="DE426" s="1"/>
      <c r="DF426" s="1"/>
    </row>
    <row r="427">
      <c r="F427" s="1"/>
      <c r="H427" s="1"/>
      <c r="J427" s="1"/>
      <c r="L427" s="1"/>
      <c r="M427" s="1"/>
      <c r="N427" s="1"/>
      <c r="P427" s="1"/>
      <c r="R427" s="1"/>
      <c r="T427" s="1"/>
      <c r="V427" s="1"/>
      <c r="X427" s="1"/>
      <c r="Z427" s="1"/>
      <c r="AB427" s="1"/>
      <c r="AD427" s="1"/>
      <c r="AF427" s="1"/>
      <c r="AH427" s="1"/>
      <c r="AI427" s="1"/>
      <c r="AJ427" s="1"/>
      <c r="AL427" s="1"/>
      <c r="AN427" s="1"/>
      <c r="AP427" s="1"/>
      <c r="AR427" s="1"/>
      <c r="AT427" s="1"/>
      <c r="AU427" s="1"/>
      <c r="AV427" s="1"/>
      <c r="AW427" s="1"/>
      <c r="AX427" s="5"/>
      <c r="AY427" s="5"/>
      <c r="AZ427" s="5"/>
      <c r="BA427" s="5"/>
      <c r="BB427" s="5"/>
      <c r="BC427" s="5"/>
      <c r="BF427" s="15"/>
      <c r="BG427" s="1"/>
      <c r="BH427" s="15"/>
      <c r="BI427" s="1"/>
      <c r="BJ427" s="1"/>
      <c r="BK427" s="1"/>
      <c r="BL427" s="1"/>
      <c r="BM427" s="1"/>
      <c r="BN427" s="1"/>
      <c r="BO427" s="1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DA427" s="1"/>
      <c r="DB427" s="868"/>
      <c r="DC427" s="868"/>
      <c r="DD427" s="1"/>
      <c r="DE427" s="1"/>
      <c r="DF427" s="1"/>
    </row>
    <row r="428">
      <c r="F428" s="1"/>
      <c r="H428" s="1"/>
      <c r="J428" s="1"/>
      <c r="L428" s="1"/>
      <c r="M428" s="1"/>
      <c r="N428" s="1"/>
      <c r="P428" s="1"/>
      <c r="R428" s="1"/>
      <c r="T428" s="1"/>
      <c r="V428" s="1"/>
      <c r="X428" s="1"/>
      <c r="Z428" s="1"/>
      <c r="AB428" s="1"/>
      <c r="AD428" s="1"/>
      <c r="AF428" s="1"/>
      <c r="AH428" s="1"/>
      <c r="AI428" s="1"/>
      <c r="AJ428" s="1"/>
      <c r="AL428" s="1"/>
      <c r="AN428" s="1"/>
      <c r="AP428" s="1"/>
      <c r="AR428" s="1"/>
      <c r="AT428" s="1"/>
      <c r="AU428" s="1"/>
      <c r="AV428" s="1"/>
      <c r="AW428" s="1"/>
      <c r="AX428" s="5"/>
      <c r="AY428" s="5"/>
      <c r="AZ428" s="5"/>
      <c r="BA428" s="5"/>
      <c r="BB428" s="5"/>
      <c r="BC428" s="5"/>
      <c r="BF428" s="15"/>
      <c r="BG428" s="1"/>
      <c r="BH428" s="15"/>
      <c r="BI428" s="1"/>
      <c r="BJ428" s="1"/>
      <c r="BK428" s="1"/>
      <c r="BL428" s="1"/>
      <c r="BM428" s="1"/>
      <c r="BN428" s="1"/>
      <c r="BO428" s="1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DA428" s="1"/>
      <c r="DB428" s="868"/>
      <c r="DC428" s="868"/>
      <c r="DD428" s="1"/>
      <c r="DE428" s="1"/>
      <c r="DF428" s="1"/>
    </row>
    <row r="429">
      <c r="F429" s="1"/>
      <c r="H429" s="1"/>
      <c r="J429" s="1"/>
      <c r="L429" s="1"/>
      <c r="M429" s="1"/>
      <c r="N429" s="1"/>
      <c r="P429" s="1"/>
      <c r="R429" s="1"/>
      <c r="T429" s="1"/>
      <c r="V429" s="1"/>
      <c r="X429" s="1"/>
      <c r="Z429" s="1"/>
      <c r="AB429" s="1"/>
      <c r="AD429" s="1"/>
      <c r="AF429" s="1"/>
      <c r="AH429" s="1"/>
      <c r="AI429" s="1"/>
      <c r="AJ429" s="1"/>
      <c r="AL429" s="1"/>
      <c r="AN429" s="1"/>
      <c r="AP429" s="1"/>
      <c r="AR429" s="1"/>
      <c r="AT429" s="1"/>
      <c r="AU429" s="1"/>
      <c r="AV429" s="1"/>
      <c r="AW429" s="1"/>
      <c r="AX429" s="5"/>
      <c r="AY429" s="5"/>
      <c r="AZ429" s="5"/>
      <c r="BA429" s="5"/>
      <c r="BB429" s="5"/>
      <c r="BC429" s="5"/>
      <c r="BF429" s="15"/>
      <c r="BG429" s="1"/>
      <c r="BH429" s="15"/>
      <c r="BI429" s="1"/>
      <c r="BJ429" s="1"/>
      <c r="BK429" s="1"/>
      <c r="BL429" s="1"/>
      <c r="BM429" s="1"/>
      <c r="BN429" s="1"/>
      <c r="BO429" s="1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DA429" s="1"/>
      <c r="DB429" s="868"/>
      <c r="DC429" s="868"/>
      <c r="DD429" s="1"/>
      <c r="DE429" s="1"/>
      <c r="DF429" s="1"/>
    </row>
    <row r="430">
      <c r="F430" s="1"/>
      <c r="H430" s="1"/>
      <c r="J430" s="1"/>
      <c r="L430" s="1"/>
      <c r="M430" s="1"/>
      <c r="N430" s="1"/>
      <c r="P430" s="1"/>
      <c r="R430" s="1"/>
      <c r="T430" s="1"/>
      <c r="V430" s="1"/>
      <c r="X430" s="1"/>
      <c r="Z430" s="1"/>
      <c r="AB430" s="1"/>
      <c r="AD430" s="1"/>
      <c r="AF430" s="1"/>
      <c r="AH430" s="1"/>
      <c r="AI430" s="1"/>
      <c r="AJ430" s="1"/>
      <c r="AL430" s="1"/>
      <c r="AN430" s="1"/>
      <c r="AP430" s="1"/>
      <c r="AR430" s="1"/>
      <c r="AT430" s="1"/>
      <c r="AU430" s="1"/>
      <c r="AV430" s="1"/>
      <c r="AW430" s="1"/>
      <c r="AX430" s="5"/>
      <c r="AY430" s="5"/>
      <c r="AZ430" s="5"/>
      <c r="BA430" s="5"/>
      <c r="BB430" s="5"/>
      <c r="BC430" s="5"/>
      <c r="BF430" s="15"/>
      <c r="BG430" s="1"/>
      <c r="BH430" s="15"/>
      <c r="BI430" s="1"/>
      <c r="BJ430" s="1"/>
      <c r="BK430" s="1"/>
      <c r="BL430" s="1"/>
      <c r="BM430" s="1"/>
      <c r="BN430" s="1"/>
      <c r="BO430" s="1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DA430" s="1"/>
      <c r="DB430" s="868"/>
      <c r="DC430" s="868"/>
      <c r="DD430" s="1"/>
      <c r="DE430" s="1"/>
      <c r="DF430" s="1"/>
    </row>
    <row r="431">
      <c r="F431" s="1"/>
      <c r="H431" s="1"/>
      <c r="J431" s="1"/>
      <c r="L431" s="1"/>
      <c r="M431" s="1"/>
      <c r="N431" s="1"/>
      <c r="P431" s="1"/>
      <c r="R431" s="1"/>
      <c r="T431" s="1"/>
      <c r="V431" s="1"/>
      <c r="X431" s="1"/>
      <c r="Z431" s="1"/>
      <c r="AB431" s="1"/>
      <c r="AD431" s="1"/>
      <c r="AF431" s="1"/>
      <c r="AH431" s="1"/>
      <c r="AI431" s="1"/>
      <c r="AJ431" s="1"/>
      <c r="AL431" s="1"/>
      <c r="AN431" s="1"/>
      <c r="AP431" s="1"/>
      <c r="AR431" s="1"/>
      <c r="AT431" s="1"/>
      <c r="AU431" s="1"/>
      <c r="AV431" s="1"/>
      <c r="AW431" s="1"/>
      <c r="AX431" s="5"/>
      <c r="AY431" s="5"/>
      <c r="AZ431" s="5"/>
      <c r="BA431" s="5"/>
      <c r="BB431" s="5"/>
      <c r="BC431" s="5"/>
      <c r="BF431" s="15"/>
      <c r="BG431" s="1"/>
      <c r="BH431" s="15"/>
      <c r="BI431" s="1"/>
      <c r="BJ431" s="1"/>
      <c r="BK431" s="1"/>
      <c r="BL431" s="1"/>
      <c r="BM431" s="1"/>
      <c r="BN431" s="1"/>
      <c r="BO431" s="1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DA431" s="1"/>
      <c r="DB431" s="868"/>
      <c r="DC431" s="868"/>
      <c r="DD431" s="1"/>
      <c r="DE431" s="1"/>
      <c r="DF431" s="1"/>
    </row>
    <row r="432">
      <c r="F432" s="1"/>
      <c r="H432" s="1"/>
      <c r="J432" s="1"/>
      <c r="L432" s="1"/>
      <c r="M432" s="1"/>
      <c r="N432" s="1"/>
      <c r="P432" s="1"/>
      <c r="R432" s="1"/>
      <c r="T432" s="1"/>
      <c r="V432" s="1"/>
      <c r="X432" s="1"/>
      <c r="Z432" s="1"/>
      <c r="AB432" s="1"/>
      <c r="AD432" s="1"/>
      <c r="AF432" s="1"/>
      <c r="AH432" s="1"/>
      <c r="AI432" s="1"/>
      <c r="AJ432" s="1"/>
      <c r="AL432" s="1"/>
      <c r="AN432" s="1"/>
      <c r="AP432" s="1"/>
      <c r="AR432" s="1"/>
      <c r="AT432" s="1"/>
      <c r="AU432" s="1"/>
      <c r="AV432" s="1"/>
      <c r="AW432" s="1"/>
      <c r="AX432" s="5"/>
      <c r="AY432" s="5"/>
      <c r="AZ432" s="5"/>
      <c r="BA432" s="5"/>
      <c r="BB432" s="5"/>
      <c r="BC432" s="5"/>
      <c r="BF432" s="15"/>
      <c r="BG432" s="1"/>
      <c r="BH432" s="15"/>
      <c r="BI432" s="1"/>
      <c r="BJ432" s="1"/>
      <c r="BK432" s="1"/>
      <c r="BL432" s="1"/>
      <c r="BM432" s="1"/>
      <c r="BN432" s="1"/>
      <c r="BO432" s="1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DA432" s="1"/>
      <c r="DB432" s="868"/>
      <c r="DC432" s="868"/>
      <c r="DD432" s="1"/>
      <c r="DE432" s="1"/>
      <c r="DF432" s="1"/>
    </row>
    <row r="433">
      <c r="F433" s="1"/>
      <c r="H433" s="1"/>
      <c r="J433" s="1"/>
      <c r="L433" s="1"/>
      <c r="M433" s="1"/>
      <c r="N433" s="1"/>
      <c r="P433" s="1"/>
      <c r="R433" s="1"/>
      <c r="T433" s="1"/>
      <c r="V433" s="1"/>
      <c r="X433" s="1"/>
      <c r="Z433" s="1"/>
      <c r="AB433" s="1"/>
      <c r="AD433" s="1"/>
      <c r="AF433" s="1"/>
      <c r="AH433" s="1"/>
      <c r="AI433" s="1"/>
      <c r="AJ433" s="1"/>
      <c r="AL433" s="1"/>
      <c r="AN433" s="1"/>
      <c r="AP433" s="1"/>
      <c r="AR433" s="1"/>
      <c r="AT433" s="1"/>
      <c r="AU433" s="1"/>
      <c r="AV433" s="1"/>
      <c r="AW433" s="1"/>
      <c r="AX433" s="5"/>
      <c r="AY433" s="5"/>
      <c r="AZ433" s="5"/>
      <c r="BA433" s="5"/>
      <c r="BB433" s="5"/>
      <c r="BC433" s="5"/>
      <c r="BF433" s="15"/>
      <c r="BG433" s="1"/>
      <c r="BH433" s="15"/>
      <c r="BI433" s="1"/>
      <c r="BJ433" s="1"/>
      <c r="BK433" s="1"/>
      <c r="BL433" s="1"/>
      <c r="BM433" s="1"/>
      <c r="BN433" s="1"/>
      <c r="BO433" s="1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DA433" s="1"/>
      <c r="DB433" s="868"/>
      <c r="DC433" s="868"/>
      <c r="DD433" s="1"/>
      <c r="DE433" s="1"/>
      <c r="DF433" s="1"/>
    </row>
    <row r="434">
      <c r="F434" s="1"/>
      <c r="H434" s="1"/>
      <c r="J434" s="1"/>
      <c r="L434" s="1"/>
      <c r="M434" s="1"/>
      <c r="N434" s="1"/>
      <c r="P434" s="1"/>
      <c r="R434" s="1"/>
      <c r="T434" s="1"/>
      <c r="V434" s="1"/>
      <c r="X434" s="1"/>
      <c r="Z434" s="1"/>
      <c r="AB434" s="1"/>
      <c r="AD434" s="1"/>
      <c r="AF434" s="1"/>
      <c r="AH434" s="1"/>
      <c r="AI434" s="1"/>
      <c r="AJ434" s="1"/>
      <c r="AL434" s="1"/>
      <c r="AN434" s="1"/>
      <c r="AP434" s="1"/>
      <c r="AR434" s="1"/>
      <c r="AT434" s="1"/>
      <c r="AU434" s="1"/>
      <c r="AV434" s="1"/>
      <c r="AW434" s="1"/>
      <c r="AX434" s="5"/>
      <c r="AY434" s="5"/>
      <c r="AZ434" s="5"/>
      <c r="BA434" s="5"/>
      <c r="BB434" s="5"/>
      <c r="BC434" s="5"/>
      <c r="BF434" s="15"/>
      <c r="BG434" s="1"/>
      <c r="BH434" s="15"/>
      <c r="BI434" s="1"/>
      <c r="BJ434" s="1"/>
      <c r="BK434" s="1"/>
      <c r="BL434" s="1"/>
      <c r="BM434" s="1"/>
      <c r="BN434" s="1"/>
      <c r="BO434" s="1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DA434" s="1"/>
      <c r="DB434" s="868"/>
      <c r="DC434" s="868"/>
      <c r="DD434" s="1"/>
      <c r="DE434" s="1"/>
      <c r="DF434" s="1"/>
    </row>
    <row r="435">
      <c r="F435" s="1"/>
      <c r="H435" s="1"/>
      <c r="J435" s="1"/>
      <c r="L435" s="1"/>
      <c r="M435" s="1"/>
      <c r="N435" s="1"/>
      <c r="P435" s="1"/>
      <c r="R435" s="1"/>
      <c r="T435" s="1"/>
      <c r="V435" s="1"/>
      <c r="X435" s="1"/>
      <c r="Z435" s="1"/>
      <c r="AB435" s="1"/>
      <c r="AD435" s="1"/>
      <c r="AF435" s="1"/>
      <c r="AH435" s="1"/>
      <c r="AI435" s="1"/>
      <c r="AJ435" s="1"/>
      <c r="AL435" s="1"/>
      <c r="AN435" s="1"/>
      <c r="AP435" s="1"/>
      <c r="AR435" s="1"/>
      <c r="AT435" s="1"/>
      <c r="AU435" s="1"/>
      <c r="AV435" s="1"/>
      <c r="AW435" s="1"/>
      <c r="AX435" s="5"/>
      <c r="AY435" s="5"/>
      <c r="AZ435" s="5"/>
      <c r="BA435" s="5"/>
      <c r="BB435" s="5"/>
      <c r="BC435" s="5"/>
      <c r="BF435" s="15"/>
      <c r="BG435" s="1"/>
      <c r="BH435" s="15"/>
      <c r="BI435" s="1"/>
      <c r="BJ435" s="1"/>
      <c r="BK435" s="1"/>
      <c r="BL435" s="1"/>
      <c r="BM435" s="1"/>
      <c r="BN435" s="1"/>
      <c r="BO435" s="1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DA435" s="1"/>
      <c r="DB435" s="868"/>
      <c r="DC435" s="868"/>
      <c r="DD435" s="1"/>
      <c r="DE435" s="1"/>
      <c r="DF435" s="1"/>
    </row>
    <row r="436">
      <c r="F436" s="1"/>
      <c r="H436" s="1"/>
      <c r="J436" s="1"/>
      <c r="L436" s="1"/>
      <c r="M436" s="1"/>
      <c r="N436" s="1"/>
      <c r="P436" s="1"/>
      <c r="R436" s="1"/>
      <c r="T436" s="1"/>
      <c r="V436" s="1"/>
      <c r="X436" s="1"/>
      <c r="Z436" s="1"/>
      <c r="AB436" s="1"/>
      <c r="AD436" s="1"/>
      <c r="AF436" s="1"/>
      <c r="AH436" s="1"/>
      <c r="AI436" s="1"/>
      <c r="AJ436" s="1"/>
      <c r="AL436" s="1"/>
      <c r="AN436" s="1"/>
      <c r="AP436" s="1"/>
      <c r="AR436" s="1"/>
      <c r="AT436" s="1"/>
      <c r="AU436" s="1"/>
      <c r="AV436" s="1"/>
      <c r="AW436" s="1"/>
      <c r="AX436" s="5"/>
      <c r="AY436" s="5"/>
      <c r="AZ436" s="5"/>
      <c r="BA436" s="5"/>
      <c r="BB436" s="5"/>
      <c r="BC436" s="5"/>
      <c r="BF436" s="15"/>
      <c r="BG436" s="1"/>
      <c r="BH436" s="15"/>
      <c r="BI436" s="1"/>
      <c r="BJ436" s="1"/>
      <c r="BK436" s="1"/>
      <c r="BL436" s="1"/>
      <c r="BM436" s="1"/>
      <c r="BN436" s="1"/>
      <c r="BO436" s="1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DA436" s="1"/>
      <c r="DB436" s="868"/>
      <c r="DC436" s="868"/>
      <c r="DD436" s="1"/>
      <c r="DE436" s="1"/>
      <c r="DF436" s="1"/>
    </row>
    <row r="437">
      <c r="F437" s="1"/>
      <c r="H437" s="1"/>
      <c r="J437" s="1"/>
      <c r="L437" s="1"/>
      <c r="M437" s="1"/>
      <c r="N437" s="1"/>
      <c r="P437" s="1"/>
      <c r="R437" s="1"/>
      <c r="T437" s="1"/>
      <c r="V437" s="1"/>
      <c r="X437" s="1"/>
      <c r="Z437" s="1"/>
      <c r="AB437" s="1"/>
      <c r="AD437" s="1"/>
      <c r="AF437" s="1"/>
      <c r="AH437" s="1"/>
      <c r="AI437" s="1"/>
      <c r="AJ437" s="1"/>
      <c r="AL437" s="1"/>
      <c r="AN437" s="1"/>
      <c r="AP437" s="1"/>
      <c r="AR437" s="1"/>
      <c r="AT437" s="1"/>
      <c r="AU437" s="1"/>
      <c r="AV437" s="1"/>
      <c r="AW437" s="1"/>
      <c r="AX437" s="5"/>
      <c r="AY437" s="5"/>
      <c r="AZ437" s="5"/>
      <c r="BA437" s="5"/>
      <c r="BB437" s="5"/>
      <c r="BC437" s="5"/>
      <c r="BF437" s="15"/>
      <c r="BG437" s="1"/>
      <c r="BH437" s="15"/>
      <c r="BI437" s="1"/>
      <c r="BJ437" s="1"/>
      <c r="BK437" s="1"/>
      <c r="BL437" s="1"/>
      <c r="BM437" s="1"/>
      <c r="BN437" s="1"/>
      <c r="BO437" s="1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DA437" s="1"/>
      <c r="DB437" s="868"/>
      <c r="DC437" s="868"/>
      <c r="DD437" s="1"/>
      <c r="DE437" s="1"/>
      <c r="DF437" s="1"/>
    </row>
    <row r="438">
      <c r="F438" s="1"/>
      <c r="H438" s="1"/>
      <c r="J438" s="1"/>
      <c r="L438" s="1"/>
      <c r="M438" s="1"/>
      <c r="N438" s="1"/>
      <c r="P438" s="1"/>
      <c r="R438" s="1"/>
      <c r="T438" s="1"/>
      <c r="V438" s="1"/>
      <c r="X438" s="1"/>
      <c r="Z438" s="1"/>
      <c r="AB438" s="1"/>
      <c r="AD438" s="1"/>
      <c r="AF438" s="1"/>
      <c r="AH438" s="1"/>
      <c r="AI438" s="1"/>
      <c r="AJ438" s="1"/>
      <c r="AL438" s="1"/>
      <c r="AN438" s="1"/>
      <c r="AP438" s="1"/>
      <c r="AR438" s="1"/>
      <c r="AT438" s="1"/>
      <c r="AU438" s="1"/>
      <c r="AV438" s="1"/>
      <c r="AW438" s="1"/>
      <c r="AX438" s="5"/>
      <c r="AY438" s="5"/>
      <c r="AZ438" s="5"/>
      <c r="BA438" s="5"/>
      <c r="BB438" s="5"/>
      <c r="BC438" s="5"/>
      <c r="BF438" s="15"/>
      <c r="BG438" s="1"/>
      <c r="BH438" s="15"/>
      <c r="BI438" s="1"/>
      <c r="BJ438" s="1"/>
      <c r="BK438" s="1"/>
      <c r="BL438" s="1"/>
      <c r="BM438" s="1"/>
      <c r="BN438" s="1"/>
      <c r="BO438" s="1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DA438" s="1"/>
      <c r="DB438" s="868"/>
      <c r="DC438" s="868"/>
      <c r="DD438" s="1"/>
      <c r="DE438" s="1"/>
      <c r="DF438" s="1"/>
    </row>
    <row r="439">
      <c r="F439" s="1"/>
      <c r="H439" s="1"/>
      <c r="J439" s="1"/>
      <c r="L439" s="1"/>
      <c r="M439" s="1"/>
      <c r="N439" s="1"/>
      <c r="P439" s="1"/>
      <c r="R439" s="1"/>
      <c r="T439" s="1"/>
      <c r="V439" s="1"/>
      <c r="X439" s="1"/>
      <c r="Z439" s="1"/>
      <c r="AB439" s="1"/>
      <c r="AD439" s="1"/>
      <c r="AF439" s="1"/>
      <c r="AH439" s="1"/>
      <c r="AI439" s="1"/>
      <c r="AJ439" s="1"/>
      <c r="AL439" s="1"/>
      <c r="AN439" s="1"/>
      <c r="AP439" s="1"/>
      <c r="AR439" s="1"/>
      <c r="AT439" s="1"/>
      <c r="AU439" s="1"/>
      <c r="AV439" s="1"/>
      <c r="AW439" s="1"/>
      <c r="AX439" s="5"/>
      <c r="AY439" s="5"/>
      <c r="AZ439" s="5"/>
      <c r="BA439" s="5"/>
      <c r="BB439" s="5"/>
      <c r="BC439" s="5"/>
      <c r="BF439" s="15"/>
      <c r="BG439" s="1"/>
      <c r="BH439" s="15"/>
      <c r="BI439" s="1"/>
      <c r="BJ439" s="1"/>
      <c r="BK439" s="1"/>
      <c r="BL439" s="1"/>
      <c r="BM439" s="1"/>
      <c r="BN439" s="1"/>
      <c r="BO439" s="1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DA439" s="1"/>
      <c r="DB439" s="868"/>
      <c r="DC439" s="868"/>
      <c r="DD439" s="1"/>
      <c r="DE439" s="1"/>
      <c r="DF439" s="1"/>
    </row>
    <row r="440">
      <c r="F440" s="1"/>
      <c r="H440" s="1"/>
      <c r="J440" s="1"/>
      <c r="L440" s="1"/>
      <c r="M440" s="1"/>
      <c r="N440" s="1"/>
      <c r="P440" s="1"/>
      <c r="R440" s="1"/>
      <c r="T440" s="1"/>
      <c r="V440" s="1"/>
      <c r="X440" s="1"/>
      <c r="Z440" s="1"/>
      <c r="AB440" s="1"/>
      <c r="AD440" s="1"/>
      <c r="AF440" s="1"/>
      <c r="AH440" s="1"/>
      <c r="AI440" s="1"/>
      <c r="AJ440" s="1"/>
      <c r="AL440" s="1"/>
      <c r="AN440" s="1"/>
      <c r="AP440" s="1"/>
      <c r="AR440" s="1"/>
      <c r="AT440" s="1"/>
      <c r="AU440" s="1"/>
      <c r="AV440" s="1"/>
      <c r="AW440" s="1"/>
      <c r="AX440" s="5"/>
      <c r="AY440" s="5"/>
      <c r="AZ440" s="5"/>
      <c r="BA440" s="5"/>
      <c r="BB440" s="5"/>
      <c r="BC440" s="5"/>
      <c r="BF440" s="15"/>
      <c r="BG440" s="1"/>
      <c r="BH440" s="15"/>
      <c r="BI440" s="1"/>
      <c r="BJ440" s="1"/>
      <c r="BK440" s="1"/>
      <c r="BL440" s="1"/>
      <c r="BM440" s="1"/>
      <c r="BN440" s="1"/>
      <c r="BO440" s="1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DA440" s="1"/>
      <c r="DB440" s="868"/>
      <c r="DC440" s="868"/>
      <c r="DD440" s="1"/>
      <c r="DE440" s="1"/>
      <c r="DF440" s="1"/>
    </row>
    <row r="441">
      <c r="F441" s="1"/>
      <c r="H441" s="1"/>
      <c r="J441" s="1"/>
      <c r="L441" s="1"/>
      <c r="M441" s="1"/>
      <c r="N441" s="1"/>
      <c r="P441" s="1"/>
      <c r="R441" s="1"/>
      <c r="T441" s="1"/>
      <c r="V441" s="1"/>
      <c r="X441" s="1"/>
      <c r="Z441" s="1"/>
      <c r="AB441" s="1"/>
      <c r="AD441" s="1"/>
      <c r="AF441" s="1"/>
      <c r="AH441" s="1"/>
      <c r="AI441" s="1"/>
      <c r="AJ441" s="1"/>
      <c r="AL441" s="1"/>
      <c r="AN441" s="1"/>
      <c r="AP441" s="1"/>
      <c r="AR441" s="1"/>
      <c r="AT441" s="1"/>
      <c r="AU441" s="1"/>
      <c r="AV441" s="1"/>
      <c r="AW441" s="1"/>
      <c r="AX441" s="5"/>
      <c r="AY441" s="5"/>
      <c r="AZ441" s="5"/>
      <c r="BA441" s="5"/>
      <c r="BB441" s="5"/>
      <c r="BC441" s="5"/>
      <c r="BF441" s="15"/>
      <c r="BG441" s="1"/>
      <c r="BH441" s="15"/>
      <c r="BI441" s="1"/>
      <c r="BJ441" s="1"/>
      <c r="BK441" s="1"/>
      <c r="BL441" s="1"/>
      <c r="BM441" s="1"/>
      <c r="BN441" s="1"/>
      <c r="BO441" s="1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DA441" s="1"/>
      <c r="DB441" s="868"/>
      <c r="DC441" s="868"/>
      <c r="DD441" s="1"/>
      <c r="DE441" s="1"/>
      <c r="DF441" s="1"/>
    </row>
    <row r="442">
      <c r="F442" s="1"/>
      <c r="H442" s="1"/>
      <c r="J442" s="1"/>
      <c r="L442" s="1"/>
      <c r="M442" s="1"/>
      <c r="N442" s="1"/>
      <c r="P442" s="1"/>
      <c r="R442" s="1"/>
      <c r="T442" s="1"/>
      <c r="V442" s="1"/>
      <c r="X442" s="1"/>
      <c r="Z442" s="1"/>
      <c r="AB442" s="1"/>
      <c r="AD442" s="1"/>
      <c r="AF442" s="1"/>
      <c r="AH442" s="1"/>
      <c r="AI442" s="1"/>
      <c r="AJ442" s="1"/>
      <c r="AL442" s="1"/>
      <c r="AN442" s="1"/>
      <c r="AP442" s="1"/>
      <c r="AR442" s="1"/>
      <c r="AT442" s="1"/>
      <c r="AU442" s="1"/>
      <c r="AV442" s="1"/>
      <c r="AW442" s="1"/>
      <c r="AX442" s="5"/>
      <c r="AY442" s="5"/>
      <c r="AZ442" s="5"/>
      <c r="BA442" s="5"/>
      <c r="BB442" s="5"/>
      <c r="BC442" s="5"/>
      <c r="BF442" s="15"/>
      <c r="BG442" s="1"/>
      <c r="BH442" s="15"/>
      <c r="BI442" s="1"/>
      <c r="BJ442" s="1"/>
      <c r="BK442" s="1"/>
      <c r="BL442" s="1"/>
      <c r="BM442" s="1"/>
      <c r="BN442" s="1"/>
      <c r="BO442" s="1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DA442" s="1"/>
      <c r="DB442" s="868"/>
      <c r="DC442" s="868"/>
      <c r="DD442" s="1"/>
      <c r="DE442" s="1"/>
      <c r="DF442" s="1"/>
    </row>
    <row r="443">
      <c r="F443" s="1"/>
      <c r="H443" s="1"/>
      <c r="J443" s="1"/>
      <c r="L443" s="1"/>
      <c r="M443" s="1"/>
      <c r="N443" s="1"/>
      <c r="P443" s="1"/>
      <c r="R443" s="1"/>
      <c r="T443" s="1"/>
      <c r="V443" s="1"/>
      <c r="X443" s="1"/>
      <c r="Z443" s="1"/>
      <c r="AB443" s="1"/>
      <c r="AD443" s="1"/>
      <c r="AF443" s="1"/>
      <c r="AH443" s="1"/>
      <c r="AI443" s="1"/>
      <c r="AJ443" s="1"/>
      <c r="AL443" s="1"/>
      <c r="AN443" s="1"/>
      <c r="AP443" s="1"/>
      <c r="AR443" s="1"/>
      <c r="AT443" s="1"/>
      <c r="AU443" s="1"/>
      <c r="AV443" s="1"/>
      <c r="AW443" s="1"/>
      <c r="AX443" s="5"/>
      <c r="AY443" s="5"/>
      <c r="AZ443" s="5"/>
      <c r="BA443" s="5"/>
      <c r="BB443" s="5"/>
      <c r="BC443" s="5"/>
      <c r="BF443" s="15"/>
      <c r="BG443" s="1"/>
      <c r="BH443" s="15"/>
      <c r="BI443" s="1"/>
      <c r="BJ443" s="1"/>
      <c r="BK443" s="1"/>
      <c r="BL443" s="1"/>
      <c r="BM443" s="1"/>
      <c r="BN443" s="1"/>
      <c r="BO443" s="1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DA443" s="1"/>
      <c r="DB443" s="868"/>
      <c r="DC443" s="868"/>
      <c r="DD443" s="1"/>
      <c r="DE443" s="1"/>
      <c r="DF443" s="1"/>
    </row>
    <row r="444">
      <c r="F444" s="1"/>
      <c r="H444" s="1"/>
      <c r="J444" s="1"/>
      <c r="L444" s="1"/>
      <c r="M444" s="1"/>
      <c r="N444" s="1"/>
      <c r="P444" s="1"/>
      <c r="R444" s="1"/>
      <c r="T444" s="1"/>
      <c r="V444" s="1"/>
      <c r="X444" s="1"/>
      <c r="Z444" s="1"/>
      <c r="AB444" s="1"/>
      <c r="AD444" s="1"/>
      <c r="AF444" s="1"/>
      <c r="AH444" s="1"/>
      <c r="AI444" s="1"/>
      <c r="AJ444" s="1"/>
      <c r="AL444" s="1"/>
      <c r="AN444" s="1"/>
      <c r="AP444" s="1"/>
      <c r="AR444" s="1"/>
      <c r="AT444" s="1"/>
      <c r="AU444" s="1"/>
      <c r="AV444" s="1"/>
      <c r="AW444" s="1"/>
      <c r="AX444" s="5"/>
      <c r="AY444" s="5"/>
      <c r="AZ444" s="5"/>
      <c r="BA444" s="5"/>
      <c r="BB444" s="5"/>
      <c r="BC444" s="5"/>
      <c r="BF444" s="15"/>
      <c r="BG444" s="1"/>
      <c r="BH444" s="15"/>
      <c r="BI444" s="1"/>
      <c r="BJ444" s="1"/>
      <c r="BK444" s="1"/>
      <c r="BL444" s="1"/>
      <c r="BM444" s="1"/>
      <c r="BN444" s="1"/>
      <c r="BO444" s="1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DA444" s="1"/>
      <c r="DB444" s="868"/>
      <c r="DC444" s="868"/>
      <c r="DD444" s="1"/>
      <c r="DE444" s="1"/>
      <c r="DF444" s="1"/>
    </row>
    <row r="445">
      <c r="F445" s="1"/>
      <c r="H445" s="1"/>
      <c r="J445" s="1"/>
      <c r="L445" s="1"/>
      <c r="M445" s="1"/>
      <c r="N445" s="1"/>
      <c r="P445" s="1"/>
      <c r="R445" s="1"/>
      <c r="T445" s="1"/>
      <c r="V445" s="1"/>
      <c r="X445" s="1"/>
      <c r="Z445" s="1"/>
      <c r="AB445" s="1"/>
      <c r="AD445" s="1"/>
      <c r="AF445" s="1"/>
      <c r="AH445" s="1"/>
      <c r="AI445" s="1"/>
      <c r="AJ445" s="1"/>
      <c r="AL445" s="1"/>
      <c r="AN445" s="1"/>
      <c r="AP445" s="1"/>
      <c r="AR445" s="1"/>
      <c r="AT445" s="1"/>
      <c r="AU445" s="1"/>
      <c r="AV445" s="1"/>
      <c r="AW445" s="1"/>
      <c r="AX445" s="5"/>
      <c r="AY445" s="5"/>
      <c r="AZ445" s="5"/>
      <c r="BA445" s="5"/>
      <c r="BB445" s="5"/>
      <c r="BC445" s="5"/>
      <c r="BF445" s="15"/>
      <c r="BG445" s="1"/>
      <c r="BH445" s="15"/>
      <c r="BI445" s="1"/>
      <c r="BJ445" s="1"/>
      <c r="BK445" s="1"/>
      <c r="BL445" s="1"/>
      <c r="BM445" s="1"/>
      <c r="BN445" s="1"/>
      <c r="BO445" s="1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DA445" s="1"/>
      <c r="DB445" s="868"/>
      <c r="DC445" s="868"/>
      <c r="DD445" s="1"/>
      <c r="DE445" s="1"/>
      <c r="DF445" s="1"/>
    </row>
    <row r="446">
      <c r="F446" s="1"/>
      <c r="H446" s="1"/>
      <c r="J446" s="1"/>
      <c r="L446" s="1"/>
      <c r="M446" s="1"/>
      <c r="N446" s="1"/>
      <c r="P446" s="1"/>
      <c r="R446" s="1"/>
      <c r="T446" s="1"/>
      <c r="V446" s="1"/>
      <c r="X446" s="1"/>
      <c r="Z446" s="1"/>
      <c r="AB446" s="1"/>
      <c r="AD446" s="1"/>
      <c r="AF446" s="1"/>
      <c r="AH446" s="1"/>
      <c r="AI446" s="1"/>
      <c r="AJ446" s="1"/>
      <c r="AL446" s="1"/>
      <c r="AN446" s="1"/>
      <c r="AP446" s="1"/>
      <c r="AR446" s="1"/>
      <c r="AT446" s="1"/>
      <c r="AU446" s="1"/>
      <c r="AV446" s="1"/>
      <c r="AW446" s="1"/>
      <c r="AX446" s="5"/>
      <c r="AY446" s="5"/>
      <c r="AZ446" s="5"/>
      <c r="BA446" s="5"/>
      <c r="BB446" s="5"/>
      <c r="BC446" s="5"/>
      <c r="BF446" s="15"/>
      <c r="BG446" s="1"/>
      <c r="BH446" s="15"/>
      <c r="BI446" s="1"/>
      <c r="BJ446" s="1"/>
      <c r="BK446" s="1"/>
      <c r="BL446" s="1"/>
      <c r="BM446" s="1"/>
      <c r="BN446" s="1"/>
      <c r="BO446" s="1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DA446" s="1"/>
      <c r="DB446" s="868"/>
      <c r="DC446" s="868"/>
      <c r="DD446" s="1"/>
      <c r="DE446" s="1"/>
      <c r="DF446" s="1"/>
    </row>
    <row r="447">
      <c r="F447" s="1"/>
      <c r="H447" s="1"/>
      <c r="J447" s="1"/>
      <c r="L447" s="1"/>
      <c r="M447" s="1"/>
      <c r="N447" s="1"/>
      <c r="P447" s="1"/>
      <c r="R447" s="1"/>
      <c r="T447" s="1"/>
      <c r="V447" s="1"/>
      <c r="X447" s="1"/>
      <c r="Z447" s="1"/>
      <c r="AB447" s="1"/>
      <c r="AD447" s="1"/>
      <c r="AF447" s="1"/>
      <c r="AH447" s="1"/>
      <c r="AI447" s="1"/>
      <c r="AJ447" s="1"/>
      <c r="AL447" s="1"/>
      <c r="AN447" s="1"/>
      <c r="AP447" s="1"/>
      <c r="AR447" s="1"/>
      <c r="AT447" s="1"/>
      <c r="AU447" s="1"/>
      <c r="AV447" s="1"/>
      <c r="AW447" s="1"/>
      <c r="AX447" s="5"/>
      <c r="AY447" s="5"/>
      <c r="AZ447" s="5"/>
      <c r="BA447" s="5"/>
      <c r="BB447" s="5"/>
      <c r="BC447" s="5"/>
      <c r="BF447" s="15"/>
      <c r="BG447" s="1"/>
      <c r="BH447" s="15"/>
      <c r="BI447" s="1"/>
      <c r="BJ447" s="1"/>
      <c r="BK447" s="1"/>
      <c r="BL447" s="1"/>
      <c r="BM447" s="1"/>
      <c r="BN447" s="1"/>
      <c r="BO447" s="1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DA447" s="1"/>
      <c r="DB447" s="868"/>
      <c r="DC447" s="868"/>
      <c r="DD447" s="1"/>
      <c r="DE447" s="1"/>
      <c r="DF447" s="1"/>
    </row>
    <row r="448">
      <c r="F448" s="1"/>
      <c r="H448" s="1"/>
      <c r="J448" s="1"/>
      <c r="L448" s="1"/>
      <c r="M448" s="1"/>
      <c r="N448" s="1"/>
      <c r="P448" s="1"/>
      <c r="R448" s="1"/>
      <c r="T448" s="1"/>
      <c r="V448" s="1"/>
      <c r="X448" s="1"/>
      <c r="Z448" s="1"/>
      <c r="AB448" s="1"/>
      <c r="AD448" s="1"/>
      <c r="AF448" s="1"/>
      <c r="AH448" s="1"/>
      <c r="AI448" s="1"/>
      <c r="AJ448" s="1"/>
      <c r="AL448" s="1"/>
      <c r="AN448" s="1"/>
      <c r="AP448" s="1"/>
      <c r="AR448" s="1"/>
      <c r="AT448" s="1"/>
      <c r="AU448" s="1"/>
      <c r="AV448" s="1"/>
      <c r="AW448" s="1"/>
      <c r="AX448" s="5"/>
      <c r="AY448" s="5"/>
      <c r="AZ448" s="5"/>
      <c r="BA448" s="5"/>
      <c r="BB448" s="5"/>
      <c r="BC448" s="5"/>
      <c r="BF448" s="15"/>
      <c r="BG448" s="1"/>
      <c r="BH448" s="15"/>
      <c r="BI448" s="1"/>
      <c r="BJ448" s="1"/>
      <c r="BK448" s="1"/>
      <c r="BL448" s="1"/>
      <c r="BM448" s="1"/>
      <c r="BN448" s="1"/>
      <c r="BO448" s="1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DA448" s="1"/>
      <c r="DB448" s="868"/>
      <c r="DC448" s="868"/>
      <c r="DD448" s="1"/>
      <c r="DE448" s="1"/>
      <c r="DF448" s="1"/>
    </row>
    <row r="449">
      <c r="F449" s="1"/>
      <c r="H449" s="1"/>
      <c r="J449" s="1"/>
      <c r="L449" s="1"/>
      <c r="M449" s="1"/>
      <c r="N449" s="1"/>
      <c r="P449" s="1"/>
      <c r="R449" s="1"/>
      <c r="T449" s="1"/>
      <c r="V449" s="1"/>
      <c r="X449" s="1"/>
      <c r="Z449" s="1"/>
      <c r="AB449" s="1"/>
      <c r="AD449" s="1"/>
      <c r="AF449" s="1"/>
      <c r="AH449" s="1"/>
      <c r="AI449" s="1"/>
      <c r="AJ449" s="1"/>
      <c r="AL449" s="1"/>
      <c r="AN449" s="1"/>
      <c r="AP449" s="1"/>
      <c r="AR449" s="1"/>
      <c r="AT449" s="1"/>
      <c r="AU449" s="1"/>
      <c r="AV449" s="1"/>
      <c r="AW449" s="1"/>
      <c r="AX449" s="5"/>
      <c r="AY449" s="5"/>
      <c r="AZ449" s="5"/>
      <c r="BA449" s="5"/>
      <c r="BB449" s="5"/>
      <c r="BC449" s="5"/>
      <c r="BF449" s="15"/>
      <c r="BG449" s="1"/>
      <c r="BH449" s="15"/>
      <c r="BI449" s="1"/>
      <c r="BJ449" s="1"/>
      <c r="BK449" s="1"/>
      <c r="BL449" s="1"/>
      <c r="BM449" s="1"/>
      <c r="BN449" s="1"/>
      <c r="BO449" s="1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DA449" s="1"/>
      <c r="DB449" s="868"/>
      <c r="DC449" s="868"/>
      <c r="DD449" s="1"/>
      <c r="DE449" s="1"/>
      <c r="DF449" s="1"/>
    </row>
    <row r="450">
      <c r="F450" s="1"/>
      <c r="H450" s="1"/>
      <c r="J450" s="1"/>
      <c r="L450" s="1"/>
      <c r="M450" s="1"/>
      <c r="N450" s="1"/>
      <c r="P450" s="1"/>
      <c r="R450" s="1"/>
      <c r="T450" s="1"/>
      <c r="V450" s="1"/>
      <c r="X450" s="1"/>
      <c r="Z450" s="1"/>
      <c r="AB450" s="1"/>
      <c r="AD450" s="1"/>
      <c r="AF450" s="1"/>
      <c r="AH450" s="1"/>
      <c r="AI450" s="1"/>
      <c r="AJ450" s="1"/>
      <c r="AL450" s="1"/>
      <c r="AN450" s="1"/>
      <c r="AP450" s="1"/>
      <c r="AR450" s="1"/>
      <c r="AT450" s="1"/>
      <c r="AU450" s="1"/>
      <c r="AV450" s="1"/>
      <c r="AW450" s="1"/>
      <c r="AX450" s="5"/>
      <c r="AY450" s="5"/>
      <c r="AZ450" s="5"/>
      <c r="BA450" s="5"/>
      <c r="BB450" s="5"/>
      <c r="BC450" s="5"/>
      <c r="BF450" s="15"/>
      <c r="BG450" s="1"/>
      <c r="BH450" s="15"/>
      <c r="BI450" s="1"/>
      <c r="BJ450" s="1"/>
      <c r="BK450" s="1"/>
      <c r="BL450" s="1"/>
      <c r="BM450" s="1"/>
      <c r="BN450" s="1"/>
      <c r="BO450" s="1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DA450" s="1"/>
      <c r="DB450" s="868"/>
      <c r="DC450" s="868"/>
      <c r="DD450" s="1"/>
      <c r="DE450" s="1"/>
      <c r="DF450" s="1"/>
    </row>
    <row r="451">
      <c r="F451" s="1"/>
      <c r="H451" s="1"/>
      <c r="J451" s="1"/>
      <c r="L451" s="1"/>
      <c r="M451" s="1"/>
      <c r="N451" s="1"/>
      <c r="P451" s="1"/>
      <c r="R451" s="1"/>
      <c r="T451" s="1"/>
      <c r="V451" s="1"/>
      <c r="X451" s="1"/>
      <c r="Z451" s="1"/>
      <c r="AB451" s="1"/>
      <c r="AD451" s="1"/>
      <c r="AF451" s="1"/>
      <c r="AH451" s="1"/>
      <c r="AI451" s="1"/>
      <c r="AJ451" s="1"/>
      <c r="AL451" s="1"/>
      <c r="AN451" s="1"/>
      <c r="AP451" s="1"/>
      <c r="AR451" s="1"/>
      <c r="AT451" s="1"/>
      <c r="AU451" s="1"/>
      <c r="AV451" s="1"/>
      <c r="AW451" s="1"/>
      <c r="AX451" s="5"/>
      <c r="AY451" s="5"/>
      <c r="AZ451" s="5"/>
      <c r="BA451" s="5"/>
      <c r="BB451" s="5"/>
      <c r="BC451" s="5"/>
      <c r="BF451" s="15"/>
      <c r="BG451" s="1"/>
      <c r="BH451" s="15"/>
      <c r="BI451" s="1"/>
      <c r="BJ451" s="1"/>
      <c r="BK451" s="1"/>
      <c r="BL451" s="1"/>
      <c r="BM451" s="1"/>
      <c r="BN451" s="1"/>
      <c r="BO451" s="1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DA451" s="1"/>
      <c r="DB451" s="868"/>
      <c r="DC451" s="868"/>
      <c r="DD451" s="1"/>
      <c r="DE451" s="1"/>
      <c r="DF451" s="1"/>
    </row>
    <row r="452">
      <c r="F452" s="1"/>
      <c r="H452" s="1"/>
      <c r="J452" s="1"/>
      <c r="L452" s="1"/>
      <c r="M452" s="1"/>
      <c r="N452" s="1"/>
      <c r="P452" s="1"/>
      <c r="R452" s="1"/>
      <c r="T452" s="1"/>
      <c r="V452" s="1"/>
      <c r="X452" s="1"/>
      <c r="Z452" s="1"/>
      <c r="AB452" s="1"/>
      <c r="AD452" s="1"/>
      <c r="AF452" s="1"/>
      <c r="AH452" s="1"/>
      <c r="AI452" s="1"/>
      <c r="AJ452" s="1"/>
      <c r="AL452" s="1"/>
      <c r="AN452" s="1"/>
      <c r="AP452" s="1"/>
      <c r="AR452" s="1"/>
      <c r="AT452" s="1"/>
      <c r="AU452" s="1"/>
      <c r="AV452" s="1"/>
      <c r="AW452" s="1"/>
      <c r="AX452" s="5"/>
      <c r="AY452" s="5"/>
      <c r="AZ452" s="5"/>
      <c r="BA452" s="5"/>
      <c r="BB452" s="5"/>
      <c r="BC452" s="5"/>
      <c r="BF452" s="15"/>
      <c r="BG452" s="1"/>
      <c r="BH452" s="15"/>
      <c r="BI452" s="1"/>
      <c r="BJ452" s="1"/>
      <c r="BK452" s="1"/>
      <c r="BL452" s="1"/>
      <c r="BM452" s="1"/>
      <c r="BN452" s="1"/>
      <c r="BO452" s="1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DA452" s="1"/>
      <c r="DB452" s="868"/>
      <c r="DC452" s="868"/>
      <c r="DD452" s="1"/>
      <c r="DE452" s="1"/>
      <c r="DF452" s="1"/>
    </row>
    <row r="453">
      <c r="F453" s="1"/>
      <c r="H453" s="1"/>
      <c r="J453" s="1"/>
      <c r="L453" s="1"/>
      <c r="M453" s="1"/>
      <c r="N453" s="1"/>
      <c r="P453" s="1"/>
      <c r="R453" s="1"/>
      <c r="T453" s="1"/>
      <c r="V453" s="1"/>
      <c r="X453" s="1"/>
      <c r="Z453" s="1"/>
      <c r="AB453" s="1"/>
      <c r="AD453" s="1"/>
      <c r="AF453" s="1"/>
      <c r="AH453" s="1"/>
      <c r="AI453" s="1"/>
      <c r="AJ453" s="1"/>
      <c r="AL453" s="1"/>
      <c r="AN453" s="1"/>
      <c r="AP453" s="1"/>
      <c r="AR453" s="1"/>
      <c r="AT453" s="1"/>
      <c r="AU453" s="1"/>
      <c r="AV453" s="1"/>
      <c r="AW453" s="1"/>
      <c r="AX453" s="5"/>
      <c r="AY453" s="5"/>
      <c r="AZ453" s="5"/>
      <c r="BA453" s="5"/>
      <c r="BB453" s="5"/>
      <c r="BC453" s="5"/>
      <c r="BF453" s="15"/>
      <c r="BG453" s="1"/>
      <c r="BH453" s="15"/>
      <c r="BI453" s="1"/>
      <c r="BJ453" s="1"/>
      <c r="BK453" s="1"/>
      <c r="BL453" s="1"/>
      <c r="BM453" s="1"/>
      <c r="BN453" s="1"/>
      <c r="BO453" s="1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DA453" s="1"/>
      <c r="DB453" s="868"/>
      <c r="DC453" s="868"/>
      <c r="DD453" s="1"/>
      <c r="DE453" s="1"/>
      <c r="DF453" s="1"/>
    </row>
    <row r="454">
      <c r="F454" s="1"/>
      <c r="H454" s="1"/>
      <c r="J454" s="1"/>
      <c r="L454" s="1"/>
      <c r="M454" s="1"/>
      <c r="N454" s="1"/>
      <c r="P454" s="1"/>
      <c r="R454" s="1"/>
      <c r="T454" s="1"/>
      <c r="V454" s="1"/>
      <c r="X454" s="1"/>
      <c r="Z454" s="1"/>
      <c r="AB454" s="1"/>
      <c r="AD454" s="1"/>
      <c r="AF454" s="1"/>
      <c r="AH454" s="1"/>
      <c r="AI454" s="1"/>
      <c r="AJ454" s="1"/>
      <c r="AL454" s="1"/>
      <c r="AN454" s="1"/>
      <c r="AP454" s="1"/>
      <c r="AR454" s="1"/>
      <c r="AT454" s="1"/>
      <c r="AU454" s="1"/>
      <c r="AV454" s="1"/>
      <c r="AW454" s="1"/>
      <c r="AX454" s="5"/>
      <c r="AY454" s="5"/>
      <c r="AZ454" s="5"/>
      <c r="BA454" s="5"/>
      <c r="BB454" s="5"/>
      <c r="BC454" s="5"/>
      <c r="BF454" s="15"/>
      <c r="BG454" s="1"/>
      <c r="BH454" s="15"/>
      <c r="BI454" s="1"/>
      <c r="BJ454" s="1"/>
      <c r="BK454" s="1"/>
      <c r="BL454" s="1"/>
      <c r="BM454" s="1"/>
      <c r="BN454" s="1"/>
      <c r="BO454" s="1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DA454" s="1"/>
      <c r="DB454" s="868"/>
      <c r="DC454" s="868"/>
      <c r="DD454" s="1"/>
      <c r="DE454" s="1"/>
      <c r="DF454" s="1"/>
    </row>
    <row r="455">
      <c r="F455" s="1"/>
      <c r="H455" s="1"/>
      <c r="J455" s="1"/>
      <c r="L455" s="1"/>
      <c r="M455" s="1"/>
      <c r="N455" s="1"/>
      <c r="P455" s="1"/>
      <c r="R455" s="1"/>
      <c r="T455" s="1"/>
      <c r="V455" s="1"/>
      <c r="X455" s="1"/>
      <c r="Z455" s="1"/>
      <c r="AB455" s="1"/>
      <c r="AD455" s="1"/>
      <c r="AF455" s="1"/>
      <c r="AH455" s="1"/>
      <c r="AI455" s="1"/>
      <c r="AJ455" s="1"/>
      <c r="AL455" s="1"/>
      <c r="AN455" s="1"/>
      <c r="AP455" s="1"/>
      <c r="AR455" s="1"/>
      <c r="AT455" s="1"/>
      <c r="AU455" s="1"/>
      <c r="AV455" s="1"/>
      <c r="AW455" s="1"/>
      <c r="AX455" s="5"/>
      <c r="AY455" s="5"/>
      <c r="AZ455" s="5"/>
      <c r="BA455" s="5"/>
      <c r="BB455" s="5"/>
      <c r="BC455" s="5"/>
      <c r="BF455" s="15"/>
      <c r="BG455" s="1"/>
      <c r="BH455" s="15"/>
      <c r="BI455" s="1"/>
      <c r="BJ455" s="1"/>
      <c r="BK455" s="1"/>
      <c r="BL455" s="1"/>
      <c r="BM455" s="1"/>
      <c r="BN455" s="1"/>
      <c r="BO455" s="1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DA455" s="1"/>
      <c r="DB455" s="868"/>
      <c r="DC455" s="868"/>
      <c r="DD455" s="1"/>
      <c r="DE455" s="1"/>
      <c r="DF455" s="1"/>
    </row>
    <row r="456">
      <c r="F456" s="1"/>
      <c r="H456" s="1"/>
      <c r="J456" s="1"/>
      <c r="L456" s="1"/>
      <c r="M456" s="1"/>
      <c r="N456" s="1"/>
      <c r="P456" s="1"/>
      <c r="R456" s="1"/>
      <c r="T456" s="1"/>
      <c r="V456" s="1"/>
      <c r="X456" s="1"/>
      <c r="Z456" s="1"/>
      <c r="AB456" s="1"/>
      <c r="AD456" s="1"/>
      <c r="AF456" s="1"/>
      <c r="AH456" s="1"/>
      <c r="AI456" s="1"/>
      <c r="AJ456" s="1"/>
      <c r="AL456" s="1"/>
      <c r="AN456" s="1"/>
      <c r="AP456" s="1"/>
      <c r="AR456" s="1"/>
      <c r="AT456" s="1"/>
      <c r="AU456" s="1"/>
      <c r="AV456" s="1"/>
      <c r="AW456" s="1"/>
      <c r="AX456" s="5"/>
      <c r="AY456" s="5"/>
      <c r="AZ456" s="5"/>
      <c r="BA456" s="5"/>
      <c r="BB456" s="5"/>
      <c r="BC456" s="5"/>
      <c r="BF456" s="15"/>
      <c r="BG456" s="1"/>
      <c r="BH456" s="15"/>
      <c r="BI456" s="1"/>
      <c r="BJ456" s="1"/>
      <c r="BK456" s="1"/>
      <c r="BL456" s="1"/>
      <c r="BM456" s="1"/>
      <c r="BN456" s="1"/>
      <c r="BO456" s="1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DA456" s="1"/>
      <c r="DB456" s="868"/>
      <c r="DC456" s="868"/>
      <c r="DD456" s="1"/>
      <c r="DE456" s="1"/>
      <c r="DF456" s="1"/>
    </row>
    <row r="457">
      <c r="F457" s="1"/>
      <c r="H457" s="1"/>
      <c r="J457" s="1"/>
      <c r="L457" s="1"/>
      <c r="M457" s="1"/>
      <c r="N457" s="1"/>
      <c r="P457" s="1"/>
      <c r="R457" s="1"/>
      <c r="T457" s="1"/>
      <c r="V457" s="1"/>
      <c r="X457" s="1"/>
      <c r="Z457" s="1"/>
      <c r="AB457" s="1"/>
      <c r="AD457" s="1"/>
      <c r="AF457" s="1"/>
      <c r="AH457" s="1"/>
      <c r="AI457" s="1"/>
      <c r="AJ457" s="1"/>
      <c r="AL457" s="1"/>
      <c r="AN457" s="1"/>
      <c r="AP457" s="1"/>
      <c r="AR457" s="1"/>
      <c r="AT457" s="1"/>
      <c r="AU457" s="1"/>
      <c r="AV457" s="1"/>
      <c r="AW457" s="1"/>
      <c r="AX457" s="5"/>
      <c r="AY457" s="5"/>
      <c r="AZ457" s="5"/>
      <c r="BA457" s="5"/>
      <c r="BB457" s="5"/>
      <c r="BC457" s="5"/>
      <c r="BF457" s="15"/>
      <c r="BG457" s="1"/>
      <c r="BH457" s="15"/>
      <c r="BI457" s="1"/>
      <c r="BJ457" s="1"/>
      <c r="BK457" s="1"/>
      <c r="BL457" s="1"/>
      <c r="BM457" s="1"/>
      <c r="BN457" s="1"/>
      <c r="BO457" s="1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DA457" s="1"/>
      <c r="DB457" s="868"/>
      <c r="DC457" s="868"/>
      <c r="DD457" s="1"/>
      <c r="DE457" s="1"/>
      <c r="DF457" s="1"/>
    </row>
    <row r="458">
      <c r="F458" s="1"/>
      <c r="H458" s="1"/>
      <c r="J458" s="1"/>
      <c r="L458" s="1"/>
      <c r="M458" s="1"/>
      <c r="N458" s="1"/>
      <c r="P458" s="1"/>
      <c r="R458" s="1"/>
      <c r="T458" s="1"/>
      <c r="V458" s="1"/>
      <c r="X458" s="1"/>
      <c r="Z458" s="1"/>
      <c r="AB458" s="1"/>
      <c r="AD458" s="1"/>
      <c r="AF458" s="1"/>
      <c r="AH458" s="1"/>
      <c r="AI458" s="1"/>
      <c r="AJ458" s="1"/>
      <c r="AL458" s="1"/>
      <c r="AN458" s="1"/>
      <c r="AP458" s="1"/>
      <c r="AR458" s="1"/>
      <c r="AT458" s="1"/>
      <c r="AU458" s="1"/>
      <c r="AV458" s="1"/>
      <c r="AW458" s="1"/>
      <c r="AX458" s="5"/>
      <c r="AY458" s="5"/>
      <c r="AZ458" s="5"/>
      <c r="BA458" s="5"/>
      <c r="BB458" s="5"/>
      <c r="BC458" s="5"/>
      <c r="BF458" s="15"/>
      <c r="BG458" s="1"/>
      <c r="BH458" s="15"/>
      <c r="BI458" s="1"/>
      <c r="BJ458" s="1"/>
      <c r="BK458" s="1"/>
      <c r="BL458" s="1"/>
      <c r="BM458" s="1"/>
      <c r="BN458" s="1"/>
      <c r="BO458" s="1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DA458" s="1"/>
      <c r="DB458" s="868"/>
      <c r="DC458" s="868"/>
      <c r="DD458" s="1"/>
      <c r="DE458" s="1"/>
      <c r="DF458" s="1"/>
    </row>
    <row r="459">
      <c r="F459" s="1"/>
      <c r="H459" s="1"/>
      <c r="J459" s="1"/>
      <c r="L459" s="1"/>
      <c r="M459" s="1"/>
      <c r="N459" s="1"/>
      <c r="P459" s="1"/>
      <c r="R459" s="1"/>
      <c r="T459" s="1"/>
      <c r="V459" s="1"/>
      <c r="X459" s="1"/>
      <c r="Z459" s="1"/>
      <c r="AB459" s="1"/>
      <c r="AD459" s="1"/>
      <c r="AF459" s="1"/>
      <c r="AH459" s="1"/>
      <c r="AI459" s="1"/>
      <c r="AJ459" s="1"/>
      <c r="AL459" s="1"/>
      <c r="AN459" s="1"/>
      <c r="AP459" s="1"/>
      <c r="AR459" s="1"/>
      <c r="AT459" s="1"/>
      <c r="AU459" s="1"/>
      <c r="AV459" s="1"/>
      <c r="AW459" s="1"/>
      <c r="AX459" s="5"/>
      <c r="AY459" s="5"/>
      <c r="AZ459" s="5"/>
      <c r="BA459" s="5"/>
      <c r="BB459" s="5"/>
      <c r="BC459" s="5"/>
      <c r="BF459" s="15"/>
      <c r="BG459" s="1"/>
      <c r="BH459" s="15"/>
      <c r="BI459" s="1"/>
      <c r="BJ459" s="1"/>
      <c r="BK459" s="1"/>
      <c r="BL459" s="1"/>
      <c r="BM459" s="1"/>
      <c r="BN459" s="1"/>
      <c r="BO459" s="1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DA459" s="1"/>
      <c r="DB459" s="868"/>
      <c r="DC459" s="868"/>
      <c r="DD459" s="1"/>
      <c r="DE459" s="1"/>
      <c r="DF459" s="1"/>
    </row>
    <row r="460">
      <c r="F460" s="1"/>
      <c r="H460" s="1"/>
      <c r="J460" s="1"/>
      <c r="L460" s="1"/>
      <c r="M460" s="1"/>
      <c r="N460" s="1"/>
      <c r="P460" s="1"/>
      <c r="R460" s="1"/>
      <c r="T460" s="1"/>
      <c r="V460" s="1"/>
      <c r="X460" s="1"/>
      <c r="Z460" s="1"/>
      <c r="AB460" s="1"/>
      <c r="AD460" s="1"/>
      <c r="AF460" s="1"/>
      <c r="AH460" s="1"/>
      <c r="AI460" s="1"/>
      <c r="AJ460" s="1"/>
      <c r="AL460" s="1"/>
      <c r="AN460" s="1"/>
      <c r="AP460" s="1"/>
      <c r="AR460" s="1"/>
      <c r="AT460" s="1"/>
      <c r="AU460" s="1"/>
      <c r="AV460" s="1"/>
      <c r="AW460" s="1"/>
      <c r="AX460" s="5"/>
      <c r="AY460" s="5"/>
      <c r="AZ460" s="5"/>
      <c r="BA460" s="5"/>
      <c r="BB460" s="5"/>
      <c r="BC460" s="5"/>
      <c r="BF460" s="15"/>
      <c r="BG460" s="1"/>
      <c r="BH460" s="15"/>
      <c r="BI460" s="1"/>
      <c r="BJ460" s="1"/>
      <c r="BK460" s="1"/>
      <c r="BL460" s="1"/>
      <c r="BM460" s="1"/>
      <c r="BN460" s="1"/>
      <c r="BO460" s="1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DA460" s="1"/>
      <c r="DB460" s="868"/>
      <c r="DC460" s="868"/>
      <c r="DD460" s="1"/>
      <c r="DE460" s="1"/>
      <c r="DF460" s="1"/>
    </row>
    <row r="461">
      <c r="F461" s="1"/>
      <c r="H461" s="1"/>
      <c r="J461" s="1"/>
      <c r="L461" s="1"/>
      <c r="M461" s="1"/>
      <c r="N461" s="1"/>
      <c r="P461" s="1"/>
      <c r="R461" s="1"/>
      <c r="T461" s="1"/>
      <c r="V461" s="1"/>
      <c r="X461" s="1"/>
      <c r="Z461" s="1"/>
      <c r="AB461" s="1"/>
      <c r="AD461" s="1"/>
      <c r="AF461" s="1"/>
      <c r="AH461" s="1"/>
      <c r="AI461" s="1"/>
      <c r="AJ461" s="1"/>
      <c r="AL461" s="1"/>
      <c r="AN461" s="1"/>
      <c r="AP461" s="1"/>
      <c r="AR461" s="1"/>
      <c r="AT461" s="1"/>
      <c r="AU461" s="1"/>
      <c r="AV461" s="1"/>
      <c r="AW461" s="1"/>
      <c r="AX461" s="5"/>
      <c r="AY461" s="5"/>
      <c r="AZ461" s="5"/>
      <c r="BA461" s="5"/>
      <c r="BB461" s="5"/>
      <c r="BC461" s="5"/>
      <c r="BF461" s="15"/>
      <c r="BG461" s="1"/>
      <c r="BH461" s="15"/>
      <c r="BI461" s="1"/>
      <c r="BJ461" s="1"/>
      <c r="BK461" s="1"/>
      <c r="BL461" s="1"/>
      <c r="BM461" s="1"/>
      <c r="BN461" s="1"/>
      <c r="BO461" s="1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DA461" s="1"/>
      <c r="DB461" s="868"/>
      <c r="DC461" s="868"/>
      <c r="DD461" s="1"/>
      <c r="DE461" s="1"/>
      <c r="DF461" s="1"/>
    </row>
    <row r="462">
      <c r="F462" s="1"/>
      <c r="H462" s="1"/>
      <c r="J462" s="1"/>
      <c r="L462" s="1"/>
      <c r="M462" s="1"/>
      <c r="N462" s="1"/>
      <c r="P462" s="1"/>
      <c r="R462" s="1"/>
      <c r="T462" s="1"/>
      <c r="V462" s="1"/>
      <c r="X462" s="1"/>
      <c r="Z462" s="1"/>
      <c r="AB462" s="1"/>
      <c r="AD462" s="1"/>
      <c r="AF462" s="1"/>
      <c r="AH462" s="1"/>
      <c r="AI462" s="1"/>
      <c r="AJ462" s="1"/>
      <c r="AL462" s="1"/>
      <c r="AN462" s="1"/>
      <c r="AP462" s="1"/>
      <c r="AR462" s="1"/>
      <c r="AT462" s="1"/>
      <c r="AU462" s="1"/>
      <c r="AV462" s="1"/>
      <c r="AW462" s="1"/>
      <c r="AX462" s="5"/>
      <c r="AY462" s="5"/>
      <c r="AZ462" s="5"/>
      <c r="BA462" s="5"/>
      <c r="BB462" s="5"/>
      <c r="BC462" s="5"/>
      <c r="BF462" s="15"/>
      <c r="BG462" s="1"/>
      <c r="BH462" s="15"/>
      <c r="BI462" s="1"/>
      <c r="BJ462" s="1"/>
      <c r="BK462" s="1"/>
      <c r="BL462" s="1"/>
      <c r="BM462" s="1"/>
      <c r="BN462" s="1"/>
      <c r="BO462" s="1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DA462" s="1"/>
      <c r="DB462" s="868"/>
      <c r="DC462" s="868"/>
      <c r="DD462" s="1"/>
      <c r="DE462" s="1"/>
      <c r="DF462" s="1"/>
    </row>
    <row r="463">
      <c r="F463" s="1"/>
      <c r="H463" s="1"/>
      <c r="J463" s="1"/>
      <c r="L463" s="1"/>
      <c r="M463" s="1"/>
      <c r="N463" s="1"/>
      <c r="P463" s="1"/>
      <c r="R463" s="1"/>
      <c r="T463" s="1"/>
      <c r="V463" s="1"/>
      <c r="X463" s="1"/>
      <c r="Z463" s="1"/>
      <c r="AB463" s="1"/>
      <c r="AD463" s="1"/>
      <c r="AF463" s="1"/>
      <c r="AH463" s="1"/>
      <c r="AI463" s="1"/>
      <c r="AJ463" s="1"/>
      <c r="AL463" s="1"/>
      <c r="AN463" s="1"/>
      <c r="AP463" s="1"/>
      <c r="AR463" s="1"/>
      <c r="AT463" s="1"/>
      <c r="AU463" s="1"/>
      <c r="AV463" s="1"/>
      <c r="AW463" s="1"/>
      <c r="AX463" s="5"/>
      <c r="AY463" s="5"/>
      <c r="AZ463" s="5"/>
      <c r="BA463" s="5"/>
      <c r="BB463" s="5"/>
      <c r="BC463" s="5"/>
      <c r="BF463" s="15"/>
      <c r="BG463" s="1"/>
      <c r="BH463" s="15"/>
      <c r="BI463" s="1"/>
      <c r="BJ463" s="1"/>
      <c r="BK463" s="1"/>
      <c r="BL463" s="1"/>
      <c r="BM463" s="1"/>
      <c r="BN463" s="1"/>
      <c r="BO463" s="1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DA463" s="1"/>
      <c r="DB463" s="868"/>
      <c r="DC463" s="868"/>
      <c r="DD463" s="1"/>
      <c r="DE463" s="1"/>
      <c r="DF463" s="1"/>
    </row>
    <row r="464">
      <c r="F464" s="1"/>
      <c r="H464" s="1"/>
      <c r="J464" s="1"/>
      <c r="L464" s="1"/>
      <c r="M464" s="1"/>
      <c r="N464" s="1"/>
      <c r="P464" s="1"/>
      <c r="R464" s="1"/>
      <c r="T464" s="1"/>
      <c r="V464" s="1"/>
      <c r="X464" s="1"/>
      <c r="Z464" s="1"/>
      <c r="AB464" s="1"/>
      <c r="AD464" s="1"/>
      <c r="AF464" s="1"/>
      <c r="AH464" s="1"/>
      <c r="AI464" s="1"/>
      <c r="AJ464" s="1"/>
      <c r="AL464" s="1"/>
      <c r="AN464" s="1"/>
      <c r="AP464" s="1"/>
      <c r="AR464" s="1"/>
      <c r="AT464" s="1"/>
      <c r="AU464" s="1"/>
      <c r="AV464" s="1"/>
      <c r="AW464" s="1"/>
      <c r="AX464" s="5"/>
      <c r="AY464" s="5"/>
      <c r="AZ464" s="5"/>
      <c r="BA464" s="5"/>
      <c r="BB464" s="5"/>
      <c r="BC464" s="5"/>
      <c r="BF464" s="15"/>
      <c r="BG464" s="1"/>
      <c r="BH464" s="15"/>
      <c r="BI464" s="1"/>
      <c r="BJ464" s="1"/>
      <c r="BK464" s="1"/>
      <c r="BL464" s="1"/>
      <c r="BM464" s="1"/>
      <c r="BN464" s="1"/>
      <c r="BO464" s="1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DA464" s="1"/>
      <c r="DB464" s="868"/>
      <c r="DC464" s="868"/>
      <c r="DD464" s="1"/>
      <c r="DE464" s="1"/>
      <c r="DF464" s="1"/>
    </row>
    <row r="465">
      <c r="F465" s="1"/>
      <c r="H465" s="1"/>
      <c r="J465" s="1"/>
      <c r="L465" s="1"/>
      <c r="M465" s="1"/>
      <c r="N465" s="1"/>
      <c r="P465" s="1"/>
      <c r="R465" s="1"/>
      <c r="T465" s="1"/>
      <c r="V465" s="1"/>
      <c r="X465" s="1"/>
      <c r="Z465" s="1"/>
      <c r="AB465" s="1"/>
      <c r="AD465" s="1"/>
      <c r="AF465" s="1"/>
      <c r="AH465" s="1"/>
      <c r="AI465" s="1"/>
      <c r="AJ465" s="1"/>
      <c r="AL465" s="1"/>
      <c r="AN465" s="1"/>
      <c r="AP465" s="1"/>
      <c r="AR465" s="1"/>
      <c r="AT465" s="1"/>
      <c r="AU465" s="1"/>
      <c r="AV465" s="1"/>
      <c r="AW465" s="1"/>
      <c r="AX465" s="5"/>
      <c r="AY465" s="5"/>
      <c r="AZ465" s="5"/>
      <c r="BA465" s="5"/>
      <c r="BB465" s="5"/>
      <c r="BC465" s="5"/>
      <c r="BF465" s="15"/>
      <c r="BG465" s="1"/>
      <c r="BH465" s="15"/>
      <c r="BI465" s="1"/>
      <c r="BJ465" s="1"/>
      <c r="BK465" s="1"/>
      <c r="BL465" s="1"/>
      <c r="BM465" s="1"/>
      <c r="BN465" s="1"/>
      <c r="BO465" s="1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DA465" s="1"/>
      <c r="DB465" s="868"/>
      <c r="DC465" s="868"/>
      <c r="DD465" s="1"/>
      <c r="DE465" s="1"/>
      <c r="DF465" s="1"/>
    </row>
    <row r="466">
      <c r="F466" s="1"/>
      <c r="H466" s="1"/>
      <c r="J466" s="1"/>
      <c r="L466" s="1"/>
      <c r="M466" s="1"/>
      <c r="N466" s="1"/>
      <c r="P466" s="1"/>
      <c r="R466" s="1"/>
      <c r="T466" s="1"/>
      <c r="V466" s="1"/>
      <c r="X466" s="1"/>
      <c r="Z466" s="1"/>
      <c r="AB466" s="1"/>
      <c r="AD466" s="1"/>
      <c r="AF466" s="1"/>
      <c r="AH466" s="1"/>
      <c r="AI466" s="1"/>
      <c r="AJ466" s="1"/>
      <c r="AL466" s="1"/>
      <c r="AN466" s="1"/>
      <c r="AP466" s="1"/>
      <c r="AR466" s="1"/>
      <c r="AT466" s="1"/>
      <c r="AU466" s="1"/>
      <c r="AV466" s="1"/>
      <c r="AW466" s="1"/>
      <c r="AX466" s="5"/>
      <c r="AY466" s="5"/>
      <c r="AZ466" s="5"/>
      <c r="BA466" s="5"/>
      <c r="BB466" s="5"/>
      <c r="BC466" s="5"/>
      <c r="BF466" s="15"/>
      <c r="BG466" s="1"/>
      <c r="BH466" s="15"/>
      <c r="BI466" s="1"/>
      <c r="BJ466" s="1"/>
      <c r="BK466" s="1"/>
      <c r="BL466" s="1"/>
      <c r="BM466" s="1"/>
      <c r="BN466" s="1"/>
      <c r="BO466" s="1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DA466" s="1"/>
      <c r="DB466" s="868"/>
      <c r="DC466" s="868"/>
      <c r="DD466" s="1"/>
      <c r="DE466" s="1"/>
      <c r="DF466" s="1"/>
    </row>
    <row r="467">
      <c r="F467" s="1"/>
      <c r="H467" s="1"/>
      <c r="J467" s="1"/>
      <c r="L467" s="1"/>
      <c r="M467" s="1"/>
      <c r="N467" s="1"/>
      <c r="P467" s="1"/>
      <c r="R467" s="1"/>
      <c r="T467" s="1"/>
      <c r="V467" s="1"/>
      <c r="X467" s="1"/>
      <c r="Z467" s="1"/>
      <c r="AB467" s="1"/>
      <c r="AD467" s="1"/>
      <c r="AF467" s="1"/>
      <c r="AH467" s="1"/>
      <c r="AI467" s="1"/>
      <c r="AJ467" s="1"/>
      <c r="AL467" s="1"/>
      <c r="AN467" s="1"/>
      <c r="AP467" s="1"/>
      <c r="AR467" s="1"/>
      <c r="AT467" s="1"/>
      <c r="AU467" s="1"/>
      <c r="AV467" s="1"/>
      <c r="AW467" s="1"/>
      <c r="AX467" s="5"/>
      <c r="AY467" s="5"/>
      <c r="AZ467" s="5"/>
      <c r="BA467" s="5"/>
      <c r="BB467" s="5"/>
      <c r="BC467" s="5"/>
      <c r="BF467" s="15"/>
      <c r="BG467" s="1"/>
      <c r="BH467" s="15"/>
      <c r="BI467" s="1"/>
      <c r="BJ467" s="1"/>
      <c r="BK467" s="1"/>
      <c r="BL467" s="1"/>
      <c r="BM467" s="1"/>
      <c r="BN467" s="1"/>
      <c r="BO467" s="1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DA467" s="1"/>
      <c r="DB467" s="868"/>
      <c r="DC467" s="868"/>
      <c r="DD467" s="1"/>
      <c r="DE467" s="1"/>
      <c r="DF467" s="1"/>
    </row>
    <row r="468">
      <c r="F468" s="1"/>
      <c r="H468" s="1"/>
      <c r="J468" s="1"/>
      <c r="L468" s="1"/>
      <c r="M468" s="1"/>
      <c r="N468" s="1"/>
      <c r="P468" s="1"/>
      <c r="R468" s="1"/>
      <c r="T468" s="1"/>
      <c r="V468" s="1"/>
      <c r="X468" s="1"/>
      <c r="Z468" s="1"/>
      <c r="AB468" s="1"/>
      <c r="AD468" s="1"/>
      <c r="AF468" s="1"/>
      <c r="AH468" s="1"/>
      <c r="AI468" s="1"/>
      <c r="AJ468" s="1"/>
      <c r="AL468" s="1"/>
      <c r="AN468" s="1"/>
      <c r="AP468" s="1"/>
      <c r="AR468" s="1"/>
      <c r="AT468" s="1"/>
      <c r="AU468" s="1"/>
      <c r="AV468" s="1"/>
      <c r="AW468" s="1"/>
      <c r="AX468" s="5"/>
      <c r="AY468" s="5"/>
      <c r="AZ468" s="5"/>
      <c r="BA468" s="5"/>
      <c r="BB468" s="5"/>
      <c r="BC468" s="5"/>
      <c r="BF468" s="15"/>
      <c r="BG468" s="1"/>
      <c r="BH468" s="15"/>
      <c r="BI468" s="1"/>
      <c r="BJ468" s="1"/>
      <c r="BK468" s="1"/>
      <c r="BL468" s="1"/>
      <c r="BM468" s="1"/>
      <c r="BN468" s="1"/>
      <c r="BO468" s="1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DA468" s="1"/>
      <c r="DB468" s="868"/>
      <c r="DC468" s="868"/>
      <c r="DD468" s="1"/>
      <c r="DE468" s="1"/>
      <c r="DF468" s="1"/>
    </row>
    <row r="469">
      <c r="F469" s="1"/>
      <c r="H469" s="1"/>
      <c r="J469" s="1"/>
      <c r="L469" s="1"/>
      <c r="M469" s="1"/>
      <c r="N469" s="1"/>
      <c r="P469" s="1"/>
      <c r="R469" s="1"/>
      <c r="T469" s="1"/>
      <c r="V469" s="1"/>
      <c r="X469" s="1"/>
      <c r="Z469" s="1"/>
      <c r="AB469" s="1"/>
      <c r="AD469" s="1"/>
      <c r="AF469" s="1"/>
      <c r="AH469" s="1"/>
      <c r="AI469" s="1"/>
      <c r="AJ469" s="1"/>
      <c r="AL469" s="1"/>
      <c r="AN469" s="1"/>
      <c r="AP469" s="1"/>
      <c r="AR469" s="1"/>
      <c r="AT469" s="1"/>
      <c r="AU469" s="1"/>
      <c r="AV469" s="1"/>
      <c r="AW469" s="1"/>
      <c r="AX469" s="5"/>
      <c r="AY469" s="5"/>
      <c r="AZ469" s="5"/>
      <c r="BA469" s="5"/>
      <c r="BB469" s="5"/>
      <c r="BC469" s="5"/>
      <c r="BF469" s="15"/>
      <c r="BG469" s="1"/>
      <c r="BH469" s="15"/>
      <c r="BI469" s="1"/>
      <c r="BJ469" s="1"/>
      <c r="BK469" s="1"/>
      <c r="BL469" s="1"/>
      <c r="BM469" s="1"/>
      <c r="BN469" s="1"/>
      <c r="BO469" s="1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DA469" s="1"/>
      <c r="DB469" s="868"/>
      <c r="DC469" s="868"/>
      <c r="DD469" s="1"/>
      <c r="DE469" s="1"/>
      <c r="DF469" s="1"/>
    </row>
    <row r="470">
      <c r="F470" s="1"/>
      <c r="H470" s="1"/>
      <c r="J470" s="1"/>
      <c r="L470" s="1"/>
      <c r="M470" s="1"/>
      <c r="N470" s="1"/>
      <c r="P470" s="1"/>
      <c r="R470" s="1"/>
      <c r="T470" s="1"/>
      <c r="V470" s="1"/>
      <c r="X470" s="1"/>
      <c r="Z470" s="1"/>
      <c r="AB470" s="1"/>
      <c r="AD470" s="1"/>
      <c r="AF470" s="1"/>
      <c r="AH470" s="1"/>
      <c r="AI470" s="1"/>
      <c r="AJ470" s="1"/>
      <c r="AL470" s="1"/>
      <c r="AN470" s="1"/>
      <c r="AP470" s="1"/>
      <c r="AR470" s="1"/>
      <c r="AT470" s="1"/>
      <c r="AU470" s="1"/>
      <c r="AV470" s="1"/>
      <c r="AW470" s="1"/>
      <c r="AX470" s="5"/>
      <c r="AY470" s="5"/>
      <c r="AZ470" s="5"/>
      <c r="BA470" s="5"/>
      <c r="BB470" s="5"/>
      <c r="BC470" s="5"/>
      <c r="BF470" s="15"/>
      <c r="BG470" s="1"/>
      <c r="BH470" s="15"/>
      <c r="BI470" s="1"/>
      <c r="BJ470" s="1"/>
      <c r="BK470" s="1"/>
      <c r="BL470" s="1"/>
      <c r="BM470" s="1"/>
      <c r="BN470" s="1"/>
      <c r="BO470" s="1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DA470" s="1"/>
      <c r="DB470" s="868"/>
      <c r="DC470" s="868"/>
      <c r="DD470" s="1"/>
      <c r="DE470" s="1"/>
      <c r="DF470" s="1"/>
    </row>
    <row r="471">
      <c r="F471" s="1"/>
      <c r="H471" s="1"/>
      <c r="J471" s="1"/>
      <c r="L471" s="1"/>
      <c r="M471" s="1"/>
      <c r="N471" s="1"/>
      <c r="P471" s="1"/>
      <c r="R471" s="1"/>
      <c r="T471" s="1"/>
      <c r="V471" s="1"/>
      <c r="X471" s="1"/>
      <c r="Z471" s="1"/>
      <c r="AB471" s="1"/>
      <c r="AD471" s="1"/>
      <c r="AF471" s="1"/>
      <c r="AH471" s="1"/>
      <c r="AI471" s="1"/>
      <c r="AJ471" s="1"/>
      <c r="AL471" s="1"/>
      <c r="AN471" s="1"/>
      <c r="AP471" s="1"/>
      <c r="AR471" s="1"/>
      <c r="AT471" s="1"/>
      <c r="AU471" s="1"/>
      <c r="AV471" s="1"/>
      <c r="AW471" s="1"/>
      <c r="AX471" s="5"/>
      <c r="AY471" s="5"/>
      <c r="AZ471" s="5"/>
      <c r="BA471" s="5"/>
      <c r="BB471" s="5"/>
      <c r="BC471" s="5"/>
      <c r="BF471" s="15"/>
      <c r="BG471" s="1"/>
      <c r="BH471" s="15"/>
      <c r="BI471" s="1"/>
      <c r="BJ471" s="1"/>
      <c r="BK471" s="1"/>
      <c r="BL471" s="1"/>
      <c r="BM471" s="1"/>
      <c r="BN471" s="1"/>
      <c r="BO471" s="1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DA471" s="1"/>
      <c r="DB471" s="868"/>
      <c r="DC471" s="868"/>
      <c r="DD471" s="1"/>
      <c r="DE471" s="1"/>
      <c r="DF471" s="1"/>
    </row>
    <row r="472">
      <c r="F472" s="1"/>
      <c r="H472" s="1"/>
      <c r="J472" s="1"/>
      <c r="L472" s="1"/>
      <c r="M472" s="1"/>
      <c r="N472" s="1"/>
      <c r="P472" s="1"/>
      <c r="R472" s="1"/>
      <c r="T472" s="1"/>
      <c r="V472" s="1"/>
      <c r="X472" s="1"/>
      <c r="Z472" s="1"/>
      <c r="AB472" s="1"/>
      <c r="AD472" s="1"/>
      <c r="AF472" s="1"/>
      <c r="AH472" s="1"/>
      <c r="AI472" s="1"/>
      <c r="AJ472" s="1"/>
      <c r="AL472" s="1"/>
      <c r="AN472" s="1"/>
      <c r="AP472" s="1"/>
      <c r="AR472" s="1"/>
      <c r="AT472" s="1"/>
      <c r="AU472" s="1"/>
      <c r="AV472" s="1"/>
      <c r="AW472" s="1"/>
      <c r="AX472" s="5"/>
      <c r="AY472" s="5"/>
      <c r="AZ472" s="5"/>
      <c r="BA472" s="5"/>
      <c r="BB472" s="5"/>
      <c r="BC472" s="5"/>
      <c r="BF472" s="15"/>
      <c r="BG472" s="1"/>
      <c r="BH472" s="15"/>
      <c r="BI472" s="1"/>
      <c r="BJ472" s="1"/>
      <c r="BK472" s="1"/>
      <c r="BL472" s="1"/>
      <c r="BM472" s="1"/>
      <c r="BN472" s="1"/>
      <c r="BO472" s="1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DA472" s="1"/>
      <c r="DB472" s="868"/>
      <c r="DC472" s="868"/>
      <c r="DD472" s="1"/>
      <c r="DE472" s="1"/>
      <c r="DF472" s="1"/>
    </row>
    <row r="473">
      <c r="F473" s="1"/>
      <c r="H473" s="1"/>
      <c r="J473" s="1"/>
      <c r="L473" s="1"/>
      <c r="M473" s="1"/>
      <c r="N473" s="1"/>
      <c r="P473" s="1"/>
      <c r="R473" s="1"/>
      <c r="T473" s="1"/>
      <c r="V473" s="1"/>
      <c r="X473" s="1"/>
      <c r="Z473" s="1"/>
      <c r="AB473" s="1"/>
      <c r="AD473" s="1"/>
      <c r="AF473" s="1"/>
      <c r="AH473" s="1"/>
      <c r="AI473" s="1"/>
      <c r="AJ473" s="1"/>
      <c r="AL473" s="1"/>
      <c r="AN473" s="1"/>
      <c r="AP473" s="1"/>
      <c r="AR473" s="1"/>
      <c r="AT473" s="1"/>
      <c r="AU473" s="1"/>
      <c r="AV473" s="1"/>
      <c r="AW473" s="1"/>
      <c r="AX473" s="5"/>
      <c r="AY473" s="5"/>
      <c r="AZ473" s="5"/>
      <c r="BA473" s="5"/>
      <c r="BB473" s="5"/>
      <c r="BC473" s="5"/>
      <c r="BF473" s="15"/>
      <c r="BG473" s="1"/>
      <c r="BH473" s="15"/>
      <c r="BI473" s="1"/>
      <c r="BJ473" s="1"/>
      <c r="BK473" s="1"/>
      <c r="BL473" s="1"/>
      <c r="BM473" s="1"/>
      <c r="BN473" s="1"/>
      <c r="BO473" s="1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DA473" s="1"/>
      <c r="DB473" s="868"/>
      <c r="DC473" s="868"/>
      <c r="DD473" s="1"/>
      <c r="DE473" s="1"/>
      <c r="DF473" s="1"/>
    </row>
    <row r="474">
      <c r="F474" s="1"/>
      <c r="H474" s="1"/>
      <c r="J474" s="1"/>
      <c r="L474" s="1"/>
      <c r="M474" s="1"/>
      <c r="N474" s="1"/>
      <c r="P474" s="1"/>
      <c r="R474" s="1"/>
      <c r="T474" s="1"/>
      <c r="V474" s="1"/>
      <c r="X474" s="1"/>
      <c r="Z474" s="1"/>
      <c r="AB474" s="1"/>
      <c r="AD474" s="1"/>
      <c r="AF474" s="1"/>
      <c r="AH474" s="1"/>
      <c r="AI474" s="1"/>
      <c r="AJ474" s="1"/>
      <c r="AL474" s="1"/>
      <c r="AN474" s="1"/>
      <c r="AP474" s="1"/>
      <c r="AR474" s="1"/>
      <c r="AT474" s="1"/>
      <c r="AU474" s="1"/>
      <c r="AV474" s="1"/>
      <c r="AW474" s="1"/>
      <c r="AX474" s="5"/>
      <c r="AY474" s="5"/>
      <c r="AZ474" s="5"/>
      <c r="BA474" s="5"/>
      <c r="BB474" s="5"/>
      <c r="BC474" s="5"/>
      <c r="BF474" s="15"/>
      <c r="BG474" s="1"/>
      <c r="BH474" s="15"/>
      <c r="BI474" s="1"/>
      <c r="BJ474" s="1"/>
      <c r="BK474" s="1"/>
      <c r="BL474" s="1"/>
      <c r="BM474" s="1"/>
      <c r="BN474" s="1"/>
      <c r="BO474" s="1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DA474" s="1"/>
      <c r="DB474" s="868"/>
      <c r="DC474" s="868"/>
      <c r="DD474" s="1"/>
      <c r="DE474" s="1"/>
      <c r="DF474" s="1"/>
    </row>
    <row r="475">
      <c r="F475" s="1"/>
      <c r="H475" s="1"/>
      <c r="J475" s="1"/>
      <c r="L475" s="1"/>
      <c r="M475" s="1"/>
      <c r="N475" s="1"/>
      <c r="P475" s="1"/>
      <c r="R475" s="1"/>
      <c r="T475" s="1"/>
      <c r="V475" s="1"/>
      <c r="X475" s="1"/>
      <c r="Z475" s="1"/>
      <c r="AB475" s="1"/>
      <c r="AD475" s="1"/>
      <c r="AF475" s="1"/>
      <c r="AH475" s="1"/>
      <c r="AI475" s="1"/>
      <c r="AJ475" s="1"/>
      <c r="AL475" s="1"/>
      <c r="AN475" s="1"/>
      <c r="AP475" s="1"/>
      <c r="AR475" s="1"/>
      <c r="AT475" s="1"/>
      <c r="AU475" s="1"/>
      <c r="AV475" s="1"/>
      <c r="AW475" s="1"/>
      <c r="AX475" s="5"/>
      <c r="AY475" s="5"/>
      <c r="AZ475" s="5"/>
      <c r="BA475" s="5"/>
      <c r="BB475" s="5"/>
      <c r="BC475" s="5"/>
      <c r="BF475" s="15"/>
      <c r="BG475" s="1"/>
      <c r="BH475" s="15"/>
      <c r="BI475" s="1"/>
      <c r="BJ475" s="1"/>
      <c r="BK475" s="1"/>
      <c r="BL475" s="1"/>
      <c r="BM475" s="1"/>
      <c r="BN475" s="1"/>
      <c r="BO475" s="1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DA475" s="1"/>
      <c r="DB475" s="868"/>
      <c r="DC475" s="868"/>
      <c r="DD475" s="1"/>
      <c r="DE475" s="1"/>
      <c r="DF475" s="1"/>
    </row>
    <row r="476">
      <c r="F476" s="1"/>
      <c r="H476" s="1"/>
      <c r="J476" s="1"/>
      <c r="L476" s="1"/>
      <c r="M476" s="1"/>
      <c r="N476" s="1"/>
      <c r="P476" s="1"/>
      <c r="R476" s="1"/>
      <c r="T476" s="1"/>
      <c r="V476" s="1"/>
      <c r="X476" s="1"/>
      <c r="Z476" s="1"/>
      <c r="AB476" s="1"/>
      <c r="AD476" s="1"/>
      <c r="AF476" s="1"/>
      <c r="AH476" s="1"/>
      <c r="AI476" s="1"/>
      <c r="AJ476" s="1"/>
      <c r="AL476" s="1"/>
      <c r="AN476" s="1"/>
      <c r="AP476" s="1"/>
      <c r="AR476" s="1"/>
      <c r="AT476" s="1"/>
      <c r="AU476" s="1"/>
      <c r="AV476" s="1"/>
      <c r="AW476" s="1"/>
      <c r="AX476" s="5"/>
      <c r="AY476" s="5"/>
      <c r="AZ476" s="5"/>
      <c r="BA476" s="5"/>
      <c r="BB476" s="5"/>
      <c r="BC476" s="5"/>
      <c r="BF476" s="15"/>
      <c r="BG476" s="1"/>
      <c r="BH476" s="15"/>
      <c r="BI476" s="1"/>
      <c r="BJ476" s="1"/>
      <c r="BK476" s="1"/>
      <c r="BL476" s="1"/>
      <c r="BM476" s="1"/>
      <c r="BN476" s="1"/>
      <c r="BO476" s="1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DA476" s="1"/>
      <c r="DB476" s="868"/>
      <c r="DC476" s="868"/>
      <c r="DD476" s="1"/>
      <c r="DE476" s="1"/>
      <c r="DF476" s="1"/>
    </row>
    <row r="477">
      <c r="F477" s="1"/>
      <c r="H477" s="1"/>
      <c r="J477" s="1"/>
      <c r="L477" s="1"/>
      <c r="M477" s="1"/>
      <c r="N477" s="1"/>
      <c r="P477" s="1"/>
      <c r="R477" s="1"/>
      <c r="T477" s="1"/>
      <c r="V477" s="1"/>
      <c r="X477" s="1"/>
      <c r="Z477" s="1"/>
      <c r="AB477" s="1"/>
      <c r="AD477" s="1"/>
      <c r="AF477" s="1"/>
      <c r="AH477" s="1"/>
      <c r="AI477" s="1"/>
      <c r="AJ477" s="1"/>
      <c r="AL477" s="1"/>
      <c r="AN477" s="1"/>
      <c r="AP477" s="1"/>
      <c r="AR477" s="1"/>
      <c r="AT477" s="1"/>
      <c r="AU477" s="1"/>
      <c r="AV477" s="1"/>
      <c r="AW477" s="1"/>
      <c r="AX477" s="5"/>
      <c r="AY477" s="5"/>
      <c r="AZ477" s="5"/>
      <c r="BA477" s="5"/>
      <c r="BB477" s="5"/>
      <c r="BC477" s="5"/>
      <c r="BF477" s="15"/>
      <c r="BG477" s="1"/>
      <c r="BH477" s="15"/>
      <c r="BI477" s="1"/>
      <c r="BJ477" s="1"/>
      <c r="BK477" s="1"/>
      <c r="BL477" s="1"/>
      <c r="BM477" s="1"/>
      <c r="BN477" s="1"/>
      <c r="BO477" s="1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DA477" s="1"/>
      <c r="DB477" s="868"/>
      <c r="DC477" s="868"/>
      <c r="DD477" s="1"/>
      <c r="DE477" s="1"/>
      <c r="DF477" s="1"/>
    </row>
    <row r="478">
      <c r="F478" s="1"/>
      <c r="H478" s="1"/>
      <c r="J478" s="1"/>
      <c r="L478" s="1"/>
      <c r="M478" s="1"/>
      <c r="N478" s="1"/>
      <c r="P478" s="1"/>
      <c r="R478" s="1"/>
      <c r="T478" s="1"/>
      <c r="V478" s="1"/>
      <c r="X478" s="1"/>
      <c r="Z478" s="1"/>
      <c r="AB478" s="1"/>
      <c r="AD478" s="1"/>
      <c r="AF478" s="1"/>
      <c r="AH478" s="1"/>
      <c r="AI478" s="1"/>
      <c r="AJ478" s="1"/>
      <c r="AL478" s="1"/>
      <c r="AN478" s="1"/>
      <c r="AP478" s="1"/>
      <c r="AR478" s="1"/>
      <c r="AT478" s="1"/>
      <c r="AU478" s="1"/>
      <c r="AV478" s="1"/>
      <c r="AW478" s="1"/>
      <c r="AX478" s="5"/>
      <c r="AY478" s="5"/>
      <c r="AZ478" s="5"/>
      <c r="BA478" s="5"/>
      <c r="BB478" s="5"/>
      <c r="BC478" s="5"/>
      <c r="BF478" s="15"/>
      <c r="BG478" s="1"/>
      <c r="BH478" s="15"/>
      <c r="BI478" s="1"/>
      <c r="BJ478" s="1"/>
      <c r="BK478" s="1"/>
      <c r="BL478" s="1"/>
      <c r="BM478" s="1"/>
      <c r="BN478" s="1"/>
      <c r="BO478" s="1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DA478" s="1"/>
      <c r="DB478" s="868"/>
      <c r="DC478" s="868"/>
      <c r="DD478" s="1"/>
      <c r="DE478" s="1"/>
      <c r="DF478" s="1"/>
    </row>
    <row r="479">
      <c r="F479" s="1"/>
      <c r="H479" s="1"/>
      <c r="J479" s="1"/>
      <c r="L479" s="1"/>
      <c r="M479" s="1"/>
      <c r="N479" s="1"/>
      <c r="P479" s="1"/>
      <c r="R479" s="1"/>
      <c r="T479" s="1"/>
      <c r="V479" s="1"/>
      <c r="X479" s="1"/>
      <c r="Z479" s="1"/>
      <c r="AB479" s="1"/>
      <c r="AD479" s="1"/>
      <c r="AF479" s="1"/>
      <c r="AH479" s="1"/>
      <c r="AI479" s="1"/>
      <c r="AJ479" s="1"/>
      <c r="AL479" s="1"/>
      <c r="AN479" s="1"/>
      <c r="AP479" s="1"/>
      <c r="AR479" s="1"/>
      <c r="AT479" s="1"/>
      <c r="AU479" s="1"/>
      <c r="AV479" s="1"/>
      <c r="AW479" s="1"/>
      <c r="AX479" s="5"/>
      <c r="AY479" s="5"/>
      <c r="AZ479" s="5"/>
      <c r="BA479" s="5"/>
      <c r="BB479" s="5"/>
      <c r="BC479" s="5"/>
      <c r="BF479" s="15"/>
      <c r="BG479" s="1"/>
      <c r="BH479" s="15"/>
      <c r="BI479" s="1"/>
      <c r="BJ479" s="1"/>
      <c r="BK479" s="1"/>
      <c r="BL479" s="1"/>
      <c r="BM479" s="1"/>
      <c r="BN479" s="1"/>
      <c r="BO479" s="1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DA479" s="1"/>
      <c r="DB479" s="868"/>
      <c r="DC479" s="868"/>
      <c r="DD479" s="1"/>
      <c r="DE479" s="1"/>
      <c r="DF479" s="1"/>
    </row>
    <row r="480">
      <c r="F480" s="1"/>
      <c r="H480" s="1"/>
      <c r="J480" s="1"/>
      <c r="L480" s="1"/>
      <c r="M480" s="1"/>
      <c r="N480" s="1"/>
      <c r="P480" s="1"/>
      <c r="R480" s="1"/>
      <c r="T480" s="1"/>
      <c r="V480" s="1"/>
      <c r="X480" s="1"/>
      <c r="Z480" s="1"/>
      <c r="AB480" s="1"/>
      <c r="AD480" s="1"/>
      <c r="AF480" s="1"/>
      <c r="AH480" s="1"/>
      <c r="AI480" s="1"/>
      <c r="AJ480" s="1"/>
      <c r="AL480" s="1"/>
      <c r="AN480" s="1"/>
      <c r="AP480" s="1"/>
      <c r="AR480" s="1"/>
      <c r="AT480" s="1"/>
      <c r="AU480" s="1"/>
      <c r="AV480" s="1"/>
      <c r="AW480" s="1"/>
      <c r="AX480" s="5"/>
      <c r="AY480" s="5"/>
      <c r="AZ480" s="5"/>
      <c r="BA480" s="5"/>
      <c r="BB480" s="5"/>
      <c r="BC480" s="5"/>
      <c r="BF480" s="15"/>
      <c r="BG480" s="1"/>
      <c r="BH480" s="15"/>
      <c r="BI480" s="1"/>
      <c r="BJ480" s="1"/>
      <c r="BK480" s="1"/>
      <c r="BL480" s="1"/>
      <c r="BM480" s="1"/>
      <c r="BN480" s="1"/>
      <c r="BO480" s="1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DA480" s="1"/>
      <c r="DB480" s="868"/>
      <c r="DC480" s="868"/>
      <c r="DD480" s="1"/>
      <c r="DE480" s="1"/>
      <c r="DF480" s="1"/>
    </row>
    <row r="481">
      <c r="F481" s="1"/>
      <c r="H481" s="1"/>
      <c r="J481" s="1"/>
      <c r="L481" s="1"/>
      <c r="M481" s="1"/>
      <c r="N481" s="1"/>
      <c r="P481" s="1"/>
      <c r="R481" s="1"/>
      <c r="T481" s="1"/>
      <c r="V481" s="1"/>
      <c r="X481" s="1"/>
      <c r="Z481" s="1"/>
      <c r="AB481" s="1"/>
      <c r="AD481" s="1"/>
      <c r="AF481" s="1"/>
      <c r="AH481" s="1"/>
      <c r="AI481" s="1"/>
      <c r="AJ481" s="1"/>
      <c r="AL481" s="1"/>
      <c r="AN481" s="1"/>
      <c r="AP481" s="1"/>
      <c r="AR481" s="1"/>
      <c r="AT481" s="1"/>
      <c r="AU481" s="1"/>
      <c r="AV481" s="1"/>
      <c r="AW481" s="1"/>
      <c r="AX481" s="5"/>
      <c r="AY481" s="5"/>
      <c r="AZ481" s="5"/>
      <c r="BA481" s="5"/>
      <c r="BB481" s="5"/>
      <c r="BC481" s="5"/>
      <c r="BF481" s="15"/>
      <c r="BG481" s="1"/>
      <c r="BH481" s="15"/>
      <c r="BI481" s="1"/>
      <c r="BJ481" s="1"/>
      <c r="BK481" s="1"/>
      <c r="BL481" s="1"/>
      <c r="BM481" s="1"/>
      <c r="BN481" s="1"/>
      <c r="BO481" s="1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DA481" s="1"/>
      <c r="DB481" s="868"/>
      <c r="DC481" s="868"/>
      <c r="DD481" s="1"/>
      <c r="DE481" s="1"/>
      <c r="DF481" s="1"/>
    </row>
    <row r="482">
      <c r="F482" s="1"/>
      <c r="H482" s="1"/>
      <c r="J482" s="1"/>
      <c r="L482" s="1"/>
      <c r="M482" s="1"/>
      <c r="N482" s="1"/>
      <c r="P482" s="1"/>
      <c r="R482" s="1"/>
      <c r="T482" s="1"/>
      <c r="V482" s="1"/>
      <c r="X482" s="1"/>
      <c r="Z482" s="1"/>
      <c r="AB482" s="1"/>
      <c r="AD482" s="1"/>
      <c r="AF482" s="1"/>
      <c r="AH482" s="1"/>
      <c r="AI482" s="1"/>
      <c r="AJ482" s="1"/>
      <c r="AL482" s="1"/>
      <c r="AN482" s="1"/>
      <c r="AP482" s="1"/>
      <c r="AR482" s="1"/>
      <c r="AT482" s="1"/>
      <c r="AU482" s="1"/>
      <c r="AV482" s="1"/>
      <c r="AW482" s="1"/>
      <c r="AX482" s="5"/>
      <c r="AY482" s="5"/>
      <c r="AZ482" s="5"/>
      <c r="BA482" s="5"/>
      <c r="BB482" s="5"/>
      <c r="BC482" s="5"/>
      <c r="BF482" s="15"/>
      <c r="BG482" s="1"/>
      <c r="BH482" s="15"/>
      <c r="BI482" s="1"/>
      <c r="BJ482" s="1"/>
      <c r="BK482" s="1"/>
      <c r="BL482" s="1"/>
      <c r="BM482" s="1"/>
      <c r="BN482" s="1"/>
      <c r="BO482" s="1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DA482" s="1"/>
      <c r="DB482" s="868"/>
      <c r="DC482" s="868"/>
      <c r="DD482" s="1"/>
      <c r="DE482" s="1"/>
      <c r="DF482" s="1"/>
    </row>
    <row r="483">
      <c r="F483" s="1"/>
      <c r="H483" s="1"/>
      <c r="J483" s="1"/>
      <c r="L483" s="1"/>
      <c r="M483" s="1"/>
      <c r="N483" s="1"/>
      <c r="P483" s="1"/>
      <c r="R483" s="1"/>
      <c r="T483" s="1"/>
      <c r="V483" s="1"/>
      <c r="X483" s="1"/>
      <c r="Z483" s="1"/>
      <c r="AB483" s="1"/>
      <c r="AD483" s="1"/>
      <c r="AF483" s="1"/>
      <c r="AH483" s="1"/>
      <c r="AI483" s="1"/>
      <c r="AJ483" s="1"/>
      <c r="AL483" s="1"/>
      <c r="AN483" s="1"/>
      <c r="AP483" s="1"/>
      <c r="AR483" s="1"/>
      <c r="AT483" s="1"/>
      <c r="AU483" s="1"/>
      <c r="AV483" s="1"/>
      <c r="AW483" s="1"/>
      <c r="AX483" s="5"/>
      <c r="AY483" s="5"/>
      <c r="AZ483" s="5"/>
      <c r="BA483" s="5"/>
      <c r="BB483" s="5"/>
      <c r="BC483" s="5"/>
      <c r="BF483" s="15"/>
      <c r="BG483" s="1"/>
      <c r="BH483" s="15"/>
      <c r="BI483" s="1"/>
      <c r="BJ483" s="1"/>
      <c r="BK483" s="1"/>
      <c r="BL483" s="1"/>
      <c r="BM483" s="1"/>
      <c r="BN483" s="1"/>
      <c r="BO483" s="1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DA483" s="1"/>
      <c r="DB483" s="868"/>
      <c r="DC483" s="868"/>
      <c r="DD483" s="1"/>
      <c r="DE483" s="1"/>
      <c r="DF483" s="1"/>
    </row>
    <row r="484">
      <c r="F484" s="1"/>
      <c r="H484" s="1"/>
      <c r="J484" s="1"/>
      <c r="L484" s="1"/>
      <c r="M484" s="1"/>
      <c r="N484" s="1"/>
      <c r="P484" s="1"/>
      <c r="R484" s="1"/>
      <c r="T484" s="1"/>
      <c r="V484" s="1"/>
      <c r="X484" s="1"/>
      <c r="Z484" s="1"/>
      <c r="AB484" s="1"/>
      <c r="AD484" s="1"/>
      <c r="AF484" s="1"/>
      <c r="AH484" s="1"/>
      <c r="AI484" s="1"/>
      <c r="AJ484" s="1"/>
      <c r="AL484" s="1"/>
      <c r="AN484" s="1"/>
      <c r="AP484" s="1"/>
      <c r="AR484" s="1"/>
      <c r="AT484" s="1"/>
      <c r="AU484" s="1"/>
      <c r="AV484" s="1"/>
      <c r="AW484" s="1"/>
      <c r="AX484" s="5"/>
      <c r="AY484" s="5"/>
      <c r="AZ484" s="5"/>
      <c r="BA484" s="5"/>
      <c r="BB484" s="5"/>
      <c r="BC484" s="5"/>
      <c r="BF484" s="15"/>
      <c r="BG484" s="1"/>
      <c r="BH484" s="15"/>
      <c r="BI484" s="1"/>
      <c r="BJ484" s="1"/>
      <c r="BK484" s="1"/>
      <c r="BL484" s="1"/>
      <c r="BM484" s="1"/>
      <c r="BN484" s="1"/>
      <c r="BO484" s="1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DA484" s="1"/>
      <c r="DB484" s="868"/>
      <c r="DC484" s="868"/>
      <c r="DD484" s="1"/>
      <c r="DE484" s="1"/>
      <c r="DF484" s="1"/>
    </row>
    <row r="485">
      <c r="F485" s="1"/>
      <c r="H485" s="1"/>
      <c r="J485" s="1"/>
      <c r="L485" s="1"/>
      <c r="M485" s="1"/>
      <c r="N485" s="1"/>
      <c r="P485" s="1"/>
      <c r="R485" s="1"/>
      <c r="T485" s="1"/>
      <c r="V485" s="1"/>
      <c r="X485" s="1"/>
      <c r="Z485" s="1"/>
      <c r="AB485" s="1"/>
      <c r="AD485" s="1"/>
      <c r="AF485" s="1"/>
      <c r="AH485" s="1"/>
      <c r="AI485" s="1"/>
      <c r="AJ485" s="1"/>
      <c r="AL485" s="1"/>
      <c r="AN485" s="1"/>
      <c r="AP485" s="1"/>
      <c r="AR485" s="1"/>
      <c r="AT485" s="1"/>
      <c r="AU485" s="1"/>
      <c r="AV485" s="1"/>
      <c r="AW485" s="1"/>
      <c r="AX485" s="5"/>
      <c r="AY485" s="5"/>
      <c r="AZ485" s="5"/>
      <c r="BA485" s="5"/>
      <c r="BB485" s="5"/>
      <c r="BC485" s="5"/>
      <c r="BF485" s="15"/>
      <c r="BG485" s="1"/>
      <c r="BH485" s="15"/>
      <c r="BI485" s="1"/>
      <c r="BJ485" s="1"/>
      <c r="BK485" s="1"/>
      <c r="BL485" s="1"/>
      <c r="BM485" s="1"/>
      <c r="BN485" s="1"/>
      <c r="BO485" s="1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DA485" s="1"/>
      <c r="DB485" s="868"/>
      <c r="DC485" s="868"/>
      <c r="DD485" s="1"/>
      <c r="DE485" s="1"/>
      <c r="DF485" s="1"/>
    </row>
    <row r="486">
      <c r="F486" s="1"/>
      <c r="H486" s="1"/>
      <c r="J486" s="1"/>
      <c r="L486" s="1"/>
      <c r="M486" s="1"/>
      <c r="N486" s="1"/>
      <c r="P486" s="1"/>
      <c r="R486" s="1"/>
      <c r="T486" s="1"/>
      <c r="V486" s="1"/>
      <c r="X486" s="1"/>
      <c r="Z486" s="1"/>
      <c r="AB486" s="1"/>
      <c r="AD486" s="1"/>
      <c r="AF486" s="1"/>
      <c r="AH486" s="1"/>
      <c r="AI486" s="1"/>
      <c r="AJ486" s="1"/>
      <c r="AL486" s="1"/>
      <c r="AN486" s="1"/>
      <c r="AP486" s="1"/>
      <c r="AR486" s="1"/>
      <c r="AT486" s="1"/>
      <c r="AU486" s="1"/>
      <c r="AV486" s="1"/>
      <c r="AW486" s="1"/>
      <c r="AX486" s="5"/>
      <c r="AY486" s="5"/>
      <c r="AZ486" s="5"/>
      <c r="BA486" s="5"/>
      <c r="BB486" s="5"/>
      <c r="BC486" s="5"/>
      <c r="BF486" s="15"/>
      <c r="BG486" s="1"/>
      <c r="BH486" s="15"/>
      <c r="BI486" s="1"/>
      <c r="BJ486" s="1"/>
      <c r="BK486" s="1"/>
      <c r="BL486" s="1"/>
      <c r="BM486" s="1"/>
      <c r="BN486" s="1"/>
      <c r="BO486" s="1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DA486" s="1"/>
      <c r="DB486" s="868"/>
      <c r="DC486" s="868"/>
      <c r="DD486" s="1"/>
      <c r="DE486" s="1"/>
      <c r="DF486" s="1"/>
    </row>
    <row r="487">
      <c r="F487" s="1"/>
      <c r="H487" s="1"/>
      <c r="J487" s="1"/>
      <c r="L487" s="1"/>
      <c r="M487" s="1"/>
      <c r="N487" s="1"/>
      <c r="P487" s="1"/>
      <c r="R487" s="1"/>
      <c r="T487" s="1"/>
      <c r="V487" s="1"/>
      <c r="X487" s="1"/>
      <c r="Z487" s="1"/>
      <c r="AB487" s="1"/>
      <c r="AD487" s="1"/>
      <c r="AF487" s="1"/>
      <c r="AH487" s="1"/>
      <c r="AI487" s="1"/>
      <c r="AJ487" s="1"/>
      <c r="AL487" s="1"/>
      <c r="AN487" s="1"/>
      <c r="AP487" s="1"/>
      <c r="AR487" s="1"/>
      <c r="AT487" s="1"/>
      <c r="AU487" s="1"/>
      <c r="AV487" s="1"/>
      <c r="AW487" s="1"/>
      <c r="AX487" s="5"/>
      <c r="AY487" s="5"/>
      <c r="AZ487" s="5"/>
      <c r="BA487" s="5"/>
      <c r="BB487" s="5"/>
      <c r="BC487" s="5"/>
      <c r="BF487" s="15"/>
      <c r="BG487" s="1"/>
      <c r="BH487" s="15"/>
      <c r="BI487" s="1"/>
      <c r="BJ487" s="1"/>
      <c r="BK487" s="1"/>
      <c r="BL487" s="1"/>
      <c r="BM487" s="1"/>
      <c r="BN487" s="1"/>
      <c r="BO487" s="1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DA487" s="1"/>
      <c r="DB487" s="868"/>
      <c r="DC487" s="868"/>
      <c r="DD487" s="1"/>
      <c r="DE487" s="1"/>
      <c r="DF487" s="1"/>
    </row>
    <row r="488">
      <c r="F488" s="1"/>
      <c r="H488" s="1"/>
      <c r="J488" s="1"/>
      <c r="L488" s="1"/>
      <c r="M488" s="1"/>
      <c r="N488" s="1"/>
      <c r="P488" s="1"/>
      <c r="R488" s="1"/>
      <c r="T488" s="1"/>
      <c r="V488" s="1"/>
      <c r="X488" s="1"/>
      <c r="Z488" s="1"/>
      <c r="AB488" s="1"/>
      <c r="AD488" s="1"/>
      <c r="AF488" s="1"/>
      <c r="AH488" s="1"/>
      <c r="AI488" s="1"/>
      <c r="AJ488" s="1"/>
      <c r="AL488" s="1"/>
      <c r="AN488" s="1"/>
      <c r="AP488" s="1"/>
      <c r="AR488" s="1"/>
      <c r="AT488" s="1"/>
      <c r="AU488" s="1"/>
      <c r="AV488" s="1"/>
      <c r="AW488" s="1"/>
      <c r="AX488" s="5"/>
      <c r="AY488" s="5"/>
      <c r="AZ488" s="5"/>
      <c r="BA488" s="5"/>
      <c r="BB488" s="5"/>
      <c r="BC488" s="5"/>
      <c r="BF488" s="15"/>
      <c r="BG488" s="1"/>
      <c r="BH488" s="15"/>
      <c r="BI488" s="1"/>
      <c r="BJ488" s="1"/>
      <c r="BK488" s="1"/>
      <c r="BL488" s="1"/>
      <c r="BM488" s="1"/>
      <c r="BN488" s="1"/>
      <c r="BO488" s="1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DA488" s="1"/>
      <c r="DB488" s="868"/>
      <c r="DC488" s="868"/>
      <c r="DD488" s="1"/>
      <c r="DE488" s="1"/>
      <c r="DF488" s="1"/>
    </row>
    <row r="489">
      <c r="F489" s="1"/>
      <c r="H489" s="1"/>
      <c r="J489" s="1"/>
      <c r="L489" s="1"/>
      <c r="M489" s="1"/>
      <c r="N489" s="1"/>
      <c r="P489" s="1"/>
      <c r="R489" s="1"/>
      <c r="T489" s="1"/>
      <c r="V489" s="1"/>
      <c r="X489" s="1"/>
      <c r="Z489" s="1"/>
      <c r="AB489" s="1"/>
      <c r="AD489" s="1"/>
      <c r="AF489" s="1"/>
      <c r="AH489" s="1"/>
      <c r="AI489" s="1"/>
      <c r="AJ489" s="1"/>
      <c r="AL489" s="1"/>
      <c r="AN489" s="1"/>
      <c r="AP489" s="1"/>
      <c r="AR489" s="1"/>
      <c r="AT489" s="1"/>
      <c r="AU489" s="1"/>
      <c r="AV489" s="1"/>
      <c r="AW489" s="1"/>
      <c r="AX489" s="5"/>
      <c r="AY489" s="5"/>
      <c r="AZ489" s="5"/>
      <c r="BA489" s="5"/>
      <c r="BB489" s="5"/>
      <c r="BC489" s="5"/>
      <c r="BF489" s="15"/>
      <c r="BG489" s="1"/>
      <c r="BH489" s="15"/>
      <c r="BI489" s="1"/>
      <c r="BJ489" s="1"/>
      <c r="BK489" s="1"/>
      <c r="BL489" s="1"/>
      <c r="BM489" s="1"/>
      <c r="BN489" s="1"/>
      <c r="BO489" s="1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DA489" s="1"/>
      <c r="DB489" s="868"/>
      <c r="DC489" s="868"/>
      <c r="DD489" s="1"/>
      <c r="DE489" s="1"/>
      <c r="DF489" s="1"/>
    </row>
    <row r="490">
      <c r="F490" s="1"/>
      <c r="H490" s="1"/>
      <c r="J490" s="1"/>
      <c r="L490" s="1"/>
      <c r="M490" s="1"/>
      <c r="N490" s="1"/>
      <c r="P490" s="1"/>
      <c r="R490" s="1"/>
      <c r="T490" s="1"/>
      <c r="V490" s="1"/>
      <c r="X490" s="1"/>
      <c r="Z490" s="1"/>
      <c r="AB490" s="1"/>
      <c r="AD490" s="1"/>
      <c r="AF490" s="1"/>
      <c r="AH490" s="1"/>
      <c r="AI490" s="1"/>
      <c r="AJ490" s="1"/>
      <c r="AL490" s="1"/>
      <c r="AN490" s="1"/>
      <c r="AP490" s="1"/>
      <c r="AR490" s="1"/>
      <c r="AT490" s="1"/>
      <c r="AU490" s="1"/>
      <c r="AV490" s="1"/>
      <c r="AW490" s="1"/>
      <c r="AX490" s="5"/>
      <c r="AY490" s="5"/>
      <c r="AZ490" s="5"/>
      <c r="BA490" s="5"/>
      <c r="BB490" s="5"/>
      <c r="BC490" s="5"/>
      <c r="BF490" s="15"/>
      <c r="BG490" s="1"/>
      <c r="BH490" s="15"/>
      <c r="BI490" s="1"/>
      <c r="BJ490" s="1"/>
      <c r="BK490" s="1"/>
      <c r="BL490" s="1"/>
      <c r="BM490" s="1"/>
      <c r="BN490" s="1"/>
      <c r="BO490" s="1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DA490" s="1"/>
      <c r="DB490" s="868"/>
      <c r="DC490" s="868"/>
      <c r="DD490" s="1"/>
      <c r="DE490" s="1"/>
      <c r="DF490" s="1"/>
    </row>
    <row r="491">
      <c r="F491" s="1"/>
      <c r="H491" s="1"/>
      <c r="J491" s="1"/>
      <c r="L491" s="1"/>
      <c r="M491" s="1"/>
      <c r="N491" s="1"/>
      <c r="P491" s="1"/>
      <c r="R491" s="1"/>
      <c r="T491" s="1"/>
      <c r="V491" s="1"/>
      <c r="X491" s="1"/>
      <c r="Z491" s="1"/>
      <c r="AB491" s="1"/>
      <c r="AD491" s="1"/>
      <c r="AF491" s="1"/>
      <c r="AH491" s="1"/>
      <c r="AI491" s="1"/>
      <c r="AJ491" s="1"/>
      <c r="AL491" s="1"/>
      <c r="AN491" s="1"/>
      <c r="AP491" s="1"/>
      <c r="AR491" s="1"/>
      <c r="AT491" s="1"/>
      <c r="AU491" s="1"/>
      <c r="AV491" s="1"/>
      <c r="AW491" s="1"/>
      <c r="AX491" s="5"/>
      <c r="AY491" s="5"/>
      <c r="AZ491" s="5"/>
      <c r="BA491" s="5"/>
      <c r="BB491" s="5"/>
      <c r="BC491" s="5"/>
      <c r="BF491" s="15"/>
      <c r="BG491" s="1"/>
      <c r="BH491" s="15"/>
      <c r="BI491" s="1"/>
      <c r="BJ491" s="1"/>
      <c r="BK491" s="1"/>
      <c r="BL491" s="1"/>
      <c r="BM491" s="1"/>
      <c r="BN491" s="1"/>
      <c r="BO491" s="1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DA491" s="1"/>
      <c r="DB491" s="868"/>
      <c r="DC491" s="868"/>
      <c r="DD491" s="1"/>
      <c r="DE491" s="1"/>
      <c r="DF491" s="1"/>
    </row>
    <row r="492">
      <c r="F492" s="1"/>
      <c r="H492" s="1"/>
      <c r="J492" s="1"/>
      <c r="L492" s="1"/>
      <c r="M492" s="1"/>
      <c r="N492" s="1"/>
      <c r="P492" s="1"/>
      <c r="R492" s="1"/>
      <c r="T492" s="1"/>
      <c r="V492" s="1"/>
      <c r="X492" s="1"/>
      <c r="Z492" s="1"/>
      <c r="AB492" s="1"/>
      <c r="AD492" s="1"/>
      <c r="AF492" s="1"/>
      <c r="AH492" s="1"/>
      <c r="AI492" s="1"/>
      <c r="AJ492" s="1"/>
      <c r="AL492" s="1"/>
      <c r="AN492" s="1"/>
      <c r="AP492" s="1"/>
      <c r="AR492" s="1"/>
      <c r="AT492" s="1"/>
      <c r="AU492" s="1"/>
      <c r="AV492" s="1"/>
      <c r="AW492" s="1"/>
      <c r="AX492" s="5"/>
      <c r="AY492" s="5"/>
      <c r="AZ492" s="5"/>
      <c r="BA492" s="5"/>
      <c r="BB492" s="5"/>
      <c r="BC492" s="5"/>
      <c r="BF492" s="15"/>
      <c r="BG492" s="1"/>
      <c r="BH492" s="15"/>
      <c r="BI492" s="1"/>
      <c r="BJ492" s="1"/>
      <c r="BK492" s="1"/>
      <c r="BL492" s="1"/>
      <c r="BM492" s="1"/>
      <c r="BN492" s="1"/>
      <c r="BO492" s="1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DA492" s="1"/>
      <c r="DB492" s="868"/>
      <c r="DC492" s="868"/>
      <c r="DD492" s="1"/>
      <c r="DE492" s="1"/>
      <c r="DF492" s="1"/>
    </row>
    <row r="493">
      <c r="F493" s="1"/>
      <c r="H493" s="1"/>
      <c r="J493" s="1"/>
      <c r="L493" s="1"/>
      <c r="M493" s="1"/>
      <c r="N493" s="1"/>
      <c r="P493" s="1"/>
      <c r="R493" s="1"/>
      <c r="T493" s="1"/>
      <c r="V493" s="1"/>
      <c r="X493" s="1"/>
      <c r="Z493" s="1"/>
      <c r="AB493" s="1"/>
      <c r="AD493" s="1"/>
      <c r="AF493" s="1"/>
      <c r="AH493" s="1"/>
      <c r="AI493" s="1"/>
      <c r="AJ493" s="1"/>
      <c r="AL493" s="1"/>
      <c r="AN493" s="1"/>
      <c r="AP493" s="1"/>
      <c r="AR493" s="1"/>
      <c r="AT493" s="1"/>
      <c r="AU493" s="1"/>
      <c r="AV493" s="1"/>
      <c r="AW493" s="1"/>
      <c r="AX493" s="5"/>
      <c r="AY493" s="5"/>
      <c r="AZ493" s="5"/>
      <c r="BA493" s="5"/>
      <c r="BB493" s="5"/>
      <c r="BC493" s="5"/>
      <c r="BF493" s="15"/>
      <c r="BG493" s="1"/>
      <c r="BH493" s="15"/>
      <c r="BI493" s="1"/>
      <c r="BJ493" s="1"/>
      <c r="BK493" s="1"/>
      <c r="BL493" s="1"/>
      <c r="BM493" s="1"/>
      <c r="BN493" s="1"/>
      <c r="BO493" s="1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DA493" s="1"/>
      <c r="DB493" s="868"/>
      <c r="DC493" s="868"/>
      <c r="DD493" s="1"/>
      <c r="DE493" s="1"/>
      <c r="DF493" s="1"/>
    </row>
    <row r="494">
      <c r="F494" s="1"/>
      <c r="H494" s="1"/>
      <c r="J494" s="1"/>
      <c r="L494" s="1"/>
      <c r="M494" s="1"/>
      <c r="N494" s="1"/>
      <c r="P494" s="1"/>
      <c r="R494" s="1"/>
      <c r="T494" s="1"/>
      <c r="V494" s="1"/>
      <c r="X494" s="1"/>
      <c r="Z494" s="1"/>
      <c r="AB494" s="1"/>
      <c r="AD494" s="1"/>
      <c r="AF494" s="1"/>
      <c r="AH494" s="1"/>
      <c r="AI494" s="1"/>
      <c r="AJ494" s="1"/>
      <c r="AL494" s="1"/>
      <c r="AN494" s="1"/>
      <c r="AP494" s="1"/>
      <c r="AR494" s="1"/>
      <c r="AT494" s="1"/>
      <c r="AU494" s="1"/>
      <c r="AV494" s="1"/>
      <c r="AW494" s="1"/>
      <c r="AX494" s="5"/>
      <c r="AY494" s="5"/>
      <c r="AZ494" s="5"/>
      <c r="BA494" s="5"/>
      <c r="BB494" s="5"/>
      <c r="BC494" s="5"/>
      <c r="BF494" s="15"/>
      <c r="BG494" s="1"/>
      <c r="BH494" s="15"/>
      <c r="BI494" s="1"/>
      <c r="BJ494" s="1"/>
      <c r="BK494" s="1"/>
      <c r="BL494" s="1"/>
      <c r="BM494" s="1"/>
      <c r="BN494" s="1"/>
      <c r="BO494" s="1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DA494" s="1"/>
      <c r="DB494" s="868"/>
      <c r="DC494" s="868"/>
      <c r="DD494" s="1"/>
      <c r="DE494" s="1"/>
      <c r="DF494" s="1"/>
    </row>
    <row r="495">
      <c r="F495" s="1"/>
      <c r="H495" s="1"/>
      <c r="J495" s="1"/>
      <c r="L495" s="1"/>
      <c r="M495" s="1"/>
      <c r="N495" s="1"/>
      <c r="P495" s="1"/>
      <c r="R495" s="1"/>
      <c r="T495" s="1"/>
      <c r="V495" s="1"/>
      <c r="X495" s="1"/>
      <c r="Z495" s="1"/>
      <c r="AB495" s="1"/>
      <c r="AD495" s="1"/>
      <c r="AF495" s="1"/>
      <c r="AH495" s="1"/>
      <c r="AI495" s="1"/>
      <c r="AJ495" s="1"/>
      <c r="AL495" s="1"/>
      <c r="AN495" s="1"/>
      <c r="AP495" s="1"/>
      <c r="AR495" s="1"/>
      <c r="AT495" s="1"/>
      <c r="AU495" s="1"/>
      <c r="AV495" s="1"/>
      <c r="AW495" s="1"/>
      <c r="AX495" s="5"/>
      <c r="AY495" s="5"/>
      <c r="AZ495" s="5"/>
      <c r="BA495" s="5"/>
      <c r="BB495" s="5"/>
      <c r="BC495" s="5"/>
      <c r="BF495" s="15"/>
      <c r="BG495" s="1"/>
      <c r="BH495" s="15"/>
      <c r="BI495" s="1"/>
      <c r="BJ495" s="1"/>
      <c r="BK495" s="1"/>
      <c r="BL495" s="1"/>
      <c r="BM495" s="1"/>
      <c r="BN495" s="1"/>
      <c r="BO495" s="1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DA495" s="1"/>
      <c r="DB495" s="868"/>
      <c r="DC495" s="868"/>
      <c r="DD495" s="1"/>
      <c r="DE495" s="1"/>
      <c r="DF495" s="1"/>
    </row>
    <row r="496">
      <c r="F496" s="1"/>
      <c r="H496" s="1"/>
      <c r="J496" s="1"/>
      <c r="L496" s="1"/>
      <c r="M496" s="1"/>
      <c r="N496" s="1"/>
      <c r="P496" s="1"/>
      <c r="R496" s="1"/>
      <c r="T496" s="1"/>
      <c r="V496" s="1"/>
      <c r="X496" s="1"/>
      <c r="Z496" s="1"/>
      <c r="AB496" s="1"/>
      <c r="AD496" s="1"/>
      <c r="AF496" s="1"/>
      <c r="AH496" s="1"/>
      <c r="AI496" s="1"/>
      <c r="AJ496" s="1"/>
      <c r="AL496" s="1"/>
      <c r="AN496" s="1"/>
      <c r="AP496" s="1"/>
      <c r="AR496" s="1"/>
      <c r="AT496" s="1"/>
      <c r="AU496" s="1"/>
      <c r="AV496" s="1"/>
      <c r="AW496" s="1"/>
      <c r="AX496" s="5"/>
      <c r="AY496" s="5"/>
      <c r="AZ496" s="5"/>
      <c r="BA496" s="5"/>
      <c r="BB496" s="5"/>
      <c r="BC496" s="5"/>
      <c r="BF496" s="15"/>
      <c r="BG496" s="1"/>
      <c r="BH496" s="15"/>
      <c r="BI496" s="1"/>
      <c r="BJ496" s="1"/>
      <c r="BK496" s="1"/>
      <c r="BL496" s="1"/>
      <c r="BM496" s="1"/>
      <c r="BN496" s="1"/>
      <c r="BO496" s="1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DA496" s="1"/>
      <c r="DB496" s="868"/>
      <c r="DC496" s="868"/>
      <c r="DD496" s="1"/>
      <c r="DE496" s="1"/>
      <c r="DF496" s="1"/>
    </row>
    <row r="497">
      <c r="F497" s="1"/>
      <c r="H497" s="1"/>
      <c r="J497" s="1"/>
      <c r="L497" s="1"/>
      <c r="M497" s="1"/>
      <c r="N497" s="1"/>
      <c r="P497" s="1"/>
      <c r="R497" s="1"/>
      <c r="T497" s="1"/>
      <c r="V497" s="1"/>
      <c r="X497" s="1"/>
      <c r="Z497" s="1"/>
      <c r="AB497" s="1"/>
      <c r="AD497" s="1"/>
      <c r="AF497" s="1"/>
      <c r="AH497" s="1"/>
      <c r="AI497" s="1"/>
      <c r="AJ497" s="1"/>
      <c r="AL497" s="1"/>
      <c r="AN497" s="1"/>
      <c r="AP497" s="1"/>
      <c r="AR497" s="1"/>
      <c r="AT497" s="1"/>
      <c r="AU497" s="1"/>
      <c r="AV497" s="1"/>
      <c r="AW497" s="1"/>
      <c r="AX497" s="5"/>
      <c r="AY497" s="5"/>
      <c r="AZ497" s="5"/>
      <c r="BA497" s="5"/>
      <c r="BB497" s="5"/>
      <c r="BC497" s="5"/>
      <c r="BF497" s="15"/>
      <c r="BG497" s="1"/>
      <c r="BH497" s="15"/>
      <c r="BI497" s="1"/>
      <c r="BJ497" s="1"/>
      <c r="BK497" s="1"/>
      <c r="BL497" s="1"/>
      <c r="BM497" s="1"/>
      <c r="BN497" s="1"/>
      <c r="BO497" s="1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DA497" s="1"/>
      <c r="DB497" s="868"/>
      <c r="DC497" s="868"/>
      <c r="DD497" s="1"/>
      <c r="DE497" s="1"/>
      <c r="DF497" s="1"/>
    </row>
    <row r="498">
      <c r="F498" s="1"/>
      <c r="H498" s="1"/>
      <c r="J498" s="1"/>
      <c r="L498" s="1"/>
      <c r="M498" s="1"/>
      <c r="N498" s="1"/>
      <c r="P498" s="1"/>
      <c r="R498" s="1"/>
      <c r="T498" s="1"/>
      <c r="V498" s="1"/>
      <c r="X498" s="1"/>
      <c r="Z498" s="1"/>
      <c r="AB498" s="1"/>
      <c r="AD498" s="1"/>
      <c r="AF498" s="1"/>
      <c r="AH498" s="1"/>
      <c r="AI498" s="1"/>
      <c r="AJ498" s="1"/>
      <c r="AL498" s="1"/>
      <c r="AN498" s="1"/>
      <c r="AP498" s="1"/>
      <c r="AR498" s="1"/>
      <c r="AT498" s="1"/>
      <c r="AU498" s="1"/>
      <c r="AV498" s="1"/>
      <c r="AW498" s="1"/>
      <c r="AX498" s="5"/>
      <c r="AY498" s="5"/>
      <c r="AZ498" s="5"/>
      <c r="BA498" s="5"/>
      <c r="BB498" s="5"/>
      <c r="BC498" s="5"/>
      <c r="BF498" s="15"/>
      <c r="BG498" s="1"/>
      <c r="BH498" s="15"/>
      <c r="BI498" s="1"/>
      <c r="BJ498" s="1"/>
      <c r="BK498" s="1"/>
      <c r="BL498" s="1"/>
      <c r="BM498" s="1"/>
      <c r="BN498" s="1"/>
      <c r="BO498" s="1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DA498" s="1"/>
      <c r="DB498" s="868"/>
      <c r="DC498" s="868"/>
      <c r="DD498" s="1"/>
      <c r="DE498" s="1"/>
      <c r="DF498" s="1"/>
    </row>
    <row r="499">
      <c r="F499" s="1"/>
      <c r="H499" s="1"/>
      <c r="J499" s="1"/>
      <c r="L499" s="1"/>
      <c r="M499" s="1"/>
      <c r="N499" s="1"/>
      <c r="P499" s="1"/>
      <c r="R499" s="1"/>
      <c r="T499" s="1"/>
      <c r="V499" s="1"/>
      <c r="X499" s="1"/>
      <c r="Z499" s="1"/>
      <c r="AB499" s="1"/>
      <c r="AD499" s="1"/>
      <c r="AF499" s="1"/>
      <c r="AH499" s="1"/>
      <c r="AI499" s="1"/>
      <c r="AJ499" s="1"/>
      <c r="AL499" s="1"/>
      <c r="AN499" s="1"/>
      <c r="AP499" s="1"/>
      <c r="AR499" s="1"/>
      <c r="AT499" s="1"/>
      <c r="AU499" s="1"/>
      <c r="AV499" s="1"/>
      <c r="AW499" s="1"/>
      <c r="AX499" s="5"/>
      <c r="AY499" s="5"/>
      <c r="AZ499" s="5"/>
      <c r="BA499" s="5"/>
      <c r="BB499" s="5"/>
      <c r="BC499" s="5"/>
      <c r="BF499" s="15"/>
      <c r="BG499" s="1"/>
      <c r="BH499" s="15"/>
      <c r="BI499" s="1"/>
      <c r="BJ499" s="1"/>
      <c r="BK499" s="1"/>
      <c r="BL499" s="1"/>
      <c r="BM499" s="1"/>
      <c r="BN499" s="1"/>
      <c r="BO499" s="1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DA499" s="1"/>
      <c r="DB499" s="868"/>
      <c r="DC499" s="868"/>
      <c r="DD499" s="1"/>
      <c r="DE499" s="1"/>
      <c r="DF499" s="1"/>
    </row>
    <row r="500">
      <c r="F500" s="1"/>
      <c r="H500" s="1"/>
      <c r="J500" s="1"/>
      <c r="L500" s="1"/>
      <c r="M500" s="1"/>
      <c r="N500" s="1"/>
      <c r="P500" s="1"/>
      <c r="R500" s="1"/>
      <c r="T500" s="1"/>
      <c r="V500" s="1"/>
      <c r="X500" s="1"/>
      <c r="Z500" s="1"/>
      <c r="AB500" s="1"/>
      <c r="AD500" s="1"/>
      <c r="AF500" s="1"/>
      <c r="AH500" s="1"/>
      <c r="AI500" s="1"/>
      <c r="AJ500" s="1"/>
      <c r="AL500" s="1"/>
      <c r="AN500" s="1"/>
      <c r="AP500" s="1"/>
      <c r="AR500" s="1"/>
      <c r="AT500" s="1"/>
      <c r="AU500" s="1"/>
      <c r="AV500" s="1"/>
      <c r="AW500" s="1"/>
      <c r="AX500" s="5"/>
      <c r="AY500" s="5"/>
      <c r="AZ500" s="5"/>
      <c r="BA500" s="5"/>
      <c r="BB500" s="5"/>
      <c r="BC500" s="5"/>
      <c r="BF500" s="15"/>
      <c r="BG500" s="1"/>
      <c r="BH500" s="15"/>
      <c r="BI500" s="1"/>
      <c r="BJ500" s="1"/>
      <c r="BK500" s="1"/>
      <c r="BL500" s="1"/>
      <c r="BM500" s="1"/>
      <c r="BN500" s="1"/>
      <c r="BO500" s="1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DA500" s="1"/>
      <c r="DB500" s="868"/>
      <c r="DC500" s="868"/>
      <c r="DD500" s="1"/>
      <c r="DE500" s="1"/>
      <c r="DF500" s="1"/>
    </row>
    <row r="501">
      <c r="F501" s="1"/>
      <c r="H501" s="1"/>
      <c r="J501" s="1"/>
      <c r="L501" s="1"/>
      <c r="M501" s="1"/>
      <c r="N501" s="1"/>
      <c r="P501" s="1"/>
      <c r="R501" s="1"/>
      <c r="T501" s="1"/>
      <c r="V501" s="1"/>
      <c r="X501" s="1"/>
      <c r="Z501" s="1"/>
      <c r="AB501" s="1"/>
      <c r="AD501" s="1"/>
      <c r="AF501" s="1"/>
      <c r="AH501" s="1"/>
      <c r="AI501" s="1"/>
      <c r="AJ501" s="1"/>
      <c r="AL501" s="1"/>
      <c r="AN501" s="1"/>
      <c r="AP501" s="1"/>
      <c r="AR501" s="1"/>
      <c r="AT501" s="1"/>
      <c r="AU501" s="1"/>
      <c r="AV501" s="1"/>
      <c r="AW501" s="1"/>
      <c r="AX501" s="5"/>
      <c r="AY501" s="5"/>
      <c r="AZ501" s="5"/>
      <c r="BA501" s="5"/>
      <c r="BB501" s="5"/>
      <c r="BC501" s="5"/>
      <c r="BF501" s="15"/>
      <c r="BG501" s="1"/>
      <c r="BH501" s="15"/>
      <c r="BI501" s="1"/>
      <c r="BJ501" s="1"/>
      <c r="BK501" s="1"/>
      <c r="BL501" s="1"/>
      <c r="BM501" s="1"/>
      <c r="BN501" s="1"/>
      <c r="BO501" s="1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DA501" s="1"/>
      <c r="DB501" s="868"/>
      <c r="DC501" s="868"/>
      <c r="DD501" s="1"/>
      <c r="DE501" s="1"/>
      <c r="DF501" s="1"/>
    </row>
    <row r="502">
      <c r="F502" s="1"/>
      <c r="H502" s="1"/>
      <c r="J502" s="1"/>
      <c r="L502" s="1"/>
      <c r="M502" s="1"/>
      <c r="N502" s="1"/>
      <c r="P502" s="1"/>
      <c r="R502" s="1"/>
      <c r="T502" s="1"/>
      <c r="V502" s="1"/>
      <c r="X502" s="1"/>
      <c r="Z502" s="1"/>
      <c r="AB502" s="1"/>
      <c r="AD502" s="1"/>
      <c r="AF502" s="1"/>
      <c r="AH502" s="1"/>
      <c r="AI502" s="1"/>
      <c r="AJ502" s="1"/>
      <c r="AL502" s="1"/>
      <c r="AN502" s="1"/>
      <c r="AP502" s="1"/>
      <c r="AR502" s="1"/>
      <c r="AT502" s="1"/>
      <c r="AU502" s="1"/>
      <c r="AV502" s="1"/>
      <c r="AW502" s="1"/>
      <c r="AX502" s="5"/>
      <c r="AY502" s="5"/>
      <c r="AZ502" s="5"/>
      <c r="BA502" s="5"/>
      <c r="BB502" s="5"/>
      <c r="BC502" s="5"/>
      <c r="BF502" s="15"/>
      <c r="BG502" s="1"/>
      <c r="BH502" s="15"/>
      <c r="BI502" s="1"/>
      <c r="BJ502" s="1"/>
      <c r="BK502" s="1"/>
      <c r="BL502" s="1"/>
      <c r="BM502" s="1"/>
      <c r="BN502" s="1"/>
      <c r="BO502" s="1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DA502" s="1"/>
      <c r="DB502" s="868"/>
      <c r="DC502" s="868"/>
      <c r="DD502" s="1"/>
      <c r="DE502" s="1"/>
      <c r="DF502" s="1"/>
    </row>
    <row r="503">
      <c r="F503" s="1"/>
      <c r="H503" s="1"/>
      <c r="J503" s="1"/>
      <c r="L503" s="1"/>
      <c r="M503" s="1"/>
      <c r="N503" s="1"/>
      <c r="P503" s="1"/>
      <c r="R503" s="1"/>
      <c r="T503" s="1"/>
      <c r="V503" s="1"/>
      <c r="X503" s="1"/>
      <c r="Z503" s="1"/>
      <c r="AB503" s="1"/>
      <c r="AD503" s="1"/>
      <c r="AF503" s="1"/>
      <c r="AH503" s="1"/>
      <c r="AI503" s="1"/>
      <c r="AJ503" s="1"/>
      <c r="AL503" s="1"/>
      <c r="AN503" s="1"/>
      <c r="AP503" s="1"/>
      <c r="AR503" s="1"/>
      <c r="AT503" s="1"/>
      <c r="AU503" s="1"/>
      <c r="AV503" s="1"/>
      <c r="AW503" s="1"/>
      <c r="AX503" s="5"/>
      <c r="AY503" s="5"/>
      <c r="AZ503" s="5"/>
      <c r="BA503" s="5"/>
      <c r="BB503" s="5"/>
      <c r="BC503" s="5"/>
      <c r="BF503" s="15"/>
      <c r="BG503" s="1"/>
      <c r="BH503" s="15"/>
      <c r="BI503" s="1"/>
      <c r="BJ503" s="1"/>
      <c r="BK503" s="1"/>
      <c r="BL503" s="1"/>
      <c r="BM503" s="1"/>
      <c r="BN503" s="1"/>
      <c r="BO503" s="1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DA503" s="1"/>
      <c r="DB503" s="868"/>
      <c r="DC503" s="868"/>
      <c r="DD503" s="1"/>
      <c r="DE503" s="1"/>
      <c r="DF503" s="1"/>
    </row>
    <row r="504">
      <c r="F504" s="1"/>
      <c r="H504" s="1"/>
      <c r="J504" s="1"/>
      <c r="L504" s="1"/>
      <c r="M504" s="1"/>
      <c r="N504" s="1"/>
      <c r="P504" s="1"/>
      <c r="R504" s="1"/>
      <c r="T504" s="1"/>
      <c r="V504" s="1"/>
      <c r="X504" s="1"/>
      <c r="Z504" s="1"/>
      <c r="AB504" s="1"/>
      <c r="AD504" s="1"/>
      <c r="AF504" s="1"/>
      <c r="AH504" s="1"/>
      <c r="AI504" s="1"/>
      <c r="AJ504" s="1"/>
      <c r="AL504" s="1"/>
      <c r="AN504" s="1"/>
      <c r="AP504" s="1"/>
      <c r="AR504" s="1"/>
      <c r="AT504" s="1"/>
      <c r="AU504" s="1"/>
      <c r="AV504" s="1"/>
      <c r="AW504" s="1"/>
      <c r="AX504" s="5"/>
      <c r="AY504" s="5"/>
      <c r="AZ504" s="5"/>
      <c r="BA504" s="5"/>
      <c r="BB504" s="5"/>
      <c r="BC504" s="5"/>
      <c r="BF504" s="15"/>
      <c r="BG504" s="1"/>
      <c r="BH504" s="15"/>
      <c r="BI504" s="1"/>
      <c r="BJ504" s="1"/>
      <c r="BK504" s="1"/>
      <c r="BL504" s="1"/>
      <c r="BM504" s="1"/>
      <c r="BN504" s="1"/>
      <c r="BO504" s="1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DA504" s="1"/>
      <c r="DB504" s="868"/>
      <c r="DC504" s="868"/>
      <c r="DD504" s="1"/>
      <c r="DE504" s="1"/>
      <c r="DF504" s="1"/>
    </row>
    <row r="505">
      <c r="F505" s="1"/>
      <c r="H505" s="1"/>
      <c r="J505" s="1"/>
      <c r="L505" s="1"/>
      <c r="M505" s="1"/>
      <c r="N505" s="1"/>
      <c r="P505" s="1"/>
      <c r="R505" s="1"/>
      <c r="T505" s="1"/>
      <c r="V505" s="1"/>
      <c r="X505" s="1"/>
      <c r="Z505" s="1"/>
      <c r="AB505" s="1"/>
      <c r="AD505" s="1"/>
      <c r="AF505" s="1"/>
      <c r="AH505" s="1"/>
      <c r="AI505" s="1"/>
      <c r="AJ505" s="1"/>
      <c r="AL505" s="1"/>
      <c r="AN505" s="1"/>
      <c r="AP505" s="1"/>
      <c r="AR505" s="1"/>
      <c r="AT505" s="1"/>
      <c r="AU505" s="1"/>
      <c r="AV505" s="1"/>
      <c r="AW505" s="1"/>
      <c r="AX505" s="5"/>
      <c r="AY505" s="5"/>
      <c r="AZ505" s="5"/>
      <c r="BA505" s="5"/>
      <c r="BB505" s="5"/>
      <c r="BC505" s="5"/>
      <c r="BF505" s="15"/>
      <c r="BG505" s="1"/>
      <c r="BH505" s="15"/>
      <c r="BI505" s="1"/>
      <c r="BJ505" s="1"/>
      <c r="BK505" s="1"/>
      <c r="BL505" s="1"/>
      <c r="BM505" s="1"/>
      <c r="BN505" s="1"/>
      <c r="BO505" s="1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DA505" s="1"/>
      <c r="DB505" s="868"/>
      <c r="DC505" s="868"/>
      <c r="DD505" s="1"/>
      <c r="DE505" s="1"/>
      <c r="DF505" s="1"/>
    </row>
    <row r="506">
      <c r="F506" s="1"/>
      <c r="H506" s="1"/>
      <c r="J506" s="1"/>
      <c r="L506" s="1"/>
      <c r="M506" s="1"/>
      <c r="N506" s="1"/>
      <c r="P506" s="1"/>
      <c r="R506" s="1"/>
      <c r="T506" s="1"/>
      <c r="V506" s="1"/>
      <c r="X506" s="1"/>
      <c r="Z506" s="1"/>
      <c r="AB506" s="1"/>
      <c r="AD506" s="1"/>
      <c r="AF506" s="1"/>
      <c r="AH506" s="1"/>
      <c r="AI506" s="1"/>
      <c r="AJ506" s="1"/>
      <c r="AL506" s="1"/>
      <c r="AN506" s="1"/>
      <c r="AP506" s="1"/>
      <c r="AR506" s="1"/>
      <c r="AT506" s="1"/>
      <c r="AU506" s="1"/>
      <c r="AV506" s="1"/>
      <c r="AW506" s="1"/>
      <c r="AX506" s="5"/>
      <c r="AY506" s="5"/>
      <c r="AZ506" s="5"/>
      <c r="BA506" s="5"/>
      <c r="BB506" s="5"/>
      <c r="BC506" s="5"/>
      <c r="BF506" s="15"/>
      <c r="BG506" s="1"/>
      <c r="BH506" s="15"/>
      <c r="BI506" s="1"/>
      <c r="BJ506" s="1"/>
      <c r="BK506" s="1"/>
      <c r="BL506" s="1"/>
      <c r="BM506" s="1"/>
      <c r="BN506" s="1"/>
      <c r="BO506" s="1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DA506" s="1"/>
      <c r="DB506" s="868"/>
      <c r="DC506" s="868"/>
      <c r="DD506" s="1"/>
      <c r="DE506" s="1"/>
      <c r="DF506" s="1"/>
    </row>
    <row r="507">
      <c r="F507" s="1"/>
      <c r="H507" s="1"/>
      <c r="J507" s="1"/>
      <c r="L507" s="1"/>
      <c r="M507" s="1"/>
      <c r="N507" s="1"/>
      <c r="P507" s="1"/>
      <c r="R507" s="1"/>
      <c r="T507" s="1"/>
      <c r="V507" s="1"/>
      <c r="X507" s="1"/>
      <c r="Z507" s="1"/>
      <c r="AB507" s="1"/>
      <c r="AD507" s="1"/>
      <c r="AF507" s="1"/>
      <c r="AH507" s="1"/>
      <c r="AI507" s="1"/>
      <c r="AJ507" s="1"/>
      <c r="AL507" s="1"/>
      <c r="AN507" s="1"/>
      <c r="AP507" s="1"/>
      <c r="AR507" s="1"/>
      <c r="AT507" s="1"/>
      <c r="AU507" s="1"/>
      <c r="AV507" s="1"/>
      <c r="AW507" s="1"/>
      <c r="AX507" s="5"/>
      <c r="AY507" s="5"/>
      <c r="AZ507" s="5"/>
      <c r="BA507" s="5"/>
      <c r="BB507" s="5"/>
      <c r="BC507" s="5"/>
      <c r="BF507" s="15"/>
      <c r="BG507" s="1"/>
      <c r="BH507" s="15"/>
      <c r="BI507" s="1"/>
      <c r="BJ507" s="1"/>
      <c r="BK507" s="1"/>
      <c r="BL507" s="1"/>
      <c r="BM507" s="1"/>
      <c r="BN507" s="1"/>
      <c r="BO507" s="1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DA507" s="1"/>
      <c r="DB507" s="868"/>
      <c r="DC507" s="868"/>
      <c r="DD507" s="1"/>
      <c r="DE507" s="1"/>
      <c r="DF507" s="1"/>
    </row>
    <row r="508">
      <c r="F508" s="1"/>
      <c r="H508" s="1"/>
      <c r="J508" s="1"/>
      <c r="L508" s="1"/>
      <c r="M508" s="1"/>
      <c r="N508" s="1"/>
      <c r="P508" s="1"/>
      <c r="R508" s="1"/>
      <c r="T508" s="1"/>
      <c r="V508" s="1"/>
      <c r="X508" s="1"/>
      <c r="Z508" s="1"/>
      <c r="AB508" s="1"/>
      <c r="AD508" s="1"/>
      <c r="AF508" s="1"/>
      <c r="AH508" s="1"/>
      <c r="AI508" s="1"/>
      <c r="AJ508" s="1"/>
      <c r="AL508" s="1"/>
      <c r="AN508" s="1"/>
      <c r="AP508" s="1"/>
      <c r="AR508" s="1"/>
      <c r="AT508" s="1"/>
      <c r="AU508" s="1"/>
      <c r="AV508" s="1"/>
      <c r="AW508" s="1"/>
      <c r="AX508" s="5"/>
      <c r="AY508" s="5"/>
      <c r="AZ508" s="5"/>
      <c r="BA508" s="5"/>
      <c r="BB508" s="5"/>
      <c r="BC508" s="5"/>
      <c r="BF508" s="15"/>
      <c r="BG508" s="1"/>
      <c r="BH508" s="15"/>
      <c r="BI508" s="1"/>
      <c r="BJ508" s="1"/>
      <c r="BK508" s="1"/>
      <c r="BL508" s="1"/>
      <c r="BM508" s="1"/>
      <c r="BN508" s="1"/>
      <c r="BO508" s="1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DA508" s="1"/>
      <c r="DB508" s="868"/>
      <c r="DC508" s="868"/>
      <c r="DD508" s="1"/>
      <c r="DE508" s="1"/>
      <c r="DF508" s="1"/>
    </row>
    <row r="509">
      <c r="F509" s="1"/>
      <c r="H509" s="1"/>
      <c r="J509" s="1"/>
      <c r="L509" s="1"/>
      <c r="M509" s="1"/>
      <c r="N509" s="1"/>
      <c r="P509" s="1"/>
      <c r="R509" s="1"/>
      <c r="T509" s="1"/>
      <c r="V509" s="1"/>
      <c r="X509" s="1"/>
      <c r="Z509" s="1"/>
      <c r="AB509" s="1"/>
      <c r="AD509" s="1"/>
      <c r="AF509" s="1"/>
      <c r="AH509" s="1"/>
      <c r="AI509" s="1"/>
      <c r="AJ509" s="1"/>
      <c r="AL509" s="1"/>
      <c r="AN509" s="1"/>
      <c r="AP509" s="1"/>
      <c r="AR509" s="1"/>
      <c r="AT509" s="1"/>
      <c r="AU509" s="1"/>
      <c r="AV509" s="1"/>
      <c r="AW509" s="1"/>
      <c r="AX509" s="5"/>
      <c r="AY509" s="5"/>
      <c r="AZ509" s="5"/>
      <c r="BA509" s="5"/>
      <c r="BB509" s="5"/>
      <c r="BC509" s="5"/>
      <c r="BF509" s="15"/>
      <c r="BG509" s="1"/>
      <c r="BH509" s="15"/>
      <c r="BI509" s="1"/>
      <c r="BJ509" s="1"/>
      <c r="BK509" s="1"/>
      <c r="BL509" s="1"/>
      <c r="BM509" s="1"/>
      <c r="BN509" s="1"/>
      <c r="BO509" s="1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DA509" s="1"/>
      <c r="DB509" s="868"/>
      <c r="DC509" s="868"/>
      <c r="DD509" s="1"/>
      <c r="DE509" s="1"/>
      <c r="DF509" s="1"/>
    </row>
    <row r="510">
      <c r="F510" s="1"/>
      <c r="H510" s="1"/>
      <c r="J510" s="1"/>
      <c r="L510" s="1"/>
      <c r="M510" s="1"/>
      <c r="N510" s="1"/>
      <c r="P510" s="1"/>
      <c r="R510" s="1"/>
      <c r="T510" s="1"/>
      <c r="V510" s="1"/>
      <c r="X510" s="1"/>
      <c r="Z510" s="1"/>
      <c r="AB510" s="1"/>
      <c r="AD510" s="1"/>
      <c r="AF510" s="1"/>
      <c r="AH510" s="1"/>
      <c r="AI510" s="1"/>
      <c r="AJ510" s="1"/>
      <c r="AL510" s="1"/>
      <c r="AN510" s="1"/>
      <c r="AP510" s="1"/>
      <c r="AR510" s="1"/>
      <c r="AT510" s="1"/>
      <c r="AU510" s="1"/>
      <c r="AV510" s="1"/>
      <c r="AW510" s="1"/>
      <c r="AX510" s="5"/>
      <c r="AY510" s="5"/>
      <c r="AZ510" s="5"/>
      <c r="BA510" s="5"/>
      <c r="BB510" s="5"/>
      <c r="BC510" s="5"/>
      <c r="BF510" s="15"/>
      <c r="BG510" s="1"/>
      <c r="BH510" s="15"/>
      <c r="BI510" s="1"/>
      <c r="BJ510" s="1"/>
      <c r="BK510" s="1"/>
      <c r="BL510" s="1"/>
      <c r="BM510" s="1"/>
      <c r="BN510" s="1"/>
      <c r="BO510" s="1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DA510" s="1"/>
      <c r="DB510" s="868"/>
      <c r="DC510" s="868"/>
      <c r="DD510" s="1"/>
      <c r="DE510" s="1"/>
      <c r="DF510" s="1"/>
    </row>
    <row r="511">
      <c r="F511" s="1"/>
      <c r="H511" s="1"/>
      <c r="J511" s="1"/>
      <c r="L511" s="1"/>
      <c r="M511" s="1"/>
      <c r="N511" s="1"/>
      <c r="P511" s="1"/>
      <c r="R511" s="1"/>
      <c r="T511" s="1"/>
      <c r="V511" s="1"/>
      <c r="X511" s="1"/>
      <c r="Z511" s="1"/>
      <c r="AB511" s="1"/>
      <c r="AD511" s="1"/>
      <c r="AF511" s="1"/>
      <c r="AH511" s="1"/>
      <c r="AI511" s="1"/>
      <c r="AJ511" s="1"/>
      <c r="AL511" s="1"/>
      <c r="AN511" s="1"/>
      <c r="AP511" s="1"/>
      <c r="AR511" s="1"/>
      <c r="AT511" s="1"/>
      <c r="AU511" s="1"/>
      <c r="AV511" s="1"/>
      <c r="AW511" s="1"/>
      <c r="AX511" s="5"/>
      <c r="AY511" s="5"/>
      <c r="AZ511" s="5"/>
      <c r="BA511" s="5"/>
      <c r="BB511" s="5"/>
      <c r="BC511" s="5"/>
      <c r="BF511" s="15"/>
      <c r="BG511" s="1"/>
      <c r="BH511" s="15"/>
      <c r="BI511" s="1"/>
      <c r="BJ511" s="1"/>
      <c r="BK511" s="1"/>
      <c r="BL511" s="1"/>
      <c r="BM511" s="1"/>
      <c r="BN511" s="1"/>
      <c r="BO511" s="1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DA511" s="1"/>
      <c r="DB511" s="868"/>
      <c r="DC511" s="868"/>
      <c r="DD511" s="1"/>
      <c r="DE511" s="1"/>
      <c r="DF511" s="1"/>
    </row>
    <row r="512">
      <c r="F512" s="1"/>
      <c r="H512" s="1"/>
      <c r="J512" s="1"/>
      <c r="L512" s="1"/>
      <c r="M512" s="1"/>
      <c r="N512" s="1"/>
      <c r="P512" s="1"/>
      <c r="R512" s="1"/>
      <c r="T512" s="1"/>
      <c r="V512" s="1"/>
      <c r="X512" s="1"/>
      <c r="Z512" s="1"/>
      <c r="AB512" s="1"/>
      <c r="AD512" s="1"/>
      <c r="AF512" s="1"/>
      <c r="AH512" s="1"/>
      <c r="AI512" s="1"/>
      <c r="AJ512" s="1"/>
      <c r="AL512" s="1"/>
      <c r="AN512" s="1"/>
      <c r="AP512" s="1"/>
      <c r="AR512" s="1"/>
      <c r="AT512" s="1"/>
      <c r="AU512" s="1"/>
      <c r="AV512" s="1"/>
      <c r="AW512" s="1"/>
      <c r="AX512" s="5"/>
      <c r="AY512" s="5"/>
      <c r="AZ512" s="5"/>
      <c r="BA512" s="5"/>
      <c r="BB512" s="5"/>
      <c r="BC512" s="5"/>
      <c r="BF512" s="15"/>
      <c r="BG512" s="1"/>
      <c r="BH512" s="15"/>
      <c r="BI512" s="1"/>
      <c r="BJ512" s="1"/>
      <c r="BK512" s="1"/>
      <c r="BL512" s="1"/>
      <c r="BM512" s="1"/>
      <c r="BN512" s="1"/>
      <c r="BO512" s="1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DA512" s="1"/>
      <c r="DB512" s="868"/>
      <c r="DC512" s="868"/>
      <c r="DD512" s="1"/>
      <c r="DE512" s="1"/>
      <c r="DF512" s="1"/>
    </row>
    <row r="513">
      <c r="F513" s="1"/>
      <c r="H513" s="1"/>
      <c r="J513" s="1"/>
      <c r="L513" s="1"/>
      <c r="M513" s="1"/>
      <c r="N513" s="1"/>
      <c r="P513" s="1"/>
      <c r="R513" s="1"/>
      <c r="T513" s="1"/>
      <c r="V513" s="1"/>
      <c r="X513" s="1"/>
      <c r="Z513" s="1"/>
      <c r="AB513" s="1"/>
      <c r="AD513" s="1"/>
      <c r="AF513" s="1"/>
      <c r="AH513" s="1"/>
      <c r="AI513" s="1"/>
      <c r="AJ513" s="1"/>
      <c r="AL513" s="1"/>
      <c r="AN513" s="1"/>
      <c r="AP513" s="1"/>
      <c r="AR513" s="1"/>
      <c r="AT513" s="1"/>
      <c r="AU513" s="1"/>
      <c r="AV513" s="1"/>
      <c r="AW513" s="1"/>
      <c r="AX513" s="5"/>
      <c r="AY513" s="5"/>
      <c r="AZ513" s="5"/>
      <c r="BA513" s="5"/>
      <c r="BB513" s="5"/>
      <c r="BC513" s="5"/>
      <c r="BF513" s="15"/>
      <c r="BG513" s="1"/>
      <c r="BH513" s="15"/>
      <c r="BI513" s="1"/>
      <c r="BJ513" s="1"/>
      <c r="BK513" s="1"/>
      <c r="BL513" s="1"/>
      <c r="BM513" s="1"/>
      <c r="BN513" s="1"/>
      <c r="BO513" s="1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DA513" s="1"/>
      <c r="DB513" s="868"/>
      <c r="DC513" s="868"/>
      <c r="DD513" s="1"/>
      <c r="DE513" s="1"/>
      <c r="DF513" s="1"/>
    </row>
    <row r="514">
      <c r="F514" s="1"/>
      <c r="H514" s="1"/>
      <c r="J514" s="1"/>
      <c r="L514" s="1"/>
      <c r="M514" s="1"/>
      <c r="N514" s="1"/>
      <c r="P514" s="1"/>
      <c r="R514" s="1"/>
      <c r="T514" s="1"/>
      <c r="V514" s="1"/>
      <c r="X514" s="1"/>
      <c r="Z514" s="1"/>
      <c r="AB514" s="1"/>
      <c r="AD514" s="1"/>
      <c r="AF514" s="1"/>
      <c r="AH514" s="1"/>
      <c r="AI514" s="1"/>
      <c r="AJ514" s="1"/>
      <c r="AL514" s="1"/>
      <c r="AN514" s="1"/>
      <c r="AP514" s="1"/>
      <c r="AR514" s="1"/>
      <c r="AT514" s="1"/>
      <c r="AU514" s="1"/>
      <c r="AV514" s="1"/>
      <c r="AW514" s="1"/>
      <c r="AX514" s="5"/>
      <c r="AY514" s="5"/>
      <c r="AZ514" s="5"/>
      <c r="BA514" s="5"/>
      <c r="BB514" s="5"/>
      <c r="BC514" s="5"/>
      <c r="BF514" s="15"/>
      <c r="BG514" s="1"/>
      <c r="BH514" s="15"/>
      <c r="BI514" s="1"/>
      <c r="BJ514" s="1"/>
      <c r="BK514" s="1"/>
      <c r="BL514" s="1"/>
      <c r="BM514" s="1"/>
      <c r="BN514" s="1"/>
      <c r="BO514" s="1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DA514" s="1"/>
      <c r="DB514" s="868"/>
      <c r="DC514" s="868"/>
      <c r="DD514" s="1"/>
      <c r="DE514" s="1"/>
      <c r="DF514" s="1"/>
    </row>
    <row r="515">
      <c r="F515" s="1"/>
      <c r="H515" s="1"/>
      <c r="J515" s="1"/>
      <c r="L515" s="1"/>
      <c r="M515" s="1"/>
      <c r="N515" s="1"/>
      <c r="P515" s="1"/>
      <c r="R515" s="1"/>
      <c r="T515" s="1"/>
      <c r="V515" s="1"/>
      <c r="X515" s="1"/>
      <c r="Z515" s="1"/>
      <c r="AB515" s="1"/>
      <c r="AD515" s="1"/>
      <c r="AF515" s="1"/>
      <c r="AH515" s="1"/>
      <c r="AI515" s="1"/>
      <c r="AJ515" s="1"/>
      <c r="AL515" s="1"/>
      <c r="AN515" s="1"/>
      <c r="AP515" s="1"/>
      <c r="AR515" s="1"/>
      <c r="AT515" s="1"/>
      <c r="AU515" s="1"/>
      <c r="AV515" s="1"/>
      <c r="AW515" s="1"/>
      <c r="AX515" s="5"/>
      <c r="AY515" s="5"/>
      <c r="AZ515" s="5"/>
      <c r="BA515" s="5"/>
      <c r="BB515" s="5"/>
      <c r="BC515" s="5"/>
      <c r="BF515" s="15"/>
      <c r="BG515" s="1"/>
      <c r="BH515" s="15"/>
      <c r="BI515" s="1"/>
      <c r="BJ515" s="1"/>
      <c r="BK515" s="1"/>
      <c r="BL515" s="1"/>
      <c r="BM515" s="1"/>
      <c r="BN515" s="1"/>
      <c r="BO515" s="1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DA515" s="1"/>
      <c r="DB515" s="868"/>
      <c r="DC515" s="868"/>
      <c r="DD515" s="1"/>
      <c r="DE515" s="1"/>
      <c r="DF515" s="1"/>
    </row>
    <row r="516">
      <c r="F516" s="1"/>
      <c r="H516" s="1"/>
      <c r="J516" s="1"/>
      <c r="L516" s="1"/>
      <c r="M516" s="1"/>
      <c r="N516" s="1"/>
      <c r="P516" s="1"/>
      <c r="R516" s="1"/>
      <c r="T516" s="1"/>
      <c r="V516" s="1"/>
      <c r="X516" s="1"/>
      <c r="Z516" s="1"/>
      <c r="AB516" s="1"/>
      <c r="AD516" s="1"/>
      <c r="AF516" s="1"/>
      <c r="AH516" s="1"/>
      <c r="AI516" s="1"/>
      <c r="AJ516" s="1"/>
      <c r="AL516" s="1"/>
      <c r="AN516" s="1"/>
      <c r="AP516" s="1"/>
      <c r="AR516" s="1"/>
      <c r="AT516" s="1"/>
      <c r="AU516" s="1"/>
      <c r="AV516" s="1"/>
      <c r="AW516" s="1"/>
      <c r="AX516" s="5"/>
      <c r="AY516" s="5"/>
      <c r="AZ516" s="5"/>
      <c r="BA516" s="5"/>
      <c r="BB516" s="5"/>
      <c r="BC516" s="5"/>
      <c r="BF516" s="15"/>
      <c r="BG516" s="1"/>
      <c r="BH516" s="15"/>
      <c r="BI516" s="1"/>
      <c r="BJ516" s="1"/>
      <c r="BK516" s="1"/>
      <c r="BL516" s="1"/>
      <c r="BM516" s="1"/>
      <c r="BN516" s="1"/>
      <c r="BO516" s="1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DA516" s="1"/>
      <c r="DB516" s="868"/>
      <c r="DC516" s="868"/>
      <c r="DD516" s="1"/>
      <c r="DE516" s="1"/>
      <c r="DF516" s="1"/>
    </row>
    <row r="517">
      <c r="F517" s="1"/>
      <c r="H517" s="1"/>
      <c r="J517" s="1"/>
      <c r="L517" s="1"/>
      <c r="M517" s="1"/>
      <c r="N517" s="1"/>
      <c r="P517" s="1"/>
      <c r="R517" s="1"/>
      <c r="T517" s="1"/>
      <c r="V517" s="1"/>
      <c r="X517" s="1"/>
      <c r="Z517" s="1"/>
      <c r="AB517" s="1"/>
      <c r="AD517" s="1"/>
      <c r="AF517" s="1"/>
      <c r="AH517" s="1"/>
      <c r="AI517" s="1"/>
      <c r="AJ517" s="1"/>
      <c r="AL517" s="1"/>
      <c r="AN517" s="1"/>
      <c r="AP517" s="1"/>
      <c r="AR517" s="1"/>
      <c r="AT517" s="1"/>
      <c r="AU517" s="1"/>
      <c r="AV517" s="1"/>
      <c r="AW517" s="1"/>
      <c r="AX517" s="5"/>
      <c r="AY517" s="5"/>
      <c r="AZ517" s="5"/>
      <c r="BA517" s="5"/>
      <c r="BB517" s="5"/>
      <c r="BC517" s="5"/>
      <c r="BF517" s="15"/>
      <c r="BG517" s="1"/>
      <c r="BH517" s="15"/>
      <c r="BI517" s="1"/>
      <c r="BJ517" s="1"/>
      <c r="BK517" s="1"/>
      <c r="BL517" s="1"/>
      <c r="BM517" s="1"/>
      <c r="BN517" s="1"/>
      <c r="BO517" s="1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DA517" s="1"/>
      <c r="DB517" s="868"/>
      <c r="DC517" s="868"/>
      <c r="DD517" s="1"/>
      <c r="DE517" s="1"/>
      <c r="DF517" s="1"/>
    </row>
    <row r="518">
      <c r="F518" s="1"/>
      <c r="H518" s="1"/>
      <c r="J518" s="1"/>
      <c r="L518" s="1"/>
      <c r="M518" s="1"/>
      <c r="N518" s="1"/>
      <c r="P518" s="1"/>
      <c r="R518" s="1"/>
      <c r="T518" s="1"/>
      <c r="V518" s="1"/>
      <c r="X518" s="1"/>
      <c r="Z518" s="1"/>
      <c r="AB518" s="1"/>
      <c r="AD518" s="1"/>
      <c r="AF518" s="1"/>
      <c r="AH518" s="1"/>
      <c r="AI518" s="1"/>
      <c r="AJ518" s="1"/>
      <c r="AL518" s="1"/>
      <c r="AN518" s="1"/>
      <c r="AP518" s="1"/>
      <c r="AR518" s="1"/>
      <c r="AT518" s="1"/>
      <c r="AU518" s="1"/>
      <c r="AV518" s="1"/>
      <c r="AW518" s="1"/>
      <c r="AX518" s="5"/>
      <c r="AY518" s="5"/>
      <c r="AZ518" s="5"/>
      <c r="BA518" s="5"/>
      <c r="BB518" s="5"/>
      <c r="BC518" s="5"/>
      <c r="BF518" s="15"/>
      <c r="BG518" s="1"/>
      <c r="BH518" s="15"/>
      <c r="BI518" s="1"/>
      <c r="BJ518" s="1"/>
      <c r="BK518" s="1"/>
      <c r="BL518" s="1"/>
      <c r="BM518" s="1"/>
      <c r="BN518" s="1"/>
      <c r="BO518" s="1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DA518" s="1"/>
      <c r="DB518" s="868"/>
      <c r="DC518" s="868"/>
      <c r="DD518" s="1"/>
      <c r="DE518" s="1"/>
      <c r="DF518" s="1"/>
    </row>
    <row r="519">
      <c r="F519" s="1"/>
      <c r="H519" s="1"/>
      <c r="J519" s="1"/>
      <c r="L519" s="1"/>
      <c r="M519" s="1"/>
      <c r="N519" s="1"/>
      <c r="P519" s="1"/>
      <c r="R519" s="1"/>
      <c r="T519" s="1"/>
      <c r="V519" s="1"/>
      <c r="X519" s="1"/>
      <c r="Z519" s="1"/>
      <c r="AB519" s="1"/>
      <c r="AD519" s="1"/>
      <c r="AF519" s="1"/>
      <c r="AH519" s="1"/>
      <c r="AI519" s="1"/>
      <c r="AJ519" s="1"/>
      <c r="AL519" s="1"/>
      <c r="AN519" s="1"/>
      <c r="AP519" s="1"/>
      <c r="AR519" s="1"/>
      <c r="AT519" s="1"/>
      <c r="AU519" s="1"/>
      <c r="AV519" s="1"/>
      <c r="AW519" s="1"/>
      <c r="AX519" s="5"/>
      <c r="AY519" s="5"/>
      <c r="AZ519" s="5"/>
      <c r="BA519" s="5"/>
      <c r="BB519" s="5"/>
      <c r="BC519" s="5"/>
      <c r="BF519" s="15"/>
      <c r="BG519" s="1"/>
      <c r="BH519" s="15"/>
      <c r="BI519" s="1"/>
      <c r="BJ519" s="1"/>
      <c r="BK519" s="1"/>
      <c r="BL519" s="1"/>
      <c r="BM519" s="1"/>
      <c r="BN519" s="1"/>
      <c r="BO519" s="1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DA519" s="1"/>
      <c r="DB519" s="868"/>
      <c r="DC519" s="868"/>
      <c r="DD519" s="1"/>
      <c r="DE519" s="1"/>
      <c r="DF519" s="1"/>
    </row>
    <row r="520">
      <c r="F520" s="1"/>
      <c r="H520" s="1"/>
      <c r="J520" s="1"/>
      <c r="L520" s="1"/>
      <c r="M520" s="1"/>
      <c r="N520" s="1"/>
      <c r="P520" s="1"/>
      <c r="R520" s="1"/>
      <c r="T520" s="1"/>
      <c r="V520" s="1"/>
      <c r="X520" s="1"/>
      <c r="Z520" s="1"/>
      <c r="AB520" s="1"/>
      <c r="AD520" s="1"/>
      <c r="AF520" s="1"/>
      <c r="AH520" s="1"/>
      <c r="AI520" s="1"/>
      <c r="AJ520" s="1"/>
      <c r="AL520" s="1"/>
      <c r="AN520" s="1"/>
      <c r="AP520" s="1"/>
      <c r="AR520" s="1"/>
      <c r="AT520" s="1"/>
      <c r="AU520" s="1"/>
      <c r="AV520" s="1"/>
      <c r="AW520" s="1"/>
      <c r="AX520" s="5"/>
      <c r="AY520" s="5"/>
      <c r="AZ520" s="5"/>
      <c r="BA520" s="5"/>
      <c r="BB520" s="5"/>
      <c r="BC520" s="5"/>
      <c r="BF520" s="15"/>
      <c r="BG520" s="1"/>
      <c r="BH520" s="15"/>
      <c r="BI520" s="1"/>
      <c r="BJ520" s="1"/>
      <c r="BK520" s="1"/>
      <c r="BL520" s="1"/>
      <c r="BM520" s="1"/>
      <c r="BN520" s="1"/>
      <c r="BO520" s="1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DA520" s="1"/>
      <c r="DB520" s="868"/>
      <c r="DC520" s="868"/>
      <c r="DD520" s="1"/>
      <c r="DE520" s="1"/>
      <c r="DF520" s="1"/>
    </row>
    <row r="521">
      <c r="F521" s="1"/>
      <c r="H521" s="1"/>
      <c r="J521" s="1"/>
      <c r="L521" s="1"/>
      <c r="M521" s="1"/>
      <c r="N521" s="1"/>
      <c r="P521" s="1"/>
      <c r="R521" s="1"/>
      <c r="T521" s="1"/>
      <c r="V521" s="1"/>
      <c r="X521" s="1"/>
      <c r="Z521" s="1"/>
      <c r="AB521" s="1"/>
      <c r="AD521" s="1"/>
      <c r="AF521" s="1"/>
      <c r="AH521" s="1"/>
      <c r="AI521" s="1"/>
      <c r="AJ521" s="1"/>
      <c r="AL521" s="1"/>
      <c r="AN521" s="1"/>
      <c r="AP521" s="1"/>
      <c r="AR521" s="1"/>
      <c r="AT521" s="1"/>
      <c r="AU521" s="1"/>
      <c r="AV521" s="1"/>
      <c r="AW521" s="1"/>
      <c r="AX521" s="5"/>
      <c r="AY521" s="5"/>
      <c r="AZ521" s="5"/>
      <c r="BA521" s="5"/>
      <c r="BB521" s="5"/>
      <c r="BC521" s="5"/>
      <c r="BF521" s="15"/>
      <c r="BG521" s="1"/>
      <c r="BH521" s="15"/>
      <c r="BI521" s="1"/>
      <c r="BJ521" s="1"/>
      <c r="BK521" s="1"/>
      <c r="BL521" s="1"/>
      <c r="BM521" s="1"/>
      <c r="BN521" s="1"/>
      <c r="BO521" s="1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DA521" s="1"/>
      <c r="DB521" s="868"/>
      <c r="DC521" s="868"/>
      <c r="DD521" s="1"/>
      <c r="DE521" s="1"/>
      <c r="DF521" s="1"/>
    </row>
    <row r="522">
      <c r="F522" s="1"/>
      <c r="H522" s="1"/>
      <c r="J522" s="1"/>
      <c r="L522" s="1"/>
      <c r="M522" s="1"/>
      <c r="N522" s="1"/>
      <c r="P522" s="1"/>
      <c r="R522" s="1"/>
      <c r="T522" s="1"/>
      <c r="V522" s="1"/>
      <c r="X522" s="1"/>
      <c r="Z522" s="1"/>
      <c r="AB522" s="1"/>
      <c r="AD522" s="1"/>
      <c r="AF522" s="1"/>
      <c r="AH522" s="1"/>
      <c r="AI522" s="1"/>
      <c r="AJ522" s="1"/>
      <c r="AL522" s="1"/>
      <c r="AN522" s="1"/>
      <c r="AP522" s="1"/>
      <c r="AR522" s="1"/>
      <c r="AT522" s="1"/>
      <c r="AU522" s="1"/>
      <c r="AV522" s="1"/>
      <c r="AW522" s="1"/>
      <c r="AX522" s="5"/>
      <c r="AY522" s="5"/>
      <c r="AZ522" s="5"/>
      <c r="BA522" s="5"/>
      <c r="BB522" s="5"/>
      <c r="BC522" s="5"/>
      <c r="BF522" s="15"/>
      <c r="BG522" s="1"/>
      <c r="BH522" s="15"/>
      <c r="BI522" s="1"/>
      <c r="BJ522" s="1"/>
      <c r="BK522" s="1"/>
      <c r="BL522" s="1"/>
      <c r="BM522" s="1"/>
      <c r="BN522" s="1"/>
      <c r="BO522" s="1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DA522" s="1"/>
      <c r="DB522" s="868"/>
      <c r="DC522" s="868"/>
      <c r="DD522" s="1"/>
      <c r="DE522" s="1"/>
      <c r="DF522" s="1"/>
    </row>
    <row r="523">
      <c r="F523" s="1"/>
      <c r="H523" s="1"/>
      <c r="J523" s="1"/>
      <c r="L523" s="1"/>
      <c r="M523" s="1"/>
      <c r="N523" s="1"/>
      <c r="P523" s="1"/>
      <c r="R523" s="1"/>
      <c r="T523" s="1"/>
      <c r="V523" s="1"/>
      <c r="X523" s="1"/>
      <c r="Z523" s="1"/>
      <c r="AB523" s="1"/>
      <c r="AD523" s="1"/>
      <c r="AF523" s="1"/>
      <c r="AH523" s="1"/>
      <c r="AI523" s="1"/>
      <c r="AJ523" s="1"/>
      <c r="AL523" s="1"/>
      <c r="AN523" s="1"/>
      <c r="AP523" s="1"/>
      <c r="AR523" s="1"/>
      <c r="AT523" s="1"/>
      <c r="AU523" s="1"/>
      <c r="AV523" s="1"/>
      <c r="AW523" s="1"/>
      <c r="AX523" s="5"/>
      <c r="AY523" s="5"/>
      <c r="AZ523" s="5"/>
      <c r="BA523" s="5"/>
      <c r="BB523" s="5"/>
      <c r="BC523" s="5"/>
      <c r="BF523" s="15"/>
      <c r="BG523" s="1"/>
      <c r="BH523" s="15"/>
      <c r="BI523" s="1"/>
      <c r="BJ523" s="1"/>
      <c r="BK523" s="1"/>
      <c r="BL523" s="1"/>
      <c r="BM523" s="1"/>
      <c r="BN523" s="1"/>
      <c r="BO523" s="1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DA523" s="1"/>
      <c r="DB523" s="868"/>
      <c r="DC523" s="868"/>
      <c r="DD523" s="1"/>
      <c r="DE523" s="1"/>
      <c r="DF523" s="1"/>
    </row>
    <row r="524">
      <c r="F524" s="1"/>
      <c r="H524" s="1"/>
      <c r="J524" s="1"/>
      <c r="L524" s="1"/>
      <c r="M524" s="1"/>
      <c r="N524" s="1"/>
      <c r="P524" s="1"/>
      <c r="R524" s="1"/>
      <c r="T524" s="1"/>
      <c r="V524" s="1"/>
      <c r="X524" s="1"/>
      <c r="Z524" s="1"/>
      <c r="AB524" s="1"/>
      <c r="AD524" s="1"/>
      <c r="AF524" s="1"/>
      <c r="AH524" s="1"/>
      <c r="AI524" s="1"/>
      <c r="AJ524" s="1"/>
      <c r="AL524" s="1"/>
      <c r="AN524" s="1"/>
      <c r="AP524" s="1"/>
      <c r="AR524" s="1"/>
      <c r="AT524" s="1"/>
      <c r="AU524" s="1"/>
      <c r="AV524" s="1"/>
      <c r="AW524" s="1"/>
      <c r="AX524" s="5"/>
      <c r="AY524" s="5"/>
      <c r="AZ524" s="5"/>
      <c r="BA524" s="5"/>
      <c r="BB524" s="5"/>
      <c r="BC524" s="5"/>
      <c r="BF524" s="15"/>
      <c r="BG524" s="1"/>
      <c r="BH524" s="15"/>
      <c r="BI524" s="1"/>
      <c r="BJ524" s="1"/>
      <c r="BK524" s="1"/>
      <c r="BL524" s="1"/>
      <c r="BM524" s="1"/>
      <c r="BN524" s="1"/>
      <c r="BO524" s="1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DA524" s="1"/>
      <c r="DB524" s="868"/>
      <c r="DC524" s="868"/>
      <c r="DD524" s="1"/>
      <c r="DE524" s="1"/>
      <c r="DF524" s="1"/>
    </row>
    <row r="525">
      <c r="F525" s="1"/>
      <c r="H525" s="1"/>
      <c r="J525" s="1"/>
      <c r="L525" s="1"/>
      <c r="M525" s="1"/>
      <c r="N525" s="1"/>
      <c r="P525" s="1"/>
      <c r="R525" s="1"/>
      <c r="T525" s="1"/>
      <c r="V525" s="1"/>
      <c r="X525" s="1"/>
      <c r="Z525" s="1"/>
      <c r="AB525" s="1"/>
      <c r="AD525" s="1"/>
      <c r="AF525" s="1"/>
      <c r="AH525" s="1"/>
      <c r="AI525" s="1"/>
      <c r="AJ525" s="1"/>
      <c r="AL525" s="1"/>
      <c r="AN525" s="1"/>
      <c r="AP525" s="1"/>
      <c r="AR525" s="1"/>
      <c r="AT525" s="1"/>
      <c r="AU525" s="1"/>
      <c r="AV525" s="1"/>
      <c r="AW525" s="1"/>
      <c r="AX525" s="5"/>
      <c r="AY525" s="5"/>
      <c r="AZ525" s="5"/>
      <c r="BA525" s="5"/>
      <c r="BB525" s="5"/>
      <c r="BC525" s="5"/>
      <c r="BF525" s="15"/>
      <c r="BG525" s="1"/>
      <c r="BH525" s="15"/>
      <c r="BI525" s="1"/>
      <c r="BJ525" s="1"/>
      <c r="BK525" s="1"/>
      <c r="BL525" s="1"/>
      <c r="BM525" s="1"/>
      <c r="BN525" s="1"/>
      <c r="BO525" s="1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DA525" s="1"/>
      <c r="DB525" s="868"/>
      <c r="DC525" s="868"/>
      <c r="DD525" s="1"/>
      <c r="DE525" s="1"/>
      <c r="DF525" s="1"/>
    </row>
    <row r="526">
      <c r="F526" s="1"/>
      <c r="H526" s="1"/>
      <c r="J526" s="1"/>
      <c r="L526" s="1"/>
      <c r="M526" s="1"/>
      <c r="N526" s="1"/>
      <c r="P526" s="1"/>
      <c r="R526" s="1"/>
      <c r="T526" s="1"/>
      <c r="V526" s="1"/>
      <c r="X526" s="1"/>
      <c r="Z526" s="1"/>
      <c r="AB526" s="1"/>
      <c r="AD526" s="1"/>
      <c r="AF526" s="1"/>
      <c r="AH526" s="1"/>
      <c r="AI526" s="1"/>
      <c r="AJ526" s="1"/>
      <c r="AL526" s="1"/>
      <c r="AN526" s="1"/>
      <c r="AP526" s="1"/>
      <c r="AR526" s="1"/>
      <c r="AT526" s="1"/>
      <c r="AU526" s="1"/>
      <c r="AV526" s="1"/>
      <c r="AW526" s="1"/>
      <c r="AX526" s="5"/>
      <c r="AY526" s="5"/>
      <c r="AZ526" s="5"/>
      <c r="BA526" s="5"/>
      <c r="BB526" s="5"/>
      <c r="BC526" s="5"/>
      <c r="BF526" s="15"/>
      <c r="BG526" s="1"/>
      <c r="BH526" s="15"/>
      <c r="BI526" s="1"/>
      <c r="BJ526" s="1"/>
      <c r="BK526" s="1"/>
      <c r="BL526" s="1"/>
      <c r="BM526" s="1"/>
      <c r="BN526" s="1"/>
      <c r="BO526" s="1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DA526" s="1"/>
      <c r="DB526" s="868"/>
      <c r="DC526" s="868"/>
      <c r="DD526" s="1"/>
      <c r="DE526" s="1"/>
      <c r="DF526" s="1"/>
    </row>
    <row r="527">
      <c r="F527" s="1"/>
      <c r="H527" s="1"/>
      <c r="J527" s="1"/>
      <c r="L527" s="1"/>
      <c r="M527" s="1"/>
      <c r="N527" s="1"/>
      <c r="P527" s="1"/>
      <c r="R527" s="1"/>
      <c r="T527" s="1"/>
      <c r="V527" s="1"/>
      <c r="X527" s="1"/>
      <c r="Z527" s="1"/>
      <c r="AB527" s="1"/>
      <c r="AD527" s="1"/>
      <c r="AF527" s="1"/>
      <c r="AH527" s="1"/>
      <c r="AI527" s="1"/>
      <c r="AJ527" s="1"/>
      <c r="AL527" s="1"/>
      <c r="AN527" s="1"/>
      <c r="AP527" s="1"/>
      <c r="AR527" s="1"/>
      <c r="AT527" s="1"/>
      <c r="AU527" s="1"/>
      <c r="AV527" s="1"/>
      <c r="AW527" s="1"/>
      <c r="AX527" s="5"/>
      <c r="AY527" s="5"/>
      <c r="AZ527" s="5"/>
      <c r="BA527" s="5"/>
      <c r="BB527" s="5"/>
      <c r="BC527" s="5"/>
      <c r="BF527" s="15"/>
      <c r="BG527" s="1"/>
      <c r="BH527" s="15"/>
      <c r="BI527" s="1"/>
      <c r="BJ527" s="1"/>
      <c r="BK527" s="1"/>
      <c r="BL527" s="1"/>
      <c r="BM527" s="1"/>
      <c r="BN527" s="1"/>
      <c r="BO527" s="1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DA527" s="1"/>
      <c r="DB527" s="868"/>
      <c r="DC527" s="868"/>
      <c r="DD527" s="1"/>
      <c r="DE527" s="1"/>
      <c r="DF527" s="1"/>
    </row>
    <row r="528">
      <c r="F528" s="1"/>
      <c r="H528" s="1"/>
      <c r="J528" s="1"/>
      <c r="L528" s="1"/>
      <c r="M528" s="1"/>
      <c r="N528" s="1"/>
      <c r="P528" s="1"/>
      <c r="R528" s="1"/>
      <c r="T528" s="1"/>
      <c r="V528" s="1"/>
      <c r="X528" s="1"/>
      <c r="Z528" s="1"/>
      <c r="AB528" s="1"/>
      <c r="AD528" s="1"/>
      <c r="AF528" s="1"/>
      <c r="AH528" s="1"/>
      <c r="AI528" s="1"/>
      <c r="AJ528" s="1"/>
      <c r="AL528" s="1"/>
      <c r="AN528" s="1"/>
      <c r="AP528" s="1"/>
      <c r="AR528" s="1"/>
      <c r="AT528" s="1"/>
      <c r="AU528" s="1"/>
      <c r="AV528" s="1"/>
      <c r="AW528" s="1"/>
      <c r="AX528" s="5"/>
      <c r="AY528" s="5"/>
      <c r="AZ528" s="5"/>
      <c r="BA528" s="5"/>
      <c r="BB528" s="5"/>
      <c r="BC528" s="5"/>
      <c r="BF528" s="15"/>
      <c r="BG528" s="1"/>
      <c r="BH528" s="15"/>
      <c r="BI528" s="1"/>
      <c r="BJ528" s="1"/>
      <c r="BK528" s="1"/>
      <c r="BL528" s="1"/>
      <c r="BM528" s="1"/>
      <c r="BN528" s="1"/>
      <c r="BO528" s="1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DA528" s="1"/>
      <c r="DB528" s="868"/>
      <c r="DC528" s="868"/>
      <c r="DD528" s="1"/>
      <c r="DE528" s="1"/>
      <c r="DF528" s="1"/>
    </row>
    <row r="529">
      <c r="F529" s="1"/>
      <c r="H529" s="1"/>
      <c r="J529" s="1"/>
      <c r="L529" s="1"/>
      <c r="M529" s="1"/>
      <c r="N529" s="1"/>
      <c r="P529" s="1"/>
      <c r="R529" s="1"/>
      <c r="T529" s="1"/>
      <c r="V529" s="1"/>
      <c r="X529" s="1"/>
      <c r="Z529" s="1"/>
      <c r="AB529" s="1"/>
      <c r="AD529" s="1"/>
      <c r="AF529" s="1"/>
      <c r="AH529" s="1"/>
      <c r="AI529" s="1"/>
      <c r="AJ529" s="1"/>
      <c r="AL529" s="1"/>
      <c r="AN529" s="1"/>
      <c r="AP529" s="1"/>
      <c r="AR529" s="1"/>
      <c r="AT529" s="1"/>
      <c r="AU529" s="1"/>
      <c r="AV529" s="1"/>
      <c r="AW529" s="1"/>
      <c r="AX529" s="5"/>
      <c r="AY529" s="5"/>
      <c r="AZ529" s="5"/>
      <c r="BA529" s="5"/>
      <c r="BB529" s="5"/>
      <c r="BC529" s="5"/>
      <c r="BF529" s="15"/>
      <c r="BG529" s="1"/>
      <c r="BH529" s="15"/>
      <c r="BI529" s="1"/>
      <c r="BJ529" s="1"/>
      <c r="BK529" s="1"/>
      <c r="BL529" s="1"/>
      <c r="BM529" s="1"/>
      <c r="BN529" s="1"/>
      <c r="BO529" s="1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DA529" s="1"/>
      <c r="DB529" s="868"/>
      <c r="DC529" s="868"/>
      <c r="DD529" s="1"/>
      <c r="DE529" s="1"/>
      <c r="DF529" s="1"/>
    </row>
    <row r="530">
      <c r="F530" s="1"/>
      <c r="H530" s="1"/>
      <c r="J530" s="1"/>
      <c r="L530" s="1"/>
      <c r="M530" s="1"/>
      <c r="N530" s="1"/>
      <c r="P530" s="1"/>
      <c r="R530" s="1"/>
      <c r="T530" s="1"/>
      <c r="V530" s="1"/>
      <c r="X530" s="1"/>
      <c r="Z530" s="1"/>
      <c r="AB530" s="1"/>
      <c r="AD530" s="1"/>
      <c r="AF530" s="1"/>
      <c r="AH530" s="1"/>
      <c r="AI530" s="1"/>
      <c r="AJ530" s="1"/>
      <c r="AL530" s="1"/>
      <c r="AN530" s="1"/>
      <c r="AP530" s="1"/>
      <c r="AR530" s="1"/>
      <c r="AT530" s="1"/>
      <c r="AU530" s="1"/>
      <c r="AV530" s="1"/>
      <c r="AW530" s="1"/>
      <c r="AX530" s="5"/>
      <c r="AY530" s="5"/>
      <c r="AZ530" s="5"/>
      <c r="BA530" s="5"/>
      <c r="BB530" s="5"/>
      <c r="BC530" s="5"/>
      <c r="BF530" s="15"/>
      <c r="BG530" s="1"/>
      <c r="BH530" s="15"/>
      <c r="BI530" s="1"/>
      <c r="BJ530" s="1"/>
      <c r="BK530" s="1"/>
      <c r="BL530" s="1"/>
      <c r="BM530" s="1"/>
      <c r="BN530" s="1"/>
      <c r="BO530" s="1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DA530" s="1"/>
      <c r="DB530" s="868"/>
      <c r="DC530" s="868"/>
      <c r="DD530" s="1"/>
      <c r="DE530" s="1"/>
      <c r="DF530" s="1"/>
    </row>
    <row r="531">
      <c r="F531" s="1"/>
      <c r="H531" s="1"/>
      <c r="J531" s="1"/>
      <c r="L531" s="1"/>
      <c r="M531" s="1"/>
      <c r="N531" s="1"/>
      <c r="P531" s="1"/>
      <c r="R531" s="1"/>
      <c r="T531" s="1"/>
      <c r="V531" s="1"/>
      <c r="X531" s="1"/>
      <c r="Z531" s="1"/>
      <c r="AB531" s="1"/>
      <c r="AD531" s="1"/>
      <c r="AF531" s="1"/>
      <c r="AH531" s="1"/>
      <c r="AI531" s="1"/>
      <c r="AJ531" s="1"/>
      <c r="AL531" s="1"/>
      <c r="AN531" s="1"/>
      <c r="AP531" s="1"/>
      <c r="AR531" s="1"/>
      <c r="AT531" s="1"/>
      <c r="AU531" s="1"/>
      <c r="AV531" s="1"/>
      <c r="AW531" s="1"/>
      <c r="AX531" s="5"/>
      <c r="AY531" s="5"/>
      <c r="AZ531" s="5"/>
      <c r="BA531" s="5"/>
      <c r="BB531" s="5"/>
      <c r="BC531" s="5"/>
      <c r="BF531" s="15"/>
      <c r="BG531" s="1"/>
      <c r="BH531" s="15"/>
      <c r="BI531" s="1"/>
      <c r="BJ531" s="1"/>
      <c r="BK531" s="1"/>
      <c r="BL531" s="1"/>
      <c r="BM531" s="1"/>
      <c r="BN531" s="1"/>
      <c r="BO531" s="1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DA531" s="1"/>
      <c r="DB531" s="868"/>
      <c r="DC531" s="868"/>
      <c r="DD531" s="1"/>
      <c r="DE531" s="1"/>
      <c r="DF531" s="1"/>
    </row>
    <row r="532">
      <c r="F532" s="1"/>
      <c r="H532" s="1"/>
      <c r="J532" s="1"/>
      <c r="L532" s="1"/>
      <c r="M532" s="1"/>
      <c r="N532" s="1"/>
      <c r="P532" s="1"/>
      <c r="R532" s="1"/>
      <c r="T532" s="1"/>
      <c r="V532" s="1"/>
      <c r="X532" s="1"/>
      <c r="Z532" s="1"/>
      <c r="AB532" s="1"/>
      <c r="AD532" s="1"/>
      <c r="AF532" s="1"/>
      <c r="AH532" s="1"/>
      <c r="AI532" s="1"/>
      <c r="AJ532" s="1"/>
      <c r="AL532" s="1"/>
      <c r="AN532" s="1"/>
      <c r="AP532" s="1"/>
      <c r="AR532" s="1"/>
      <c r="AT532" s="1"/>
      <c r="AU532" s="1"/>
      <c r="AV532" s="1"/>
      <c r="AW532" s="1"/>
      <c r="AX532" s="5"/>
      <c r="AY532" s="5"/>
      <c r="AZ532" s="5"/>
      <c r="BA532" s="5"/>
      <c r="BB532" s="5"/>
      <c r="BC532" s="5"/>
      <c r="BF532" s="15"/>
      <c r="BG532" s="1"/>
      <c r="BH532" s="15"/>
      <c r="BI532" s="1"/>
      <c r="BJ532" s="1"/>
      <c r="BK532" s="1"/>
      <c r="BL532" s="1"/>
      <c r="BM532" s="1"/>
      <c r="BN532" s="1"/>
      <c r="BO532" s="1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DA532" s="1"/>
      <c r="DB532" s="868"/>
      <c r="DC532" s="868"/>
      <c r="DD532" s="1"/>
      <c r="DE532" s="1"/>
      <c r="DF532" s="1"/>
    </row>
    <row r="533">
      <c r="F533" s="1"/>
      <c r="H533" s="1"/>
      <c r="J533" s="1"/>
      <c r="L533" s="1"/>
      <c r="M533" s="1"/>
      <c r="N533" s="1"/>
      <c r="P533" s="1"/>
      <c r="R533" s="1"/>
      <c r="T533" s="1"/>
      <c r="V533" s="1"/>
      <c r="X533" s="1"/>
      <c r="Z533" s="1"/>
      <c r="AB533" s="1"/>
      <c r="AD533" s="1"/>
      <c r="AF533" s="1"/>
      <c r="AH533" s="1"/>
      <c r="AI533" s="1"/>
      <c r="AJ533" s="1"/>
      <c r="AL533" s="1"/>
      <c r="AN533" s="1"/>
      <c r="AP533" s="1"/>
      <c r="AR533" s="1"/>
      <c r="AT533" s="1"/>
      <c r="AU533" s="1"/>
      <c r="AV533" s="1"/>
      <c r="AW533" s="1"/>
      <c r="AX533" s="5"/>
      <c r="AY533" s="5"/>
      <c r="AZ533" s="5"/>
      <c r="BA533" s="5"/>
      <c r="BB533" s="5"/>
      <c r="BC533" s="5"/>
      <c r="BF533" s="15"/>
      <c r="BG533" s="1"/>
      <c r="BH533" s="15"/>
      <c r="BI533" s="1"/>
      <c r="BJ533" s="1"/>
      <c r="BK533" s="1"/>
      <c r="BL533" s="1"/>
      <c r="BM533" s="1"/>
      <c r="BN533" s="1"/>
      <c r="BO533" s="1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DA533" s="1"/>
      <c r="DB533" s="868"/>
      <c r="DC533" s="868"/>
      <c r="DD533" s="1"/>
      <c r="DE533" s="1"/>
      <c r="DF533" s="1"/>
    </row>
    <row r="534">
      <c r="F534" s="1"/>
      <c r="H534" s="1"/>
      <c r="J534" s="1"/>
      <c r="L534" s="1"/>
      <c r="M534" s="1"/>
      <c r="N534" s="1"/>
      <c r="P534" s="1"/>
      <c r="R534" s="1"/>
      <c r="T534" s="1"/>
      <c r="V534" s="1"/>
      <c r="X534" s="1"/>
      <c r="Z534" s="1"/>
      <c r="AB534" s="1"/>
      <c r="AD534" s="1"/>
      <c r="AF534" s="1"/>
      <c r="AH534" s="1"/>
      <c r="AI534" s="1"/>
      <c r="AJ534" s="1"/>
      <c r="AL534" s="1"/>
      <c r="AN534" s="1"/>
      <c r="AP534" s="1"/>
      <c r="AR534" s="1"/>
      <c r="AT534" s="1"/>
      <c r="AU534" s="1"/>
      <c r="AV534" s="1"/>
      <c r="AW534" s="1"/>
      <c r="AX534" s="5"/>
      <c r="AY534" s="5"/>
      <c r="AZ534" s="5"/>
      <c r="BA534" s="5"/>
      <c r="BB534" s="5"/>
      <c r="BC534" s="5"/>
      <c r="BF534" s="15"/>
      <c r="BG534" s="1"/>
      <c r="BH534" s="15"/>
      <c r="BI534" s="1"/>
      <c r="BJ534" s="1"/>
      <c r="BK534" s="1"/>
      <c r="BL534" s="1"/>
      <c r="BM534" s="1"/>
      <c r="BN534" s="1"/>
      <c r="BO534" s="1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DA534" s="1"/>
      <c r="DB534" s="868"/>
      <c r="DC534" s="868"/>
      <c r="DD534" s="1"/>
      <c r="DE534" s="1"/>
      <c r="DF534" s="1"/>
    </row>
    <row r="535">
      <c r="F535" s="1"/>
      <c r="H535" s="1"/>
      <c r="J535" s="1"/>
      <c r="L535" s="1"/>
      <c r="M535" s="1"/>
      <c r="N535" s="1"/>
      <c r="P535" s="1"/>
      <c r="R535" s="1"/>
      <c r="T535" s="1"/>
      <c r="V535" s="1"/>
      <c r="X535" s="1"/>
      <c r="Z535" s="1"/>
      <c r="AB535" s="1"/>
      <c r="AD535" s="1"/>
      <c r="AF535" s="1"/>
      <c r="AH535" s="1"/>
      <c r="AI535" s="1"/>
      <c r="AJ535" s="1"/>
      <c r="AL535" s="1"/>
      <c r="AN535" s="1"/>
      <c r="AP535" s="1"/>
      <c r="AR535" s="1"/>
      <c r="AT535" s="1"/>
      <c r="AU535" s="1"/>
      <c r="AV535" s="1"/>
      <c r="AW535" s="1"/>
      <c r="AX535" s="5"/>
      <c r="AY535" s="5"/>
      <c r="AZ535" s="5"/>
      <c r="BA535" s="5"/>
      <c r="BB535" s="5"/>
      <c r="BC535" s="5"/>
      <c r="BF535" s="15"/>
      <c r="BG535" s="1"/>
      <c r="BH535" s="15"/>
      <c r="BI535" s="1"/>
      <c r="BJ535" s="1"/>
      <c r="BK535" s="1"/>
      <c r="BL535" s="1"/>
      <c r="BM535" s="1"/>
      <c r="BN535" s="1"/>
      <c r="BO535" s="1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DA535" s="1"/>
      <c r="DB535" s="868"/>
      <c r="DC535" s="868"/>
      <c r="DD535" s="1"/>
      <c r="DE535" s="1"/>
      <c r="DF535" s="1"/>
    </row>
    <row r="536">
      <c r="F536" s="1"/>
      <c r="H536" s="1"/>
      <c r="J536" s="1"/>
      <c r="L536" s="1"/>
      <c r="M536" s="1"/>
      <c r="N536" s="1"/>
      <c r="P536" s="1"/>
      <c r="R536" s="1"/>
      <c r="T536" s="1"/>
      <c r="V536" s="1"/>
      <c r="X536" s="1"/>
      <c r="Z536" s="1"/>
      <c r="AB536" s="1"/>
      <c r="AD536" s="1"/>
      <c r="AF536" s="1"/>
      <c r="AH536" s="1"/>
      <c r="AI536" s="1"/>
      <c r="AJ536" s="1"/>
      <c r="AL536" s="1"/>
      <c r="AN536" s="1"/>
      <c r="AP536" s="1"/>
      <c r="AR536" s="1"/>
      <c r="AT536" s="1"/>
      <c r="AU536" s="1"/>
      <c r="AV536" s="1"/>
      <c r="AW536" s="1"/>
      <c r="AX536" s="5"/>
      <c r="AY536" s="5"/>
      <c r="AZ536" s="5"/>
      <c r="BA536" s="5"/>
      <c r="BB536" s="5"/>
      <c r="BC536" s="5"/>
      <c r="BF536" s="15"/>
      <c r="BG536" s="1"/>
      <c r="BH536" s="15"/>
      <c r="BI536" s="1"/>
      <c r="BJ536" s="1"/>
      <c r="BK536" s="1"/>
      <c r="BL536" s="1"/>
      <c r="BM536" s="1"/>
      <c r="BN536" s="1"/>
      <c r="BO536" s="1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DA536" s="1"/>
      <c r="DB536" s="868"/>
      <c r="DC536" s="868"/>
      <c r="DD536" s="1"/>
      <c r="DE536" s="1"/>
      <c r="DF536" s="1"/>
    </row>
    <row r="537">
      <c r="F537" s="1"/>
      <c r="H537" s="1"/>
      <c r="J537" s="1"/>
      <c r="L537" s="1"/>
      <c r="M537" s="1"/>
      <c r="N537" s="1"/>
      <c r="P537" s="1"/>
      <c r="R537" s="1"/>
      <c r="T537" s="1"/>
      <c r="V537" s="1"/>
      <c r="X537" s="1"/>
      <c r="Z537" s="1"/>
      <c r="AB537" s="1"/>
      <c r="AD537" s="1"/>
      <c r="AF537" s="1"/>
      <c r="AH537" s="1"/>
      <c r="AI537" s="1"/>
      <c r="AJ537" s="1"/>
      <c r="AL537" s="1"/>
      <c r="AN537" s="1"/>
      <c r="AP537" s="1"/>
      <c r="AR537" s="1"/>
      <c r="AT537" s="1"/>
      <c r="AU537" s="1"/>
      <c r="AV537" s="1"/>
      <c r="AW537" s="1"/>
      <c r="AX537" s="5"/>
      <c r="AY537" s="5"/>
      <c r="AZ537" s="5"/>
      <c r="BA537" s="5"/>
      <c r="BB537" s="5"/>
      <c r="BC537" s="5"/>
      <c r="BF537" s="15"/>
      <c r="BG537" s="1"/>
      <c r="BH537" s="15"/>
      <c r="BI537" s="1"/>
      <c r="BJ537" s="1"/>
      <c r="BK537" s="1"/>
      <c r="BL537" s="1"/>
      <c r="BM537" s="1"/>
      <c r="BN537" s="1"/>
      <c r="BO537" s="1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DA537" s="1"/>
      <c r="DB537" s="868"/>
      <c r="DC537" s="868"/>
      <c r="DD537" s="1"/>
      <c r="DE537" s="1"/>
      <c r="DF537" s="1"/>
    </row>
    <row r="538">
      <c r="F538" s="1"/>
      <c r="H538" s="1"/>
      <c r="J538" s="1"/>
      <c r="L538" s="1"/>
      <c r="M538" s="1"/>
      <c r="N538" s="1"/>
      <c r="P538" s="1"/>
      <c r="R538" s="1"/>
      <c r="T538" s="1"/>
      <c r="V538" s="1"/>
      <c r="X538" s="1"/>
      <c r="Z538" s="1"/>
      <c r="AB538" s="1"/>
      <c r="AD538" s="1"/>
      <c r="AF538" s="1"/>
      <c r="AH538" s="1"/>
      <c r="AI538" s="1"/>
      <c r="AJ538" s="1"/>
      <c r="AL538" s="1"/>
      <c r="AN538" s="1"/>
      <c r="AP538" s="1"/>
      <c r="AR538" s="1"/>
      <c r="AT538" s="1"/>
      <c r="AU538" s="1"/>
      <c r="AV538" s="1"/>
      <c r="AW538" s="1"/>
      <c r="AX538" s="5"/>
      <c r="AY538" s="5"/>
      <c r="AZ538" s="5"/>
      <c r="BA538" s="5"/>
      <c r="BB538" s="5"/>
      <c r="BC538" s="5"/>
      <c r="BF538" s="15"/>
      <c r="BG538" s="1"/>
      <c r="BH538" s="15"/>
      <c r="BI538" s="1"/>
      <c r="BJ538" s="1"/>
      <c r="BK538" s="1"/>
      <c r="BL538" s="1"/>
      <c r="BM538" s="1"/>
      <c r="BN538" s="1"/>
      <c r="BO538" s="1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DA538" s="1"/>
      <c r="DB538" s="868"/>
      <c r="DC538" s="868"/>
      <c r="DD538" s="1"/>
      <c r="DE538" s="1"/>
      <c r="DF538" s="1"/>
    </row>
    <row r="539">
      <c r="F539" s="1"/>
      <c r="H539" s="1"/>
      <c r="J539" s="1"/>
      <c r="L539" s="1"/>
      <c r="M539" s="1"/>
      <c r="N539" s="1"/>
      <c r="P539" s="1"/>
      <c r="R539" s="1"/>
      <c r="T539" s="1"/>
      <c r="V539" s="1"/>
      <c r="X539" s="1"/>
      <c r="Z539" s="1"/>
      <c r="AB539" s="1"/>
      <c r="AD539" s="1"/>
      <c r="AF539" s="1"/>
      <c r="AH539" s="1"/>
      <c r="AI539" s="1"/>
      <c r="AJ539" s="1"/>
      <c r="AL539" s="1"/>
      <c r="AN539" s="1"/>
      <c r="AP539" s="1"/>
      <c r="AR539" s="1"/>
      <c r="AT539" s="1"/>
      <c r="AU539" s="1"/>
      <c r="AV539" s="1"/>
      <c r="AW539" s="1"/>
      <c r="AX539" s="5"/>
      <c r="AY539" s="5"/>
      <c r="AZ539" s="5"/>
      <c r="BA539" s="5"/>
      <c r="BB539" s="5"/>
      <c r="BC539" s="5"/>
      <c r="BF539" s="15"/>
      <c r="BG539" s="1"/>
      <c r="BH539" s="15"/>
      <c r="BI539" s="1"/>
      <c r="BJ539" s="1"/>
      <c r="BK539" s="1"/>
      <c r="BL539" s="1"/>
      <c r="BM539" s="1"/>
      <c r="BN539" s="1"/>
      <c r="BO539" s="1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DA539" s="1"/>
      <c r="DB539" s="868"/>
      <c r="DC539" s="868"/>
      <c r="DD539" s="1"/>
      <c r="DE539" s="1"/>
      <c r="DF539" s="1"/>
    </row>
    <row r="540">
      <c r="F540" s="1"/>
      <c r="H540" s="1"/>
      <c r="J540" s="1"/>
      <c r="L540" s="1"/>
      <c r="M540" s="1"/>
      <c r="N540" s="1"/>
      <c r="P540" s="1"/>
      <c r="R540" s="1"/>
      <c r="T540" s="1"/>
      <c r="V540" s="1"/>
      <c r="X540" s="1"/>
      <c r="Z540" s="1"/>
      <c r="AB540" s="1"/>
      <c r="AD540" s="1"/>
      <c r="AF540" s="1"/>
      <c r="AH540" s="1"/>
      <c r="AI540" s="1"/>
      <c r="AJ540" s="1"/>
      <c r="AL540" s="1"/>
      <c r="AN540" s="1"/>
      <c r="AP540" s="1"/>
      <c r="AR540" s="1"/>
      <c r="AT540" s="1"/>
      <c r="AU540" s="1"/>
      <c r="AV540" s="1"/>
      <c r="AW540" s="1"/>
      <c r="AX540" s="5"/>
      <c r="AY540" s="5"/>
      <c r="AZ540" s="5"/>
      <c r="BA540" s="5"/>
      <c r="BB540" s="5"/>
      <c r="BC540" s="5"/>
      <c r="BF540" s="15"/>
      <c r="BG540" s="1"/>
      <c r="BH540" s="15"/>
      <c r="BI540" s="1"/>
      <c r="BJ540" s="1"/>
      <c r="BK540" s="1"/>
      <c r="BL540" s="1"/>
      <c r="BM540" s="1"/>
      <c r="BN540" s="1"/>
      <c r="BO540" s="1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DA540" s="1"/>
      <c r="DB540" s="868"/>
      <c r="DC540" s="868"/>
      <c r="DD540" s="1"/>
      <c r="DE540" s="1"/>
      <c r="DF540" s="1"/>
    </row>
    <row r="541">
      <c r="F541" s="1"/>
      <c r="H541" s="1"/>
      <c r="J541" s="1"/>
      <c r="L541" s="1"/>
      <c r="M541" s="1"/>
      <c r="N541" s="1"/>
      <c r="P541" s="1"/>
      <c r="R541" s="1"/>
      <c r="T541" s="1"/>
      <c r="V541" s="1"/>
      <c r="X541" s="1"/>
      <c r="Z541" s="1"/>
      <c r="AB541" s="1"/>
      <c r="AD541" s="1"/>
      <c r="AF541" s="1"/>
      <c r="AH541" s="1"/>
      <c r="AI541" s="1"/>
      <c r="AJ541" s="1"/>
      <c r="AL541" s="1"/>
      <c r="AN541" s="1"/>
      <c r="AP541" s="1"/>
      <c r="AR541" s="1"/>
      <c r="AT541" s="1"/>
      <c r="AU541" s="1"/>
      <c r="AV541" s="1"/>
      <c r="AW541" s="1"/>
      <c r="AX541" s="5"/>
      <c r="AY541" s="5"/>
      <c r="AZ541" s="5"/>
      <c r="BA541" s="5"/>
      <c r="BB541" s="5"/>
      <c r="BC541" s="5"/>
      <c r="BF541" s="15"/>
      <c r="BG541" s="1"/>
      <c r="BH541" s="15"/>
      <c r="BI541" s="1"/>
      <c r="BJ541" s="1"/>
      <c r="BK541" s="1"/>
      <c r="BL541" s="1"/>
      <c r="BM541" s="1"/>
      <c r="BN541" s="1"/>
      <c r="BO541" s="1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DA541" s="1"/>
      <c r="DB541" s="868"/>
      <c r="DC541" s="868"/>
      <c r="DD541" s="1"/>
      <c r="DE541" s="1"/>
      <c r="DF541" s="1"/>
    </row>
    <row r="542">
      <c r="F542" s="1"/>
      <c r="H542" s="1"/>
      <c r="J542" s="1"/>
      <c r="L542" s="1"/>
      <c r="M542" s="1"/>
      <c r="N542" s="1"/>
      <c r="P542" s="1"/>
      <c r="R542" s="1"/>
      <c r="T542" s="1"/>
      <c r="V542" s="1"/>
      <c r="X542" s="1"/>
      <c r="Z542" s="1"/>
      <c r="AB542" s="1"/>
      <c r="AD542" s="1"/>
      <c r="AF542" s="1"/>
      <c r="AH542" s="1"/>
      <c r="AI542" s="1"/>
      <c r="AJ542" s="1"/>
      <c r="AL542" s="1"/>
      <c r="AN542" s="1"/>
      <c r="AP542" s="1"/>
      <c r="AR542" s="1"/>
      <c r="AT542" s="1"/>
      <c r="AU542" s="1"/>
      <c r="AV542" s="1"/>
      <c r="AW542" s="1"/>
      <c r="AX542" s="5"/>
      <c r="AY542" s="5"/>
      <c r="AZ542" s="5"/>
      <c r="BA542" s="5"/>
      <c r="BB542" s="5"/>
      <c r="BC542" s="5"/>
      <c r="BF542" s="15"/>
      <c r="BG542" s="1"/>
      <c r="BH542" s="15"/>
      <c r="BI542" s="1"/>
      <c r="BJ542" s="1"/>
      <c r="BK542" s="1"/>
      <c r="BL542" s="1"/>
      <c r="BM542" s="1"/>
      <c r="BN542" s="1"/>
      <c r="BO542" s="1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DA542" s="1"/>
      <c r="DB542" s="868"/>
      <c r="DC542" s="868"/>
      <c r="DD542" s="1"/>
      <c r="DE542" s="1"/>
      <c r="DF542" s="1"/>
    </row>
    <row r="543">
      <c r="F543" s="1"/>
      <c r="H543" s="1"/>
      <c r="J543" s="1"/>
      <c r="L543" s="1"/>
      <c r="M543" s="1"/>
      <c r="N543" s="1"/>
      <c r="P543" s="1"/>
      <c r="R543" s="1"/>
      <c r="T543" s="1"/>
      <c r="V543" s="1"/>
      <c r="X543" s="1"/>
      <c r="Z543" s="1"/>
      <c r="AB543" s="1"/>
      <c r="AD543" s="1"/>
      <c r="AF543" s="1"/>
      <c r="AH543" s="1"/>
      <c r="AI543" s="1"/>
      <c r="AJ543" s="1"/>
      <c r="AL543" s="1"/>
      <c r="AN543" s="1"/>
      <c r="AP543" s="1"/>
      <c r="AR543" s="1"/>
      <c r="AT543" s="1"/>
      <c r="AU543" s="1"/>
      <c r="AV543" s="1"/>
      <c r="AW543" s="1"/>
      <c r="AX543" s="5"/>
      <c r="AY543" s="5"/>
      <c r="AZ543" s="5"/>
      <c r="BA543" s="5"/>
      <c r="BB543" s="5"/>
      <c r="BC543" s="5"/>
      <c r="BF543" s="15"/>
      <c r="BG543" s="1"/>
      <c r="BH543" s="15"/>
      <c r="BI543" s="1"/>
      <c r="BJ543" s="1"/>
      <c r="BK543" s="1"/>
      <c r="BL543" s="1"/>
      <c r="BM543" s="1"/>
      <c r="BN543" s="1"/>
      <c r="BO543" s="1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DA543" s="1"/>
      <c r="DB543" s="868"/>
      <c r="DC543" s="868"/>
      <c r="DD543" s="1"/>
      <c r="DE543" s="1"/>
      <c r="DF543" s="1"/>
    </row>
    <row r="544">
      <c r="F544" s="1"/>
      <c r="H544" s="1"/>
      <c r="J544" s="1"/>
      <c r="L544" s="1"/>
      <c r="M544" s="1"/>
      <c r="N544" s="1"/>
      <c r="P544" s="1"/>
      <c r="R544" s="1"/>
      <c r="T544" s="1"/>
      <c r="V544" s="1"/>
      <c r="X544" s="1"/>
      <c r="Z544" s="1"/>
      <c r="AB544" s="1"/>
      <c r="AD544" s="1"/>
      <c r="AF544" s="1"/>
      <c r="AH544" s="1"/>
      <c r="AI544" s="1"/>
      <c r="AJ544" s="1"/>
      <c r="AL544" s="1"/>
      <c r="AN544" s="1"/>
      <c r="AP544" s="1"/>
      <c r="AR544" s="1"/>
      <c r="AT544" s="1"/>
      <c r="AU544" s="1"/>
      <c r="AV544" s="1"/>
      <c r="AW544" s="1"/>
      <c r="AX544" s="5"/>
      <c r="AY544" s="5"/>
      <c r="AZ544" s="5"/>
      <c r="BA544" s="5"/>
      <c r="BB544" s="5"/>
      <c r="BC544" s="5"/>
      <c r="BF544" s="15"/>
      <c r="BG544" s="1"/>
      <c r="BH544" s="15"/>
      <c r="BI544" s="1"/>
      <c r="BJ544" s="1"/>
      <c r="BK544" s="1"/>
      <c r="BL544" s="1"/>
      <c r="BM544" s="1"/>
      <c r="BN544" s="1"/>
      <c r="BO544" s="1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DA544" s="1"/>
      <c r="DB544" s="868"/>
      <c r="DC544" s="868"/>
      <c r="DD544" s="1"/>
      <c r="DE544" s="1"/>
      <c r="DF544" s="1"/>
    </row>
    <row r="545">
      <c r="F545" s="1"/>
      <c r="H545" s="1"/>
      <c r="J545" s="1"/>
      <c r="L545" s="1"/>
      <c r="M545" s="1"/>
      <c r="N545" s="1"/>
      <c r="P545" s="1"/>
      <c r="R545" s="1"/>
      <c r="T545" s="1"/>
      <c r="V545" s="1"/>
      <c r="X545" s="1"/>
      <c r="Z545" s="1"/>
      <c r="AB545" s="1"/>
      <c r="AD545" s="1"/>
      <c r="AF545" s="1"/>
      <c r="AH545" s="1"/>
      <c r="AI545" s="1"/>
      <c r="AJ545" s="1"/>
      <c r="AL545" s="1"/>
      <c r="AN545" s="1"/>
      <c r="AP545" s="1"/>
      <c r="AR545" s="1"/>
      <c r="AT545" s="1"/>
      <c r="AU545" s="1"/>
      <c r="AV545" s="1"/>
      <c r="AW545" s="1"/>
      <c r="AX545" s="5"/>
      <c r="AY545" s="5"/>
      <c r="AZ545" s="5"/>
      <c r="BA545" s="5"/>
      <c r="BB545" s="5"/>
      <c r="BC545" s="5"/>
      <c r="BF545" s="15"/>
      <c r="BG545" s="1"/>
      <c r="BH545" s="15"/>
      <c r="BI545" s="1"/>
      <c r="BJ545" s="1"/>
      <c r="BK545" s="1"/>
      <c r="BL545" s="1"/>
      <c r="BM545" s="1"/>
      <c r="BN545" s="1"/>
      <c r="BO545" s="1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DA545" s="1"/>
      <c r="DB545" s="868"/>
      <c r="DC545" s="868"/>
      <c r="DD545" s="1"/>
      <c r="DE545" s="1"/>
      <c r="DF545" s="1"/>
    </row>
    <row r="546">
      <c r="F546" s="1"/>
      <c r="H546" s="1"/>
      <c r="J546" s="1"/>
      <c r="L546" s="1"/>
      <c r="M546" s="1"/>
      <c r="N546" s="1"/>
      <c r="P546" s="1"/>
      <c r="R546" s="1"/>
      <c r="T546" s="1"/>
      <c r="V546" s="1"/>
      <c r="X546" s="1"/>
      <c r="Z546" s="1"/>
      <c r="AB546" s="1"/>
      <c r="AD546" s="1"/>
      <c r="AF546" s="1"/>
      <c r="AH546" s="1"/>
      <c r="AI546" s="1"/>
      <c r="AJ546" s="1"/>
      <c r="AL546" s="1"/>
      <c r="AN546" s="1"/>
      <c r="AP546" s="1"/>
      <c r="AR546" s="1"/>
      <c r="AT546" s="1"/>
      <c r="AU546" s="1"/>
      <c r="AV546" s="1"/>
      <c r="AW546" s="1"/>
      <c r="AX546" s="5"/>
      <c r="AY546" s="5"/>
      <c r="AZ546" s="5"/>
      <c r="BA546" s="5"/>
      <c r="BB546" s="5"/>
      <c r="BC546" s="5"/>
      <c r="BF546" s="15"/>
      <c r="BG546" s="1"/>
      <c r="BH546" s="15"/>
      <c r="BI546" s="1"/>
      <c r="BJ546" s="1"/>
      <c r="BK546" s="1"/>
      <c r="BL546" s="1"/>
      <c r="BM546" s="1"/>
      <c r="BN546" s="1"/>
      <c r="BO546" s="1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DA546" s="1"/>
      <c r="DB546" s="868"/>
      <c r="DC546" s="868"/>
      <c r="DD546" s="1"/>
      <c r="DE546" s="1"/>
      <c r="DF546" s="1"/>
    </row>
    <row r="547">
      <c r="F547" s="1"/>
      <c r="H547" s="1"/>
      <c r="J547" s="1"/>
      <c r="L547" s="1"/>
      <c r="M547" s="1"/>
      <c r="N547" s="1"/>
      <c r="P547" s="1"/>
      <c r="R547" s="1"/>
      <c r="T547" s="1"/>
      <c r="V547" s="1"/>
      <c r="X547" s="1"/>
      <c r="Z547" s="1"/>
      <c r="AB547" s="1"/>
      <c r="AD547" s="1"/>
      <c r="AF547" s="1"/>
      <c r="AH547" s="1"/>
      <c r="AI547" s="1"/>
      <c r="AJ547" s="1"/>
      <c r="AL547" s="1"/>
      <c r="AN547" s="1"/>
      <c r="AP547" s="1"/>
      <c r="AR547" s="1"/>
      <c r="AT547" s="1"/>
      <c r="AU547" s="1"/>
      <c r="AV547" s="1"/>
      <c r="AW547" s="1"/>
      <c r="AX547" s="5"/>
      <c r="AY547" s="5"/>
      <c r="AZ547" s="5"/>
      <c r="BA547" s="5"/>
      <c r="BB547" s="5"/>
      <c r="BC547" s="5"/>
      <c r="BF547" s="15"/>
      <c r="BG547" s="1"/>
      <c r="BH547" s="15"/>
      <c r="BI547" s="1"/>
      <c r="BJ547" s="1"/>
      <c r="BK547" s="1"/>
      <c r="BL547" s="1"/>
      <c r="BM547" s="1"/>
      <c r="BN547" s="1"/>
      <c r="BO547" s="1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DA547" s="1"/>
      <c r="DB547" s="868"/>
      <c r="DC547" s="868"/>
      <c r="DD547" s="1"/>
      <c r="DE547" s="1"/>
      <c r="DF547" s="1"/>
    </row>
    <row r="548">
      <c r="F548" s="1"/>
      <c r="H548" s="1"/>
      <c r="J548" s="1"/>
      <c r="L548" s="1"/>
      <c r="M548" s="1"/>
      <c r="N548" s="1"/>
      <c r="P548" s="1"/>
      <c r="R548" s="1"/>
      <c r="T548" s="1"/>
      <c r="V548" s="1"/>
      <c r="X548" s="1"/>
      <c r="Z548" s="1"/>
      <c r="AB548" s="1"/>
      <c r="AD548" s="1"/>
      <c r="AF548" s="1"/>
      <c r="AH548" s="1"/>
      <c r="AI548" s="1"/>
      <c r="AJ548" s="1"/>
      <c r="AL548" s="1"/>
      <c r="AN548" s="1"/>
      <c r="AP548" s="1"/>
      <c r="AR548" s="1"/>
      <c r="AT548" s="1"/>
      <c r="AU548" s="1"/>
      <c r="AV548" s="1"/>
      <c r="AW548" s="1"/>
      <c r="AX548" s="5"/>
      <c r="AY548" s="5"/>
      <c r="AZ548" s="5"/>
      <c r="BA548" s="5"/>
      <c r="BB548" s="5"/>
      <c r="BC548" s="5"/>
      <c r="BF548" s="15"/>
      <c r="BG548" s="1"/>
      <c r="BH548" s="15"/>
      <c r="BI548" s="1"/>
      <c r="BJ548" s="1"/>
      <c r="BK548" s="1"/>
      <c r="BL548" s="1"/>
      <c r="BM548" s="1"/>
      <c r="BN548" s="1"/>
      <c r="BO548" s="1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DA548" s="1"/>
      <c r="DB548" s="868"/>
      <c r="DC548" s="868"/>
      <c r="DD548" s="1"/>
      <c r="DE548" s="1"/>
      <c r="DF548" s="1"/>
    </row>
    <row r="549">
      <c r="F549" s="1"/>
      <c r="H549" s="1"/>
      <c r="J549" s="1"/>
      <c r="L549" s="1"/>
      <c r="M549" s="1"/>
      <c r="N549" s="1"/>
      <c r="P549" s="1"/>
      <c r="R549" s="1"/>
      <c r="T549" s="1"/>
      <c r="V549" s="1"/>
      <c r="X549" s="1"/>
      <c r="Z549" s="1"/>
      <c r="AB549" s="1"/>
      <c r="AD549" s="1"/>
      <c r="AF549" s="1"/>
      <c r="AH549" s="1"/>
      <c r="AI549" s="1"/>
      <c r="AJ549" s="1"/>
      <c r="AL549" s="1"/>
      <c r="AN549" s="1"/>
      <c r="AP549" s="1"/>
      <c r="AR549" s="1"/>
      <c r="AT549" s="1"/>
      <c r="AU549" s="1"/>
      <c r="AV549" s="1"/>
      <c r="AW549" s="1"/>
      <c r="AX549" s="5"/>
      <c r="AY549" s="5"/>
      <c r="AZ549" s="5"/>
      <c r="BA549" s="5"/>
      <c r="BB549" s="5"/>
      <c r="BC549" s="5"/>
      <c r="BF549" s="15"/>
      <c r="BG549" s="1"/>
      <c r="BH549" s="15"/>
      <c r="BI549" s="1"/>
      <c r="BJ549" s="1"/>
      <c r="BK549" s="1"/>
      <c r="BL549" s="1"/>
      <c r="BM549" s="1"/>
      <c r="BN549" s="1"/>
      <c r="BO549" s="1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DA549" s="1"/>
      <c r="DB549" s="868"/>
      <c r="DC549" s="868"/>
      <c r="DD549" s="1"/>
      <c r="DE549" s="1"/>
      <c r="DF549" s="1"/>
    </row>
    <row r="550">
      <c r="F550" s="1"/>
      <c r="H550" s="1"/>
      <c r="J550" s="1"/>
      <c r="L550" s="1"/>
      <c r="M550" s="1"/>
      <c r="N550" s="1"/>
      <c r="P550" s="1"/>
      <c r="R550" s="1"/>
      <c r="T550" s="1"/>
      <c r="V550" s="1"/>
      <c r="X550" s="1"/>
      <c r="Z550" s="1"/>
      <c r="AB550" s="1"/>
      <c r="AD550" s="1"/>
      <c r="AF550" s="1"/>
      <c r="AH550" s="1"/>
      <c r="AI550" s="1"/>
      <c r="AJ550" s="1"/>
      <c r="AL550" s="1"/>
      <c r="AN550" s="1"/>
      <c r="AP550" s="1"/>
      <c r="AR550" s="1"/>
      <c r="AT550" s="1"/>
      <c r="AU550" s="1"/>
      <c r="AV550" s="1"/>
      <c r="AW550" s="1"/>
      <c r="AX550" s="5"/>
      <c r="AY550" s="5"/>
      <c r="AZ550" s="5"/>
      <c r="BA550" s="5"/>
      <c r="BB550" s="5"/>
      <c r="BC550" s="5"/>
      <c r="BF550" s="15"/>
      <c r="BG550" s="1"/>
      <c r="BH550" s="15"/>
      <c r="BI550" s="1"/>
      <c r="BJ550" s="1"/>
      <c r="BK550" s="1"/>
      <c r="BL550" s="1"/>
      <c r="BM550" s="1"/>
      <c r="BN550" s="1"/>
      <c r="BO550" s="1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DA550" s="1"/>
      <c r="DB550" s="868"/>
      <c r="DC550" s="868"/>
      <c r="DD550" s="1"/>
      <c r="DE550" s="1"/>
      <c r="DF550" s="1"/>
    </row>
    <row r="551">
      <c r="F551" s="1"/>
      <c r="H551" s="1"/>
      <c r="J551" s="1"/>
      <c r="L551" s="1"/>
      <c r="M551" s="1"/>
      <c r="N551" s="1"/>
      <c r="P551" s="1"/>
      <c r="R551" s="1"/>
      <c r="T551" s="1"/>
      <c r="V551" s="1"/>
      <c r="X551" s="1"/>
      <c r="Z551" s="1"/>
      <c r="AB551" s="1"/>
      <c r="AD551" s="1"/>
      <c r="AF551" s="1"/>
      <c r="AH551" s="1"/>
      <c r="AI551" s="1"/>
      <c r="AJ551" s="1"/>
      <c r="AL551" s="1"/>
      <c r="AN551" s="1"/>
      <c r="AP551" s="1"/>
      <c r="AR551" s="1"/>
      <c r="AT551" s="1"/>
      <c r="AU551" s="1"/>
      <c r="AV551" s="1"/>
      <c r="AW551" s="1"/>
      <c r="AX551" s="5"/>
      <c r="AY551" s="5"/>
      <c r="AZ551" s="5"/>
      <c r="BA551" s="5"/>
      <c r="BB551" s="5"/>
      <c r="BC551" s="5"/>
      <c r="BF551" s="15"/>
      <c r="BG551" s="1"/>
      <c r="BH551" s="15"/>
      <c r="BI551" s="1"/>
      <c r="BJ551" s="1"/>
      <c r="BK551" s="1"/>
      <c r="BL551" s="1"/>
      <c r="BM551" s="1"/>
      <c r="BN551" s="1"/>
      <c r="BO551" s="1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DA551" s="1"/>
      <c r="DB551" s="868"/>
      <c r="DC551" s="868"/>
      <c r="DD551" s="1"/>
      <c r="DE551" s="1"/>
      <c r="DF551" s="1"/>
    </row>
    <row r="552">
      <c r="F552" s="1"/>
      <c r="H552" s="1"/>
      <c r="J552" s="1"/>
      <c r="L552" s="1"/>
      <c r="M552" s="1"/>
      <c r="N552" s="1"/>
      <c r="P552" s="1"/>
      <c r="R552" s="1"/>
      <c r="T552" s="1"/>
      <c r="V552" s="1"/>
      <c r="X552" s="1"/>
      <c r="Z552" s="1"/>
      <c r="AB552" s="1"/>
      <c r="AD552" s="1"/>
      <c r="AF552" s="1"/>
      <c r="AH552" s="1"/>
      <c r="AI552" s="1"/>
      <c r="AJ552" s="1"/>
      <c r="AL552" s="1"/>
      <c r="AN552" s="1"/>
      <c r="AP552" s="1"/>
      <c r="AR552" s="1"/>
      <c r="AT552" s="1"/>
      <c r="AU552" s="1"/>
      <c r="AV552" s="1"/>
      <c r="AW552" s="1"/>
      <c r="AX552" s="5"/>
      <c r="AY552" s="5"/>
      <c r="AZ552" s="5"/>
      <c r="BA552" s="5"/>
      <c r="BB552" s="5"/>
      <c r="BC552" s="5"/>
      <c r="BF552" s="15"/>
      <c r="BG552" s="1"/>
      <c r="BH552" s="15"/>
      <c r="BI552" s="1"/>
      <c r="BJ552" s="1"/>
      <c r="BK552" s="1"/>
      <c r="BL552" s="1"/>
      <c r="BM552" s="1"/>
      <c r="BN552" s="1"/>
      <c r="BO552" s="1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DA552" s="1"/>
      <c r="DB552" s="868"/>
      <c r="DC552" s="868"/>
      <c r="DD552" s="1"/>
      <c r="DE552" s="1"/>
      <c r="DF552" s="1"/>
    </row>
    <row r="553">
      <c r="F553" s="1"/>
      <c r="H553" s="1"/>
      <c r="J553" s="1"/>
      <c r="L553" s="1"/>
      <c r="M553" s="1"/>
      <c r="N553" s="1"/>
      <c r="P553" s="1"/>
      <c r="R553" s="1"/>
      <c r="T553" s="1"/>
      <c r="V553" s="1"/>
      <c r="X553" s="1"/>
      <c r="Z553" s="1"/>
      <c r="AB553" s="1"/>
      <c r="AD553" s="1"/>
      <c r="AF553" s="1"/>
      <c r="AH553" s="1"/>
      <c r="AI553" s="1"/>
      <c r="AJ553" s="1"/>
      <c r="AL553" s="1"/>
      <c r="AN553" s="1"/>
      <c r="AP553" s="1"/>
      <c r="AR553" s="1"/>
      <c r="AT553" s="1"/>
      <c r="AU553" s="1"/>
      <c r="AV553" s="1"/>
      <c r="AW553" s="1"/>
      <c r="AX553" s="5"/>
      <c r="AY553" s="5"/>
      <c r="AZ553" s="5"/>
      <c r="BA553" s="5"/>
      <c r="BB553" s="5"/>
      <c r="BC553" s="5"/>
      <c r="BF553" s="15"/>
      <c r="BG553" s="1"/>
      <c r="BH553" s="15"/>
      <c r="BI553" s="1"/>
      <c r="BJ553" s="1"/>
      <c r="BK553" s="1"/>
      <c r="BL553" s="1"/>
      <c r="BM553" s="1"/>
      <c r="BN553" s="1"/>
      <c r="BO553" s="1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DA553" s="1"/>
      <c r="DB553" s="868"/>
      <c r="DC553" s="868"/>
      <c r="DD553" s="1"/>
      <c r="DE553" s="1"/>
      <c r="DF553" s="1"/>
    </row>
    <row r="554">
      <c r="F554" s="1"/>
      <c r="H554" s="1"/>
      <c r="J554" s="1"/>
      <c r="L554" s="1"/>
      <c r="M554" s="1"/>
      <c r="N554" s="1"/>
      <c r="P554" s="1"/>
      <c r="R554" s="1"/>
      <c r="T554" s="1"/>
      <c r="V554" s="1"/>
      <c r="X554" s="1"/>
      <c r="Z554" s="1"/>
      <c r="AB554" s="1"/>
      <c r="AD554" s="1"/>
      <c r="AF554" s="1"/>
      <c r="AH554" s="1"/>
      <c r="AI554" s="1"/>
      <c r="AJ554" s="1"/>
      <c r="AL554" s="1"/>
      <c r="AN554" s="1"/>
      <c r="AP554" s="1"/>
      <c r="AR554" s="1"/>
      <c r="AT554" s="1"/>
      <c r="AU554" s="1"/>
      <c r="AV554" s="1"/>
      <c r="AW554" s="1"/>
      <c r="AX554" s="5"/>
      <c r="AY554" s="5"/>
      <c r="AZ554" s="5"/>
      <c r="BA554" s="5"/>
      <c r="BB554" s="5"/>
      <c r="BC554" s="5"/>
      <c r="BF554" s="15"/>
      <c r="BG554" s="1"/>
      <c r="BH554" s="15"/>
      <c r="BI554" s="1"/>
      <c r="BJ554" s="1"/>
      <c r="BK554" s="1"/>
      <c r="BL554" s="1"/>
      <c r="BM554" s="1"/>
      <c r="BN554" s="1"/>
      <c r="BO554" s="1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DA554" s="1"/>
      <c r="DB554" s="868"/>
      <c r="DC554" s="868"/>
      <c r="DD554" s="1"/>
      <c r="DE554" s="1"/>
      <c r="DF554" s="1"/>
    </row>
    <row r="555">
      <c r="F555" s="1"/>
      <c r="H555" s="1"/>
      <c r="J555" s="1"/>
      <c r="L555" s="1"/>
      <c r="M555" s="1"/>
      <c r="N555" s="1"/>
      <c r="P555" s="1"/>
      <c r="R555" s="1"/>
      <c r="T555" s="1"/>
      <c r="V555" s="1"/>
      <c r="X555" s="1"/>
      <c r="Z555" s="1"/>
      <c r="AB555" s="1"/>
      <c r="AD555" s="1"/>
      <c r="AF555" s="1"/>
      <c r="AH555" s="1"/>
      <c r="AI555" s="1"/>
      <c r="AJ555" s="1"/>
      <c r="AL555" s="1"/>
      <c r="AN555" s="1"/>
      <c r="AP555" s="1"/>
      <c r="AR555" s="1"/>
      <c r="AT555" s="1"/>
      <c r="AU555" s="1"/>
      <c r="AV555" s="1"/>
      <c r="AW555" s="1"/>
      <c r="AX555" s="5"/>
      <c r="AY555" s="5"/>
      <c r="AZ555" s="5"/>
      <c r="BA555" s="5"/>
      <c r="BB555" s="5"/>
      <c r="BC555" s="5"/>
      <c r="BF555" s="15"/>
      <c r="BG555" s="1"/>
      <c r="BH555" s="15"/>
      <c r="BI555" s="1"/>
      <c r="BJ555" s="1"/>
      <c r="BK555" s="1"/>
      <c r="BL555" s="1"/>
      <c r="BM555" s="1"/>
      <c r="BN555" s="1"/>
      <c r="BO555" s="1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DA555" s="1"/>
      <c r="DB555" s="868"/>
      <c r="DC555" s="868"/>
      <c r="DD555" s="1"/>
      <c r="DE555" s="1"/>
      <c r="DF555" s="1"/>
    </row>
    <row r="556">
      <c r="F556" s="1"/>
      <c r="H556" s="1"/>
      <c r="J556" s="1"/>
      <c r="L556" s="1"/>
      <c r="M556" s="1"/>
      <c r="N556" s="1"/>
      <c r="P556" s="1"/>
      <c r="R556" s="1"/>
      <c r="T556" s="1"/>
      <c r="V556" s="1"/>
      <c r="X556" s="1"/>
      <c r="Z556" s="1"/>
      <c r="AB556" s="1"/>
      <c r="AD556" s="1"/>
      <c r="AF556" s="1"/>
      <c r="AH556" s="1"/>
      <c r="AI556" s="1"/>
      <c r="AJ556" s="1"/>
      <c r="AL556" s="1"/>
      <c r="AN556" s="1"/>
      <c r="AP556" s="1"/>
      <c r="AR556" s="1"/>
      <c r="AT556" s="1"/>
      <c r="AU556" s="1"/>
      <c r="AV556" s="1"/>
      <c r="AW556" s="1"/>
      <c r="AX556" s="5"/>
      <c r="AY556" s="5"/>
      <c r="AZ556" s="5"/>
      <c r="BA556" s="5"/>
      <c r="BB556" s="5"/>
      <c r="BC556" s="5"/>
      <c r="BF556" s="15"/>
      <c r="BG556" s="1"/>
      <c r="BH556" s="15"/>
      <c r="BI556" s="1"/>
      <c r="BJ556" s="1"/>
      <c r="BK556" s="1"/>
      <c r="BL556" s="1"/>
      <c r="BM556" s="1"/>
      <c r="BN556" s="1"/>
      <c r="BO556" s="1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DA556" s="1"/>
      <c r="DB556" s="868"/>
      <c r="DC556" s="868"/>
      <c r="DD556" s="1"/>
      <c r="DE556" s="1"/>
      <c r="DF556" s="1"/>
    </row>
    <row r="557">
      <c r="F557" s="1"/>
      <c r="H557" s="1"/>
      <c r="J557" s="1"/>
      <c r="L557" s="1"/>
      <c r="M557" s="1"/>
      <c r="N557" s="1"/>
      <c r="P557" s="1"/>
      <c r="R557" s="1"/>
      <c r="T557" s="1"/>
      <c r="V557" s="1"/>
      <c r="X557" s="1"/>
      <c r="Z557" s="1"/>
      <c r="AB557" s="1"/>
      <c r="AD557" s="1"/>
      <c r="AF557" s="1"/>
      <c r="AH557" s="1"/>
      <c r="AI557" s="1"/>
      <c r="AJ557" s="1"/>
      <c r="AL557" s="1"/>
      <c r="AN557" s="1"/>
      <c r="AP557" s="1"/>
      <c r="AR557" s="1"/>
      <c r="AT557" s="1"/>
      <c r="AU557" s="1"/>
      <c r="AV557" s="1"/>
      <c r="AW557" s="1"/>
      <c r="AX557" s="5"/>
      <c r="AY557" s="5"/>
      <c r="AZ557" s="5"/>
      <c r="BA557" s="5"/>
      <c r="BB557" s="5"/>
      <c r="BC557" s="5"/>
      <c r="BF557" s="15"/>
      <c r="BG557" s="1"/>
      <c r="BH557" s="15"/>
      <c r="BI557" s="1"/>
      <c r="BJ557" s="1"/>
      <c r="BK557" s="1"/>
      <c r="BL557" s="1"/>
      <c r="BM557" s="1"/>
      <c r="BN557" s="1"/>
      <c r="BO557" s="1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DA557" s="1"/>
      <c r="DB557" s="868"/>
      <c r="DC557" s="868"/>
      <c r="DD557" s="1"/>
      <c r="DE557" s="1"/>
      <c r="DF557" s="1"/>
    </row>
    <row r="558">
      <c r="F558" s="1"/>
      <c r="H558" s="1"/>
      <c r="J558" s="1"/>
      <c r="L558" s="1"/>
      <c r="M558" s="1"/>
      <c r="N558" s="1"/>
      <c r="P558" s="1"/>
      <c r="R558" s="1"/>
      <c r="T558" s="1"/>
      <c r="V558" s="1"/>
      <c r="X558" s="1"/>
      <c r="Z558" s="1"/>
      <c r="AB558" s="1"/>
      <c r="AD558" s="1"/>
      <c r="AF558" s="1"/>
      <c r="AH558" s="1"/>
      <c r="AI558" s="1"/>
      <c r="AJ558" s="1"/>
      <c r="AL558" s="1"/>
      <c r="AN558" s="1"/>
      <c r="AP558" s="1"/>
      <c r="AR558" s="1"/>
      <c r="AT558" s="1"/>
      <c r="AU558" s="1"/>
      <c r="AV558" s="1"/>
      <c r="AW558" s="1"/>
      <c r="AX558" s="5"/>
      <c r="AY558" s="5"/>
      <c r="AZ558" s="5"/>
      <c r="BA558" s="5"/>
      <c r="BB558" s="5"/>
      <c r="BC558" s="5"/>
      <c r="BF558" s="15"/>
      <c r="BG558" s="1"/>
      <c r="BH558" s="15"/>
      <c r="BI558" s="1"/>
      <c r="BJ558" s="1"/>
      <c r="BK558" s="1"/>
      <c r="BL558" s="1"/>
      <c r="BM558" s="1"/>
      <c r="BN558" s="1"/>
      <c r="BO558" s="1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DA558" s="1"/>
      <c r="DB558" s="868"/>
      <c r="DC558" s="868"/>
      <c r="DD558" s="1"/>
      <c r="DE558" s="1"/>
      <c r="DF558" s="1"/>
    </row>
    <row r="559">
      <c r="F559" s="1"/>
      <c r="H559" s="1"/>
      <c r="J559" s="1"/>
      <c r="L559" s="1"/>
      <c r="M559" s="1"/>
      <c r="N559" s="1"/>
      <c r="P559" s="1"/>
      <c r="R559" s="1"/>
      <c r="T559" s="1"/>
      <c r="V559" s="1"/>
      <c r="X559" s="1"/>
      <c r="Z559" s="1"/>
      <c r="AB559" s="1"/>
      <c r="AD559" s="1"/>
      <c r="AF559" s="1"/>
      <c r="AH559" s="1"/>
      <c r="AI559" s="1"/>
      <c r="AJ559" s="1"/>
      <c r="AL559" s="1"/>
      <c r="AN559" s="1"/>
      <c r="AP559" s="1"/>
      <c r="AR559" s="1"/>
      <c r="AT559" s="1"/>
      <c r="AU559" s="1"/>
      <c r="AV559" s="1"/>
      <c r="AW559" s="1"/>
      <c r="AX559" s="5"/>
      <c r="AY559" s="5"/>
      <c r="AZ559" s="5"/>
      <c r="BA559" s="5"/>
      <c r="BB559" s="5"/>
      <c r="BC559" s="5"/>
      <c r="BF559" s="15"/>
      <c r="BG559" s="1"/>
      <c r="BH559" s="15"/>
      <c r="BI559" s="1"/>
      <c r="BJ559" s="1"/>
      <c r="BK559" s="1"/>
      <c r="BL559" s="1"/>
      <c r="BM559" s="1"/>
      <c r="BN559" s="1"/>
      <c r="BO559" s="1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DA559" s="1"/>
      <c r="DB559" s="868"/>
      <c r="DC559" s="868"/>
      <c r="DD559" s="1"/>
      <c r="DE559" s="1"/>
      <c r="DF559" s="1"/>
    </row>
    <row r="560">
      <c r="F560" s="1"/>
      <c r="H560" s="1"/>
      <c r="J560" s="1"/>
      <c r="L560" s="1"/>
      <c r="M560" s="1"/>
      <c r="N560" s="1"/>
      <c r="P560" s="1"/>
      <c r="R560" s="1"/>
      <c r="T560" s="1"/>
      <c r="V560" s="1"/>
      <c r="X560" s="1"/>
      <c r="Z560" s="1"/>
      <c r="AB560" s="1"/>
      <c r="AD560" s="1"/>
      <c r="AF560" s="1"/>
      <c r="AH560" s="1"/>
      <c r="AI560" s="1"/>
      <c r="AJ560" s="1"/>
      <c r="AL560" s="1"/>
      <c r="AN560" s="1"/>
      <c r="AP560" s="1"/>
      <c r="AR560" s="1"/>
      <c r="AT560" s="1"/>
      <c r="AU560" s="1"/>
      <c r="AV560" s="1"/>
      <c r="AW560" s="1"/>
      <c r="AX560" s="5"/>
      <c r="AY560" s="5"/>
      <c r="AZ560" s="5"/>
      <c r="BA560" s="5"/>
      <c r="BB560" s="5"/>
      <c r="BC560" s="5"/>
      <c r="BF560" s="15"/>
      <c r="BG560" s="1"/>
      <c r="BH560" s="15"/>
      <c r="BI560" s="1"/>
      <c r="BJ560" s="1"/>
      <c r="BK560" s="1"/>
      <c r="BL560" s="1"/>
      <c r="BM560" s="1"/>
      <c r="BN560" s="1"/>
      <c r="BO560" s="1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DA560" s="1"/>
      <c r="DB560" s="868"/>
      <c r="DC560" s="868"/>
      <c r="DD560" s="1"/>
      <c r="DE560" s="1"/>
      <c r="DF560" s="1"/>
    </row>
    <row r="561">
      <c r="DA561" s="1"/>
      <c r="DB561" s="868"/>
      <c r="DC561" s="868"/>
      <c r="DD561" s="1"/>
      <c r="DE561" s="1"/>
      <c r="DF561" s="1"/>
    </row>
    <row r="562">
      <c r="DA562" s="1"/>
      <c r="DB562" s="868"/>
      <c r="DC562" s="868"/>
      <c r="DD562" s="1"/>
      <c r="DE562" s="1"/>
      <c r="DF562" s="1"/>
    </row>
  </sheetData>
  <mergeCells count="110">
    <mergeCell ref="EH2:EM2"/>
    <mergeCell ref="EN2:ES2"/>
    <mergeCell ref="ET2:EY2"/>
    <mergeCell ref="EZ2:FE2"/>
    <mergeCell ref="FF2:FK2"/>
    <mergeCell ref="FL2:FQ2"/>
    <mergeCell ref="FR2:FW2"/>
    <mergeCell ref="FX2:GC2"/>
    <mergeCell ref="GD2:GI2"/>
    <mergeCell ref="GJ2:GO2"/>
    <mergeCell ref="GP2:GU2"/>
    <mergeCell ref="GV2:HA2"/>
    <mergeCell ref="HB2:HG2"/>
    <mergeCell ref="HH2:HM2"/>
    <mergeCell ref="HN2:HS2"/>
    <mergeCell ref="HT2:HY2"/>
    <mergeCell ref="HZ2:IE2"/>
    <mergeCell ref="IF2:IH2"/>
    <mergeCell ref="A5:A8"/>
    <mergeCell ref="BB5:BB7"/>
    <mergeCell ref="BC5:BC8"/>
    <mergeCell ref="BF5:BG6"/>
    <mergeCell ref="BH5:BI6"/>
    <mergeCell ref="BK5:BK7"/>
    <mergeCell ref="BL5:BL7"/>
    <mergeCell ref="BM5:BM8"/>
    <mergeCell ref="BN5:BN8"/>
    <mergeCell ref="CT5:CT8"/>
    <mergeCell ref="CU5:CU8"/>
    <mergeCell ref="DA5:DA7"/>
    <mergeCell ref="DB5:DB7"/>
    <mergeCell ref="DC5:DC7"/>
    <mergeCell ref="DD5:DD7"/>
    <mergeCell ref="DE5:DE7"/>
    <mergeCell ref="DF5:DF7"/>
    <mergeCell ref="DJ5:DJ8"/>
    <mergeCell ref="EH5:EJ6"/>
    <mergeCell ref="EK5:EM6"/>
    <mergeCell ref="EN5:EP6"/>
    <mergeCell ref="EQ5:ES6"/>
    <mergeCell ref="ET5:EV6"/>
    <mergeCell ref="EW5:EY6"/>
    <mergeCell ref="EZ5:FB6"/>
    <mergeCell ref="FC5:FE6"/>
    <mergeCell ref="FF5:FH6"/>
    <mergeCell ref="FI5:FK6"/>
    <mergeCell ref="FL5:FN6"/>
    <mergeCell ref="FO5:FQ6"/>
    <mergeCell ref="FR5:FT6"/>
    <mergeCell ref="FU5:FW6"/>
    <mergeCell ref="FX5:FZ6"/>
    <mergeCell ref="GA5:GC6"/>
    <mergeCell ref="GD5:GF6"/>
    <mergeCell ref="GG5:GI6"/>
    <mergeCell ref="GJ5:GL6"/>
    <mergeCell ref="GM5:GO6"/>
    <mergeCell ref="GP5:GR6"/>
    <mergeCell ref="GS5:GU6"/>
    <mergeCell ref="GV5:GX6"/>
    <mergeCell ref="GY5:HA6"/>
    <mergeCell ref="HB5:HD6"/>
    <mergeCell ref="HE5:HG6"/>
    <mergeCell ref="HH5:HJ6"/>
    <mergeCell ref="HK5:HM6"/>
    <mergeCell ref="HN5:HP6"/>
    <mergeCell ref="HQ5:HS6"/>
    <mergeCell ref="HT5:HV6"/>
    <mergeCell ref="HW5:HY6"/>
    <mergeCell ref="HZ5:IB6"/>
    <mergeCell ref="IC5:IE6"/>
    <mergeCell ref="IF5:IH6"/>
    <mergeCell ref="EF6:EG7"/>
    <mergeCell ref="D7:E7"/>
    <mergeCell ref="BF7:BF8"/>
    <mergeCell ref="BG7:BG8"/>
    <mergeCell ref="BI7:BI8"/>
    <mergeCell ref="BO7:BO8"/>
    <mergeCell ref="A11:A12"/>
    <mergeCell ref="EF11:EF12"/>
    <mergeCell ref="A13:A14"/>
    <mergeCell ref="EF13:EF14"/>
    <mergeCell ref="A15:A16"/>
    <mergeCell ref="EF15:EF16"/>
    <mergeCell ref="A17:A18"/>
    <mergeCell ref="EF17:EF18"/>
    <mergeCell ref="A19:A20"/>
    <mergeCell ref="EF19:EF20"/>
    <mergeCell ref="A21:A22"/>
    <mergeCell ref="BP21:BP22"/>
    <mergeCell ref="BQ21:BQ22"/>
    <mergeCell ref="EF21:EF22"/>
    <mergeCell ref="A23:A24"/>
    <mergeCell ref="EF23:EF24"/>
    <mergeCell ref="A25:A26"/>
    <mergeCell ref="EF25:EF26"/>
    <mergeCell ref="A29:A30"/>
    <mergeCell ref="A31:A32"/>
    <mergeCell ref="EF31:EF32"/>
    <mergeCell ref="A43:A44"/>
    <mergeCell ref="A68:A69"/>
    <mergeCell ref="A72:A73"/>
    <mergeCell ref="EF72:EF73"/>
    <mergeCell ref="A77:A86"/>
    <mergeCell ref="EF77:EF86"/>
    <mergeCell ref="A88:A89"/>
    <mergeCell ref="EF88:EF89"/>
    <mergeCell ref="A91:A92"/>
    <mergeCell ref="EF91:EF92"/>
    <mergeCell ref="A93:A94"/>
    <mergeCell ref="EF93:EF94"/>
  </mergeCells>
  <printOptions headings="0" gridLines="0"/>
  <pageMargins left="0.39370078740157477" right="0.39370078740157477" top="1.23" bottom="0.35433070866141736" header="0.19685039370078738" footer="0.23622047244094491"/>
  <pageSetup paperSize="9" scale="10" fitToWidth="1" fitToHeight="0" pageOrder="downThenOver" orientation="landscape" usePrinterDefaults="1" blackAndWhite="0" draft="0" cellComments="none" useFirstPageNumber="0" errors="displayed" horizontalDpi="600" verticalDpi="0" copies="1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zoomScale="100" workbookViewId="0">
      <selection activeCell="J94" activeCellId="0" sqref="J94"/>
    </sheetView>
  </sheetViews>
  <sheetFormatPr defaultRowHeight="12.75"/>
  <cols>
    <col customWidth="1" min="1" max="1" style="2" width="28.28515625"/>
    <col customWidth="1" min="2" max="2" style="2" width="20.85546875"/>
  </cols>
  <sheetData>
    <row r="5">
      <c r="A5" s="41" t="s">
        <v>24</v>
      </c>
      <c r="B5" s="42"/>
    </row>
    <row r="6">
      <c r="A6" s="83"/>
      <c r="B6" s="84"/>
    </row>
    <row r="7">
      <c r="A7" s="83"/>
      <c r="B7" s="133"/>
    </row>
    <row r="8">
      <c r="A8" s="155"/>
      <c r="B8" s="156"/>
    </row>
    <row r="9">
      <c r="A9" s="206" t="s">
        <v>135</v>
      </c>
      <c r="B9" s="207"/>
    </row>
    <row r="10">
      <c r="A10" s="247"/>
      <c r="B10" s="247"/>
    </row>
    <row r="11">
      <c r="A11" s="283" t="s">
        <v>178</v>
      </c>
      <c r="B11" s="283"/>
    </row>
    <row r="12">
      <c r="A12" s="329"/>
      <c r="B12" s="329"/>
    </row>
    <row r="13">
      <c r="A13" s="283" t="s">
        <v>180</v>
      </c>
      <c r="B13" s="283"/>
    </row>
    <row r="14">
      <c r="A14" s="329"/>
      <c r="B14" s="329"/>
    </row>
    <row r="15">
      <c r="A15" s="283" t="s">
        <v>181</v>
      </c>
      <c r="B15" s="283"/>
    </row>
    <row r="16">
      <c r="A16" s="329"/>
      <c r="B16" s="329"/>
    </row>
    <row r="17">
      <c r="A17" s="283" t="s">
        <v>182</v>
      </c>
      <c r="B17" s="283"/>
    </row>
    <row r="18">
      <c r="A18" s="329"/>
      <c r="B18" s="329"/>
    </row>
    <row r="19">
      <c r="A19" s="283" t="s">
        <v>183</v>
      </c>
      <c r="B19" s="283"/>
    </row>
    <row r="20">
      <c r="A20" s="375"/>
      <c r="B20" s="375"/>
    </row>
    <row r="21">
      <c r="A21" s="394" t="s">
        <v>189</v>
      </c>
      <c r="B21" s="395" t="s">
        <v>190</v>
      </c>
    </row>
    <row r="22">
      <c r="A22" s="415"/>
      <c r="B22" s="416" t="s">
        <v>193</v>
      </c>
    </row>
    <row r="23">
      <c r="A23" s="447" t="s">
        <v>184</v>
      </c>
      <c r="B23" s="447"/>
    </row>
    <row r="24">
      <c r="A24" s="329"/>
      <c r="B24" s="329"/>
    </row>
    <row r="25">
      <c r="A25" s="283" t="s">
        <v>185</v>
      </c>
      <c r="B25" s="283"/>
    </row>
    <row r="26">
      <c r="A26" s="329"/>
      <c r="B26" s="329"/>
    </row>
    <row r="27">
      <c r="A27" s="375" t="s">
        <v>197</v>
      </c>
      <c r="B27" s="375"/>
    </row>
    <row r="28">
      <c r="A28" s="375"/>
      <c r="B28" s="375"/>
    </row>
    <row r="29">
      <c r="A29" s="471" t="s">
        <v>199</v>
      </c>
      <c r="B29" s="283"/>
    </row>
    <row r="30">
      <c r="A30" s="479"/>
      <c r="B30" s="437"/>
    </row>
    <row r="31">
      <c r="A31" s="482" t="s">
        <v>202</v>
      </c>
      <c r="B31" s="482"/>
    </row>
    <row r="32">
      <c r="A32" s="437"/>
      <c r="B32" s="437"/>
    </row>
    <row r="33">
      <c r="A33" s="483" t="s">
        <v>22</v>
      </c>
      <c r="B33" s="483"/>
    </row>
    <row r="34">
      <c r="A34" s="483" t="s">
        <v>1071</v>
      </c>
      <c r="B34" s="502"/>
    </row>
    <row r="35">
      <c r="A35" s="283" t="s">
        <v>195</v>
      </c>
      <c r="B35" s="283"/>
    </row>
    <row r="36">
      <c r="A36" s="437"/>
      <c r="B36" s="437"/>
    </row>
    <row r="37">
      <c r="A37" s="283" t="s">
        <v>196</v>
      </c>
      <c r="B37" s="283"/>
    </row>
    <row r="38">
      <c r="A38" s="437"/>
      <c r="B38" s="437"/>
    </row>
    <row r="39">
      <c r="A39" s="283" t="s">
        <v>221</v>
      </c>
      <c r="B39" s="283"/>
    </row>
    <row r="40">
      <c r="A40" s="437"/>
      <c r="B40" s="437"/>
    </row>
    <row r="41">
      <c r="A41" s="283" t="s">
        <v>224</v>
      </c>
      <c r="B41" s="283"/>
    </row>
    <row r="42">
      <c r="A42" s="437"/>
      <c r="B42" s="437"/>
    </row>
    <row r="43">
      <c r="A43" s="283" t="s">
        <v>205</v>
      </c>
      <c r="B43" s="283"/>
    </row>
    <row r="44">
      <c r="A44" s="437"/>
      <c r="B44" s="437"/>
    </row>
    <row r="45">
      <c r="A45" s="283" t="s">
        <v>206</v>
      </c>
      <c r="B45" s="283"/>
    </row>
    <row r="46">
      <c r="A46" s="437"/>
      <c r="B46" s="437"/>
    </row>
    <row r="47">
      <c r="A47" s="283" t="s">
        <v>227</v>
      </c>
      <c r="B47" s="283"/>
    </row>
    <row r="48">
      <c r="A48" s="437"/>
      <c r="B48" s="437"/>
    </row>
    <row r="49">
      <c r="A49" s="283" t="s">
        <v>209</v>
      </c>
      <c r="B49" s="283"/>
    </row>
    <row r="50">
      <c r="A50" s="437"/>
      <c r="B50" s="437"/>
    </row>
    <row r="51">
      <c r="A51" s="283" t="s">
        <v>210</v>
      </c>
      <c r="B51" s="283"/>
    </row>
    <row r="52">
      <c r="A52" s="437"/>
      <c r="B52" s="437"/>
    </row>
    <row r="53">
      <c r="A53" s="283" t="s">
        <v>211</v>
      </c>
      <c r="B53" s="283"/>
    </row>
    <row r="54">
      <c r="A54" s="437"/>
      <c r="B54" s="437"/>
    </row>
    <row r="55">
      <c r="A55" s="483" t="s">
        <v>22</v>
      </c>
      <c r="B55" s="483"/>
    </row>
    <row r="56">
      <c r="A56" s="483" t="s">
        <v>1072</v>
      </c>
      <c r="B56" s="598"/>
    </row>
    <row r="57">
      <c r="A57" s="247"/>
      <c r="B57" s="247"/>
    </row>
    <row r="58">
      <c r="A58" s="283" t="s">
        <v>229</v>
      </c>
      <c r="B58" s="283"/>
    </row>
    <row r="59">
      <c r="A59" s="437"/>
      <c r="B59" s="437"/>
    </row>
    <row r="60">
      <c r="A60" s="283" t="s">
        <v>231</v>
      </c>
      <c r="B60" s="283"/>
    </row>
    <row r="61">
      <c r="A61" s="638" t="s">
        <v>232</v>
      </c>
      <c r="B61" s="437"/>
    </row>
    <row r="62">
      <c r="A62" s="471" t="s">
        <v>1073</v>
      </c>
      <c r="B62" s="283"/>
    </row>
    <row r="63">
      <c r="A63" s="479"/>
      <c r="B63" s="437"/>
    </row>
    <row r="64" ht="13.5" customHeight="1">
      <c r="A64" s="471" t="s">
        <v>1074</v>
      </c>
      <c r="B64" s="283"/>
    </row>
    <row r="65">
      <c r="A65" s="479"/>
      <c r="B65" s="437"/>
    </row>
    <row r="66">
      <c r="A66" s="483" t="s">
        <v>22</v>
      </c>
      <c r="B66" s="483"/>
    </row>
    <row r="67">
      <c r="A67" s="598"/>
      <c r="B67" s="598"/>
    </row>
    <row r="68">
      <c r="A68" s="676" t="s">
        <v>65</v>
      </c>
      <c r="B68" s="676"/>
    </row>
    <row r="69">
      <c r="A69" s="1"/>
      <c r="B69" s="1"/>
    </row>
    <row r="70">
      <c r="B70" s="247"/>
    </row>
    <row r="71" ht="15.75">
      <c r="A71" s="3268" t="s">
        <v>226</v>
      </c>
      <c r="B71" s="3269" t="s">
        <v>238</v>
      </c>
    </row>
    <row r="72" ht="25.5" customHeight="1">
      <c r="A72" s="2576" t="s">
        <v>240</v>
      </c>
      <c r="B72" s="2576"/>
    </row>
    <row r="73" ht="25.5" customHeight="1">
      <c r="A73" s="2576" t="s">
        <v>241</v>
      </c>
      <c r="B73" s="2576"/>
    </row>
    <row r="74" ht="25.5" customHeight="1">
      <c r="A74" s="3270" t="s">
        <v>243</v>
      </c>
      <c r="B74" s="3270"/>
    </row>
    <row r="75" ht="25.5" customHeight="1">
      <c r="A75" s="2576" t="s">
        <v>244</v>
      </c>
      <c r="B75" s="2576"/>
    </row>
    <row r="76" ht="25.5" customHeight="1">
      <c r="A76" s="2576" t="s">
        <v>245</v>
      </c>
      <c r="B76" s="2576"/>
    </row>
    <row r="77" ht="25.5" customHeight="1">
      <c r="A77" s="2576" t="s">
        <v>246</v>
      </c>
      <c r="B77" s="2576"/>
    </row>
    <row r="78" ht="25.5" customHeight="1">
      <c r="A78" s="2576" t="s">
        <v>247</v>
      </c>
      <c r="B78" s="2576"/>
    </row>
    <row r="79" ht="25.5" customHeight="1">
      <c r="A79" s="2576" t="s">
        <v>248</v>
      </c>
      <c r="B79" s="2576"/>
    </row>
    <row r="80" ht="25.5" customHeight="1">
      <c r="A80" s="2576" t="s">
        <v>249</v>
      </c>
      <c r="B80" s="2576"/>
    </row>
    <row r="81">
      <c r="A81" s="759"/>
      <c r="B81" s="759"/>
    </row>
    <row r="82">
      <c r="A82" s="283" t="s">
        <v>228</v>
      </c>
      <c r="B82" s="283"/>
    </row>
    <row r="83">
      <c r="A83" s="437"/>
      <c r="B83" s="768" t="s">
        <v>253</v>
      </c>
    </row>
    <row r="84">
      <c r="A84" s="247"/>
      <c r="B84" s="247"/>
    </row>
    <row r="85">
      <c r="A85" s="283" t="s">
        <v>255</v>
      </c>
      <c r="B85" s="283"/>
    </row>
    <row r="86">
      <c r="A86" s="437"/>
      <c r="B86" s="437"/>
    </row>
    <row r="87">
      <c r="A87" s="778" t="s">
        <v>259</v>
      </c>
      <c r="B87" s="778"/>
    </row>
    <row r="88">
      <c r="A88" s="794"/>
      <c r="B88" s="794"/>
    </row>
    <row r="89">
      <c r="A89" s="247"/>
      <c r="B89" s="414" t="s">
        <v>252</v>
      </c>
    </row>
    <row r="90">
      <c r="A90" s="247" t="s">
        <v>235</v>
      </c>
      <c r="B90" s="414" t="s">
        <v>262</v>
      </c>
    </row>
    <row r="91">
      <c r="A91" s="247"/>
      <c r="B91" s="414" t="s">
        <v>253</v>
      </c>
    </row>
    <row r="92">
      <c r="A92" s="247"/>
      <c r="B92" s="414" t="s">
        <v>266</v>
      </c>
    </row>
    <row r="93">
      <c r="A93" s="247"/>
      <c r="B93" s="807" t="s">
        <v>268</v>
      </c>
    </row>
    <row r="94">
      <c r="A94" s="247"/>
      <c r="B94" s="247"/>
    </row>
    <row r="95">
      <c r="A95" s="247"/>
      <c r="B95" s="247"/>
    </row>
    <row r="96">
      <c r="A96" s="825" t="s">
        <v>65</v>
      </c>
      <c r="B96" s="826"/>
    </row>
    <row r="97">
      <c r="A97" s="552"/>
      <c r="B97" s="552"/>
    </row>
    <row r="99" ht="22.5">
      <c r="A99" s="853" t="s">
        <v>1075</v>
      </c>
      <c r="B99" s="854"/>
    </row>
    <row r="107">
      <c r="A107" s="552" t="s">
        <v>251</v>
      </c>
      <c r="B107" s="552"/>
    </row>
    <row r="108">
      <c r="A108" s="552" t="s">
        <v>80</v>
      </c>
      <c r="B108" s="552"/>
    </row>
    <row r="109">
      <c r="A109" s="552" t="s">
        <v>267</v>
      </c>
      <c r="B109" s="552"/>
    </row>
    <row r="110">
      <c r="A110" s="552" t="s">
        <v>270</v>
      </c>
      <c r="B110" s="552"/>
    </row>
    <row r="111">
      <c r="A111" s="552" t="s">
        <v>265</v>
      </c>
      <c r="B111" s="552"/>
    </row>
    <row r="112">
      <c r="A112" s="552" t="s">
        <v>286</v>
      </c>
      <c r="B112" s="247"/>
    </row>
    <row r="113">
      <c r="A113" s="552"/>
      <c r="B113" s="552"/>
    </row>
    <row r="114">
      <c r="A114" s="552"/>
      <c r="B114" s="552"/>
    </row>
    <row r="115">
      <c r="A115" s="552"/>
      <c r="B115" s="552"/>
    </row>
    <row r="116">
      <c r="A116" s="552"/>
      <c r="B116" s="552"/>
    </row>
    <row r="117">
      <c r="A117" s="552"/>
      <c r="B117" s="552"/>
    </row>
    <row r="118">
      <c r="A118" s="3271" t="s">
        <v>275</v>
      </c>
      <c r="B118" s="3272"/>
    </row>
    <row r="119">
      <c r="A119" s="914" t="s">
        <v>276</v>
      </c>
      <c r="B119" s="914"/>
    </row>
    <row r="120">
      <c r="A120" s="552" t="s">
        <v>78</v>
      </c>
      <c r="B120" s="552"/>
    </row>
    <row r="121">
      <c r="A121" s="552" t="s">
        <v>277</v>
      </c>
      <c r="B121" s="552"/>
    </row>
    <row r="122" ht="13.5">
      <c r="A122" s="920" t="s">
        <v>278</v>
      </c>
      <c r="B122" s="920"/>
    </row>
    <row r="123">
      <c r="A123" s="552" t="s">
        <v>279</v>
      </c>
      <c r="B123" s="552"/>
    </row>
    <row r="124">
      <c r="A124" s="759" t="s">
        <v>281</v>
      </c>
      <c r="B124" s="759"/>
    </row>
    <row r="125">
      <c r="A125" s="552"/>
      <c r="B125" s="552"/>
    </row>
    <row r="126" ht="13.5">
      <c r="A126" s="922" t="s">
        <v>84</v>
      </c>
      <c r="B126" s="922"/>
    </row>
    <row r="127">
      <c r="A127" s="923" t="s">
        <v>75</v>
      </c>
      <c r="B127" s="923"/>
    </row>
    <row r="128">
      <c r="A128" s="552" t="s">
        <v>285</v>
      </c>
      <c r="B128" s="552"/>
    </row>
    <row r="129">
      <c r="A129" s="552" t="s">
        <v>73</v>
      </c>
      <c r="B129" s="552"/>
    </row>
    <row r="130">
      <c r="A130" s="552" t="s">
        <v>289</v>
      </c>
      <c r="B130" s="552"/>
    </row>
    <row r="131">
      <c r="A131" s="552" t="s">
        <v>291</v>
      </c>
      <c r="B131" s="552"/>
    </row>
    <row r="132">
      <c r="A132" s="552" t="s">
        <v>292</v>
      </c>
      <c r="B132" s="552"/>
    </row>
    <row r="133">
      <c r="A133" s="552" t="s">
        <v>305</v>
      </c>
      <c r="B133" s="552"/>
    </row>
    <row r="134">
      <c r="A134" s="552" t="s">
        <v>294</v>
      </c>
      <c r="B134" s="552"/>
    </row>
    <row r="135">
      <c r="A135" s="552" t="s">
        <v>296</v>
      </c>
      <c r="B135" s="552"/>
    </row>
    <row r="136">
      <c r="A136" s="759" t="s">
        <v>68</v>
      </c>
      <c r="B136" s="759"/>
    </row>
    <row r="137">
      <c r="A137" s="552" t="s">
        <v>307</v>
      </c>
      <c r="B137" s="552"/>
    </row>
    <row r="138">
      <c r="A138" s="940" t="s">
        <v>308</v>
      </c>
      <c r="B138" s="940"/>
    </row>
    <row r="139">
      <c r="A139" s="552" t="s">
        <v>299</v>
      </c>
      <c r="B139" s="552">
        <f>C119+C137+C140</f>
        <v>0</v>
      </c>
    </row>
    <row r="140">
      <c r="A140" s="941" t="s">
        <v>309</v>
      </c>
      <c r="B140" s="941"/>
    </row>
    <row r="141">
      <c r="A141" s="552" t="s">
        <v>301</v>
      </c>
      <c r="B141" s="552"/>
    </row>
    <row r="142">
      <c r="A142" s="552" t="s">
        <v>302</v>
      </c>
      <c r="B142" s="552"/>
    </row>
    <row r="143">
      <c r="A143" s="552" t="s">
        <v>310</v>
      </c>
      <c r="B143" s="552"/>
    </row>
    <row r="144">
      <c r="A144" s="552" t="s">
        <v>311</v>
      </c>
      <c r="B144" s="552"/>
    </row>
    <row r="145">
      <c r="A145" s="552" t="s">
        <v>312</v>
      </c>
      <c r="B145" s="552"/>
    </row>
    <row r="146">
      <c r="A146" s="942"/>
      <c r="B146" s="943"/>
    </row>
    <row r="148" ht="15.75">
      <c r="A148" s="955"/>
      <c r="B148" s="955"/>
    </row>
    <row r="149">
      <c r="A149" s="970"/>
      <c r="B149" s="970"/>
    </row>
    <row r="153" ht="18.75">
      <c r="A153" s="980"/>
      <c r="B153" s="980"/>
    </row>
    <row r="163">
      <c r="A163" s="992"/>
      <c r="B163" s="992"/>
    </row>
  </sheetData>
  <mergeCells count="26">
    <mergeCell ref="A87:A88"/>
    <mergeCell ref="A78:B78"/>
    <mergeCell ref="A79:B79"/>
    <mergeCell ref="A80:B80"/>
    <mergeCell ref="A82:A83"/>
    <mergeCell ref="A85:A86"/>
    <mergeCell ref="A73:B73"/>
    <mergeCell ref="A74:B74"/>
    <mergeCell ref="A75:B75"/>
    <mergeCell ref="A76:B76"/>
    <mergeCell ref="A77:B77"/>
    <mergeCell ref="A31:A32"/>
    <mergeCell ref="A62:A63"/>
    <mergeCell ref="A64:A65"/>
    <mergeCell ref="A66:A67"/>
    <mergeCell ref="A72:B72"/>
    <mergeCell ref="A19:A20"/>
    <mergeCell ref="A21:A22"/>
    <mergeCell ref="A23:A24"/>
    <mergeCell ref="A25:A26"/>
    <mergeCell ref="A29:A30"/>
    <mergeCell ref="A5:A8"/>
    <mergeCell ref="A11:A12"/>
    <mergeCell ref="A13:A14"/>
    <mergeCell ref="A15:A16"/>
    <mergeCell ref="A17:A18"/>
  </mergeCells>
  <printOptions headings="0" gridLines="0"/>
  <pageMargins left="0.69999999999999996" right="0.69999999999999996" top="0.75" bottom="0.75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0" copies="1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 codeName="Лист4">
    <tabColor indexed="7"/>
    <outlinePr applyStyles="0" summaryBelow="1" summaryRight="1" showOutlineSymbols="1"/>
    <pageSetUpPr autoPageBreaks="1" fitToPage="1"/>
  </sheetPr>
  <sheetViews>
    <sheetView zoomScale="70" workbookViewId="0">
      <pane xSplit="4" ySplit="4" topLeftCell="E5" activePane="bottomRight" state="frozen"/>
      <selection activeCell="A76" activeCellId="0" sqref="A76"/>
    </sheetView>
  </sheetViews>
  <sheetFormatPr defaultRowHeight="23.25"/>
  <cols>
    <col customWidth="1" min="1" max="1" style="999" width="27.140625"/>
    <col customWidth="1" min="2" max="2" style="1000" width="39.28515625"/>
    <col customWidth="1" hidden="1" min="3" max="3" style="1000" width="18.5703125"/>
    <col customWidth="1" hidden="1" min="4" max="4" style="1000" width="14.140625"/>
    <col customWidth="1" min="5" max="5" style="1001" width="15.28515625"/>
    <col customWidth="1" min="6" max="6" style="1001" width="16.140625"/>
    <col customWidth="1" min="7" max="7" style="1002" width="17.140625"/>
    <col customWidth="1" min="8" max="8" style="1003" width="3.140625"/>
    <col customWidth="1" min="9" max="10" style="1004" width="27.5703125"/>
    <col customWidth="1" min="11" max="11" style="1005" width="26.85546875"/>
    <col bestFit="1" customWidth="1" min="12" max="12" style="1006" width="6.28515625"/>
    <col customWidth="1" min="13" max="13" style="1007" width="8.42578125"/>
    <col customWidth="1" min="14" max="14" style="1008" width="10"/>
    <col customWidth="1" min="15" max="15" style="1007" width="13.140625"/>
    <col customWidth="1" min="16" max="16" style="1007" width="20"/>
    <col customWidth="1" min="17" max="17" style="1008" width="25"/>
    <col customWidth="1" min="18" max="18" style="1008" width="22.85546875"/>
    <col customWidth="1" min="19" max="19" style="1008" width="17.7109375"/>
    <col customWidth="1" min="20" max="20" style="1009" width="5.42578125"/>
    <col customWidth="1" min="21" max="21" style="1006" width="5.7109375"/>
    <col customWidth="1" min="22" max="22" style="1007" width="8.42578125"/>
    <col customWidth="1" min="23" max="23" style="1008" width="10"/>
    <col customWidth="1" min="24" max="24" style="1008" width="14.5703125"/>
    <col customWidth="1" min="25" max="25" style="1007" width="17.5703125"/>
    <col customWidth="1" min="26" max="26" style="1008" width="24.28515625"/>
    <col customWidth="1" min="27" max="27" style="1008" width="18.85546875"/>
    <col customWidth="1" min="28" max="28" style="1010" width="18.85546875"/>
    <col customWidth="1" min="29" max="29" style="1009" width="5.5703125"/>
    <col customWidth="1" min="30" max="30" style="1006" width="5.5703125"/>
    <col customWidth="1" min="31" max="31" style="1007" width="14.28515625"/>
    <col customWidth="1" min="32" max="32" style="1008" width="13.85546875"/>
    <col customWidth="1" min="33" max="33" style="1008" width="14.85546875"/>
    <col customWidth="1" min="34" max="34" style="1007" width="17.5703125"/>
    <col customWidth="1" min="35" max="35" style="1008" width="18"/>
    <col customWidth="1" min="36" max="37" style="1008" width="18.5703125"/>
    <col customWidth="1" min="38" max="38" style="1009" width="7.28515625"/>
    <col customWidth="1" min="39" max="39" style="1006" width="4.140625"/>
    <col customWidth="1" min="40" max="40" style="1007" width="11.28515625"/>
    <col customWidth="1" min="41" max="41" style="1008" width="11.42578125"/>
    <col customWidth="1" min="42" max="42" style="1008" width="15.85546875"/>
    <col customWidth="1" min="43" max="43" style="1007" width="16"/>
    <col customWidth="1" min="44" max="44" style="1008" width="19.28515625"/>
    <col customWidth="1" min="45" max="45" style="1008" width="17.7109375"/>
    <col customWidth="1" min="46" max="46" style="1008" width="15.28515625"/>
    <col customWidth="1" min="47" max="47" style="1011" width="4.5703125"/>
    <col customWidth="1" min="48" max="48" style="1012" width="4.5703125"/>
    <col customWidth="1" min="49" max="49" style="1007" width="14.85546875"/>
    <col customWidth="1" min="50" max="50" style="1008" width="13.85546875"/>
    <col customWidth="1" min="51" max="51" style="1008" width="15.28515625"/>
    <col customWidth="1" min="52" max="52" style="1007" width="17.7109375"/>
    <col customWidth="1" min="53" max="53" style="1008" width="17.42578125"/>
    <col customWidth="1" min="54" max="54" style="1008" width="15.7109375"/>
    <col customWidth="1" min="55" max="55" style="1000" width="19"/>
    <col customWidth="1" min="56" max="56" style="1011" width="13.140625"/>
    <col min="57" max="65" style="1000" width="9.140625"/>
    <col min="66" max="16384" style="998" width="9.140625"/>
  </cols>
  <sheetData>
    <row r="1" s="1013" customFormat="1" ht="18.75" customHeight="1">
      <c r="A1" s="1014"/>
      <c r="B1" s="1015" t="s">
        <v>322</v>
      </c>
      <c r="C1" s="1015"/>
      <c r="D1" s="1015"/>
      <c r="E1" s="1016" t="s">
        <v>323</v>
      </c>
      <c r="F1" s="1017"/>
      <c r="G1" s="1018"/>
      <c r="H1" s="1019"/>
      <c r="I1" s="1020"/>
      <c r="J1" s="1020"/>
      <c r="K1" s="1021"/>
      <c r="L1" s="1022"/>
      <c r="M1" s="1023"/>
      <c r="N1" s="1024"/>
      <c r="O1" s="1023"/>
      <c r="P1" s="1023"/>
      <c r="Q1" s="1024"/>
      <c r="R1" s="1024"/>
      <c r="S1" s="1024"/>
      <c r="T1" s="1025"/>
      <c r="U1" s="1022"/>
      <c r="V1" s="1026" t="s">
        <v>324</v>
      </c>
      <c r="W1" s="1026"/>
      <c r="X1" s="1026"/>
      <c r="Y1" s="1026"/>
      <c r="Z1" s="1026"/>
      <c r="AA1" s="1026"/>
      <c r="AB1" s="1026"/>
      <c r="AC1" s="1025"/>
      <c r="AD1" s="1022"/>
      <c r="AE1" s="1023"/>
      <c r="AF1" s="1024"/>
      <c r="AG1" s="1024"/>
      <c r="AH1" s="1023"/>
      <c r="AI1" s="1024"/>
      <c r="AJ1" s="1024"/>
      <c r="AK1" s="1024"/>
      <c r="AL1" s="1025"/>
      <c r="AM1" s="1022"/>
      <c r="AN1" s="1023"/>
      <c r="AO1" s="1024"/>
      <c r="AP1" s="1024"/>
      <c r="AQ1" s="1023"/>
      <c r="AR1" s="1024"/>
      <c r="AS1" s="1024"/>
      <c r="AT1" s="1024"/>
      <c r="AU1" s="1027"/>
      <c r="AV1" s="1028"/>
      <c r="AW1" s="1023"/>
      <c r="AX1" s="1024"/>
      <c r="AY1" s="1024"/>
      <c r="AZ1" s="1023"/>
      <c r="BA1" s="1024"/>
      <c r="BB1" s="1024"/>
      <c r="BC1" s="1029"/>
      <c r="BD1" s="1027"/>
      <c r="BE1" s="1029"/>
      <c r="BF1" s="1029"/>
      <c r="BG1" s="1029"/>
      <c r="BH1" s="1029"/>
      <c r="BI1" s="1029"/>
      <c r="BJ1" s="1029"/>
      <c r="BK1" s="1029"/>
      <c r="BL1" s="1029"/>
      <c r="BM1" s="1029"/>
    </row>
    <row r="2" s="1030" customFormat="1" ht="24" customHeight="1">
      <c r="A2" s="1031"/>
      <c r="B2" s="1032"/>
      <c r="C2" s="1033"/>
      <c r="D2" s="1033"/>
      <c r="E2" s="1034" t="s">
        <v>27</v>
      </c>
      <c r="F2" s="1034"/>
      <c r="G2" s="1035"/>
      <c r="H2" s="1036"/>
      <c r="I2" s="1037"/>
      <c r="J2" s="1037"/>
      <c r="K2" s="1038"/>
      <c r="L2" s="1039"/>
      <c r="M2" s="1040" t="s">
        <v>127</v>
      </c>
      <c r="N2" s="1041"/>
      <c r="O2" s="1041"/>
      <c r="P2" s="1041"/>
      <c r="Q2" s="1041"/>
      <c r="R2" s="1041"/>
      <c r="S2" s="1042"/>
      <c r="T2" s="1042"/>
      <c r="U2" s="1039"/>
      <c r="V2" s="1043" t="s">
        <v>325</v>
      </c>
      <c r="W2" s="1044"/>
      <c r="X2" s="1044"/>
      <c r="Y2" s="1044"/>
      <c r="Z2" s="1044"/>
      <c r="AA2" s="1045"/>
      <c r="AB2" s="1046"/>
      <c r="AC2" s="1047"/>
      <c r="AD2" s="1039"/>
      <c r="AE2" s="1043" t="s">
        <v>326</v>
      </c>
      <c r="AF2" s="1044"/>
      <c r="AG2" s="1044"/>
      <c r="AH2" s="1044"/>
      <c r="AI2" s="1044"/>
      <c r="AJ2" s="1045"/>
      <c r="AK2" s="1048"/>
      <c r="AL2" s="1047"/>
      <c r="AM2" s="1039"/>
      <c r="AN2" s="1043" t="s">
        <v>327</v>
      </c>
      <c r="AO2" s="1044"/>
      <c r="AP2" s="1044"/>
      <c r="AQ2" s="1044"/>
      <c r="AR2" s="1044"/>
      <c r="AS2" s="1045"/>
      <c r="AT2" s="1048"/>
      <c r="AU2" s="1049"/>
      <c r="AV2" s="1050"/>
      <c r="AW2" s="1043" t="s">
        <v>328</v>
      </c>
      <c r="AX2" s="1044"/>
      <c r="AY2" s="1044"/>
      <c r="AZ2" s="1044"/>
      <c r="BA2" s="1044"/>
      <c r="BB2" s="1045"/>
      <c r="BC2" s="1051"/>
      <c r="BD2" s="1052"/>
      <c r="BE2" s="1051"/>
      <c r="BF2" s="1051"/>
      <c r="BG2" s="1051"/>
      <c r="BH2" s="1051"/>
      <c r="BI2" s="1051"/>
      <c r="BJ2" s="1051"/>
      <c r="BK2" s="1051"/>
      <c r="BL2" s="1051"/>
      <c r="BM2" s="1051"/>
    </row>
    <row r="3" s="1053" customFormat="1" ht="18.75" customHeight="1">
      <c r="A3" s="1054"/>
      <c r="B3" s="1055" t="s">
        <v>329</v>
      </c>
      <c r="C3" s="1056" t="s">
        <v>330</v>
      </c>
      <c r="D3" s="1057" t="s">
        <v>331</v>
      </c>
      <c r="E3" s="1058" t="s">
        <v>332</v>
      </c>
      <c r="F3" s="1058" t="s">
        <v>333</v>
      </c>
      <c r="G3" s="1059" t="s">
        <v>334</v>
      </c>
      <c r="H3" s="1060"/>
      <c r="I3" s="1061" t="s">
        <v>335</v>
      </c>
      <c r="J3" s="1062"/>
      <c r="K3" s="1063"/>
      <c r="L3" s="1064"/>
      <c r="M3" s="1065" t="s">
        <v>336</v>
      </c>
      <c r="N3" s="1065" t="s">
        <v>337</v>
      </c>
      <c r="O3" s="1066" t="s">
        <v>338</v>
      </c>
      <c r="P3" s="1067"/>
      <c r="Q3" s="1068"/>
      <c r="R3" s="1066" t="s">
        <v>339</v>
      </c>
      <c r="S3" s="1069" t="s">
        <v>340</v>
      </c>
      <c r="T3" s="1070" t="s">
        <v>341</v>
      </c>
      <c r="U3" s="1071"/>
      <c r="V3" s="1065" t="s">
        <v>336</v>
      </c>
      <c r="W3" s="1065" t="s">
        <v>337</v>
      </c>
      <c r="X3" s="1066" t="s">
        <v>338</v>
      </c>
      <c r="Y3" s="1067"/>
      <c r="Z3" s="1068"/>
      <c r="AA3" s="1066" t="s">
        <v>339</v>
      </c>
      <c r="AB3" s="1072" t="s">
        <v>340</v>
      </c>
      <c r="AC3" s="1070" t="s">
        <v>341</v>
      </c>
      <c r="AD3" s="1071"/>
      <c r="AE3" s="1065" t="s">
        <v>336</v>
      </c>
      <c r="AF3" s="1065" t="s">
        <v>337</v>
      </c>
      <c r="AG3" s="1066" t="s">
        <v>338</v>
      </c>
      <c r="AH3" s="1067"/>
      <c r="AI3" s="1068"/>
      <c r="AJ3" s="1066" t="s">
        <v>339</v>
      </c>
      <c r="AK3" s="1073" t="s">
        <v>339</v>
      </c>
      <c r="AL3" s="1070" t="s">
        <v>341</v>
      </c>
      <c r="AM3" s="1071"/>
      <c r="AN3" s="1065" t="s">
        <v>336</v>
      </c>
      <c r="AO3" s="1065" t="s">
        <v>337</v>
      </c>
      <c r="AP3" s="1066" t="s">
        <v>338</v>
      </c>
      <c r="AQ3" s="1067"/>
      <c r="AR3" s="1068"/>
      <c r="AS3" s="1066" t="s">
        <v>339</v>
      </c>
      <c r="AT3" s="1069" t="s">
        <v>340</v>
      </c>
      <c r="AU3" s="1070" t="s">
        <v>341</v>
      </c>
      <c r="AV3" s="1074"/>
      <c r="AW3" s="1065" t="s">
        <v>336</v>
      </c>
      <c r="AX3" s="1065" t="s">
        <v>337</v>
      </c>
      <c r="AY3" s="1066" t="s">
        <v>338</v>
      </c>
      <c r="AZ3" s="1075"/>
      <c r="BA3" s="1068"/>
      <c r="BB3" s="1076"/>
      <c r="BC3" s="1069" t="s">
        <v>340</v>
      </c>
      <c r="BD3" s="1070" t="s">
        <v>341</v>
      </c>
      <c r="BE3" s="1077"/>
      <c r="BF3" s="1077"/>
      <c r="BG3" s="1077"/>
      <c r="BH3" s="1077"/>
      <c r="BI3" s="1077"/>
      <c r="BJ3" s="1077"/>
      <c r="BK3" s="1077"/>
      <c r="BL3" s="1077"/>
      <c r="BM3" s="1077"/>
    </row>
    <row r="4" s="1053" customFormat="1" ht="46.5" customHeight="1">
      <c r="A4" s="1054"/>
      <c r="B4" s="1078"/>
      <c r="C4" s="1079"/>
      <c r="D4" s="1080"/>
      <c r="E4" s="1081"/>
      <c r="F4" s="1081"/>
      <c r="G4" s="1082"/>
      <c r="H4" s="1083"/>
      <c r="I4" s="1084" t="s">
        <v>342</v>
      </c>
      <c r="J4" s="1085" t="s">
        <v>339</v>
      </c>
      <c r="K4" s="1086" t="s">
        <v>343</v>
      </c>
      <c r="L4" s="1071"/>
      <c r="M4" s="1087"/>
      <c r="N4" s="1087"/>
      <c r="O4" s="1088"/>
      <c r="P4" s="1066" t="s">
        <v>344</v>
      </c>
      <c r="Q4" s="1089" t="s">
        <v>345</v>
      </c>
      <c r="R4" s="1090"/>
      <c r="S4" s="1091"/>
      <c r="T4" s="1092"/>
      <c r="U4" s="1071"/>
      <c r="V4" s="1087"/>
      <c r="W4" s="1087"/>
      <c r="X4" s="1088"/>
      <c r="Y4" s="1066" t="s">
        <v>344</v>
      </c>
      <c r="Z4" s="1089" t="s">
        <v>345</v>
      </c>
      <c r="AA4" s="1090"/>
      <c r="AB4" s="1093"/>
      <c r="AC4" s="1092"/>
      <c r="AD4" s="1071"/>
      <c r="AE4" s="1087"/>
      <c r="AF4" s="1087"/>
      <c r="AG4" s="1088"/>
      <c r="AH4" s="1094" t="s">
        <v>344</v>
      </c>
      <c r="AI4" s="1089" t="s">
        <v>345</v>
      </c>
      <c r="AJ4" s="1090"/>
      <c r="AK4" s="1095"/>
      <c r="AL4" s="1092"/>
      <c r="AM4" s="1071"/>
      <c r="AN4" s="1087"/>
      <c r="AO4" s="1087"/>
      <c r="AP4" s="1088"/>
      <c r="AQ4" s="1094" t="s">
        <v>344</v>
      </c>
      <c r="AR4" s="1089" t="s">
        <v>345</v>
      </c>
      <c r="AS4" s="1090"/>
      <c r="AT4" s="1091"/>
      <c r="AU4" s="1092"/>
      <c r="AV4" s="1074"/>
      <c r="AW4" s="1087"/>
      <c r="AX4" s="1087"/>
      <c r="AY4" s="1090"/>
      <c r="AZ4" s="1073" t="s">
        <v>344</v>
      </c>
      <c r="BA4" s="1096" t="s">
        <v>345</v>
      </c>
      <c r="BB4" s="1097"/>
      <c r="BC4" s="1091"/>
      <c r="BD4" s="1092"/>
      <c r="BE4" s="1077"/>
      <c r="BF4" s="1077"/>
      <c r="BG4" s="1077"/>
      <c r="BH4" s="1077"/>
      <c r="BI4" s="1077"/>
      <c r="BJ4" s="1077"/>
      <c r="BK4" s="1077"/>
      <c r="BL4" s="1077"/>
      <c r="BM4" s="1077"/>
    </row>
    <row r="5" s="1013" customFormat="1" ht="21" customHeight="1">
      <c r="A5" s="1014"/>
      <c r="B5" s="1098"/>
      <c r="C5" s="1098"/>
      <c r="D5" s="1098"/>
      <c r="E5" s="1017"/>
      <c r="F5" s="1017"/>
      <c r="G5" s="1099"/>
      <c r="H5" s="1100"/>
      <c r="I5" s="1101"/>
      <c r="J5" s="1101"/>
      <c r="K5" s="1102"/>
      <c r="L5" s="1024"/>
      <c r="M5" s="1023"/>
      <c r="N5" s="1024"/>
      <c r="O5" s="1023"/>
      <c r="P5" s="1103"/>
      <c r="Q5" s="1024"/>
      <c r="R5" s="1024"/>
      <c r="S5" s="1024"/>
      <c r="T5" s="1025"/>
      <c r="U5" s="1024"/>
      <c r="V5" s="1023"/>
      <c r="W5" s="1024"/>
      <c r="X5" s="1024"/>
      <c r="Y5" s="1103"/>
      <c r="Z5" s="1024"/>
      <c r="AA5" s="1024"/>
      <c r="AB5" s="1024"/>
      <c r="AC5" s="1025"/>
      <c r="AD5" s="1024"/>
      <c r="AE5" s="1023"/>
      <c r="AF5" s="1024"/>
      <c r="AG5" s="1024"/>
      <c r="AH5" s="1103"/>
      <c r="AI5" s="1024"/>
      <c r="AJ5" s="1024"/>
      <c r="AK5" s="1024"/>
      <c r="AL5" s="1025"/>
      <c r="AM5" s="1024"/>
      <c r="AN5" s="1023"/>
      <c r="AO5" s="1024"/>
      <c r="AP5" s="1024"/>
      <c r="AQ5" s="1103"/>
      <c r="AR5" s="1024"/>
      <c r="AS5" s="1024"/>
      <c r="AT5" s="1024"/>
      <c r="AU5" s="1027"/>
      <c r="AV5" s="1029"/>
      <c r="AW5" s="1023"/>
      <c r="AX5" s="1024"/>
      <c r="AY5" s="1024"/>
      <c r="AZ5" s="1095"/>
      <c r="BA5" s="1024"/>
      <c r="BB5" s="1024"/>
      <c r="BC5" s="1029"/>
      <c r="BD5" s="1027"/>
      <c r="BE5" s="1029"/>
      <c r="BF5" s="1029"/>
      <c r="BG5" s="1029"/>
      <c r="BH5" s="1029"/>
      <c r="BI5" s="1029"/>
      <c r="BJ5" s="1029"/>
      <c r="BK5" s="1029"/>
      <c r="BL5" s="1029"/>
      <c r="BM5" s="1029"/>
    </row>
    <row r="6">
      <c r="G6" s="1104"/>
      <c r="H6" s="1105"/>
      <c r="L6" s="1008"/>
      <c r="U6" s="1008"/>
      <c r="AB6" s="1008"/>
      <c r="AD6" s="1008"/>
      <c r="AM6" s="1008"/>
      <c r="AV6" s="1000"/>
    </row>
    <row r="7">
      <c r="B7" s="1106"/>
      <c r="C7" s="1106"/>
      <c r="D7" s="1106"/>
      <c r="G7" s="1104"/>
      <c r="H7" s="1105"/>
      <c r="L7" s="1008"/>
      <c r="M7" s="1107"/>
      <c r="N7" s="1108"/>
      <c r="O7" s="1107"/>
      <c r="P7" s="1107"/>
      <c r="Q7" s="1108"/>
      <c r="R7" s="1108"/>
      <c r="S7" s="1108"/>
      <c r="T7" s="1025"/>
      <c r="U7" s="1108"/>
      <c r="V7" s="1107"/>
      <c r="W7" s="1108"/>
      <c r="X7" s="1108"/>
      <c r="Y7" s="1107"/>
      <c r="Z7" s="1108"/>
      <c r="AA7" s="1108"/>
      <c r="AB7" s="1108"/>
      <c r="AC7" s="1025"/>
      <c r="AD7" s="1108"/>
      <c r="AL7" s="1025"/>
      <c r="AM7" s="1108"/>
      <c r="AN7" s="1107"/>
      <c r="AO7" s="1108"/>
      <c r="AP7" s="1108"/>
      <c r="AQ7" s="1107"/>
      <c r="AR7" s="1108"/>
      <c r="AS7" s="1108"/>
      <c r="AT7" s="1108"/>
      <c r="AU7" s="1109"/>
      <c r="AV7" s="1000"/>
    </row>
    <row r="8" ht="50.25" customHeight="1">
      <c r="A8" s="1110"/>
      <c r="B8" s="1111" t="s">
        <v>346</v>
      </c>
      <c r="C8" s="1112"/>
      <c r="D8" s="1112"/>
      <c r="E8" s="1113" t="s">
        <v>347</v>
      </c>
      <c r="F8" s="1114"/>
      <c r="G8" s="1114"/>
      <c r="H8" s="1115"/>
      <c r="I8" s="1116" t="s">
        <v>348</v>
      </c>
      <c r="J8" s="1117"/>
      <c r="K8" s="1118"/>
      <c r="L8" s="1119"/>
      <c r="M8" s="1120" t="s">
        <v>127</v>
      </c>
      <c r="N8" s="1121"/>
      <c r="O8" s="1121"/>
      <c r="P8" s="1121"/>
      <c r="Q8" s="1121"/>
      <c r="R8" s="1122"/>
      <c r="S8" s="1123"/>
      <c r="T8" s="1124"/>
      <c r="U8" s="1125"/>
      <c r="V8" s="1120" t="s">
        <v>325</v>
      </c>
      <c r="W8" s="1121"/>
      <c r="X8" s="1121"/>
      <c r="Y8" s="1121"/>
      <c r="Z8" s="1121"/>
      <c r="AA8" s="1122"/>
      <c r="AB8" s="1115"/>
      <c r="AC8" s="1126"/>
      <c r="AD8" s="1125"/>
      <c r="AE8" s="1120" t="s">
        <v>311</v>
      </c>
      <c r="AF8" s="1121"/>
      <c r="AG8" s="1121"/>
      <c r="AH8" s="1121"/>
      <c r="AI8" s="1121"/>
      <c r="AJ8" s="1122"/>
      <c r="AK8" s="1127"/>
      <c r="AL8" s="1126"/>
      <c r="AM8" s="1128"/>
      <c r="AN8" s="1043" t="s">
        <v>327</v>
      </c>
      <c r="AO8" s="1044"/>
      <c r="AP8" s="1044"/>
      <c r="AQ8" s="1044"/>
      <c r="AR8" s="1044"/>
      <c r="AS8" s="1045"/>
      <c r="AT8" s="1129"/>
      <c r="AU8" s="1130"/>
      <c r="AV8" s="1131"/>
      <c r="AW8" s="1043" t="s">
        <v>349</v>
      </c>
      <c r="AX8" s="1044"/>
      <c r="AY8" s="1044"/>
      <c r="AZ8" s="1044"/>
      <c r="BA8" s="1044"/>
      <c r="BB8" s="1045"/>
      <c r="BC8" s="1029"/>
      <c r="BD8" s="1132"/>
      <c r="BE8" s="1133"/>
      <c r="BF8" s="1133"/>
    </row>
    <row r="9" ht="18.75" customHeight="1">
      <c r="A9" s="1110"/>
      <c r="B9" s="1134" t="s">
        <v>350</v>
      </c>
      <c r="C9" s="1134"/>
      <c r="D9" s="1134"/>
      <c r="E9" s="1135" t="s">
        <v>332</v>
      </c>
      <c r="F9" s="1135" t="s">
        <v>333</v>
      </c>
      <c r="G9" s="1136" t="s">
        <v>334</v>
      </c>
      <c r="H9" s="1137" t="s">
        <v>341</v>
      </c>
      <c r="I9" s="1138"/>
      <c r="J9" s="1138"/>
      <c r="K9" s="1139"/>
      <c r="L9" s="1119"/>
      <c r="M9" s="1073" t="s">
        <v>336</v>
      </c>
      <c r="N9" s="1073" t="s">
        <v>337</v>
      </c>
      <c r="O9" s="1073" t="s">
        <v>338</v>
      </c>
      <c r="P9" s="1073" t="s">
        <v>344</v>
      </c>
      <c r="Q9" s="1073" t="s">
        <v>351</v>
      </c>
      <c r="R9" s="1140" t="s">
        <v>339</v>
      </c>
      <c r="S9" s="1141" t="s">
        <v>340</v>
      </c>
      <c r="T9" s="1142"/>
      <c r="U9" s="1128"/>
      <c r="V9" s="1073" t="s">
        <v>336</v>
      </c>
      <c r="W9" s="1073" t="s">
        <v>337</v>
      </c>
      <c r="X9" s="1073" t="s">
        <v>338</v>
      </c>
      <c r="Y9" s="1073" t="s">
        <v>344</v>
      </c>
      <c r="Z9" s="1073" t="s">
        <v>351</v>
      </c>
      <c r="AA9" s="1140" t="s">
        <v>339</v>
      </c>
      <c r="AB9" s="1143" t="str">
        <f>S9</f>
        <v xml:space="preserve">Итого (спирт+наркотики+растворы+перевязка)</v>
      </c>
      <c r="AC9" s="1142"/>
      <c r="AD9" s="1128"/>
      <c r="AE9" s="1073" t="s">
        <v>336</v>
      </c>
      <c r="AF9" s="1073" t="s">
        <v>337</v>
      </c>
      <c r="AG9" s="1073" t="s">
        <v>338</v>
      </c>
      <c r="AH9" s="1073" t="s">
        <v>344</v>
      </c>
      <c r="AI9" s="1073" t="s">
        <v>351</v>
      </c>
      <c r="AJ9" s="1140" t="s">
        <v>339</v>
      </c>
      <c r="AK9" s="1141" t="s">
        <v>340</v>
      </c>
      <c r="AL9" s="1142"/>
      <c r="AM9" s="1128"/>
      <c r="AN9" s="1144" t="s">
        <v>336</v>
      </c>
      <c r="AO9" s="1144" t="s">
        <v>337</v>
      </c>
      <c r="AP9" s="1144" t="s">
        <v>338</v>
      </c>
      <c r="AQ9" s="1073" t="s">
        <v>344</v>
      </c>
      <c r="AR9" s="1073" t="s">
        <v>351</v>
      </c>
      <c r="AS9" s="1140" t="s">
        <v>339</v>
      </c>
      <c r="AT9" s="1145"/>
      <c r="AU9" s="1146"/>
      <c r="AV9" s="1131"/>
      <c r="AW9" s="1144" t="s">
        <v>336</v>
      </c>
      <c r="AX9" s="1144" t="s">
        <v>337</v>
      </c>
      <c r="AY9" s="1144" t="s">
        <v>338</v>
      </c>
      <c r="AZ9" s="1073" t="s">
        <v>344</v>
      </c>
      <c r="BA9" s="1073" t="s">
        <v>351</v>
      </c>
      <c r="BB9" s="1140" t="s">
        <v>339</v>
      </c>
      <c r="BC9" s="1147"/>
      <c r="BD9" s="1132"/>
      <c r="BE9" s="1133"/>
      <c r="BF9" s="1133"/>
    </row>
    <row r="10" ht="39.75" customHeight="1">
      <c r="A10" s="1110"/>
      <c r="B10" s="1148"/>
      <c r="C10" s="1149"/>
      <c r="D10" s="1149"/>
      <c r="E10" s="1150"/>
      <c r="F10" s="1150"/>
      <c r="G10" s="1151"/>
      <c r="H10" s="1152"/>
      <c r="I10" s="1153" t="s">
        <v>342</v>
      </c>
      <c r="J10" s="1154" t="s">
        <v>339</v>
      </c>
      <c r="K10" s="1155" t="s">
        <v>335</v>
      </c>
      <c r="L10" s="1119"/>
      <c r="M10" s="1095"/>
      <c r="N10" s="1095"/>
      <c r="O10" s="1095"/>
      <c r="P10" s="1095"/>
      <c r="Q10" s="1095"/>
      <c r="R10" s="1123"/>
      <c r="S10" s="1156"/>
      <c r="T10" s="1124"/>
      <c r="U10" s="1128"/>
      <c r="V10" s="1095"/>
      <c r="W10" s="1095"/>
      <c r="X10" s="1095"/>
      <c r="Y10" s="1095"/>
      <c r="Z10" s="1095"/>
      <c r="AA10" s="1123"/>
      <c r="AB10" s="1157"/>
      <c r="AC10" s="1124"/>
      <c r="AD10" s="1128"/>
      <c r="AE10" s="1095"/>
      <c r="AF10" s="1095"/>
      <c r="AG10" s="1095"/>
      <c r="AH10" s="1095"/>
      <c r="AI10" s="1095"/>
      <c r="AJ10" s="1123"/>
      <c r="AK10" s="1156"/>
      <c r="AL10" s="1124"/>
      <c r="AM10" s="1128"/>
      <c r="AN10" s="1158"/>
      <c r="AO10" s="1158"/>
      <c r="AP10" s="1158"/>
      <c r="AQ10" s="1095"/>
      <c r="AR10" s="1095"/>
      <c r="AS10" s="1123"/>
      <c r="AT10" s="1159"/>
      <c r="AU10" s="1160"/>
      <c r="AV10" s="1131"/>
      <c r="AW10" s="1158"/>
      <c r="AX10" s="1158"/>
      <c r="AY10" s="1158"/>
      <c r="AZ10" s="1095"/>
      <c r="BA10" s="1095"/>
      <c r="BB10" s="1123"/>
      <c r="BC10" s="1161"/>
      <c r="BD10" s="1132"/>
      <c r="BE10" s="1133"/>
      <c r="BF10" s="1133"/>
    </row>
    <row r="11" ht="21.75" customHeight="1">
      <c r="A11" s="999" t="s">
        <v>352</v>
      </c>
      <c r="B11" s="1162" t="s">
        <v>178</v>
      </c>
      <c r="C11" s="1162"/>
      <c r="D11" s="1163"/>
      <c r="E11" s="1164">
        <f>Q11+Z11+AI11+AR11+BA11</f>
        <v>1000866.95</v>
      </c>
      <c r="F11" s="1164">
        <f t="shared" ref="E11:F74" si="187">R11+AA11+AJ11+AS11+BB11</f>
        <v>19568.239999999998</v>
      </c>
      <c r="G11" s="1165">
        <f t="shared" ref="G11:G18" si="188">E11+F11</f>
        <v>1020435.1899999999</v>
      </c>
      <c r="H11" s="1166"/>
      <c r="I11" s="1167">
        <f t="shared" ref="I11:I74" si="189">E11-Z11</f>
        <v>1000790.45</v>
      </c>
      <c r="J11" s="1167">
        <f t="shared" ref="J11:J74" si="190">F11-AA11</f>
        <v>19345.48</v>
      </c>
      <c r="K11" s="1168">
        <f t="shared" ref="K11:K18" si="191">I11+J11</f>
        <v>1020135.9299999999</v>
      </c>
      <c r="L11" s="1119"/>
      <c r="M11" s="1169"/>
      <c r="N11" s="1169"/>
      <c r="O11" s="1169"/>
      <c r="P11" s="1169">
        <v>1000790.45</v>
      </c>
      <c r="Q11" s="1169">
        <f t="shared" ref="Q11:Q18" si="192">SUM(M11:P11)</f>
        <v>1000790.45</v>
      </c>
      <c r="R11" s="1169">
        <v>19345.48</v>
      </c>
      <c r="S11" s="1170"/>
      <c r="T11" s="1171"/>
      <c r="U11" s="1119"/>
      <c r="V11" s="1169"/>
      <c r="W11" s="1169"/>
      <c r="X11" s="1169"/>
      <c r="Y11" s="1169">
        <v>76.5</v>
      </c>
      <c r="Z11" s="1169">
        <f t="shared" ref="Z11:Z18" si="193">SUM(V11:Y11)</f>
        <v>76.5</v>
      </c>
      <c r="AA11" s="1169">
        <v>222.75999999999999</v>
      </c>
      <c r="AB11" s="1172">
        <f t="shared" ref="AB11:AB74" si="194">Z11+AA11</f>
        <v>299.25999999999999</v>
      </c>
      <c r="AC11" s="1171"/>
      <c r="AD11" s="1128"/>
      <c r="AE11" s="1169"/>
      <c r="AF11" s="1169"/>
      <c r="AG11" s="1169"/>
      <c r="AH11" s="1169"/>
      <c r="AI11" s="1169">
        <f t="shared" ref="AI11:AI18" si="195">SUM(AE11:AH11)</f>
        <v>0</v>
      </c>
      <c r="AJ11" s="1169"/>
      <c r="AK11" s="1173"/>
      <c r="AL11" s="1171"/>
      <c r="AM11" s="1128"/>
      <c r="AN11" s="1170"/>
      <c r="AO11" s="1170"/>
      <c r="AP11" s="1170"/>
      <c r="AQ11" s="1170"/>
      <c r="AR11" s="1170">
        <f t="shared" ref="AR11:AR18" si="196">SUM(AN11:AQ11)</f>
        <v>0</v>
      </c>
      <c r="AS11" s="1170"/>
      <c r="AT11" s="1170"/>
      <c r="AU11" s="1174"/>
      <c r="AV11" s="1131"/>
      <c r="AW11" s="1169"/>
      <c r="AX11" s="1169"/>
      <c r="AY11" s="1169"/>
      <c r="AZ11" s="1169"/>
      <c r="BA11" s="1169">
        <f t="shared" ref="BA11:BA18" si="197">SUM(AW11:AZ11)</f>
        <v>0</v>
      </c>
      <c r="BB11" s="1169"/>
      <c r="BC11" s="1175"/>
      <c r="BD11" s="1027"/>
      <c r="BE11" s="1029"/>
      <c r="BF11" s="1029"/>
    </row>
    <row r="12" ht="21.75" customHeight="1">
      <c r="A12" s="999" t="s">
        <v>353</v>
      </c>
      <c r="B12" s="1176" t="s">
        <v>354</v>
      </c>
      <c r="C12" s="1176"/>
      <c r="D12" s="1163"/>
      <c r="E12" s="1164">
        <f t="shared" si="187"/>
        <v>256651.85000000001</v>
      </c>
      <c r="F12" s="1164">
        <f t="shared" si="187"/>
        <v>16189.190000000001</v>
      </c>
      <c r="G12" s="1165">
        <f t="shared" si="188"/>
        <v>272841.03999999998</v>
      </c>
      <c r="H12" s="1166"/>
      <c r="I12" s="1167">
        <f t="shared" si="189"/>
        <v>256651.85000000001</v>
      </c>
      <c r="J12" s="1167">
        <f t="shared" si="190"/>
        <v>16189.190000000001</v>
      </c>
      <c r="K12" s="1168">
        <f t="shared" si="191"/>
        <v>272841.03999999998</v>
      </c>
      <c r="L12" s="1119"/>
      <c r="M12" s="1169"/>
      <c r="N12" s="1177"/>
      <c r="O12" s="1169"/>
      <c r="P12" s="1169">
        <v>256651.85000000001</v>
      </c>
      <c r="Q12" s="1169">
        <f t="shared" si="192"/>
        <v>256651.85000000001</v>
      </c>
      <c r="R12" s="1169">
        <v>16189.190000000001</v>
      </c>
      <c r="S12" s="1170"/>
      <c r="T12" s="1171"/>
      <c r="U12" s="1119"/>
      <c r="V12" s="1169"/>
      <c r="W12" s="1177"/>
      <c r="X12" s="1177"/>
      <c r="Y12" s="1169"/>
      <c r="Z12" s="1169">
        <f t="shared" si="193"/>
        <v>0</v>
      </c>
      <c r="AA12" s="1169"/>
      <c r="AB12" s="1172">
        <f t="shared" si="194"/>
        <v>0</v>
      </c>
      <c r="AC12" s="1171"/>
      <c r="AD12" s="1128"/>
      <c r="AE12" s="1169"/>
      <c r="AF12" s="1177"/>
      <c r="AG12" s="1177"/>
      <c r="AH12" s="1169"/>
      <c r="AI12" s="1169">
        <f t="shared" si="195"/>
        <v>0</v>
      </c>
      <c r="AJ12" s="1169"/>
      <c r="AK12" s="1173"/>
      <c r="AL12" s="1171"/>
      <c r="AM12" s="1128"/>
      <c r="AN12" s="1170"/>
      <c r="AO12" s="1175"/>
      <c r="AP12" s="1175"/>
      <c r="AQ12" s="1170"/>
      <c r="AR12" s="1170">
        <f t="shared" si="196"/>
        <v>0</v>
      </c>
      <c r="AS12" s="1170"/>
      <c r="AT12" s="1170"/>
      <c r="AU12" s="1174"/>
      <c r="AV12" s="1131"/>
      <c r="AW12" s="1169"/>
      <c r="AX12" s="1177"/>
      <c r="AY12" s="1177"/>
      <c r="AZ12" s="1169"/>
      <c r="BA12" s="1169">
        <f t="shared" si="197"/>
        <v>0</v>
      </c>
      <c r="BB12" s="1169"/>
      <c r="BC12" s="1175"/>
      <c r="BD12" s="1027"/>
      <c r="BE12" s="1029"/>
      <c r="BF12" s="1029"/>
    </row>
    <row r="13" ht="21.75" customHeight="1">
      <c r="A13" s="999" t="s">
        <v>355</v>
      </c>
      <c r="B13" s="1176" t="s">
        <v>181</v>
      </c>
      <c r="C13" s="1176"/>
      <c r="D13" s="1163"/>
      <c r="E13" s="1164">
        <f t="shared" si="187"/>
        <v>112545.83</v>
      </c>
      <c r="F13" s="1164">
        <f t="shared" si="187"/>
        <v>33103.32</v>
      </c>
      <c r="G13" s="1165">
        <f t="shared" si="188"/>
        <v>145649.14999999999</v>
      </c>
      <c r="H13" s="1166"/>
      <c r="I13" s="1167">
        <f t="shared" si="189"/>
        <v>110731.82000000001</v>
      </c>
      <c r="J13" s="1167">
        <f t="shared" si="190"/>
        <v>14455.110000000001</v>
      </c>
      <c r="K13" s="1168">
        <f t="shared" si="191"/>
        <v>125186.93000000001</v>
      </c>
      <c r="L13" s="1119"/>
      <c r="M13" s="1169"/>
      <c r="N13" s="1177"/>
      <c r="O13" s="1169"/>
      <c r="P13" s="1169">
        <v>110731.82000000001</v>
      </c>
      <c r="Q13" s="1169">
        <f t="shared" si="192"/>
        <v>110731.82000000001</v>
      </c>
      <c r="R13" s="1169">
        <v>14455.110000000001</v>
      </c>
      <c r="S13" s="1170"/>
      <c r="T13" s="1171"/>
      <c r="U13" s="1119"/>
      <c r="V13" s="1169"/>
      <c r="W13" s="1177"/>
      <c r="X13" s="1177"/>
      <c r="Y13" s="1169">
        <v>1814.01</v>
      </c>
      <c r="Z13" s="1169">
        <f t="shared" si="193"/>
        <v>1814.01</v>
      </c>
      <c r="AA13" s="1169">
        <v>18648.209999999999</v>
      </c>
      <c r="AB13" s="1172">
        <f t="shared" si="194"/>
        <v>20462.219999999998</v>
      </c>
      <c r="AC13" s="1171"/>
      <c r="AD13" s="1128"/>
      <c r="AE13" s="1169"/>
      <c r="AF13" s="1177"/>
      <c r="AG13" s="1177"/>
      <c r="AH13" s="1169"/>
      <c r="AI13" s="1169">
        <f t="shared" si="195"/>
        <v>0</v>
      </c>
      <c r="AJ13" s="1169"/>
      <c r="AK13" s="1173"/>
      <c r="AL13" s="1171"/>
      <c r="AM13" s="1128"/>
      <c r="AN13" s="1170"/>
      <c r="AO13" s="1175"/>
      <c r="AP13" s="1175"/>
      <c r="AQ13" s="1170"/>
      <c r="AR13" s="1170">
        <f t="shared" si="196"/>
        <v>0</v>
      </c>
      <c r="AS13" s="1170"/>
      <c r="AT13" s="1170"/>
      <c r="AU13" s="1174"/>
      <c r="AV13" s="1131"/>
      <c r="AW13" s="1169"/>
      <c r="AX13" s="1177"/>
      <c r="AY13" s="1177"/>
      <c r="AZ13" s="1169"/>
      <c r="BA13" s="1169">
        <f t="shared" si="197"/>
        <v>0</v>
      </c>
      <c r="BB13" s="1169"/>
      <c r="BC13" s="1175"/>
      <c r="BD13" s="1027"/>
      <c r="BE13" s="1029"/>
      <c r="BF13" s="1029"/>
    </row>
    <row r="14" ht="21.75" customHeight="1">
      <c r="A14" s="999" t="s">
        <v>356</v>
      </c>
      <c r="B14" s="1176" t="s">
        <v>357</v>
      </c>
      <c r="C14" s="1176"/>
      <c r="D14" s="1163"/>
      <c r="E14" s="1164">
        <f>Q14+Z14+AI14+AR14+BA14</f>
        <v>482175.59000000003</v>
      </c>
      <c r="F14" s="1164">
        <f t="shared" si="187"/>
        <v>36407.879999999997</v>
      </c>
      <c r="G14" s="1165">
        <f t="shared" si="188"/>
        <v>518583.47000000003</v>
      </c>
      <c r="H14" s="1166"/>
      <c r="I14" s="1167">
        <f t="shared" si="189"/>
        <v>482175.59000000003</v>
      </c>
      <c r="J14" s="1167">
        <f t="shared" si="190"/>
        <v>36407.879999999997</v>
      </c>
      <c r="K14" s="1168">
        <f t="shared" si="191"/>
        <v>518583.47000000003</v>
      </c>
      <c r="L14" s="1119"/>
      <c r="M14" s="1169"/>
      <c r="N14" s="1177"/>
      <c r="O14" s="1169"/>
      <c r="P14" s="1169">
        <v>482175.59000000003</v>
      </c>
      <c r="Q14" s="1169">
        <f t="shared" si="192"/>
        <v>482175.59000000003</v>
      </c>
      <c r="R14" s="1169">
        <v>36407.879999999997</v>
      </c>
      <c r="S14" s="1170"/>
      <c r="T14" s="1171"/>
      <c r="U14" s="1119"/>
      <c r="V14" s="1169"/>
      <c r="W14" s="1177"/>
      <c r="X14" s="1177"/>
      <c r="Y14" s="1169"/>
      <c r="Z14" s="1169">
        <f t="shared" si="193"/>
        <v>0</v>
      </c>
      <c r="AA14" s="1169"/>
      <c r="AB14" s="1172">
        <f t="shared" si="194"/>
        <v>0</v>
      </c>
      <c r="AC14" s="1171"/>
      <c r="AD14" s="1128"/>
      <c r="AE14" s="1169"/>
      <c r="AF14" s="1177"/>
      <c r="AG14" s="1177"/>
      <c r="AH14" s="1169"/>
      <c r="AI14" s="1169">
        <f t="shared" si="195"/>
        <v>0</v>
      </c>
      <c r="AJ14" s="1169"/>
      <c r="AK14" s="1173"/>
      <c r="AL14" s="1171"/>
      <c r="AM14" s="1128"/>
      <c r="AN14" s="1170"/>
      <c r="AO14" s="1175"/>
      <c r="AP14" s="1175"/>
      <c r="AQ14" s="1170"/>
      <c r="AR14" s="1170">
        <f t="shared" si="196"/>
        <v>0</v>
      </c>
      <c r="AS14" s="1170"/>
      <c r="AT14" s="1170"/>
      <c r="AU14" s="1174"/>
      <c r="AV14" s="1131"/>
      <c r="AW14" s="1169"/>
      <c r="AX14" s="1177"/>
      <c r="AY14" s="1177"/>
      <c r="AZ14" s="1169"/>
      <c r="BA14" s="1169">
        <f t="shared" si="197"/>
        <v>0</v>
      </c>
      <c r="BB14" s="1169"/>
      <c r="BC14" s="1175"/>
      <c r="BD14" s="1027"/>
      <c r="BE14" s="1029"/>
      <c r="BF14" s="1029"/>
    </row>
    <row r="15" ht="21.75" customHeight="1">
      <c r="A15" s="999" t="s">
        <v>358</v>
      </c>
      <c r="B15" s="1176" t="s">
        <v>183</v>
      </c>
      <c r="C15" s="1176"/>
      <c r="D15" s="1163"/>
      <c r="E15" s="1164">
        <f t="shared" si="187"/>
        <v>66501.059999999998</v>
      </c>
      <c r="F15" s="1164">
        <f t="shared" si="187"/>
        <v>11582.370000000001</v>
      </c>
      <c r="G15" s="1165">
        <f t="shared" si="188"/>
        <v>78083.429999999993</v>
      </c>
      <c r="H15" s="1166"/>
      <c r="I15" s="1167">
        <f t="shared" si="189"/>
        <v>66369.610000000001</v>
      </c>
      <c r="J15" s="1167">
        <f t="shared" si="190"/>
        <v>11582.370000000001</v>
      </c>
      <c r="K15" s="1168">
        <f t="shared" si="191"/>
        <v>77951.979999999996</v>
      </c>
      <c r="L15" s="1119"/>
      <c r="M15" s="1169"/>
      <c r="N15" s="1177"/>
      <c r="O15" s="1169"/>
      <c r="P15" s="1169">
        <v>66369.610000000001</v>
      </c>
      <c r="Q15" s="1169">
        <f t="shared" si="192"/>
        <v>66369.610000000001</v>
      </c>
      <c r="R15" s="1169">
        <v>11582.370000000001</v>
      </c>
      <c r="S15" s="1170"/>
      <c r="T15" s="1171"/>
      <c r="U15" s="1119"/>
      <c r="V15" s="1169"/>
      <c r="W15" s="1177"/>
      <c r="X15" s="1177"/>
      <c r="Y15" s="1169">
        <v>131.44999999999999</v>
      </c>
      <c r="Z15" s="1169">
        <f t="shared" si="193"/>
        <v>131.44999999999999</v>
      </c>
      <c r="AA15" s="1169"/>
      <c r="AB15" s="1172">
        <f t="shared" si="194"/>
        <v>131.44999999999999</v>
      </c>
      <c r="AC15" s="1171"/>
      <c r="AD15" s="1128"/>
      <c r="AE15" s="1169"/>
      <c r="AF15" s="1177"/>
      <c r="AG15" s="1177"/>
      <c r="AH15" s="1169"/>
      <c r="AI15" s="1169">
        <f t="shared" si="195"/>
        <v>0</v>
      </c>
      <c r="AJ15" s="1169"/>
      <c r="AK15" s="1173"/>
      <c r="AL15" s="1171"/>
      <c r="AM15" s="1128"/>
      <c r="AN15" s="1170"/>
      <c r="AO15" s="1175"/>
      <c r="AP15" s="1175"/>
      <c r="AQ15" s="1170"/>
      <c r="AR15" s="1170">
        <f t="shared" si="196"/>
        <v>0</v>
      </c>
      <c r="AS15" s="1170"/>
      <c r="AT15" s="1170"/>
      <c r="AU15" s="1174"/>
      <c r="AV15" s="1131"/>
      <c r="AW15" s="1169"/>
      <c r="AX15" s="1177"/>
      <c r="AY15" s="1177"/>
      <c r="AZ15" s="1169"/>
      <c r="BA15" s="1169">
        <f t="shared" si="197"/>
        <v>0</v>
      </c>
      <c r="BB15" s="1169"/>
      <c r="BC15" s="1175"/>
      <c r="BD15" s="1027"/>
      <c r="BE15" s="1029"/>
      <c r="BF15" s="1029"/>
    </row>
    <row r="16" ht="21.75" customHeight="1">
      <c r="A16" s="999" t="s">
        <v>359</v>
      </c>
      <c r="B16" s="1176" t="s">
        <v>184</v>
      </c>
      <c r="C16" s="1176"/>
      <c r="D16" s="1163"/>
      <c r="E16" s="1164">
        <f t="shared" ref="E16:E79" si="198">Q16+Z16+AI16+AR16+BA16</f>
        <v>157959.41999999998</v>
      </c>
      <c r="F16" s="1164">
        <f t="shared" si="187"/>
        <v>18043.16</v>
      </c>
      <c r="G16" s="1165">
        <f t="shared" si="188"/>
        <v>176002.57999999999</v>
      </c>
      <c r="H16" s="1166"/>
      <c r="I16" s="1167">
        <f t="shared" si="189"/>
        <v>157837.01999999999</v>
      </c>
      <c r="J16" s="1167">
        <f t="shared" si="190"/>
        <v>18043.16</v>
      </c>
      <c r="K16" s="1168">
        <f t="shared" si="191"/>
        <v>175880.17999999999</v>
      </c>
      <c r="L16" s="1119"/>
      <c r="M16" s="1169"/>
      <c r="N16" s="1177"/>
      <c r="O16" s="1169"/>
      <c r="P16" s="1169">
        <v>157837.01999999999</v>
      </c>
      <c r="Q16" s="1169">
        <f t="shared" si="192"/>
        <v>157837.01999999999</v>
      </c>
      <c r="R16" s="1169">
        <v>18043.16</v>
      </c>
      <c r="S16" s="1170"/>
      <c r="T16" s="1171"/>
      <c r="U16" s="1119"/>
      <c r="V16" s="1169"/>
      <c r="W16" s="1177"/>
      <c r="X16" s="1177"/>
      <c r="Y16" s="1169">
        <v>122.40000000000001</v>
      </c>
      <c r="Z16" s="1169">
        <f t="shared" si="193"/>
        <v>122.40000000000001</v>
      </c>
      <c r="AA16" s="1169"/>
      <c r="AB16" s="1172">
        <f t="shared" si="194"/>
        <v>122.40000000000001</v>
      </c>
      <c r="AC16" s="1171"/>
      <c r="AD16" s="1128"/>
      <c r="AE16" s="1169"/>
      <c r="AF16" s="1177"/>
      <c r="AG16" s="1177"/>
      <c r="AH16" s="1169"/>
      <c r="AI16" s="1169">
        <f t="shared" si="195"/>
        <v>0</v>
      </c>
      <c r="AJ16" s="1169"/>
      <c r="AK16" s="1173"/>
      <c r="AL16" s="1171"/>
      <c r="AM16" s="1128"/>
      <c r="AN16" s="1170"/>
      <c r="AO16" s="1175"/>
      <c r="AP16" s="1175"/>
      <c r="AQ16" s="1170"/>
      <c r="AR16" s="1170">
        <f t="shared" si="196"/>
        <v>0</v>
      </c>
      <c r="AS16" s="1170"/>
      <c r="AT16" s="1170"/>
      <c r="AU16" s="1174"/>
      <c r="AV16" s="1131"/>
      <c r="AW16" s="1169"/>
      <c r="AX16" s="1177"/>
      <c r="AY16" s="1177"/>
      <c r="AZ16" s="1169"/>
      <c r="BA16" s="1169">
        <f t="shared" si="197"/>
        <v>0</v>
      </c>
      <c r="BB16" s="1169"/>
      <c r="BC16" s="1175"/>
      <c r="BD16" s="1027"/>
      <c r="BE16" s="1029"/>
      <c r="BF16" s="1029"/>
    </row>
    <row r="17" ht="21.75" customHeight="1">
      <c r="A17" s="999" t="s">
        <v>360</v>
      </c>
      <c r="B17" s="1178" t="s">
        <v>361</v>
      </c>
      <c r="C17" s="1179"/>
      <c r="D17" s="1163"/>
      <c r="E17" s="1164">
        <f t="shared" si="198"/>
        <v>38208.860000000001</v>
      </c>
      <c r="F17" s="1164">
        <f t="shared" si="187"/>
        <v>18827.439999999999</v>
      </c>
      <c r="G17" s="1165">
        <f t="shared" si="188"/>
        <v>57036.300000000003</v>
      </c>
      <c r="H17" s="1166"/>
      <c r="I17" s="1167">
        <f t="shared" si="189"/>
        <v>38208.860000000001</v>
      </c>
      <c r="J17" s="1167">
        <f t="shared" si="190"/>
        <v>18827.439999999999</v>
      </c>
      <c r="K17" s="1168">
        <f t="shared" si="191"/>
        <v>57036.300000000003</v>
      </c>
      <c r="L17" s="1119"/>
      <c r="M17" s="1169"/>
      <c r="N17" s="1177"/>
      <c r="O17" s="1169"/>
      <c r="P17" s="1169">
        <v>38208.860000000001</v>
      </c>
      <c r="Q17" s="1169">
        <f t="shared" si="192"/>
        <v>38208.860000000001</v>
      </c>
      <c r="R17" s="1169">
        <v>18827.439999999999</v>
      </c>
      <c r="S17" s="1170"/>
      <c r="T17" s="1171"/>
      <c r="U17" s="1119"/>
      <c r="V17" s="1169"/>
      <c r="W17" s="1177"/>
      <c r="X17" s="1177"/>
      <c r="Y17" s="1169"/>
      <c r="Z17" s="1169">
        <f t="shared" si="193"/>
        <v>0</v>
      </c>
      <c r="AA17" s="1169"/>
      <c r="AB17" s="1172">
        <f t="shared" si="194"/>
        <v>0</v>
      </c>
      <c r="AC17" s="1171"/>
      <c r="AD17" s="1128"/>
      <c r="AE17" s="1169"/>
      <c r="AF17" s="1177"/>
      <c r="AG17" s="1177"/>
      <c r="AH17" s="1169"/>
      <c r="AI17" s="1169">
        <f t="shared" si="195"/>
        <v>0</v>
      </c>
      <c r="AJ17" s="1169"/>
      <c r="AK17" s="1173"/>
      <c r="AL17" s="1171"/>
      <c r="AM17" s="1128"/>
      <c r="AN17" s="1170"/>
      <c r="AO17" s="1175"/>
      <c r="AP17" s="1175"/>
      <c r="AQ17" s="1170"/>
      <c r="AR17" s="1170">
        <f t="shared" si="196"/>
        <v>0</v>
      </c>
      <c r="AS17" s="1170"/>
      <c r="AT17" s="1170"/>
      <c r="AU17" s="1174"/>
      <c r="AV17" s="1131"/>
      <c r="AW17" s="1169"/>
      <c r="AX17" s="1177"/>
      <c r="AY17" s="1177"/>
      <c r="AZ17" s="1169"/>
      <c r="BA17" s="1169">
        <f t="shared" si="197"/>
        <v>0</v>
      </c>
      <c r="BB17" s="1169"/>
      <c r="BC17" s="1175"/>
      <c r="BD17" s="1027"/>
      <c r="BE17" s="1029"/>
      <c r="BF17" s="1029"/>
    </row>
    <row r="18" ht="21.75" customHeight="1">
      <c r="A18" s="999" t="s">
        <v>362</v>
      </c>
      <c r="B18" s="1176" t="s">
        <v>185</v>
      </c>
      <c r="C18" s="1176"/>
      <c r="D18" s="1163"/>
      <c r="E18" s="1164">
        <f t="shared" si="198"/>
        <v>73463.990000000005</v>
      </c>
      <c r="F18" s="1164">
        <f t="shared" si="187"/>
        <v>7018.8599999999997</v>
      </c>
      <c r="G18" s="1165">
        <f t="shared" si="188"/>
        <v>80482.850000000006</v>
      </c>
      <c r="H18" s="1166"/>
      <c r="I18" s="1167">
        <f t="shared" si="189"/>
        <v>73463.990000000005</v>
      </c>
      <c r="J18" s="1167">
        <f t="shared" si="190"/>
        <v>7018.8599999999997</v>
      </c>
      <c r="K18" s="1168">
        <f t="shared" si="191"/>
        <v>80482.850000000006</v>
      </c>
      <c r="L18" s="1119"/>
      <c r="M18" s="1169"/>
      <c r="N18" s="1177"/>
      <c r="O18" s="1169"/>
      <c r="P18" s="1169">
        <v>73463.990000000005</v>
      </c>
      <c r="Q18" s="1169">
        <f t="shared" si="192"/>
        <v>73463.990000000005</v>
      </c>
      <c r="R18" s="1169">
        <v>7018.8599999999997</v>
      </c>
      <c r="S18" s="1170"/>
      <c r="T18" s="1171"/>
      <c r="U18" s="1119"/>
      <c r="V18" s="1169"/>
      <c r="W18" s="1177"/>
      <c r="X18" s="1177"/>
      <c r="Y18" s="1169"/>
      <c r="Z18" s="1169">
        <f t="shared" si="193"/>
        <v>0</v>
      </c>
      <c r="AA18" s="1169"/>
      <c r="AB18" s="1172">
        <f t="shared" si="194"/>
        <v>0</v>
      </c>
      <c r="AC18" s="1171"/>
      <c r="AD18" s="1128"/>
      <c r="AE18" s="1169"/>
      <c r="AF18" s="1177"/>
      <c r="AG18" s="1177"/>
      <c r="AH18" s="1169"/>
      <c r="AI18" s="1169">
        <f t="shared" si="195"/>
        <v>0</v>
      </c>
      <c r="AJ18" s="1169"/>
      <c r="AK18" s="1173"/>
      <c r="AL18" s="1171"/>
      <c r="AM18" s="1128"/>
      <c r="AN18" s="1170"/>
      <c r="AO18" s="1175"/>
      <c r="AP18" s="1175"/>
      <c r="AQ18" s="1170"/>
      <c r="AR18" s="1170">
        <f t="shared" si="196"/>
        <v>0</v>
      </c>
      <c r="AS18" s="1170"/>
      <c r="AT18" s="1170"/>
      <c r="AU18" s="1174"/>
      <c r="AV18" s="1131"/>
      <c r="AW18" s="1169"/>
      <c r="AX18" s="1177"/>
      <c r="AY18" s="1177"/>
      <c r="AZ18" s="1169"/>
      <c r="BA18" s="1169">
        <f t="shared" si="197"/>
        <v>0</v>
      </c>
      <c r="BB18" s="1169"/>
      <c r="BC18" s="1175"/>
      <c r="BD18" s="1027"/>
      <c r="BE18" s="1029"/>
      <c r="BF18" s="1029"/>
    </row>
    <row r="19" s="1180" customFormat="1" ht="21.75" customHeight="1">
      <c r="A19" s="1181"/>
      <c r="B19" s="1182" t="s">
        <v>363</v>
      </c>
      <c r="C19" s="1182"/>
      <c r="D19" s="1182"/>
      <c r="E19" s="1183">
        <f t="shared" si="198"/>
        <v>2188373.5500000003</v>
      </c>
      <c r="F19" s="1183">
        <f t="shared" si="187"/>
        <v>160740.45999999999</v>
      </c>
      <c r="G19" s="1184">
        <f>SUM(G11:G18)</f>
        <v>2349114.0099999998</v>
      </c>
      <c r="H19" s="1185"/>
      <c r="I19" s="1186">
        <f t="shared" si="189"/>
        <v>2186229.1900000004</v>
      </c>
      <c r="J19" s="1186">
        <f t="shared" si="190"/>
        <v>141869.48999999999</v>
      </c>
      <c r="K19" s="1187">
        <f>SUM(K11:K18)</f>
        <v>2328098.6799999997</v>
      </c>
      <c r="L19" s="1188"/>
      <c r="M19" s="1096">
        <f t="shared" ref="M19:R19" si="199">SUM(M11:M18)</f>
        <v>0</v>
      </c>
      <c r="N19" s="1096">
        <f t="shared" si="199"/>
        <v>0</v>
      </c>
      <c r="O19" s="1096">
        <f t="shared" si="199"/>
        <v>0</v>
      </c>
      <c r="P19" s="1096">
        <f t="shared" si="199"/>
        <v>2186229.1900000004</v>
      </c>
      <c r="Q19" s="1096">
        <f t="shared" si="199"/>
        <v>2186229.1900000004</v>
      </c>
      <c r="R19" s="1096">
        <f t="shared" si="199"/>
        <v>141869.48999999999</v>
      </c>
      <c r="S19" s="1170"/>
      <c r="T19" s="1189"/>
      <c r="U19" s="1119"/>
      <c r="V19" s="1096">
        <f t="shared" ref="V19:AA19" si="200">SUM(V11:V18)</f>
        <v>0</v>
      </c>
      <c r="W19" s="1096">
        <f t="shared" si="200"/>
        <v>0</v>
      </c>
      <c r="X19" s="1096">
        <f t="shared" si="200"/>
        <v>0</v>
      </c>
      <c r="Y19" s="1096">
        <f t="shared" si="200"/>
        <v>2144.3600000000001</v>
      </c>
      <c r="Z19" s="1096">
        <f t="shared" si="200"/>
        <v>2144.3600000000001</v>
      </c>
      <c r="AA19" s="1096">
        <f t="shared" si="200"/>
        <v>18870.969999999998</v>
      </c>
      <c r="AB19" s="1172">
        <f t="shared" si="194"/>
        <v>21015.329999999998</v>
      </c>
      <c r="AC19" s="1189"/>
      <c r="AD19" s="1125"/>
      <c r="AE19" s="1096">
        <f t="shared" ref="AE19:AJ19" si="201">SUM(AE11:AE18)</f>
        <v>0</v>
      </c>
      <c r="AF19" s="1096">
        <f t="shared" si="201"/>
        <v>0</v>
      </c>
      <c r="AG19" s="1096">
        <f t="shared" si="201"/>
        <v>0</v>
      </c>
      <c r="AH19" s="1096">
        <f t="shared" si="201"/>
        <v>0</v>
      </c>
      <c r="AI19" s="1096">
        <f t="shared" si="201"/>
        <v>0</v>
      </c>
      <c r="AJ19" s="1096">
        <f t="shared" si="201"/>
        <v>0</v>
      </c>
      <c r="AK19" s="1173"/>
      <c r="AL19" s="1189"/>
      <c r="AM19" s="1125"/>
      <c r="AN19" s="1190">
        <f t="shared" ref="AN19:AS19" si="202">SUM(AN11:AN18)</f>
        <v>0</v>
      </c>
      <c r="AO19" s="1190">
        <f t="shared" si="202"/>
        <v>0</v>
      </c>
      <c r="AP19" s="1190">
        <f t="shared" si="202"/>
        <v>0</v>
      </c>
      <c r="AQ19" s="1190">
        <f t="shared" si="202"/>
        <v>0</v>
      </c>
      <c r="AR19" s="1190">
        <f t="shared" si="202"/>
        <v>0</v>
      </c>
      <c r="AS19" s="1190">
        <f t="shared" si="202"/>
        <v>0</v>
      </c>
      <c r="AT19" s="1170"/>
      <c r="AU19" s="1191"/>
      <c r="AV19" s="1192"/>
      <c r="AW19" s="1096">
        <f t="shared" ref="AW19:BB19" si="203">SUM(AW11:AW18)</f>
        <v>0</v>
      </c>
      <c r="AX19" s="1096">
        <f t="shared" si="203"/>
        <v>0</v>
      </c>
      <c r="AY19" s="1096">
        <f t="shared" si="203"/>
        <v>0</v>
      </c>
      <c r="AZ19" s="1096">
        <f t="shared" si="203"/>
        <v>0</v>
      </c>
      <c r="BA19" s="1096">
        <f t="shared" si="203"/>
        <v>0</v>
      </c>
      <c r="BB19" s="1096">
        <f t="shared" si="203"/>
        <v>0</v>
      </c>
      <c r="BC19" s="1175"/>
      <c r="BD19" s="1052"/>
      <c r="BE19" s="1051"/>
      <c r="BF19" s="1051"/>
      <c r="BG19" s="1106"/>
      <c r="BH19" s="1106"/>
      <c r="BI19" s="1106"/>
      <c r="BJ19" s="1106"/>
      <c r="BK19" s="1106"/>
      <c r="BL19" s="1106"/>
      <c r="BM19" s="1106"/>
    </row>
    <row r="20" ht="21.75" customHeight="1">
      <c r="B20" s="1176" t="s">
        <v>364</v>
      </c>
      <c r="C20" s="1176"/>
      <c r="D20" s="1176"/>
      <c r="E20" s="1164">
        <f t="shared" si="198"/>
        <v>0</v>
      </c>
      <c r="F20" s="1164">
        <f t="shared" si="187"/>
        <v>0</v>
      </c>
      <c r="G20" s="1165">
        <f t="shared" ref="G20:G32" si="204">E20+F20</f>
        <v>0</v>
      </c>
      <c r="H20" s="1166"/>
      <c r="I20" s="1167">
        <f t="shared" si="189"/>
        <v>0</v>
      </c>
      <c r="J20" s="1167">
        <f t="shared" si="190"/>
        <v>0</v>
      </c>
      <c r="K20" s="1168">
        <f t="shared" ref="K20:K32" si="205">I20+J20</f>
        <v>0</v>
      </c>
      <c r="L20" s="1119"/>
      <c r="M20" s="1169"/>
      <c r="N20" s="1177"/>
      <c r="O20" s="1169"/>
      <c r="P20" s="1169"/>
      <c r="Q20" s="1169">
        <f t="shared" ref="Q20:Q32" si="206">SUM(M20:P20)</f>
        <v>0</v>
      </c>
      <c r="R20" s="1169"/>
      <c r="S20" s="1170"/>
      <c r="T20" s="1171"/>
      <c r="U20" s="1119"/>
      <c r="V20" s="1169"/>
      <c r="W20" s="1177"/>
      <c r="X20" s="1177"/>
      <c r="Y20" s="1169"/>
      <c r="Z20" s="1169">
        <f t="shared" ref="Z20:Z32" si="207">SUM(V20:Y20)</f>
        <v>0</v>
      </c>
      <c r="AA20" s="1169"/>
      <c r="AB20" s="1172">
        <f t="shared" si="194"/>
        <v>0</v>
      </c>
      <c r="AC20" s="1171"/>
      <c r="AD20" s="1128"/>
      <c r="AE20" s="1169"/>
      <c r="AF20" s="1177"/>
      <c r="AG20" s="1177"/>
      <c r="AH20" s="1169"/>
      <c r="AI20" s="1169">
        <f t="shared" ref="AI20:AI32" si="208">SUM(AE20:AH20)</f>
        <v>0</v>
      </c>
      <c r="AJ20" s="1169"/>
      <c r="AK20" s="1173"/>
      <c r="AL20" s="1171"/>
      <c r="AM20" s="1128"/>
      <c r="AN20" s="1170"/>
      <c r="AO20" s="1175"/>
      <c r="AP20" s="1175"/>
      <c r="AQ20" s="1170"/>
      <c r="AR20" s="1170">
        <f t="shared" ref="AR20:AR32" si="209">SUM(AN20:AQ20)</f>
        <v>0</v>
      </c>
      <c r="AS20" s="1170"/>
      <c r="AT20" s="1170"/>
      <c r="AU20" s="1174"/>
      <c r="AV20" s="1131"/>
      <c r="AW20" s="1169"/>
      <c r="AX20" s="1177"/>
      <c r="AY20" s="1177"/>
      <c r="AZ20" s="1169"/>
      <c r="BA20" s="1169">
        <f t="shared" ref="BA20:BA32" si="210">SUM(AW20:AZ20)</f>
        <v>0</v>
      </c>
      <c r="BB20" s="1169"/>
      <c r="BC20" s="1175"/>
      <c r="BD20" s="1027"/>
      <c r="BE20" s="1029"/>
      <c r="BF20" s="1029"/>
    </row>
    <row r="21" ht="21.75" customHeight="1">
      <c r="A21" s="999" t="s">
        <v>365</v>
      </c>
      <c r="B21" s="1176" t="s">
        <v>195</v>
      </c>
      <c r="C21" s="1176"/>
      <c r="D21" s="1163"/>
      <c r="E21" s="1164">
        <f t="shared" si="198"/>
        <v>340940.17999999999</v>
      </c>
      <c r="F21" s="1164">
        <f t="shared" si="187"/>
        <v>53451.260000000002</v>
      </c>
      <c r="G21" s="1165">
        <f t="shared" si="204"/>
        <v>394391.44</v>
      </c>
      <c r="H21" s="1166"/>
      <c r="I21" s="1167">
        <f t="shared" si="189"/>
        <v>340940.17999999999</v>
      </c>
      <c r="J21" s="1167">
        <f t="shared" si="190"/>
        <v>50130.540000000001</v>
      </c>
      <c r="K21" s="1168">
        <f t="shared" si="205"/>
        <v>391070.71999999997</v>
      </c>
      <c r="L21" s="1119"/>
      <c r="M21" s="1169"/>
      <c r="N21" s="1177"/>
      <c r="O21" s="1169"/>
      <c r="P21" s="1169">
        <v>340940.17999999999</v>
      </c>
      <c r="Q21" s="1169">
        <f t="shared" si="206"/>
        <v>340940.17999999999</v>
      </c>
      <c r="R21" s="1169">
        <v>50130.540000000001</v>
      </c>
      <c r="S21" s="1170"/>
      <c r="T21" s="1171"/>
      <c r="U21" s="1119"/>
      <c r="V21" s="1169"/>
      <c r="W21" s="1177"/>
      <c r="X21" s="1177"/>
      <c r="Y21" s="1169"/>
      <c r="Z21" s="1169">
        <f t="shared" si="207"/>
        <v>0</v>
      </c>
      <c r="AA21" s="1169">
        <v>3320.7199999999998</v>
      </c>
      <c r="AB21" s="1172">
        <f t="shared" si="194"/>
        <v>3320.7199999999998</v>
      </c>
      <c r="AC21" s="1171"/>
      <c r="AD21" s="1128"/>
      <c r="AE21" s="1169"/>
      <c r="AF21" s="1177"/>
      <c r="AG21" s="1177"/>
      <c r="AH21" s="1169"/>
      <c r="AI21" s="1169">
        <f t="shared" si="208"/>
        <v>0</v>
      </c>
      <c r="AJ21" s="1169"/>
      <c r="AK21" s="1173"/>
      <c r="AL21" s="1171"/>
      <c r="AM21" s="1128"/>
      <c r="AN21" s="1170"/>
      <c r="AO21" s="1175"/>
      <c r="AP21" s="1175"/>
      <c r="AQ21" s="1170"/>
      <c r="AR21" s="1170">
        <f t="shared" si="209"/>
        <v>0</v>
      </c>
      <c r="AS21" s="1170"/>
      <c r="AT21" s="1170"/>
      <c r="AU21" s="1174"/>
      <c r="AV21" s="1131"/>
      <c r="AW21" s="1169"/>
      <c r="AX21" s="1177"/>
      <c r="AY21" s="1177"/>
      <c r="AZ21" s="1169"/>
      <c r="BA21" s="1169">
        <f t="shared" si="210"/>
        <v>0</v>
      </c>
      <c r="BB21" s="1169"/>
      <c r="BC21" s="1175"/>
      <c r="BD21" s="1027"/>
      <c r="BE21" s="1029"/>
      <c r="BF21" s="1029"/>
    </row>
    <row r="22" ht="21.75" customHeight="1">
      <c r="A22" s="999" t="s">
        <v>366</v>
      </c>
      <c r="B22" s="1176" t="s">
        <v>196</v>
      </c>
      <c r="C22" s="1176"/>
      <c r="D22" s="1163"/>
      <c r="E22" s="1164">
        <f t="shared" si="198"/>
        <v>105892.51000000001</v>
      </c>
      <c r="F22" s="1164">
        <f t="shared" si="187"/>
        <v>42887.959999999999</v>
      </c>
      <c r="G22" s="1165">
        <f t="shared" si="204"/>
        <v>148780.47</v>
      </c>
      <c r="H22" s="1166"/>
      <c r="I22" s="1167">
        <f t="shared" si="189"/>
        <v>103710.44</v>
      </c>
      <c r="J22" s="1167">
        <f t="shared" si="190"/>
        <v>42887.959999999999</v>
      </c>
      <c r="K22" s="1168">
        <f t="shared" si="205"/>
        <v>146598.39999999999</v>
      </c>
      <c r="L22" s="1119"/>
      <c r="M22" s="1169"/>
      <c r="N22" s="1177"/>
      <c r="O22" s="1169"/>
      <c r="P22" s="1169">
        <v>103710.44</v>
      </c>
      <c r="Q22" s="1169">
        <f t="shared" si="206"/>
        <v>103710.44</v>
      </c>
      <c r="R22" s="1169">
        <v>29739.279999999999</v>
      </c>
      <c r="S22" s="1170"/>
      <c r="T22" s="1171"/>
      <c r="U22" s="1119"/>
      <c r="V22" s="1169"/>
      <c r="W22" s="1177"/>
      <c r="X22" s="1177"/>
      <c r="Y22" s="1169">
        <v>2182.0700000000002</v>
      </c>
      <c r="Z22" s="1169">
        <f t="shared" si="207"/>
        <v>2182.0700000000002</v>
      </c>
      <c r="AA22" s="1169"/>
      <c r="AB22" s="1172">
        <f t="shared" si="194"/>
        <v>2182.0700000000002</v>
      </c>
      <c r="AC22" s="1171"/>
      <c r="AD22" s="1128"/>
      <c r="AE22" s="1169"/>
      <c r="AF22" s="1177"/>
      <c r="AG22" s="1177"/>
      <c r="AH22" s="1169"/>
      <c r="AI22" s="1169">
        <f t="shared" si="208"/>
        <v>0</v>
      </c>
      <c r="AJ22" s="1169">
        <v>13148.68</v>
      </c>
      <c r="AK22" s="1173"/>
      <c r="AL22" s="1171"/>
      <c r="AM22" s="1128"/>
      <c r="AN22" s="1170"/>
      <c r="AO22" s="1175"/>
      <c r="AP22" s="1175"/>
      <c r="AQ22" s="1170"/>
      <c r="AR22" s="1170">
        <f t="shared" si="209"/>
        <v>0</v>
      </c>
      <c r="AS22" s="1170"/>
      <c r="AT22" s="1170"/>
      <c r="AU22" s="1174"/>
      <c r="AV22" s="1131"/>
      <c r="AW22" s="1169"/>
      <c r="AX22" s="1177"/>
      <c r="AY22" s="1177"/>
      <c r="AZ22" s="1169"/>
      <c r="BA22" s="1169">
        <f t="shared" si="210"/>
        <v>0</v>
      </c>
      <c r="BB22" s="1169"/>
      <c r="BC22" s="1175"/>
      <c r="BD22" s="1027"/>
      <c r="BE22" s="1029"/>
      <c r="BF22" s="1029"/>
    </row>
    <row r="23" ht="21.75" customHeight="1">
      <c r="B23" s="1193" t="s">
        <v>367</v>
      </c>
      <c r="C23" s="1193"/>
      <c r="D23" s="1193"/>
      <c r="E23" s="1164">
        <f t="shared" si="198"/>
        <v>0</v>
      </c>
      <c r="F23" s="1164">
        <f t="shared" si="187"/>
        <v>0</v>
      </c>
      <c r="G23" s="1165">
        <f t="shared" si="204"/>
        <v>0</v>
      </c>
      <c r="H23" s="1166"/>
      <c r="I23" s="1167">
        <f t="shared" si="189"/>
        <v>0</v>
      </c>
      <c r="J23" s="1167">
        <f t="shared" si="190"/>
        <v>0</v>
      </c>
      <c r="K23" s="1168">
        <f t="shared" si="205"/>
        <v>0</v>
      </c>
      <c r="L23" s="1119"/>
      <c r="M23" s="1169"/>
      <c r="N23" s="1177"/>
      <c r="O23" s="1169"/>
      <c r="P23" s="1169"/>
      <c r="Q23" s="1169">
        <f t="shared" si="206"/>
        <v>0</v>
      </c>
      <c r="R23" s="1169"/>
      <c r="S23" s="1170"/>
      <c r="T23" s="1171"/>
      <c r="U23" s="1119"/>
      <c r="V23" s="1169"/>
      <c r="W23" s="1177"/>
      <c r="X23" s="1177"/>
      <c r="Y23" s="1169"/>
      <c r="Z23" s="1169">
        <f t="shared" si="207"/>
        <v>0</v>
      </c>
      <c r="AA23" s="1169"/>
      <c r="AB23" s="1172">
        <f t="shared" si="194"/>
        <v>0</v>
      </c>
      <c r="AC23" s="1171"/>
      <c r="AD23" s="1128"/>
      <c r="AE23" s="1169"/>
      <c r="AF23" s="1177"/>
      <c r="AG23" s="1177"/>
      <c r="AH23" s="1169"/>
      <c r="AI23" s="1169">
        <f t="shared" si="208"/>
        <v>0</v>
      </c>
      <c r="AJ23" s="1169"/>
      <c r="AK23" s="1173"/>
      <c r="AL23" s="1171"/>
      <c r="AM23" s="1128"/>
      <c r="AN23" s="1170"/>
      <c r="AO23" s="1175"/>
      <c r="AP23" s="1175"/>
      <c r="AQ23" s="1170"/>
      <c r="AR23" s="1170">
        <f t="shared" si="209"/>
        <v>0</v>
      </c>
      <c r="AS23" s="1170"/>
      <c r="AT23" s="1170"/>
      <c r="AU23" s="1174"/>
      <c r="AV23" s="1131"/>
      <c r="AW23" s="1169"/>
      <c r="AX23" s="1177"/>
      <c r="AY23" s="1177"/>
      <c r="AZ23" s="1169"/>
      <c r="BA23" s="1169">
        <f t="shared" si="210"/>
        <v>0</v>
      </c>
      <c r="BB23" s="1169"/>
      <c r="BC23" s="1175"/>
      <c r="BD23" s="1027"/>
      <c r="BE23" s="1029"/>
      <c r="BF23" s="1029"/>
    </row>
    <row r="24" ht="21.75" customHeight="1">
      <c r="A24" s="999" t="s">
        <v>368</v>
      </c>
      <c r="B24" s="1176" t="s">
        <v>201</v>
      </c>
      <c r="C24" s="1176"/>
      <c r="D24" s="1163"/>
      <c r="E24" s="1164">
        <f t="shared" si="198"/>
        <v>127449.36</v>
      </c>
      <c r="F24" s="1164">
        <f t="shared" si="187"/>
        <v>610891.04999999993</v>
      </c>
      <c r="G24" s="1165">
        <f t="shared" si="204"/>
        <v>738340.40999999992</v>
      </c>
      <c r="H24" s="1166"/>
      <c r="I24" s="1167">
        <f t="shared" si="189"/>
        <v>127449.36</v>
      </c>
      <c r="J24" s="1167">
        <f t="shared" si="190"/>
        <v>592242.83999999997</v>
      </c>
      <c r="K24" s="1168">
        <f t="shared" si="205"/>
        <v>719692.19999999995</v>
      </c>
      <c r="L24" s="1119"/>
      <c r="M24" s="1169"/>
      <c r="N24" s="1177"/>
      <c r="O24" s="1169"/>
      <c r="P24" s="1169">
        <v>127449.36</v>
      </c>
      <c r="Q24" s="1169">
        <f t="shared" si="206"/>
        <v>127449.36</v>
      </c>
      <c r="R24" s="1169">
        <v>592242.83999999997</v>
      </c>
      <c r="S24" s="1170"/>
      <c r="T24" s="1171"/>
      <c r="U24" s="1119"/>
      <c r="V24" s="1169"/>
      <c r="W24" s="1177"/>
      <c r="X24" s="1177"/>
      <c r="Y24" s="1169"/>
      <c r="Z24" s="1169">
        <f t="shared" si="207"/>
        <v>0</v>
      </c>
      <c r="AA24" s="1169">
        <v>18648.209999999999</v>
      </c>
      <c r="AB24" s="1172">
        <f t="shared" si="194"/>
        <v>18648.209999999999</v>
      </c>
      <c r="AC24" s="1171"/>
      <c r="AD24" s="1128"/>
      <c r="AE24" s="1169"/>
      <c r="AF24" s="1177"/>
      <c r="AG24" s="1177"/>
      <c r="AH24" s="1169"/>
      <c r="AI24" s="1169">
        <f t="shared" si="208"/>
        <v>0</v>
      </c>
      <c r="AJ24" s="1169"/>
      <c r="AK24" s="1173"/>
      <c r="AL24" s="1171"/>
      <c r="AM24" s="1128"/>
      <c r="AN24" s="1170"/>
      <c r="AO24" s="1175"/>
      <c r="AP24" s="1175"/>
      <c r="AQ24" s="1170"/>
      <c r="AR24" s="1170">
        <f t="shared" si="209"/>
        <v>0</v>
      </c>
      <c r="AS24" s="1170"/>
      <c r="AT24" s="1170"/>
      <c r="AU24" s="1174"/>
      <c r="AV24" s="1131"/>
      <c r="AW24" s="1169"/>
      <c r="AX24" s="1177"/>
      <c r="AY24" s="1177"/>
      <c r="AZ24" s="1169"/>
      <c r="BA24" s="1169">
        <f t="shared" si="210"/>
        <v>0</v>
      </c>
      <c r="BB24" s="1169"/>
      <c r="BC24" s="1175"/>
      <c r="BD24" s="1027"/>
      <c r="BE24" s="1029"/>
      <c r="BF24" s="1029"/>
    </row>
    <row r="25" ht="21.75" customHeight="1">
      <c r="A25" s="999" t="s">
        <v>369</v>
      </c>
      <c r="B25" s="1176" t="s">
        <v>203</v>
      </c>
      <c r="C25" s="1176"/>
      <c r="D25" s="1163"/>
      <c r="E25" s="1164">
        <f t="shared" si="198"/>
        <v>70531.309999999998</v>
      </c>
      <c r="F25" s="1164">
        <f t="shared" si="187"/>
        <v>81719.669999999998</v>
      </c>
      <c r="G25" s="1165">
        <f t="shared" si="204"/>
        <v>152250.97999999998</v>
      </c>
      <c r="H25" s="1166"/>
      <c r="I25" s="1167">
        <f t="shared" si="189"/>
        <v>69137.940000000002</v>
      </c>
      <c r="J25" s="1167">
        <f t="shared" si="190"/>
        <v>44169.470000000001</v>
      </c>
      <c r="K25" s="1168">
        <f t="shared" si="205"/>
        <v>113307.41</v>
      </c>
      <c r="L25" s="1119"/>
      <c r="M25" s="1169"/>
      <c r="N25" s="1177"/>
      <c r="O25" s="1169"/>
      <c r="P25" s="1169">
        <v>69137.940000000002</v>
      </c>
      <c r="Q25" s="1169">
        <f t="shared" si="206"/>
        <v>69137.940000000002</v>
      </c>
      <c r="R25" s="1169">
        <v>44169.470000000001</v>
      </c>
      <c r="S25" s="1170"/>
      <c r="T25" s="1171"/>
      <c r="U25" s="1119"/>
      <c r="V25" s="1169"/>
      <c r="W25" s="1177"/>
      <c r="X25" s="1177"/>
      <c r="Y25" s="1169">
        <v>1393.3699999999999</v>
      </c>
      <c r="Z25" s="1169">
        <f t="shared" si="207"/>
        <v>1393.3699999999999</v>
      </c>
      <c r="AA25" s="1169">
        <v>37550.199999999997</v>
      </c>
      <c r="AB25" s="1172">
        <f t="shared" si="194"/>
        <v>38943.57</v>
      </c>
      <c r="AC25" s="1171"/>
      <c r="AD25" s="1128"/>
      <c r="AE25" s="1169"/>
      <c r="AF25" s="1177"/>
      <c r="AG25" s="1177"/>
      <c r="AH25" s="1169"/>
      <c r="AI25" s="1169">
        <f t="shared" si="208"/>
        <v>0</v>
      </c>
      <c r="AJ25" s="1169"/>
      <c r="AK25" s="1173"/>
      <c r="AL25" s="1171"/>
      <c r="AM25" s="1128"/>
      <c r="AN25" s="1170"/>
      <c r="AO25" s="1175"/>
      <c r="AP25" s="1175"/>
      <c r="AQ25" s="1170"/>
      <c r="AR25" s="1170">
        <f t="shared" si="209"/>
        <v>0</v>
      </c>
      <c r="AS25" s="1170"/>
      <c r="AT25" s="1170"/>
      <c r="AU25" s="1174"/>
      <c r="AV25" s="1131"/>
      <c r="AW25" s="1169"/>
      <c r="AX25" s="1177"/>
      <c r="AY25" s="1177"/>
      <c r="AZ25" s="1169"/>
      <c r="BA25" s="1169">
        <f t="shared" si="210"/>
        <v>0</v>
      </c>
      <c r="BB25" s="1169"/>
      <c r="BC25" s="1175"/>
      <c r="BD25" s="1027"/>
      <c r="BE25" s="1029"/>
      <c r="BF25" s="1029"/>
    </row>
    <row r="26" ht="21.75" customHeight="1">
      <c r="A26" s="999" t="s">
        <v>370</v>
      </c>
      <c r="B26" s="1176" t="s">
        <v>204</v>
      </c>
      <c r="C26" s="1194"/>
      <c r="D26" s="1163"/>
      <c r="E26" s="1164">
        <f t="shared" si="198"/>
        <v>25141.990000000002</v>
      </c>
      <c r="F26" s="1164">
        <f t="shared" si="187"/>
        <v>33023.660000000003</v>
      </c>
      <c r="G26" s="1165">
        <f t="shared" si="204"/>
        <v>58165.650000000009</v>
      </c>
      <c r="H26" s="1166"/>
      <c r="I26" s="1167">
        <f t="shared" si="189"/>
        <v>24988.990000000002</v>
      </c>
      <c r="J26" s="1167">
        <f t="shared" si="190"/>
        <v>14375.450000000004</v>
      </c>
      <c r="K26" s="1168">
        <f t="shared" si="205"/>
        <v>39364.440000000002</v>
      </c>
      <c r="L26" s="1119"/>
      <c r="M26" s="1169"/>
      <c r="N26" s="1177"/>
      <c r="O26" s="1169"/>
      <c r="P26" s="1169">
        <v>24988.990000000002</v>
      </c>
      <c r="Q26" s="1169">
        <f t="shared" si="206"/>
        <v>24988.990000000002</v>
      </c>
      <c r="R26" s="1169">
        <v>14375.450000000001</v>
      </c>
      <c r="S26" s="1170"/>
      <c r="T26" s="1171"/>
      <c r="U26" s="1119"/>
      <c r="V26" s="1169"/>
      <c r="W26" s="1177"/>
      <c r="X26" s="1177"/>
      <c r="Y26" s="1169">
        <v>153</v>
      </c>
      <c r="Z26" s="1169">
        <f t="shared" si="207"/>
        <v>153</v>
      </c>
      <c r="AA26" s="1169">
        <v>18648.209999999999</v>
      </c>
      <c r="AB26" s="1172">
        <f t="shared" si="194"/>
        <v>18801.209999999999</v>
      </c>
      <c r="AC26" s="1171"/>
      <c r="AD26" s="1128"/>
      <c r="AE26" s="1169"/>
      <c r="AF26" s="1177"/>
      <c r="AG26" s="1177"/>
      <c r="AH26" s="1169"/>
      <c r="AI26" s="1169">
        <f t="shared" si="208"/>
        <v>0</v>
      </c>
      <c r="AJ26" s="1169"/>
      <c r="AK26" s="1173"/>
      <c r="AL26" s="1171"/>
      <c r="AM26" s="1128"/>
      <c r="AN26" s="1170"/>
      <c r="AO26" s="1175"/>
      <c r="AP26" s="1175"/>
      <c r="AQ26" s="1170"/>
      <c r="AR26" s="1170">
        <f t="shared" si="209"/>
        <v>0</v>
      </c>
      <c r="AS26" s="1170"/>
      <c r="AT26" s="1170"/>
      <c r="AU26" s="1174"/>
      <c r="AV26" s="1131"/>
      <c r="AW26" s="1169"/>
      <c r="AX26" s="1177"/>
      <c r="AY26" s="1177"/>
      <c r="AZ26" s="1169"/>
      <c r="BA26" s="1169">
        <f t="shared" si="210"/>
        <v>0</v>
      </c>
      <c r="BB26" s="1169"/>
      <c r="BC26" s="1175"/>
      <c r="BD26" s="1027"/>
      <c r="BE26" s="1029"/>
      <c r="BF26" s="1029"/>
    </row>
    <row r="27" ht="21.75" customHeight="1">
      <c r="A27" s="999" t="s">
        <v>371</v>
      </c>
      <c r="B27" s="1176" t="s">
        <v>205</v>
      </c>
      <c r="C27" s="1176"/>
      <c r="D27" s="1163"/>
      <c r="E27" s="1164">
        <f t="shared" si="198"/>
        <v>407389.37</v>
      </c>
      <c r="F27" s="1164">
        <f t="shared" si="187"/>
        <v>282360.61000000004</v>
      </c>
      <c r="G27" s="1165">
        <f t="shared" si="204"/>
        <v>689749.97999999998</v>
      </c>
      <c r="H27" s="1166"/>
      <c r="I27" s="1167">
        <f t="shared" si="189"/>
        <v>407236.37</v>
      </c>
      <c r="J27" s="1167">
        <f t="shared" si="190"/>
        <v>281605.59000000003</v>
      </c>
      <c r="K27" s="1168">
        <f t="shared" si="205"/>
        <v>688841.95999999996</v>
      </c>
      <c r="L27" s="1119"/>
      <c r="M27" s="1169"/>
      <c r="N27" s="1177"/>
      <c r="O27" s="1169"/>
      <c r="P27" s="1169">
        <v>407236.37</v>
      </c>
      <c r="Q27" s="1169">
        <f t="shared" si="206"/>
        <v>407236.37</v>
      </c>
      <c r="R27" s="1169">
        <v>281605.59000000003</v>
      </c>
      <c r="S27" s="1170"/>
      <c r="T27" s="1171"/>
      <c r="U27" s="1119"/>
      <c r="V27" s="1169"/>
      <c r="W27" s="1177"/>
      <c r="X27" s="1177"/>
      <c r="Y27" s="1169">
        <v>153</v>
      </c>
      <c r="Z27" s="1169">
        <f t="shared" si="207"/>
        <v>153</v>
      </c>
      <c r="AA27" s="1169">
        <v>755.01999999999998</v>
      </c>
      <c r="AB27" s="1172">
        <f t="shared" si="194"/>
        <v>908.01999999999998</v>
      </c>
      <c r="AC27" s="1171"/>
      <c r="AD27" s="1128"/>
      <c r="AE27" s="1169"/>
      <c r="AF27" s="1177"/>
      <c r="AG27" s="1177"/>
      <c r="AH27" s="1169"/>
      <c r="AI27" s="1169">
        <f t="shared" si="208"/>
        <v>0</v>
      </c>
      <c r="AJ27" s="1169"/>
      <c r="AK27" s="1173"/>
      <c r="AL27" s="1171"/>
      <c r="AM27" s="1128"/>
      <c r="AN27" s="1170"/>
      <c r="AO27" s="1175"/>
      <c r="AP27" s="1175"/>
      <c r="AQ27" s="1170"/>
      <c r="AR27" s="1170">
        <f t="shared" si="209"/>
        <v>0</v>
      </c>
      <c r="AS27" s="1170"/>
      <c r="AT27" s="1170"/>
      <c r="AU27" s="1174"/>
      <c r="AV27" s="1131"/>
      <c r="AW27" s="1169"/>
      <c r="AX27" s="1177"/>
      <c r="AY27" s="1177"/>
      <c r="AZ27" s="1169"/>
      <c r="BA27" s="1169">
        <f t="shared" si="210"/>
        <v>0</v>
      </c>
      <c r="BB27" s="1169"/>
      <c r="BC27" s="1175"/>
      <c r="BD27" s="1027"/>
      <c r="BE27" s="1029"/>
      <c r="BF27" s="1029"/>
    </row>
    <row r="28" ht="21.75" customHeight="1">
      <c r="A28" s="999" t="s">
        <v>372</v>
      </c>
      <c r="B28" s="1176" t="s">
        <v>206</v>
      </c>
      <c r="C28" s="1176"/>
      <c r="D28" s="1163"/>
      <c r="E28" s="1164">
        <f t="shared" si="198"/>
        <v>298835.48000000004</v>
      </c>
      <c r="F28" s="1164">
        <f t="shared" si="187"/>
        <v>742158.69999999995</v>
      </c>
      <c r="G28" s="1165">
        <f t="shared" si="204"/>
        <v>1040994.1799999999</v>
      </c>
      <c r="H28" s="1166"/>
      <c r="I28" s="1167">
        <f t="shared" si="189"/>
        <v>293314.58000000002</v>
      </c>
      <c r="J28" s="1167">
        <f t="shared" si="190"/>
        <v>742158.69999999995</v>
      </c>
      <c r="K28" s="1168">
        <f t="shared" si="205"/>
        <v>1035473.28</v>
      </c>
      <c r="L28" s="1119"/>
      <c r="M28" s="1169"/>
      <c r="N28" s="1177"/>
      <c r="O28" s="1169"/>
      <c r="P28" s="1169">
        <v>293314.58000000002</v>
      </c>
      <c r="Q28" s="1169">
        <f t="shared" si="206"/>
        <v>293314.58000000002</v>
      </c>
      <c r="R28" s="1169">
        <v>742158.69999999995</v>
      </c>
      <c r="S28" s="1170"/>
      <c r="T28" s="1171"/>
      <c r="U28" s="1119"/>
      <c r="V28" s="1169"/>
      <c r="W28" s="1177"/>
      <c r="X28" s="1177"/>
      <c r="Y28" s="1169">
        <v>5520.8999999999996</v>
      </c>
      <c r="Z28" s="1169">
        <f t="shared" si="207"/>
        <v>5520.8999999999996</v>
      </c>
      <c r="AA28" s="1169"/>
      <c r="AB28" s="1172">
        <f t="shared" si="194"/>
        <v>5520.8999999999996</v>
      </c>
      <c r="AC28" s="1171"/>
      <c r="AD28" s="1128"/>
      <c r="AE28" s="1169"/>
      <c r="AF28" s="1177"/>
      <c r="AG28" s="1177"/>
      <c r="AH28" s="1169"/>
      <c r="AI28" s="1169">
        <f t="shared" si="208"/>
        <v>0</v>
      </c>
      <c r="AJ28" s="1169"/>
      <c r="AK28" s="1173"/>
      <c r="AL28" s="1171"/>
      <c r="AM28" s="1128"/>
      <c r="AN28" s="1170"/>
      <c r="AO28" s="1175"/>
      <c r="AP28" s="1175"/>
      <c r="AQ28" s="1170"/>
      <c r="AR28" s="1170">
        <f t="shared" si="209"/>
        <v>0</v>
      </c>
      <c r="AS28" s="1170"/>
      <c r="AT28" s="1170"/>
      <c r="AU28" s="1174"/>
      <c r="AV28" s="1131"/>
      <c r="AW28" s="1169"/>
      <c r="AX28" s="1177"/>
      <c r="AY28" s="1177"/>
      <c r="AZ28" s="1169"/>
      <c r="BA28" s="1169">
        <f t="shared" si="210"/>
        <v>0</v>
      </c>
      <c r="BB28" s="1169"/>
      <c r="BC28" s="1175"/>
      <c r="BD28" s="1027"/>
      <c r="BE28" s="1029"/>
      <c r="BF28" s="1029"/>
    </row>
    <row r="29" ht="21.75" customHeight="1">
      <c r="A29" s="999" t="s">
        <v>373</v>
      </c>
      <c r="B29" s="1176" t="s">
        <v>207</v>
      </c>
      <c r="C29" s="1194"/>
      <c r="D29" s="1163"/>
      <c r="E29" s="1164">
        <f t="shared" si="198"/>
        <v>184553.47</v>
      </c>
      <c r="F29" s="1164">
        <f t="shared" si="187"/>
        <v>91266.169999999998</v>
      </c>
      <c r="G29" s="1165">
        <f t="shared" si="204"/>
        <v>275819.64000000001</v>
      </c>
      <c r="H29" s="1166"/>
      <c r="I29" s="1167">
        <f t="shared" si="189"/>
        <v>184492.26999999999</v>
      </c>
      <c r="J29" s="1167">
        <f t="shared" si="190"/>
        <v>91266.169999999998</v>
      </c>
      <c r="K29" s="1168">
        <f t="shared" si="205"/>
        <v>275758.44</v>
      </c>
      <c r="L29" s="1119"/>
      <c r="M29" s="1169"/>
      <c r="N29" s="1177"/>
      <c r="O29" s="1169"/>
      <c r="P29" s="1169">
        <v>184492.26999999999</v>
      </c>
      <c r="Q29" s="1169">
        <f t="shared" si="206"/>
        <v>184492.26999999999</v>
      </c>
      <c r="R29" s="1169">
        <v>91266.169999999998</v>
      </c>
      <c r="S29" s="1170"/>
      <c r="T29" s="1171"/>
      <c r="U29" s="1119"/>
      <c r="V29" s="1169"/>
      <c r="W29" s="1177"/>
      <c r="X29" s="1177"/>
      <c r="Y29" s="1169">
        <v>61.200000000000003</v>
      </c>
      <c r="Z29" s="1169">
        <f t="shared" si="207"/>
        <v>61.200000000000003</v>
      </c>
      <c r="AA29" s="1169"/>
      <c r="AB29" s="1172">
        <f t="shared" si="194"/>
        <v>61.200000000000003</v>
      </c>
      <c r="AC29" s="1171"/>
      <c r="AD29" s="1128"/>
      <c r="AE29" s="1169"/>
      <c r="AF29" s="1177"/>
      <c r="AG29" s="1177"/>
      <c r="AH29" s="1169"/>
      <c r="AI29" s="1169">
        <f t="shared" si="208"/>
        <v>0</v>
      </c>
      <c r="AJ29" s="1169"/>
      <c r="AK29" s="1173"/>
      <c r="AL29" s="1171"/>
      <c r="AM29" s="1128"/>
      <c r="AN29" s="1170"/>
      <c r="AO29" s="1175"/>
      <c r="AP29" s="1175"/>
      <c r="AQ29" s="1170"/>
      <c r="AR29" s="1170">
        <f t="shared" si="209"/>
        <v>0</v>
      </c>
      <c r="AS29" s="1170"/>
      <c r="AT29" s="1170"/>
      <c r="AU29" s="1174"/>
      <c r="AV29" s="1131"/>
      <c r="AW29" s="1169"/>
      <c r="AX29" s="1177"/>
      <c r="AY29" s="1177"/>
      <c r="AZ29" s="1169"/>
      <c r="BA29" s="1169">
        <f t="shared" si="210"/>
        <v>0</v>
      </c>
      <c r="BB29" s="1169"/>
      <c r="BC29" s="1175"/>
      <c r="BD29" s="1027"/>
      <c r="BE29" s="1029"/>
      <c r="BF29" s="1029"/>
    </row>
    <row r="30" ht="21.75" customHeight="1">
      <c r="A30" s="999" t="s">
        <v>374</v>
      </c>
      <c r="B30" s="1176" t="s">
        <v>375</v>
      </c>
      <c r="C30" s="1176"/>
      <c r="D30" s="1163"/>
      <c r="E30" s="1164">
        <f t="shared" si="198"/>
        <v>50499.529999999999</v>
      </c>
      <c r="F30" s="1164">
        <f t="shared" si="187"/>
        <v>21960.010000000002</v>
      </c>
      <c r="G30" s="1165">
        <f t="shared" si="204"/>
        <v>72459.540000000008</v>
      </c>
      <c r="H30" s="1166"/>
      <c r="I30" s="1167">
        <f t="shared" si="189"/>
        <v>50157.760000000002</v>
      </c>
      <c r="J30" s="1167">
        <f t="shared" si="190"/>
        <v>21960.010000000002</v>
      </c>
      <c r="K30" s="1168">
        <f t="shared" si="205"/>
        <v>72117.770000000004</v>
      </c>
      <c r="L30" s="1119"/>
      <c r="M30" s="1169"/>
      <c r="N30" s="1177"/>
      <c r="O30" s="1169"/>
      <c r="P30" s="1169">
        <v>50157.760000000002</v>
      </c>
      <c r="Q30" s="1169">
        <f t="shared" si="206"/>
        <v>50157.760000000002</v>
      </c>
      <c r="R30" s="1169">
        <v>18268.27</v>
      </c>
      <c r="S30" s="1170"/>
      <c r="T30" s="1171"/>
      <c r="U30" s="1119"/>
      <c r="V30" s="1169"/>
      <c r="W30" s="1177"/>
      <c r="X30" s="1177"/>
      <c r="Y30" s="1169">
        <v>341.76999999999998</v>
      </c>
      <c r="Z30" s="1169">
        <f t="shared" si="207"/>
        <v>341.76999999999998</v>
      </c>
      <c r="AA30" s="1169"/>
      <c r="AB30" s="1172">
        <f t="shared" si="194"/>
        <v>341.76999999999998</v>
      </c>
      <c r="AC30" s="1171"/>
      <c r="AD30" s="1128"/>
      <c r="AE30" s="1169"/>
      <c r="AF30" s="1177"/>
      <c r="AG30" s="1177"/>
      <c r="AH30" s="1169"/>
      <c r="AI30" s="1169">
        <f t="shared" si="208"/>
        <v>0</v>
      </c>
      <c r="AJ30" s="1169">
        <v>3691.7399999999998</v>
      </c>
      <c r="AK30" s="1173"/>
      <c r="AL30" s="1171"/>
      <c r="AM30" s="1128"/>
      <c r="AN30" s="1170"/>
      <c r="AO30" s="1175"/>
      <c r="AP30" s="1175"/>
      <c r="AQ30" s="1170"/>
      <c r="AR30" s="1170">
        <f t="shared" si="209"/>
        <v>0</v>
      </c>
      <c r="AS30" s="1170"/>
      <c r="AT30" s="1170"/>
      <c r="AU30" s="1174"/>
      <c r="AV30" s="1131"/>
      <c r="AW30" s="1169"/>
      <c r="AX30" s="1177"/>
      <c r="AY30" s="1177"/>
      <c r="AZ30" s="1169"/>
      <c r="BA30" s="1169">
        <f t="shared" si="210"/>
        <v>0</v>
      </c>
      <c r="BB30" s="1169"/>
      <c r="BC30" s="1175"/>
      <c r="BD30" s="1027"/>
      <c r="BE30" s="1029"/>
      <c r="BF30" s="1029"/>
    </row>
    <row r="31" ht="21.75" customHeight="1">
      <c r="A31" s="1195" t="s">
        <v>376</v>
      </c>
      <c r="B31" s="1176" t="s">
        <v>210</v>
      </c>
      <c r="C31" s="1176"/>
      <c r="D31" s="1163"/>
      <c r="E31" s="1164">
        <f t="shared" si="198"/>
        <v>155596.24000000002</v>
      </c>
      <c r="F31" s="1164">
        <f t="shared" si="187"/>
        <v>344743.63</v>
      </c>
      <c r="G31" s="1165">
        <f t="shared" si="204"/>
        <v>500339.87</v>
      </c>
      <c r="H31" s="1166"/>
      <c r="I31" s="1167">
        <f t="shared" si="189"/>
        <v>155530.20000000001</v>
      </c>
      <c r="J31" s="1167">
        <f t="shared" si="190"/>
        <v>326095.41999999998</v>
      </c>
      <c r="K31" s="1168">
        <f t="shared" si="205"/>
        <v>481625.62</v>
      </c>
      <c r="L31" s="1119"/>
      <c r="M31" s="1169"/>
      <c r="N31" s="1177"/>
      <c r="O31" s="1169"/>
      <c r="P31" s="1169">
        <v>155530.20000000001</v>
      </c>
      <c r="Q31" s="1169">
        <f t="shared" si="206"/>
        <v>155530.20000000001</v>
      </c>
      <c r="R31" s="1169">
        <v>326095.41999999998</v>
      </c>
      <c r="S31" s="1170"/>
      <c r="T31" s="1171"/>
      <c r="U31" s="1119"/>
      <c r="V31" s="1169"/>
      <c r="W31" s="1177"/>
      <c r="X31" s="1177"/>
      <c r="Y31" s="1169">
        <v>66.040000000000006</v>
      </c>
      <c r="Z31" s="1169">
        <f t="shared" si="207"/>
        <v>66.040000000000006</v>
      </c>
      <c r="AA31" s="1169">
        <v>18648.209999999999</v>
      </c>
      <c r="AB31" s="1172">
        <f t="shared" si="194"/>
        <v>18714.25</v>
      </c>
      <c r="AC31" s="1171"/>
      <c r="AD31" s="1128"/>
      <c r="AE31" s="1169"/>
      <c r="AF31" s="1177"/>
      <c r="AG31" s="1177"/>
      <c r="AH31" s="1169"/>
      <c r="AI31" s="1169">
        <f t="shared" si="208"/>
        <v>0</v>
      </c>
      <c r="AJ31" s="1169"/>
      <c r="AK31" s="1173"/>
      <c r="AL31" s="1171"/>
      <c r="AM31" s="1128"/>
      <c r="AN31" s="1170"/>
      <c r="AO31" s="1175"/>
      <c r="AP31" s="1175"/>
      <c r="AQ31" s="1170"/>
      <c r="AR31" s="1170">
        <f t="shared" si="209"/>
        <v>0</v>
      </c>
      <c r="AS31" s="1170"/>
      <c r="AT31" s="1170"/>
      <c r="AU31" s="1174"/>
      <c r="AV31" s="1131"/>
      <c r="AW31" s="1169"/>
      <c r="AX31" s="1177"/>
      <c r="AY31" s="1177"/>
      <c r="AZ31" s="1169"/>
      <c r="BA31" s="1169">
        <f t="shared" si="210"/>
        <v>0</v>
      </c>
      <c r="BB31" s="1169"/>
      <c r="BC31" s="1175"/>
      <c r="BD31" s="1027"/>
      <c r="BE31" s="1029"/>
      <c r="BF31" s="1029"/>
    </row>
    <row r="32" ht="21.75" customHeight="1">
      <c r="A32" s="999" t="s">
        <v>377</v>
      </c>
      <c r="B32" s="1176" t="s">
        <v>211</v>
      </c>
      <c r="C32" s="1176"/>
      <c r="D32" s="1163"/>
      <c r="E32" s="1164">
        <f t="shared" si="198"/>
        <v>170023.19999999998</v>
      </c>
      <c r="F32" s="1164">
        <f t="shared" si="187"/>
        <v>57266.559999999998</v>
      </c>
      <c r="G32" s="1165">
        <f t="shared" si="204"/>
        <v>227289.75999999998</v>
      </c>
      <c r="H32" s="1166"/>
      <c r="I32" s="1167">
        <f t="shared" si="189"/>
        <v>169129.34</v>
      </c>
      <c r="J32" s="1167">
        <f t="shared" si="190"/>
        <v>57266.559999999998</v>
      </c>
      <c r="K32" s="1168">
        <f t="shared" si="205"/>
        <v>226395.89999999999</v>
      </c>
      <c r="L32" s="1119"/>
      <c r="M32" s="1169"/>
      <c r="N32" s="1177"/>
      <c r="O32" s="1169"/>
      <c r="P32" s="1169">
        <v>169129.34</v>
      </c>
      <c r="Q32" s="1169">
        <f t="shared" si="206"/>
        <v>169129.34</v>
      </c>
      <c r="R32" s="1169">
        <v>57266.559999999998</v>
      </c>
      <c r="S32" s="1170"/>
      <c r="T32" s="1171"/>
      <c r="U32" s="1119"/>
      <c r="V32" s="1169"/>
      <c r="W32" s="1177"/>
      <c r="X32" s="1177"/>
      <c r="Y32" s="1169">
        <v>893.86000000000001</v>
      </c>
      <c r="Z32" s="1169">
        <f t="shared" si="207"/>
        <v>893.86000000000001</v>
      </c>
      <c r="AA32" s="1169"/>
      <c r="AB32" s="1172">
        <f t="shared" si="194"/>
        <v>893.86000000000001</v>
      </c>
      <c r="AC32" s="1171"/>
      <c r="AD32" s="1128"/>
      <c r="AE32" s="1169"/>
      <c r="AF32" s="1177"/>
      <c r="AG32" s="1177"/>
      <c r="AH32" s="1169"/>
      <c r="AI32" s="1169">
        <f t="shared" si="208"/>
        <v>0</v>
      </c>
      <c r="AJ32" s="1169"/>
      <c r="AK32" s="1173"/>
      <c r="AL32" s="1171"/>
      <c r="AM32" s="1128"/>
      <c r="AN32" s="1170"/>
      <c r="AO32" s="1175"/>
      <c r="AP32" s="1175"/>
      <c r="AQ32" s="1170"/>
      <c r="AR32" s="1170">
        <f t="shared" si="209"/>
        <v>0</v>
      </c>
      <c r="AS32" s="1170"/>
      <c r="AT32" s="1170"/>
      <c r="AU32" s="1174"/>
      <c r="AV32" s="1131"/>
      <c r="AW32" s="1169"/>
      <c r="AX32" s="1177"/>
      <c r="AY32" s="1177"/>
      <c r="AZ32" s="1169"/>
      <c r="BA32" s="1169">
        <f t="shared" si="210"/>
        <v>0</v>
      </c>
      <c r="BB32" s="1169"/>
      <c r="BC32" s="1175"/>
      <c r="BD32" s="1027"/>
      <c r="BE32" s="1029"/>
      <c r="BF32" s="1029"/>
    </row>
    <row r="33" s="1180" customFormat="1" ht="21.75" customHeight="1">
      <c r="A33" s="1181"/>
      <c r="B33" s="1182" t="s">
        <v>363</v>
      </c>
      <c r="C33" s="1182"/>
      <c r="D33" s="1182"/>
      <c r="E33" s="1183">
        <f t="shared" si="198"/>
        <v>1936852.6399999999</v>
      </c>
      <c r="F33" s="1183">
        <f t="shared" si="187"/>
        <v>2361729.2799999998</v>
      </c>
      <c r="G33" s="1184">
        <f>SUM(G20:G32)</f>
        <v>4298581.9199999999</v>
      </c>
      <c r="H33" s="1185"/>
      <c r="I33" s="1186">
        <f t="shared" si="189"/>
        <v>1926087.4299999999</v>
      </c>
      <c r="J33" s="1186">
        <f t="shared" si="190"/>
        <v>2264158.71</v>
      </c>
      <c r="K33" s="1187">
        <f>SUM(K20:K32)</f>
        <v>4190246.1400000001</v>
      </c>
      <c r="L33" s="1188"/>
      <c r="M33" s="1096">
        <f t="shared" ref="M33:R33" si="211">SUM(M20:M32)</f>
        <v>0</v>
      </c>
      <c r="N33" s="1096">
        <f t="shared" si="211"/>
        <v>0</v>
      </c>
      <c r="O33" s="1096">
        <f t="shared" si="211"/>
        <v>0</v>
      </c>
      <c r="P33" s="1096">
        <f t="shared" si="211"/>
        <v>1926087.4299999999</v>
      </c>
      <c r="Q33" s="1096">
        <f t="shared" si="211"/>
        <v>1926087.4299999999</v>
      </c>
      <c r="R33" s="1096">
        <f t="shared" si="211"/>
        <v>2247318.29</v>
      </c>
      <c r="S33" s="1170"/>
      <c r="T33" s="1189"/>
      <c r="U33" s="1119"/>
      <c r="V33" s="1096">
        <f t="shared" ref="V33:AA33" si="212">SUM(V20:V32)</f>
        <v>0</v>
      </c>
      <c r="W33" s="1096">
        <f t="shared" si="212"/>
        <v>0</v>
      </c>
      <c r="X33" s="1096">
        <f t="shared" si="212"/>
        <v>0</v>
      </c>
      <c r="Y33" s="1096">
        <f t="shared" si="212"/>
        <v>10765.210000000003</v>
      </c>
      <c r="Z33" s="1096">
        <f t="shared" si="212"/>
        <v>10765.210000000003</v>
      </c>
      <c r="AA33" s="1096">
        <f t="shared" si="212"/>
        <v>97570.570000000007</v>
      </c>
      <c r="AB33" s="1172">
        <f t="shared" si="194"/>
        <v>108335.78000000001</v>
      </c>
      <c r="AC33" s="1189"/>
      <c r="AD33" s="1125"/>
      <c r="AE33" s="1096">
        <f t="shared" ref="AE33:AJ33" si="213">SUM(AE20:AE32)</f>
        <v>0</v>
      </c>
      <c r="AF33" s="1096">
        <f t="shared" si="213"/>
        <v>0</v>
      </c>
      <c r="AG33" s="1096">
        <f t="shared" si="213"/>
        <v>0</v>
      </c>
      <c r="AH33" s="1096">
        <f t="shared" si="213"/>
        <v>0</v>
      </c>
      <c r="AI33" s="1096">
        <f t="shared" si="213"/>
        <v>0</v>
      </c>
      <c r="AJ33" s="1096">
        <f t="shared" si="213"/>
        <v>16840.419999999998</v>
      </c>
      <c r="AK33" s="1173"/>
      <c r="AL33" s="1189"/>
      <c r="AM33" s="1125"/>
      <c r="AN33" s="1190">
        <f t="shared" ref="AN33:AS33" si="214">SUM(AN20:AN32)</f>
        <v>0</v>
      </c>
      <c r="AO33" s="1190">
        <f t="shared" si="214"/>
        <v>0</v>
      </c>
      <c r="AP33" s="1190">
        <f t="shared" si="214"/>
        <v>0</v>
      </c>
      <c r="AQ33" s="1190">
        <f t="shared" si="214"/>
        <v>0</v>
      </c>
      <c r="AR33" s="1190">
        <f t="shared" si="214"/>
        <v>0</v>
      </c>
      <c r="AS33" s="1190">
        <f t="shared" si="214"/>
        <v>0</v>
      </c>
      <c r="AT33" s="1170"/>
      <c r="AU33" s="1191"/>
      <c r="AV33" s="1192"/>
      <c r="AW33" s="1096">
        <f t="shared" ref="AW33:BB33" si="215">SUM(AW20:AW32)</f>
        <v>0</v>
      </c>
      <c r="AX33" s="1096">
        <f t="shared" si="215"/>
        <v>0</v>
      </c>
      <c r="AY33" s="1096">
        <f t="shared" si="215"/>
        <v>0</v>
      </c>
      <c r="AZ33" s="1096">
        <f t="shared" si="215"/>
        <v>0</v>
      </c>
      <c r="BA33" s="1096">
        <f t="shared" si="215"/>
        <v>0</v>
      </c>
      <c r="BB33" s="1096">
        <f t="shared" si="215"/>
        <v>0</v>
      </c>
      <c r="BC33" s="1175"/>
      <c r="BD33" s="1052"/>
      <c r="BE33" s="1051"/>
      <c r="BF33" s="1051"/>
      <c r="BG33" s="1106"/>
      <c r="BH33" s="1106"/>
      <c r="BI33" s="1106"/>
      <c r="BJ33" s="1106"/>
      <c r="BK33" s="1106"/>
      <c r="BL33" s="1106"/>
      <c r="BM33" s="1106"/>
    </row>
    <row r="34" ht="21.75" customHeight="1">
      <c r="A34" s="999" t="s">
        <v>378</v>
      </c>
      <c r="B34" s="1176" t="s">
        <v>379</v>
      </c>
      <c r="C34" s="1176"/>
      <c r="D34" s="1163"/>
      <c r="E34" s="1164">
        <f t="shared" si="198"/>
        <v>122163.01000000001</v>
      </c>
      <c r="F34" s="1164">
        <f t="shared" si="187"/>
        <v>54605.610000000001</v>
      </c>
      <c r="G34" s="1165">
        <f t="shared" ref="G34:G38" si="216">E34+F34</f>
        <v>176768.62</v>
      </c>
      <c r="H34" s="1166"/>
      <c r="I34" s="1167">
        <f t="shared" si="189"/>
        <v>122163.01000000001</v>
      </c>
      <c r="J34" s="1167">
        <f t="shared" si="190"/>
        <v>54605.610000000001</v>
      </c>
      <c r="K34" s="1168">
        <f t="shared" ref="K34:K38" si="217">I34+J34</f>
        <v>176768.62</v>
      </c>
      <c r="L34" s="1119"/>
      <c r="M34" s="1169"/>
      <c r="N34" s="1177"/>
      <c r="O34" s="1169"/>
      <c r="P34" s="1169">
        <v>97403.770000000004</v>
      </c>
      <c r="Q34" s="1169">
        <f t="shared" ref="Q34:Q38" si="218">SUM(M34:P34)</f>
        <v>97403.770000000004</v>
      </c>
      <c r="R34" s="1169">
        <v>54605.610000000001</v>
      </c>
      <c r="S34" s="1170"/>
      <c r="T34" s="1171"/>
      <c r="U34" s="1119"/>
      <c r="V34" s="1169"/>
      <c r="W34" s="1177"/>
      <c r="X34" s="1177"/>
      <c r="Y34" s="1169"/>
      <c r="Z34" s="1169">
        <f t="shared" ref="Z34:Z38" si="219">SUM(V34:Y34)</f>
        <v>0</v>
      </c>
      <c r="AA34" s="1169"/>
      <c r="AB34" s="1172">
        <f t="shared" si="194"/>
        <v>0</v>
      </c>
      <c r="AC34" s="1171"/>
      <c r="AD34" s="1128"/>
      <c r="AE34" s="1169"/>
      <c r="AF34" s="1177"/>
      <c r="AG34" s="1177"/>
      <c r="AH34" s="1169">
        <v>24759.240000000002</v>
      </c>
      <c r="AI34" s="1169">
        <f t="shared" ref="AI34:AI38" si="220">SUM(AE34:AH34)</f>
        <v>24759.240000000002</v>
      </c>
      <c r="AJ34" s="1169"/>
      <c r="AK34" s="1173"/>
      <c r="AL34" s="1171"/>
      <c r="AM34" s="1128"/>
      <c r="AN34" s="1170"/>
      <c r="AO34" s="1175"/>
      <c r="AP34" s="1175"/>
      <c r="AQ34" s="1170"/>
      <c r="AR34" s="1170">
        <f t="shared" ref="AR34:AR38" si="221">SUM(AN34:AQ34)</f>
        <v>0</v>
      </c>
      <c r="AS34" s="1170"/>
      <c r="AT34" s="1170"/>
      <c r="AU34" s="1174"/>
      <c r="AV34" s="1131"/>
      <c r="AW34" s="1169"/>
      <c r="AX34" s="1177"/>
      <c r="AY34" s="1177"/>
      <c r="AZ34" s="1169"/>
      <c r="BA34" s="1169">
        <f t="shared" ref="BA34:BA38" si="222">SUM(AW34:AZ34)</f>
        <v>0</v>
      </c>
      <c r="BB34" s="1169"/>
      <c r="BC34" s="1175"/>
      <c r="BD34" s="1027"/>
      <c r="BE34" s="1029"/>
      <c r="BF34" s="1029"/>
    </row>
    <row r="35" ht="21.75" customHeight="1">
      <c r="A35" s="999" t="s">
        <v>380</v>
      </c>
      <c r="B35" s="1176" t="s">
        <v>381</v>
      </c>
      <c r="C35" s="1176"/>
      <c r="D35" s="1176"/>
      <c r="E35" s="1164">
        <f t="shared" si="198"/>
        <v>0</v>
      </c>
      <c r="F35" s="1164">
        <f t="shared" si="187"/>
        <v>20076.560000000001</v>
      </c>
      <c r="G35" s="1165">
        <f t="shared" si="216"/>
        <v>20076.560000000001</v>
      </c>
      <c r="H35" s="1166"/>
      <c r="I35" s="1167">
        <f t="shared" si="189"/>
        <v>0</v>
      </c>
      <c r="J35" s="1167">
        <f t="shared" si="190"/>
        <v>20076.560000000001</v>
      </c>
      <c r="K35" s="1168">
        <f t="shared" si="217"/>
        <v>20076.560000000001</v>
      </c>
      <c r="L35" s="1119"/>
      <c r="M35" s="1169"/>
      <c r="N35" s="1177"/>
      <c r="O35" s="1169"/>
      <c r="P35" s="1169"/>
      <c r="Q35" s="1169">
        <f t="shared" si="218"/>
        <v>0</v>
      </c>
      <c r="R35" s="1169">
        <v>20076.560000000001</v>
      </c>
      <c r="S35" s="1170"/>
      <c r="T35" s="1171"/>
      <c r="U35" s="1119"/>
      <c r="V35" s="1169"/>
      <c r="W35" s="1177"/>
      <c r="X35" s="1177"/>
      <c r="Y35" s="1169"/>
      <c r="Z35" s="1169">
        <f t="shared" si="219"/>
        <v>0</v>
      </c>
      <c r="AA35" s="1169"/>
      <c r="AB35" s="1172">
        <f t="shared" si="194"/>
        <v>0</v>
      </c>
      <c r="AC35" s="1171"/>
      <c r="AD35" s="1128"/>
      <c r="AE35" s="1169"/>
      <c r="AF35" s="1177"/>
      <c r="AG35" s="1177"/>
      <c r="AH35" s="1169"/>
      <c r="AI35" s="1169">
        <f t="shared" si="220"/>
        <v>0</v>
      </c>
      <c r="AJ35" s="1169"/>
      <c r="AK35" s="1173"/>
      <c r="AL35" s="1171"/>
      <c r="AM35" s="1128"/>
      <c r="AN35" s="1170"/>
      <c r="AO35" s="1175"/>
      <c r="AP35" s="1175"/>
      <c r="AQ35" s="1170"/>
      <c r="AR35" s="1170">
        <f t="shared" si="221"/>
        <v>0</v>
      </c>
      <c r="AS35" s="1170"/>
      <c r="AT35" s="1170"/>
      <c r="AU35" s="1174"/>
      <c r="AV35" s="1131"/>
      <c r="AW35" s="1169"/>
      <c r="AX35" s="1177"/>
      <c r="AY35" s="1177"/>
      <c r="AZ35" s="1169"/>
      <c r="BA35" s="1169">
        <f t="shared" si="222"/>
        <v>0</v>
      </c>
      <c r="BB35" s="1169"/>
      <c r="BC35" s="1175"/>
      <c r="BD35" s="1027"/>
      <c r="BE35" s="1029"/>
      <c r="BF35" s="1029"/>
    </row>
    <row r="36" ht="21.75" customHeight="1">
      <c r="A36" s="999" t="s">
        <v>382</v>
      </c>
      <c r="B36" s="1176" t="s">
        <v>383</v>
      </c>
      <c r="C36" s="1176"/>
      <c r="D36" s="1163"/>
      <c r="E36" s="1164">
        <f t="shared" si="198"/>
        <v>124797.59000000001</v>
      </c>
      <c r="F36" s="1164">
        <f t="shared" si="187"/>
        <v>93167.789999999994</v>
      </c>
      <c r="G36" s="1165">
        <f t="shared" si="216"/>
        <v>217965.38</v>
      </c>
      <c r="H36" s="1166"/>
      <c r="I36" s="1167">
        <f t="shared" si="189"/>
        <v>124476.29000000001</v>
      </c>
      <c r="J36" s="1167">
        <f t="shared" si="190"/>
        <v>85657.75</v>
      </c>
      <c r="K36" s="1168">
        <f t="shared" si="217"/>
        <v>210134.04000000001</v>
      </c>
      <c r="L36" s="1119"/>
      <c r="M36" s="1169"/>
      <c r="N36" s="1177"/>
      <c r="O36" s="1169"/>
      <c r="P36" s="1169">
        <v>76698.960000000006</v>
      </c>
      <c r="Q36" s="1169">
        <f t="shared" si="218"/>
        <v>76698.960000000006</v>
      </c>
      <c r="R36" s="1169">
        <v>85657.75</v>
      </c>
      <c r="S36" s="1170"/>
      <c r="T36" s="1171"/>
      <c r="U36" s="1119"/>
      <c r="V36" s="1169"/>
      <c r="W36" s="1177"/>
      <c r="X36" s="1177"/>
      <c r="Y36" s="1169">
        <v>321.30000000000001</v>
      </c>
      <c r="Z36" s="1169">
        <f t="shared" si="219"/>
        <v>321.30000000000001</v>
      </c>
      <c r="AA36" s="1169">
        <v>7510.04</v>
      </c>
      <c r="AB36" s="1172">
        <f t="shared" si="194"/>
        <v>7831.3400000000001</v>
      </c>
      <c r="AC36" s="1171"/>
      <c r="AD36" s="1128"/>
      <c r="AE36" s="1169"/>
      <c r="AF36" s="1177"/>
      <c r="AG36" s="1177"/>
      <c r="AH36" s="1169">
        <v>47777.330000000002</v>
      </c>
      <c r="AI36" s="1169">
        <f t="shared" si="220"/>
        <v>47777.330000000002</v>
      </c>
      <c r="AJ36" s="1169"/>
      <c r="AK36" s="1173"/>
      <c r="AL36" s="1171"/>
      <c r="AM36" s="1128"/>
      <c r="AN36" s="1170"/>
      <c r="AO36" s="1175"/>
      <c r="AP36" s="1175"/>
      <c r="AQ36" s="1170"/>
      <c r="AR36" s="1170">
        <f t="shared" si="221"/>
        <v>0</v>
      </c>
      <c r="AS36" s="1170"/>
      <c r="AT36" s="1170"/>
      <c r="AU36" s="1174"/>
      <c r="AV36" s="1131"/>
      <c r="AW36" s="1169"/>
      <c r="AX36" s="1177"/>
      <c r="AY36" s="1177"/>
      <c r="AZ36" s="1169"/>
      <c r="BA36" s="1169">
        <f t="shared" si="222"/>
        <v>0</v>
      </c>
      <c r="BB36" s="1169"/>
      <c r="BC36" s="1175"/>
      <c r="BD36" s="1027"/>
      <c r="BE36" s="1029"/>
      <c r="BF36" s="1029"/>
    </row>
    <row r="37" ht="21.75" customHeight="1">
      <c r="A37" s="999" t="s">
        <v>384</v>
      </c>
      <c r="B37" s="1176" t="s">
        <v>385</v>
      </c>
      <c r="C37" s="1196"/>
      <c r="D37" s="1196"/>
      <c r="E37" s="1164">
        <f t="shared" si="198"/>
        <v>30162.239999999998</v>
      </c>
      <c r="F37" s="1164">
        <f t="shared" si="187"/>
        <v>119808.2</v>
      </c>
      <c r="G37" s="1165">
        <f t="shared" si="216"/>
        <v>149970.44</v>
      </c>
      <c r="H37" s="1166"/>
      <c r="I37" s="1167">
        <f t="shared" si="189"/>
        <v>30162.239999999998</v>
      </c>
      <c r="J37" s="1167">
        <f t="shared" si="190"/>
        <v>104788.12</v>
      </c>
      <c r="K37" s="1168">
        <f t="shared" si="217"/>
        <v>134950.35999999999</v>
      </c>
      <c r="L37" s="1119"/>
      <c r="M37" s="1169"/>
      <c r="N37" s="1177"/>
      <c r="O37" s="1169"/>
      <c r="P37" s="1169">
        <v>23570.959999999999</v>
      </c>
      <c r="Q37" s="1169">
        <f t="shared" si="218"/>
        <v>23570.959999999999</v>
      </c>
      <c r="R37" s="1169">
        <v>104788.12</v>
      </c>
      <c r="S37" s="1170"/>
      <c r="T37" s="1171"/>
      <c r="U37" s="1119"/>
      <c r="V37" s="1169"/>
      <c r="W37" s="1177"/>
      <c r="X37" s="1177"/>
      <c r="Y37" s="1169"/>
      <c r="Z37" s="1169">
        <f t="shared" si="219"/>
        <v>0</v>
      </c>
      <c r="AA37" s="1169">
        <v>15020.08</v>
      </c>
      <c r="AB37" s="1172">
        <f t="shared" si="194"/>
        <v>15020.08</v>
      </c>
      <c r="AC37" s="1171"/>
      <c r="AD37" s="1128"/>
      <c r="AE37" s="1169"/>
      <c r="AF37" s="1177"/>
      <c r="AG37" s="1177"/>
      <c r="AH37" s="1169">
        <v>6591.2799999999997</v>
      </c>
      <c r="AI37" s="1169">
        <f t="shared" si="220"/>
        <v>6591.2799999999997</v>
      </c>
      <c r="AJ37" s="1169"/>
      <c r="AK37" s="1173"/>
      <c r="AL37" s="1171"/>
      <c r="AM37" s="1128"/>
      <c r="AN37" s="1170"/>
      <c r="AO37" s="1175"/>
      <c r="AP37" s="1175"/>
      <c r="AQ37" s="1170"/>
      <c r="AR37" s="1170">
        <f t="shared" si="221"/>
        <v>0</v>
      </c>
      <c r="AS37" s="1170"/>
      <c r="AT37" s="1170"/>
      <c r="AU37" s="1174"/>
      <c r="AV37" s="1131"/>
      <c r="AW37" s="1169"/>
      <c r="AX37" s="1177"/>
      <c r="AY37" s="1177"/>
      <c r="AZ37" s="1169"/>
      <c r="BA37" s="1169">
        <f t="shared" si="222"/>
        <v>0</v>
      </c>
      <c r="BB37" s="1169"/>
      <c r="BC37" s="1175"/>
      <c r="BD37" s="1027"/>
      <c r="BE37" s="1029"/>
      <c r="BF37" s="1029"/>
    </row>
    <row r="38" ht="21.75" customHeight="1">
      <c r="A38" s="999" t="s">
        <v>386</v>
      </c>
      <c r="B38" s="1176" t="s">
        <v>387</v>
      </c>
      <c r="C38" s="1176"/>
      <c r="D38" s="1176"/>
      <c r="E38" s="1164">
        <f t="shared" si="198"/>
        <v>1609.98</v>
      </c>
      <c r="F38" s="1164">
        <f t="shared" si="187"/>
        <v>70272.319999999992</v>
      </c>
      <c r="G38" s="1165">
        <f t="shared" si="216"/>
        <v>71882.299999999988</v>
      </c>
      <c r="H38" s="1166"/>
      <c r="I38" s="1167">
        <f t="shared" si="189"/>
        <v>1609.98</v>
      </c>
      <c r="J38" s="1167">
        <f t="shared" si="190"/>
        <v>62762.279999999992</v>
      </c>
      <c r="K38" s="1168">
        <f t="shared" si="217"/>
        <v>64372.259999999995</v>
      </c>
      <c r="L38" s="1119"/>
      <c r="M38" s="1169"/>
      <c r="N38" s="1177"/>
      <c r="O38" s="1169"/>
      <c r="P38" s="1169">
        <v>644.36000000000001</v>
      </c>
      <c r="Q38" s="1169">
        <f t="shared" si="218"/>
        <v>644.36000000000001</v>
      </c>
      <c r="R38" s="1169">
        <v>62762.279999999999</v>
      </c>
      <c r="S38" s="1170"/>
      <c r="T38" s="1171"/>
      <c r="U38" s="1119"/>
      <c r="V38" s="1169"/>
      <c r="W38" s="1177"/>
      <c r="X38" s="1177"/>
      <c r="Y38" s="1169"/>
      <c r="Z38" s="1169">
        <f t="shared" si="219"/>
        <v>0</v>
      </c>
      <c r="AA38" s="1169">
        <v>7510.04</v>
      </c>
      <c r="AB38" s="1172">
        <f t="shared" si="194"/>
        <v>7510.04</v>
      </c>
      <c r="AC38" s="1171"/>
      <c r="AD38" s="1128"/>
      <c r="AE38" s="1169"/>
      <c r="AF38" s="1177"/>
      <c r="AG38" s="1177"/>
      <c r="AH38" s="1169">
        <v>965.62</v>
      </c>
      <c r="AI38" s="1169">
        <f t="shared" si="220"/>
        <v>965.62</v>
      </c>
      <c r="AJ38" s="1169"/>
      <c r="AK38" s="1173"/>
      <c r="AL38" s="1171"/>
      <c r="AM38" s="1128"/>
      <c r="AN38" s="1170"/>
      <c r="AO38" s="1175"/>
      <c r="AP38" s="1175"/>
      <c r="AQ38" s="1170"/>
      <c r="AR38" s="1170">
        <f t="shared" si="221"/>
        <v>0</v>
      </c>
      <c r="AS38" s="1170"/>
      <c r="AT38" s="1170"/>
      <c r="AU38" s="1174"/>
      <c r="AV38" s="1131"/>
      <c r="AW38" s="1169"/>
      <c r="AX38" s="1177"/>
      <c r="AY38" s="1177"/>
      <c r="AZ38" s="1169"/>
      <c r="BA38" s="1169">
        <f t="shared" si="222"/>
        <v>0</v>
      </c>
      <c r="BB38" s="1169"/>
      <c r="BC38" s="1175"/>
      <c r="BD38" s="1027"/>
      <c r="BE38" s="1029"/>
      <c r="BF38" s="1029"/>
    </row>
    <row r="39" s="1180" customFormat="1" ht="21.75" customHeight="1">
      <c r="A39" s="1181"/>
      <c r="B39" s="1182" t="s">
        <v>388</v>
      </c>
      <c r="C39" s="1182"/>
      <c r="D39" s="1182"/>
      <c r="E39" s="1183">
        <f t="shared" si="198"/>
        <v>278732.81999999995</v>
      </c>
      <c r="F39" s="1183">
        <f t="shared" si="187"/>
        <v>357930.47999999992</v>
      </c>
      <c r="G39" s="1184">
        <f>SUM(G34:G38)</f>
        <v>636663.30000000005</v>
      </c>
      <c r="H39" s="1185"/>
      <c r="I39" s="1186">
        <f t="shared" si="189"/>
        <v>278411.51999999996</v>
      </c>
      <c r="J39" s="1186">
        <f t="shared" si="190"/>
        <v>327890.31999999995</v>
      </c>
      <c r="K39" s="1187">
        <f>SUM(K34:K38)</f>
        <v>606301.83999999997</v>
      </c>
      <c r="L39" s="1188"/>
      <c r="M39" s="1096">
        <f>SUM(M34:M38)</f>
        <v>0</v>
      </c>
      <c r="N39" s="1096">
        <f t="shared" ref="N39:AJ39" si="223">SUM(N34:N38)</f>
        <v>0</v>
      </c>
      <c r="O39" s="1096">
        <f>SUM(O34:O38)</f>
        <v>0</v>
      </c>
      <c r="P39" s="1096">
        <f t="shared" si="223"/>
        <v>198318.04999999999</v>
      </c>
      <c r="Q39" s="1096">
        <f t="shared" si="223"/>
        <v>198318.04999999999</v>
      </c>
      <c r="R39" s="1096">
        <f>SUM(R34:R38)</f>
        <v>327890.31999999995</v>
      </c>
      <c r="S39" s="1170"/>
      <c r="T39" s="1189"/>
      <c r="U39" s="1188"/>
      <c r="V39" s="1096">
        <f t="shared" si="223"/>
        <v>0</v>
      </c>
      <c r="W39" s="1096">
        <f t="shared" si="223"/>
        <v>0</v>
      </c>
      <c r="X39" s="1096">
        <f t="shared" si="223"/>
        <v>0</v>
      </c>
      <c r="Y39" s="1096">
        <f t="shared" si="223"/>
        <v>321.30000000000001</v>
      </c>
      <c r="Z39" s="1096">
        <f t="shared" si="223"/>
        <v>321.30000000000001</v>
      </c>
      <c r="AA39" s="1096">
        <f t="shared" si="223"/>
        <v>30040.16</v>
      </c>
      <c r="AB39" s="1172">
        <f t="shared" si="194"/>
        <v>30361.459999999999</v>
      </c>
      <c r="AC39" s="1189"/>
      <c r="AD39" s="1197"/>
      <c r="AE39" s="1096">
        <f t="shared" si="223"/>
        <v>0</v>
      </c>
      <c r="AF39" s="1096">
        <f t="shared" si="223"/>
        <v>0</v>
      </c>
      <c r="AG39" s="1096">
        <f t="shared" si="223"/>
        <v>0</v>
      </c>
      <c r="AH39" s="1096">
        <f t="shared" si="223"/>
        <v>80093.470000000001</v>
      </c>
      <c r="AI39" s="1096">
        <f t="shared" si="223"/>
        <v>80093.470000000001</v>
      </c>
      <c r="AJ39" s="1096">
        <f t="shared" si="223"/>
        <v>0</v>
      </c>
      <c r="AK39" s="1173"/>
      <c r="AL39" s="1189"/>
      <c r="AM39" s="1197"/>
      <c r="AN39" s="1190">
        <f t="shared" ref="AN39:BB39" si="224">SUM(AN34:AN38)</f>
        <v>0</v>
      </c>
      <c r="AO39" s="1190">
        <f t="shared" si="224"/>
        <v>0</v>
      </c>
      <c r="AP39" s="1190">
        <f t="shared" si="224"/>
        <v>0</v>
      </c>
      <c r="AQ39" s="1190">
        <f t="shared" si="224"/>
        <v>0</v>
      </c>
      <c r="AR39" s="1190">
        <f t="shared" si="224"/>
        <v>0</v>
      </c>
      <c r="AS39" s="1190">
        <f t="shared" si="224"/>
        <v>0</v>
      </c>
      <c r="AT39" s="1170"/>
      <c r="AU39" s="1191"/>
      <c r="AV39" s="1188">
        <f t="shared" si="224"/>
        <v>0</v>
      </c>
      <c r="AW39" s="1096">
        <f t="shared" si="224"/>
        <v>0</v>
      </c>
      <c r="AX39" s="1096">
        <f t="shared" si="224"/>
        <v>0</v>
      </c>
      <c r="AY39" s="1096">
        <f t="shared" si="224"/>
        <v>0</v>
      </c>
      <c r="AZ39" s="1096">
        <f t="shared" si="224"/>
        <v>0</v>
      </c>
      <c r="BA39" s="1096">
        <f t="shared" si="224"/>
        <v>0</v>
      </c>
      <c r="BB39" s="1096">
        <f t="shared" si="224"/>
        <v>0</v>
      </c>
      <c r="BC39" s="1175"/>
      <c r="BD39" s="1052"/>
      <c r="BE39" s="1051"/>
      <c r="BF39" s="1051"/>
      <c r="BG39" s="1106"/>
      <c r="BH39" s="1106"/>
      <c r="BI39" s="1106"/>
      <c r="BJ39" s="1106"/>
      <c r="BK39" s="1106"/>
      <c r="BL39" s="1106"/>
      <c r="BM39" s="1106"/>
    </row>
    <row r="40" ht="21.75" customHeight="1">
      <c r="A40" s="999" t="s">
        <v>389</v>
      </c>
      <c r="B40" s="1176" t="s">
        <v>390</v>
      </c>
      <c r="C40" s="1198"/>
      <c r="D40" s="1163"/>
      <c r="E40" s="1164">
        <f t="shared" si="198"/>
        <v>213988.75999999998</v>
      </c>
      <c r="F40" s="1164">
        <f t="shared" si="187"/>
        <v>11524.66</v>
      </c>
      <c r="G40" s="1165">
        <f t="shared" ref="G40:G42" si="225">E40+F40</f>
        <v>225513.41999999998</v>
      </c>
      <c r="H40" s="1166"/>
      <c r="I40" s="1167">
        <f t="shared" si="189"/>
        <v>213831.01999999999</v>
      </c>
      <c r="J40" s="1167">
        <f t="shared" si="190"/>
        <v>11524.66</v>
      </c>
      <c r="K40" s="1168">
        <f t="shared" ref="K40:K42" si="226">I40+J40</f>
        <v>225355.67999999999</v>
      </c>
      <c r="L40" s="1188"/>
      <c r="M40" s="1169"/>
      <c r="N40" s="1199"/>
      <c r="O40" s="1169"/>
      <c r="P40" s="1169">
        <v>213831.01999999999</v>
      </c>
      <c r="Q40" s="1169">
        <f t="shared" ref="Q40:Q42" si="227">SUM(M40:P40)</f>
        <v>213831.01999999999</v>
      </c>
      <c r="R40" s="1169">
        <v>11524.66</v>
      </c>
      <c r="S40" s="1170"/>
      <c r="T40" s="1171"/>
      <c r="U40" s="1119"/>
      <c r="V40" s="1169"/>
      <c r="W40" s="1199"/>
      <c r="X40" s="1199"/>
      <c r="Y40" s="1169">
        <v>157.74000000000001</v>
      </c>
      <c r="Z40" s="1169">
        <f t="shared" ref="Z40:Z42" si="228">SUM(V40:Y40)</f>
        <v>157.74000000000001</v>
      </c>
      <c r="AA40" s="1169"/>
      <c r="AB40" s="1172">
        <f t="shared" si="194"/>
        <v>157.74000000000001</v>
      </c>
      <c r="AC40" s="1171"/>
      <c r="AD40" s="1128"/>
      <c r="AE40" s="1169"/>
      <c r="AF40" s="1199"/>
      <c r="AG40" s="1199"/>
      <c r="AH40" s="1169"/>
      <c r="AI40" s="1169">
        <f t="shared" ref="AI40:AI42" si="229">SUM(AE40:AH40)</f>
        <v>0</v>
      </c>
      <c r="AJ40" s="1169"/>
      <c r="AK40" s="1173"/>
      <c r="AL40" s="1171"/>
      <c r="AM40" s="1128"/>
      <c r="AN40" s="1170"/>
      <c r="AO40" s="1200"/>
      <c r="AP40" s="1200"/>
      <c r="AQ40" s="1170"/>
      <c r="AR40" s="1170">
        <f t="shared" ref="AR40:AR42" si="230">SUM(AN40:AQ40)</f>
        <v>0</v>
      </c>
      <c r="AS40" s="1170"/>
      <c r="AT40" s="1170"/>
      <c r="AU40" s="1174"/>
      <c r="AV40" s="1131"/>
      <c r="AW40" s="1169"/>
      <c r="AX40" s="1199"/>
      <c r="AY40" s="1199"/>
      <c r="AZ40" s="1169"/>
      <c r="BA40" s="1169">
        <f t="shared" ref="BA40:BA42" si="231">SUM(AW40:AZ40)</f>
        <v>0</v>
      </c>
      <c r="BB40" s="1169"/>
      <c r="BC40" s="1175"/>
      <c r="BD40" s="1027"/>
      <c r="BE40" s="1029"/>
      <c r="BF40" s="1029"/>
    </row>
    <row r="41" ht="21.75" customHeight="1">
      <c r="A41" s="999" t="s">
        <v>391</v>
      </c>
      <c r="B41" s="1176" t="s">
        <v>392</v>
      </c>
      <c r="C41" s="1198"/>
      <c r="D41" s="1163"/>
      <c r="E41" s="1164">
        <f t="shared" si="198"/>
        <v>325714.35000000003</v>
      </c>
      <c r="F41" s="1164">
        <f t="shared" si="187"/>
        <v>47092.32</v>
      </c>
      <c r="G41" s="1165">
        <f t="shared" si="225"/>
        <v>372806.67000000004</v>
      </c>
      <c r="H41" s="1166"/>
      <c r="I41" s="1167">
        <f t="shared" si="189"/>
        <v>325451.45000000001</v>
      </c>
      <c r="J41" s="1167">
        <f t="shared" si="190"/>
        <v>28444.110000000001</v>
      </c>
      <c r="K41" s="1168">
        <f t="shared" si="226"/>
        <v>353895.56</v>
      </c>
      <c r="L41" s="1188"/>
      <c r="M41" s="1169"/>
      <c r="N41" s="1177"/>
      <c r="O41" s="1169"/>
      <c r="P41" s="1169">
        <v>325451.45000000001</v>
      </c>
      <c r="Q41" s="1169">
        <f t="shared" si="227"/>
        <v>325451.45000000001</v>
      </c>
      <c r="R41" s="1169">
        <v>28444.110000000001</v>
      </c>
      <c r="S41" s="1170"/>
      <c r="T41" s="1171"/>
      <c r="U41" s="1119"/>
      <c r="V41" s="1169"/>
      <c r="W41" s="1177"/>
      <c r="X41" s="1177"/>
      <c r="Y41" s="1169">
        <v>262.89999999999998</v>
      </c>
      <c r="Z41" s="1169">
        <f t="shared" si="228"/>
        <v>262.89999999999998</v>
      </c>
      <c r="AA41" s="1169">
        <v>18648.209999999999</v>
      </c>
      <c r="AB41" s="1172">
        <f t="shared" si="194"/>
        <v>18911.110000000001</v>
      </c>
      <c r="AC41" s="1171"/>
      <c r="AD41" s="1128"/>
      <c r="AE41" s="1169"/>
      <c r="AF41" s="1177"/>
      <c r="AG41" s="1177"/>
      <c r="AH41" s="1169"/>
      <c r="AI41" s="1169">
        <f t="shared" si="229"/>
        <v>0</v>
      </c>
      <c r="AJ41" s="1169"/>
      <c r="AK41" s="1173"/>
      <c r="AL41" s="1171"/>
      <c r="AM41" s="1128"/>
      <c r="AN41" s="1170"/>
      <c r="AO41" s="1175"/>
      <c r="AP41" s="1175"/>
      <c r="AQ41" s="1170"/>
      <c r="AR41" s="1170">
        <f t="shared" si="230"/>
        <v>0</v>
      </c>
      <c r="AS41" s="1170"/>
      <c r="AT41" s="1170"/>
      <c r="AU41" s="1174"/>
      <c r="AV41" s="1131"/>
      <c r="AW41" s="1169"/>
      <c r="AX41" s="1177"/>
      <c r="AY41" s="1177"/>
      <c r="AZ41" s="1169"/>
      <c r="BA41" s="1169">
        <f t="shared" si="231"/>
        <v>0</v>
      </c>
      <c r="BB41" s="1169"/>
      <c r="BC41" s="1175"/>
      <c r="BD41" s="1027"/>
      <c r="BE41" s="1029"/>
      <c r="BF41" s="1029"/>
    </row>
    <row r="42" ht="21.75" customHeight="1">
      <c r="A42" s="999" t="s">
        <v>393</v>
      </c>
      <c r="B42" s="1176" t="s">
        <v>265</v>
      </c>
      <c r="C42" s="1131"/>
      <c r="D42" s="1201"/>
      <c r="E42" s="1164">
        <f t="shared" si="198"/>
        <v>395132.28000000003</v>
      </c>
      <c r="F42" s="1164">
        <f t="shared" si="187"/>
        <v>337062.53999999998</v>
      </c>
      <c r="G42" s="1165">
        <f t="shared" si="225"/>
        <v>732194.82000000007</v>
      </c>
      <c r="H42" s="1166"/>
      <c r="I42" s="1167">
        <f t="shared" si="189"/>
        <v>395132.28000000003</v>
      </c>
      <c r="J42" s="1167">
        <f t="shared" si="190"/>
        <v>337062.53999999998</v>
      </c>
      <c r="K42" s="1168">
        <f t="shared" si="226"/>
        <v>732194.82000000007</v>
      </c>
      <c r="L42" s="1119"/>
      <c r="M42" s="1169"/>
      <c r="N42" s="1177"/>
      <c r="O42" s="1169"/>
      <c r="P42" s="1169">
        <v>395132.28000000003</v>
      </c>
      <c r="Q42" s="1169">
        <f t="shared" si="227"/>
        <v>395132.28000000003</v>
      </c>
      <c r="R42" s="1169">
        <v>337062.53999999998</v>
      </c>
      <c r="S42" s="1170"/>
      <c r="T42" s="1171"/>
      <c r="U42" s="1119"/>
      <c r="V42" s="1169"/>
      <c r="W42" s="1177"/>
      <c r="X42" s="1177"/>
      <c r="Y42" s="1169"/>
      <c r="Z42" s="1169">
        <f t="shared" si="228"/>
        <v>0</v>
      </c>
      <c r="AA42" s="1169"/>
      <c r="AB42" s="1172">
        <f t="shared" si="194"/>
        <v>0</v>
      </c>
      <c r="AC42" s="1171"/>
      <c r="AD42" s="1128"/>
      <c r="AE42" s="1169"/>
      <c r="AF42" s="1177"/>
      <c r="AG42" s="1177"/>
      <c r="AH42" s="1169"/>
      <c r="AI42" s="1169">
        <f t="shared" si="229"/>
        <v>0</v>
      </c>
      <c r="AJ42" s="1169"/>
      <c r="AK42" s="1173"/>
      <c r="AL42" s="1171"/>
      <c r="AM42" s="1128"/>
      <c r="AN42" s="1170"/>
      <c r="AO42" s="1175"/>
      <c r="AP42" s="1175"/>
      <c r="AQ42" s="1170"/>
      <c r="AR42" s="1170">
        <f t="shared" si="230"/>
        <v>0</v>
      </c>
      <c r="AS42" s="1170"/>
      <c r="AT42" s="1170"/>
      <c r="AU42" s="1174"/>
      <c r="AV42" s="1131"/>
      <c r="AW42" s="1169"/>
      <c r="AX42" s="1177"/>
      <c r="AY42" s="1177"/>
      <c r="AZ42" s="1169"/>
      <c r="BA42" s="1169">
        <f t="shared" si="231"/>
        <v>0</v>
      </c>
      <c r="BB42" s="1169"/>
      <c r="BC42" s="1175"/>
      <c r="BD42" s="1027"/>
      <c r="BE42" s="1029"/>
      <c r="BF42" s="1029"/>
    </row>
    <row r="43" s="1180" customFormat="1" ht="21.75" customHeight="1">
      <c r="A43" s="1181"/>
      <c r="B43" s="1182" t="s">
        <v>394</v>
      </c>
      <c r="C43" s="1182"/>
      <c r="D43" s="1182"/>
      <c r="E43" s="1183">
        <f t="shared" si="198"/>
        <v>934835.39000000001</v>
      </c>
      <c r="F43" s="1183">
        <f t="shared" si="187"/>
        <v>395679.52000000002</v>
      </c>
      <c r="G43" s="1184">
        <f>SUM(G40:G42)</f>
        <v>1330514.9100000001</v>
      </c>
      <c r="H43" s="1185"/>
      <c r="I43" s="1186">
        <f t="shared" si="189"/>
        <v>934414.75</v>
      </c>
      <c r="J43" s="1186">
        <f t="shared" si="190"/>
        <v>377031.31</v>
      </c>
      <c r="K43" s="1187">
        <f>SUM(K40:K42)</f>
        <v>1311446.0600000001</v>
      </c>
      <c r="L43" s="1188"/>
      <c r="M43" s="1096">
        <f t="shared" ref="M43:R47" si="232">SUM(M40:M42)</f>
        <v>0</v>
      </c>
      <c r="N43" s="1096">
        <f t="shared" si="232"/>
        <v>0</v>
      </c>
      <c r="O43" s="1096">
        <f t="shared" si="232"/>
        <v>0</v>
      </c>
      <c r="P43" s="1096">
        <f t="shared" si="232"/>
        <v>934414.75</v>
      </c>
      <c r="Q43" s="1096">
        <f t="shared" si="232"/>
        <v>934414.75</v>
      </c>
      <c r="R43" s="1096">
        <f t="shared" si="232"/>
        <v>377031.31</v>
      </c>
      <c r="S43" s="1170"/>
      <c r="T43" s="1189"/>
      <c r="U43" s="1119"/>
      <c r="V43" s="1096">
        <f t="shared" ref="V43:AA47" si="233">SUM(V40:V42)</f>
        <v>0</v>
      </c>
      <c r="W43" s="1096">
        <f t="shared" si="233"/>
        <v>0</v>
      </c>
      <c r="X43" s="1096">
        <f t="shared" si="233"/>
        <v>0</v>
      </c>
      <c r="Y43" s="1096">
        <f t="shared" si="233"/>
        <v>420.63999999999999</v>
      </c>
      <c r="Z43" s="1096">
        <f t="shared" si="233"/>
        <v>420.63999999999999</v>
      </c>
      <c r="AA43" s="1096">
        <f t="shared" si="233"/>
        <v>18648.209999999999</v>
      </c>
      <c r="AB43" s="1172">
        <f t="shared" si="194"/>
        <v>19068.849999999999</v>
      </c>
      <c r="AC43" s="1189"/>
      <c r="AD43" s="1125"/>
      <c r="AE43" s="1096">
        <f t="shared" ref="AE43:AJ47" si="234">SUM(AE40:AE42)</f>
        <v>0</v>
      </c>
      <c r="AF43" s="1096">
        <f t="shared" si="234"/>
        <v>0</v>
      </c>
      <c r="AG43" s="1096">
        <f t="shared" si="234"/>
        <v>0</v>
      </c>
      <c r="AH43" s="1096">
        <f t="shared" si="234"/>
        <v>0</v>
      </c>
      <c r="AI43" s="1096">
        <f t="shared" si="234"/>
        <v>0</v>
      </c>
      <c r="AJ43" s="1096">
        <f t="shared" si="234"/>
        <v>0</v>
      </c>
      <c r="AK43" s="1173"/>
      <c r="AL43" s="1189"/>
      <c r="AM43" s="1125"/>
      <c r="AN43" s="1190">
        <f t="shared" ref="AN43:AS47" si="235">SUM(AN40:AN42)</f>
        <v>0</v>
      </c>
      <c r="AO43" s="1190">
        <f t="shared" si="235"/>
        <v>0</v>
      </c>
      <c r="AP43" s="1190">
        <f t="shared" si="235"/>
        <v>0</v>
      </c>
      <c r="AQ43" s="1190">
        <f t="shared" si="235"/>
        <v>0</v>
      </c>
      <c r="AR43" s="1190">
        <f t="shared" si="235"/>
        <v>0</v>
      </c>
      <c r="AS43" s="1190">
        <f t="shared" si="235"/>
        <v>0</v>
      </c>
      <c r="AT43" s="1170"/>
      <c r="AU43" s="1191"/>
      <c r="AV43" s="1192"/>
      <c r="AW43" s="1096">
        <f t="shared" ref="AW43:BB47" si="236">SUM(AW40:AW42)</f>
        <v>0</v>
      </c>
      <c r="AX43" s="1096">
        <f t="shared" si="236"/>
        <v>0</v>
      </c>
      <c r="AY43" s="1096">
        <f t="shared" si="236"/>
        <v>0</v>
      </c>
      <c r="AZ43" s="1096">
        <f t="shared" si="236"/>
        <v>0</v>
      </c>
      <c r="BA43" s="1096">
        <f t="shared" si="236"/>
        <v>0</v>
      </c>
      <c r="BB43" s="1096">
        <f t="shared" si="236"/>
        <v>0</v>
      </c>
      <c r="BC43" s="1175"/>
      <c r="BD43" s="1052"/>
      <c r="BE43" s="1051"/>
      <c r="BF43" s="1051"/>
      <c r="BG43" s="1106"/>
      <c r="BH43" s="1106"/>
      <c r="BI43" s="1106"/>
      <c r="BJ43" s="1106"/>
      <c r="BK43" s="1106"/>
      <c r="BL43" s="1106"/>
      <c r="BM43" s="1106"/>
    </row>
    <row r="44" ht="21.75" customHeight="1">
      <c r="A44" s="999" t="s">
        <v>395</v>
      </c>
      <c r="B44" s="1202" t="s">
        <v>50</v>
      </c>
      <c r="C44" s="1203"/>
      <c r="D44" s="1201"/>
      <c r="E44" s="1164">
        <f t="shared" si="198"/>
        <v>2058920.21</v>
      </c>
      <c r="F44" s="1164">
        <f t="shared" si="187"/>
        <v>658219.13</v>
      </c>
      <c r="G44" s="1165">
        <f t="shared" ref="G44:G46" si="237">E44+F44</f>
        <v>2717139.3399999999</v>
      </c>
      <c r="H44" s="1166"/>
      <c r="I44" s="1167">
        <f t="shared" si="189"/>
        <v>2058920.21</v>
      </c>
      <c r="J44" s="1167">
        <f t="shared" si="190"/>
        <v>650709.08999999997</v>
      </c>
      <c r="K44" s="1168">
        <f t="shared" ref="K44:K46" si="238">I44+J44</f>
        <v>2709629.2999999998</v>
      </c>
      <c r="L44" s="1119"/>
      <c r="M44" s="1169"/>
      <c r="N44" s="1177"/>
      <c r="O44" s="1169"/>
      <c r="P44" s="1169">
        <v>2058920.21</v>
      </c>
      <c r="Q44" s="1169">
        <f t="shared" ref="Q44:Q46" si="239">SUM(M44:P44)</f>
        <v>2058920.21</v>
      </c>
      <c r="R44" s="1169">
        <v>650709.08999999997</v>
      </c>
      <c r="S44" s="1170"/>
      <c r="T44" s="1171"/>
      <c r="U44" s="1119"/>
      <c r="V44" s="1169"/>
      <c r="W44" s="1177"/>
      <c r="X44" s="1177"/>
      <c r="Y44" s="1169"/>
      <c r="Z44" s="1169">
        <f t="shared" ref="Z44:Z46" si="240">SUM(V44:Y44)</f>
        <v>0</v>
      </c>
      <c r="AA44" s="1169">
        <v>7510.04</v>
      </c>
      <c r="AB44" s="1172">
        <f t="shared" si="194"/>
        <v>7510.04</v>
      </c>
      <c r="AC44" s="1171"/>
      <c r="AD44" s="1128"/>
      <c r="AE44" s="1169"/>
      <c r="AF44" s="1177"/>
      <c r="AG44" s="1177"/>
      <c r="AH44" s="1169"/>
      <c r="AI44" s="1169">
        <f t="shared" ref="AI44:AI46" si="241">SUM(AE44:AH44)</f>
        <v>0</v>
      </c>
      <c r="AJ44" s="1169"/>
      <c r="AK44" s="1173"/>
      <c r="AL44" s="1171"/>
      <c r="AM44" s="1128"/>
      <c r="AN44" s="1170"/>
      <c r="AO44" s="1175"/>
      <c r="AP44" s="1175"/>
      <c r="AQ44" s="1170"/>
      <c r="AR44" s="1170">
        <f t="shared" ref="AR44:AR46" si="242">SUM(AN44:AQ44)</f>
        <v>0</v>
      </c>
      <c r="AS44" s="1170"/>
      <c r="AT44" s="1170"/>
      <c r="AU44" s="1174"/>
      <c r="AV44" s="1131"/>
      <c r="AW44" s="1169"/>
      <c r="AX44" s="1177"/>
      <c r="AY44" s="1177"/>
      <c r="AZ44" s="1169"/>
      <c r="BA44" s="1169">
        <f t="shared" ref="BA44:BA46" si="243">SUM(AW44:AZ44)</f>
        <v>0</v>
      </c>
      <c r="BB44" s="1169"/>
      <c r="BC44" s="1175"/>
      <c r="BD44" s="1027"/>
      <c r="BE44" s="1029"/>
      <c r="BF44" s="1029"/>
    </row>
    <row r="45" ht="21.75" customHeight="1">
      <c r="A45" s="999" t="s">
        <v>396</v>
      </c>
      <c r="B45" s="1202" t="s">
        <v>397</v>
      </c>
      <c r="C45" s="1203"/>
      <c r="D45" s="1201"/>
      <c r="E45" s="1164">
        <f t="shared" si="198"/>
        <v>133192.78</v>
      </c>
      <c r="F45" s="1164">
        <f t="shared" si="187"/>
        <v>210698.26999999999</v>
      </c>
      <c r="G45" s="1165">
        <f t="shared" si="237"/>
        <v>343891.04999999999</v>
      </c>
      <c r="H45" s="1166"/>
      <c r="I45" s="1167">
        <f t="shared" si="189"/>
        <v>130222.00999999999</v>
      </c>
      <c r="J45" s="1167">
        <f t="shared" si="190"/>
        <v>210698.26999999999</v>
      </c>
      <c r="K45" s="1168">
        <f t="shared" si="238"/>
        <v>340920.27999999997</v>
      </c>
      <c r="L45" s="1119"/>
      <c r="M45" s="1169"/>
      <c r="N45" s="1177"/>
      <c r="O45" s="1169"/>
      <c r="P45" s="1169">
        <v>113368.35000000001</v>
      </c>
      <c r="Q45" s="1169">
        <f t="shared" si="239"/>
        <v>113368.35000000001</v>
      </c>
      <c r="R45" s="1169">
        <v>99027.399999999994</v>
      </c>
      <c r="S45" s="1170"/>
      <c r="T45" s="1171"/>
      <c r="U45" s="1119"/>
      <c r="V45" s="1169"/>
      <c r="W45" s="1177"/>
      <c r="X45" s="1177"/>
      <c r="Y45" s="1169">
        <v>2970.77</v>
      </c>
      <c r="Z45" s="1169">
        <f t="shared" si="240"/>
        <v>2970.77</v>
      </c>
      <c r="AA45" s="1169"/>
      <c r="AB45" s="1172">
        <f t="shared" si="194"/>
        <v>2970.77</v>
      </c>
      <c r="AC45" s="1171"/>
      <c r="AD45" s="1128"/>
      <c r="AE45" s="1169"/>
      <c r="AF45" s="1177"/>
      <c r="AG45" s="1177"/>
      <c r="AH45" s="1169">
        <v>16853.66</v>
      </c>
      <c r="AI45" s="1169">
        <f t="shared" si="241"/>
        <v>16853.66</v>
      </c>
      <c r="AJ45" s="1169">
        <v>111670.87</v>
      </c>
      <c r="AK45" s="1173"/>
      <c r="AL45" s="1171"/>
      <c r="AM45" s="1128"/>
      <c r="AN45" s="1170"/>
      <c r="AO45" s="1175"/>
      <c r="AP45" s="1175"/>
      <c r="AQ45" s="1170"/>
      <c r="AR45" s="1170">
        <f t="shared" si="242"/>
        <v>0</v>
      </c>
      <c r="AS45" s="1170"/>
      <c r="AT45" s="1170"/>
      <c r="AU45" s="1174"/>
      <c r="AV45" s="1131"/>
      <c r="AW45" s="1169"/>
      <c r="AX45" s="1177"/>
      <c r="AY45" s="1177"/>
      <c r="AZ45" s="1169"/>
      <c r="BA45" s="1169">
        <f t="shared" si="243"/>
        <v>0</v>
      </c>
      <c r="BB45" s="1169"/>
      <c r="BC45" s="1175"/>
      <c r="BD45" s="1027"/>
      <c r="BE45" s="1029"/>
      <c r="BF45" s="1029"/>
    </row>
    <row r="46" ht="21.75" customHeight="1">
      <c r="A46" s="999" t="s">
        <v>398</v>
      </c>
      <c r="B46" s="1202" t="s">
        <v>399</v>
      </c>
      <c r="C46" s="1204"/>
      <c r="D46" s="1201"/>
      <c r="E46" s="1164">
        <f t="shared" si="198"/>
        <v>265212.89000000001</v>
      </c>
      <c r="F46" s="1164">
        <f t="shared" si="187"/>
        <v>287278.16000000003</v>
      </c>
      <c r="G46" s="1165">
        <f t="shared" si="237"/>
        <v>552491.05000000005</v>
      </c>
      <c r="H46" s="1166"/>
      <c r="I46" s="1167">
        <f t="shared" si="189"/>
        <v>265212.89000000001</v>
      </c>
      <c r="J46" s="1167">
        <f t="shared" si="190"/>
        <v>272258.08000000002</v>
      </c>
      <c r="K46" s="1168">
        <f t="shared" si="238"/>
        <v>537470.96999999997</v>
      </c>
      <c r="L46" s="1119"/>
      <c r="M46" s="1169"/>
      <c r="N46" s="1177"/>
      <c r="O46" s="1169"/>
      <c r="P46" s="1169">
        <v>82921.419999999998</v>
      </c>
      <c r="Q46" s="1169">
        <f t="shared" si="239"/>
        <v>82921.419999999998</v>
      </c>
      <c r="R46" s="1169">
        <v>272258.08000000002</v>
      </c>
      <c r="S46" s="1170"/>
      <c r="T46" s="1171"/>
      <c r="U46" s="1119"/>
      <c r="V46" s="1169"/>
      <c r="W46" s="1177"/>
      <c r="X46" s="1177"/>
      <c r="Y46" s="1169"/>
      <c r="Z46" s="1169">
        <f t="shared" si="240"/>
        <v>0</v>
      </c>
      <c r="AA46" s="1169">
        <v>15020.08</v>
      </c>
      <c r="AB46" s="1172">
        <f t="shared" si="194"/>
        <v>15020.08</v>
      </c>
      <c r="AC46" s="1171"/>
      <c r="AD46" s="1128"/>
      <c r="AE46" s="1169"/>
      <c r="AF46" s="1177"/>
      <c r="AG46" s="1177"/>
      <c r="AH46" s="1169">
        <v>182291.47</v>
      </c>
      <c r="AI46" s="1169">
        <f t="shared" si="241"/>
        <v>182291.47</v>
      </c>
      <c r="AJ46" s="1169"/>
      <c r="AK46" s="1173"/>
      <c r="AL46" s="1171"/>
      <c r="AM46" s="1128"/>
      <c r="AN46" s="1170"/>
      <c r="AO46" s="1175"/>
      <c r="AP46" s="1175"/>
      <c r="AQ46" s="1170"/>
      <c r="AR46" s="1170">
        <f t="shared" si="242"/>
        <v>0</v>
      </c>
      <c r="AS46" s="1170"/>
      <c r="AT46" s="1170"/>
      <c r="AU46" s="1174"/>
      <c r="AV46" s="1131"/>
      <c r="AW46" s="1169"/>
      <c r="AX46" s="1177"/>
      <c r="AY46" s="1177"/>
      <c r="AZ46" s="1169"/>
      <c r="BA46" s="1169">
        <f t="shared" si="243"/>
        <v>0</v>
      </c>
      <c r="BB46" s="1169"/>
      <c r="BC46" s="1175"/>
      <c r="BD46" s="1027"/>
      <c r="BE46" s="1029"/>
      <c r="BF46" s="1029"/>
    </row>
    <row r="47" s="1180" customFormat="1" ht="21.75" customHeight="1">
      <c r="A47" s="1181"/>
      <c r="B47" s="1205" t="s">
        <v>363</v>
      </c>
      <c r="C47" s="1205"/>
      <c r="D47" s="1205"/>
      <c r="E47" s="1183">
        <f t="shared" si="198"/>
        <v>2457325.8799999999</v>
      </c>
      <c r="F47" s="1183">
        <f t="shared" si="187"/>
        <v>1156195.5600000001</v>
      </c>
      <c r="G47" s="1184">
        <f>SUM(G44:G46)</f>
        <v>3613521.4399999995</v>
      </c>
      <c r="H47" s="1185"/>
      <c r="I47" s="1186">
        <f t="shared" si="189"/>
        <v>2454355.1099999999</v>
      </c>
      <c r="J47" s="1186">
        <f t="shared" si="190"/>
        <v>1133665.4399999999</v>
      </c>
      <c r="K47" s="1187">
        <f>SUM(K44:K46)</f>
        <v>3588020.5499999998</v>
      </c>
      <c r="L47" s="1188"/>
      <c r="M47" s="1096">
        <f t="shared" si="232"/>
        <v>0</v>
      </c>
      <c r="N47" s="1096">
        <f t="shared" si="232"/>
        <v>0</v>
      </c>
      <c r="O47" s="1096">
        <f t="shared" si="232"/>
        <v>0</v>
      </c>
      <c r="P47" s="1096">
        <f t="shared" si="232"/>
        <v>2255209.98</v>
      </c>
      <c r="Q47" s="1096">
        <f t="shared" si="232"/>
        <v>2255209.98</v>
      </c>
      <c r="R47" s="1096">
        <f t="shared" si="232"/>
        <v>1021994.5700000001</v>
      </c>
      <c r="S47" s="1170"/>
      <c r="T47" s="1189"/>
      <c r="U47" s="1119"/>
      <c r="V47" s="1096">
        <f t="shared" si="233"/>
        <v>0</v>
      </c>
      <c r="W47" s="1096">
        <f t="shared" si="233"/>
        <v>0</v>
      </c>
      <c r="X47" s="1096">
        <f t="shared" si="233"/>
        <v>0</v>
      </c>
      <c r="Y47" s="1096">
        <f t="shared" si="233"/>
        <v>2970.77</v>
      </c>
      <c r="Z47" s="1096">
        <f t="shared" si="233"/>
        <v>2970.77</v>
      </c>
      <c r="AA47" s="1096">
        <f t="shared" si="233"/>
        <v>22530.119999999999</v>
      </c>
      <c r="AB47" s="1172">
        <f t="shared" si="194"/>
        <v>25500.889999999999</v>
      </c>
      <c r="AC47" s="1189"/>
      <c r="AD47" s="1125"/>
      <c r="AE47" s="1096">
        <f t="shared" si="234"/>
        <v>0</v>
      </c>
      <c r="AF47" s="1096">
        <f t="shared" si="234"/>
        <v>0</v>
      </c>
      <c r="AG47" s="1096">
        <f t="shared" si="234"/>
        <v>0</v>
      </c>
      <c r="AH47" s="1096">
        <f t="shared" si="234"/>
        <v>199145.13</v>
      </c>
      <c r="AI47" s="1096">
        <f t="shared" si="234"/>
        <v>199145.13</v>
      </c>
      <c r="AJ47" s="1096">
        <f t="shared" si="234"/>
        <v>111670.87</v>
      </c>
      <c r="AK47" s="1173"/>
      <c r="AL47" s="1189"/>
      <c r="AM47" s="1125"/>
      <c r="AN47" s="1190">
        <f t="shared" si="235"/>
        <v>0</v>
      </c>
      <c r="AO47" s="1190">
        <f t="shared" si="235"/>
        <v>0</v>
      </c>
      <c r="AP47" s="1190">
        <f t="shared" si="235"/>
        <v>0</v>
      </c>
      <c r="AQ47" s="1190">
        <f t="shared" si="235"/>
        <v>0</v>
      </c>
      <c r="AR47" s="1190">
        <f t="shared" si="235"/>
        <v>0</v>
      </c>
      <c r="AS47" s="1190">
        <f t="shared" si="235"/>
        <v>0</v>
      </c>
      <c r="AT47" s="1170"/>
      <c r="AU47" s="1191"/>
      <c r="AV47" s="1192"/>
      <c r="AW47" s="1096">
        <f t="shared" si="236"/>
        <v>0</v>
      </c>
      <c r="AX47" s="1096">
        <f t="shared" si="236"/>
        <v>0</v>
      </c>
      <c r="AY47" s="1096">
        <f t="shared" si="236"/>
        <v>0</v>
      </c>
      <c r="AZ47" s="1096">
        <f t="shared" si="236"/>
        <v>0</v>
      </c>
      <c r="BA47" s="1096">
        <f t="shared" si="236"/>
        <v>0</v>
      </c>
      <c r="BB47" s="1096">
        <f t="shared" si="236"/>
        <v>0</v>
      </c>
      <c r="BC47" s="1175"/>
      <c r="BD47" s="1052"/>
      <c r="BE47" s="1051"/>
      <c r="BF47" s="1051"/>
      <c r="BG47" s="1106"/>
      <c r="BH47" s="1106"/>
      <c r="BI47" s="1106"/>
      <c r="BJ47" s="1106"/>
      <c r="BK47" s="1106"/>
      <c r="BL47" s="1106"/>
      <c r="BM47" s="1106"/>
    </row>
    <row r="48" s="1180" customFormat="1" ht="21.75" customHeight="1">
      <c r="A48" s="1181"/>
      <c r="B48" s="1205" t="s">
        <v>400</v>
      </c>
      <c r="C48" s="1205"/>
      <c r="D48" s="1205"/>
      <c r="E48" s="1183">
        <f t="shared" si="198"/>
        <v>7796120.2800000003</v>
      </c>
      <c r="F48" s="1183">
        <f t="shared" si="187"/>
        <v>4432275.3000000007</v>
      </c>
      <c r="G48" s="1184">
        <f>G47+G43+G39+G33+G19</f>
        <v>12228395.58</v>
      </c>
      <c r="H48" s="1185"/>
      <c r="I48" s="1186">
        <f t="shared" si="189"/>
        <v>7779498</v>
      </c>
      <c r="J48" s="1186">
        <f t="shared" si="190"/>
        <v>4244615.2700000005</v>
      </c>
      <c r="K48" s="1187">
        <f>K47+K43+K39+K33+K19</f>
        <v>12024113.27</v>
      </c>
      <c r="L48" s="1206"/>
      <c r="M48" s="1207">
        <f t="shared" ref="M48:BB48" si="244">M47+M43+M39+M33+M19</f>
        <v>0</v>
      </c>
      <c r="N48" s="1207">
        <f t="shared" si="244"/>
        <v>0</v>
      </c>
      <c r="O48" s="1207">
        <f t="shared" si="244"/>
        <v>0</v>
      </c>
      <c r="P48" s="1207">
        <f t="shared" si="244"/>
        <v>7500259.4000000004</v>
      </c>
      <c r="Q48" s="1207">
        <f t="shared" si="244"/>
        <v>7500259.4000000004</v>
      </c>
      <c r="R48" s="1207">
        <f t="shared" si="244"/>
        <v>4116103.9800000004</v>
      </c>
      <c r="S48" s="1170"/>
      <c r="T48" s="1208"/>
      <c r="U48" s="1209">
        <f t="shared" si="244"/>
        <v>0</v>
      </c>
      <c r="V48" s="1209">
        <f t="shared" si="244"/>
        <v>0</v>
      </c>
      <c r="W48" s="1209">
        <f t="shared" si="244"/>
        <v>0</v>
      </c>
      <c r="X48" s="1209">
        <f t="shared" si="244"/>
        <v>0</v>
      </c>
      <c r="Y48" s="1209">
        <f t="shared" si="244"/>
        <v>16622.280000000002</v>
      </c>
      <c r="Z48" s="1209">
        <f t="shared" si="244"/>
        <v>16622.280000000002</v>
      </c>
      <c r="AA48" s="1209">
        <f t="shared" si="244"/>
        <v>187660.03</v>
      </c>
      <c r="AB48" s="1172">
        <f t="shared" si="194"/>
        <v>204282.31</v>
      </c>
      <c r="AC48" s="1208"/>
      <c r="AD48" s="1210">
        <f t="shared" si="244"/>
        <v>0</v>
      </c>
      <c r="AE48" s="1209">
        <f t="shared" si="244"/>
        <v>0</v>
      </c>
      <c r="AF48" s="1209">
        <f t="shared" si="244"/>
        <v>0</v>
      </c>
      <c r="AG48" s="1209">
        <f t="shared" si="244"/>
        <v>0</v>
      </c>
      <c r="AH48" s="1209">
        <f t="shared" si="244"/>
        <v>279238.59999999998</v>
      </c>
      <c r="AI48" s="1209">
        <f t="shared" si="244"/>
        <v>279238.59999999998</v>
      </c>
      <c r="AJ48" s="1209">
        <f t="shared" si="244"/>
        <v>128511.28999999999</v>
      </c>
      <c r="AK48" s="1173"/>
      <c r="AL48" s="1208"/>
      <c r="AM48" s="1210">
        <f t="shared" si="244"/>
        <v>0</v>
      </c>
      <c r="AN48" s="1211">
        <f t="shared" si="244"/>
        <v>0</v>
      </c>
      <c r="AO48" s="1211">
        <f t="shared" si="244"/>
        <v>0</v>
      </c>
      <c r="AP48" s="1211">
        <f t="shared" si="244"/>
        <v>0</v>
      </c>
      <c r="AQ48" s="1211">
        <f t="shared" si="244"/>
        <v>0</v>
      </c>
      <c r="AR48" s="1211">
        <f t="shared" si="244"/>
        <v>0</v>
      </c>
      <c r="AS48" s="1211">
        <f t="shared" si="244"/>
        <v>0</v>
      </c>
      <c r="AT48" s="1170"/>
      <c r="AU48" s="1212"/>
      <c r="AV48" s="1209">
        <f t="shared" si="244"/>
        <v>0</v>
      </c>
      <c r="AW48" s="1209">
        <f t="shared" si="244"/>
        <v>0</v>
      </c>
      <c r="AX48" s="1209">
        <f t="shared" si="244"/>
        <v>0</v>
      </c>
      <c r="AY48" s="1209">
        <f t="shared" si="244"/>
        <v>0</v>
      </c>
      <c r="AZ48" s="1209">
        <f t="shared" si="244"/>
        <v>0</v>
      </c>
      <c r="BA48" s="1209">
        <f t="shared" si="244"/>
        <v>0</v>
      </c>
      <c r="BB48" s="1209">
        <f t="shared" si="244"/>
        <v>0</v>
      </c>
      <c r="BC48" s="1175"/>
      <c r="BD48" s="1052"/>
      <c r="BE48" s="1051"/>
      <c r="BF48" s="1051"/>
      <c r="BG48" s="1106"/>
      <c r="BH48" s="1106"/>
      <c r="BI48" s="1106"/>
      <c r="BJ48" s="1106"/>
      <c r="BK48" s="1106"/>
      <c r="BL48" s="1106"/>
      <c r="BM48" s="1106"/>
    </row>
    <row r="49" ht="21.75" customHeight="1">
      <c r="A49" s="999" t="s">
        <v>401</v>
      </c>
      <c r="B49" s="1202" t="s">
        <v>402</v>
      </c>
      <c r="C49" s="1202"/>
      <c r="D49" s="1202"/>
      <c r="E49" s="1164">
        <f t="shared" si="198"/>
        <v>4993.6999999999998</v>
      </c>
      <c r="F49" s="1164">
        <f t="shared" si="187"/>
        <v>239465.28</v>
      </c>
      <c r="G49" s="1165">
        <f t="shared" ref="G49:G50" si="245">E49+F49</f>
        <v>244458.98000000001</v>
      </c>
      <c r="H49" s="1166"/>
      <c r="I49" s="1167">
        <f t="shared" si="189"/>
        <v>4993.6999999999998</v>
      </c>
      <c r="J49" s="1167">
        <f t="shared" si="190"/>
        <v>126814.67999999999</v>
      </c>
      <c r="K49" s="1168">
        <f t="shared" ref="K49:K50" si="246">I49+J49</f>
        <v>131808.38</v>
      </c>
      <c r="L49" s="1119"/>
      <c r="M49" s="1169"/>
      <c r="N49" s="1177"/>
      <c r="O49" s="1169"/>
      <c r="P49" s="1169">
        <v>4993.6999999999998</v>
      </c>
      <c r="Q49" s="1169">
        <f t="shared" ref="Q49:Q50" si="247">SUM(M49:P49)</f>
        <v>4993.6999999999998</v>
      </c>
      <c r="R49" s="1169">
        <v>126814.67999999999</v>
      </c>
      <c r="S49" s="1170"/>
      <c r="T49" s="1171"/>
      <c r="U49" s="1119"/>
      <c r="V49" s="1169"/>
      <c r="W49" s="1177"/>
      <c r="X49" s="1177"/>
      <c r="Y49" s="1169"/>
      <c r="Z49" s="1169">
        <f t="shared" ref="Z49:Z50" si="248">SUM(V49:Y49)</f>
        <v>0</v>
      </c>
      <c r="AA49" s="1169">
        <v>112650.60000000001</v>
      </c>
      <c r="AB49" s="1172">
        <f t="shared" si="194"/>
        <v>112650.60000000001</v>
      </c>
      <c r="AC49" s="1171"/>
      <c r="AD49" s="1128"/>
      <c r="AE49" s="1169"/>
      <c r="AF49" s="1177"/>
      <c r="AG49" s="1177"/>
      <c r="AH49" s="1169"/>
      <c r="AI49" s="1169">
        <f t="shared" ref="AI49:AI50" si="249">SUM(AE49:AH49)</f>
        <v>0</v>
      </c>
      <c r="AJ49" s="1169"/>
      <c r="AK49" s="1173"/>
      <c r="AL49" s="1171"/>
      <c r="AM49" s="1128"/>
      <c r="AN49" s="1170"/>
      <c r="AO49" s="1175"/>
      <c r="AP49" s="1175"/>
      <c r="AQ49" s="1170"/>
      <c r="AR49" s="1170">
        <f t="shared" ref="AR49:AR50" si="250">SUM(AN49:AQ49)</f>
        <v>0</v>
      </c>
      <c r="AS49" s="1170"/>
      <c r="AT49" s="1170"/>
      <c r="AU49" s="1174"/>
      <c r="AV49" s="1131"/>
      <c r="AW49" s="1169"/>
      <c r="AX49" s="1177"/>
      <c r="AY49" s="1177"/>
      <c r="AZ49" s="1169"/>
      <c r="BA49" s="1169">
        <f t="shared" ref="BA49:BA50" si="251">SUM(AW49:AZ49)</f>
        <v>0</v>
      </c>
      <c r="BB49" s="1169"/>
      <c r="BC49" s="1175"/>
      <c r="BD49" s="1027"/>
      <c r="BE49" s="1029"/>
      <c r="BF49" s="1029"/>
    </row>
    <row r="50" ht="21.75" customHeight="1">
      <c r="A50" s="999" t="s">
        <v>403</v>
      </c>
      <c r="B50" s="1202" t="s">
        <v>404</v>
      </c>
      <c r="C50" s="1202"/>
      <c r="D50" s="1202"/>
      <c r="E50" s="1164">
        <f t="shared" si="198"/>
        <v>2700</v>
      </c>
      <c r="F50" s="1164">
        <f t="shared" si="187"/>
        <v>64505.459999999999</v>
      </c>
      <c r="G50" s="1165">
        <f t="shared" si="245"/>
        <v>67205.459999999992</v>
      </c>
      <c r="H50" s="1166"/>
      <c r="I50" s="1167">
        <f t="shared" si="189"/>
        <v>2700</v>
      </c>
      <c r="J50" s="1167">
        <f t="shared" si="190"/>
        <v>19445.220000000001</v>
      </c>
      <c r="K50" s="1168">
        <f t="shared" si="246"/>
        <v>22145.220000000001</v>
      </c>
      <c r="L50" s="1119"/>
      <c r="M50" s="1169"/>
      <c r="N50" s="1177"/>
      <c r="O50" s="1169"/>
      <c r="P50" s="1169">
        <v>2700</v>
      </c>
      <c r="Q50" s="1169">
        <f t="shared" si="247"/>
        <v>2700</v>
      </c>
      <c r="R50" s="1169">
        <v>19445.220000000001</v>
      </c>
      <c r="S50" s="1170"/>
      <c r="T50" s="1171"/>
      <c r="U50" s="1119"/>
      <c r="V50" s="1169"/>
      <c r="W50" s="1177"/>
      <c r="X50" s="1177"/>
      <c r="Y50" s="1169"/>
      <c r="Z50" s="1169">
        <f t="shared" si="248"/>
        <v>0</v>
      </c>
      <c r="AA50" s="1169">
        <v>45060.239999999998</v>
      </c>
      <c r="AB50" s="1172">
        <f t="shared" si="194"/>
        <v>45060.239999999998</v>
      </c>
      <c r="AC50" s="1171"/>
      <c r="AD50" s="1128"/>
      <c r="AE50" s="1169"/>
      <c r="AF50" s="1177"/>
      <c r="AG50" s="1177"/>
      <c r="AH50" s="1169"/>
      <c r="AI50" s="1169">
        <f t="shared" si="249"/>
        <v>0</v>
      </c>
      <c r="AJ50" s="1169"/>
      <c r="AK50" s="1173"/>
      <c r="AL50" s="1171"/>
      <c r="AM50" s="1128"/>
      <c r="AN50" s="1170"/>
      <c r="AO50" s="1175"/>
      <c r="AP50" s="1175"/>
      <c r="AQ50" s="1170"/>
      <c r="AR50" s="1170">
        <f t="shared" si="250"/>
        <v>0</v>
      </c>
      <c r="AS50" s="1170"/>
      <c r="AT50" s="1170"/>
      <c r="AU50" s="1174"/>
      <c r="AV50" s="1131"/>
      <c r="AW50" s="1169"/>
      <c r="AX50" s="1177"/>
      <c r="AY50" s="1177"/>
      <c r="AZ50" s="1169"/>
      <c r="BA50" s="1169">
        <f t="shared" si="251"/>
        <v>0</v>
      </c>
      <c r="BB50" s="1169"/>
      <c r="BC50" s="1175"/>
      <c r="BD50" s="1027"/>
      <c r="BE50" s="1029"/>
      <c r="BF50" s="1029"/>
    </row>
    <row r="51" s="1180" customFormat="1" ht="21.75" customHeight="1">
      <c r="A51" s="1181"/>
      <c r="B51" s="1205" t="s">
        <v>405</v>
      </c>
      <c r="C51" s="1205"/>
      <c r="D51" s="1205"/>
      <c r="E51" s="1183">
        <f t="shared" si="198"/>
        <v>7693.6999999999998</v>
      </c>
      <c r="F51" s="1183">
        <f t="shared" si="187"/>
        <v>303970.73999999999</v>
      </c>
      <c r="G51" s="1184">
        <f>G49+G50</f>
        <v>311664.44</v>
      </c>
      <c r="H51" s="1185"/>
      <c r="I51" s="1186">
        <f t="shared" si="189"/>
        <v>7693.6999999999998</v>
      </c>
      <c r="J51" s="1186">
        <f t="shared" si="190"/>
        <v>146259.89999999999</v>
      </c>
      <c r="K51" s="1187">
        <f>K49+K50</f>
        <v>153953.60000000001</v>
      </c>
      <c r="L51" s="1206"/>
      <c r="M51" s="1213">
        <f>M49+M50</f>
        <v>0</v>
      </c>
      <c r="N51" s="1213">
        <f t="shared" ref="N51:AJ51" si="252">N49+N50</f>
        <v>0</v>
      </c>
      <c r="O51" s="1213">
        <f>O49+O50</f>
        <v>0</v>
      </c>
      <c r="P51" s="1213">
        <f t="shared" si="252"/>
        <v>7693.6999999999998</v>
      </c>
      <c r="Q51" s="1213">
        <f t="shared" si="252"/>
        <v>7693.6999999999998</v>
      </c>
      <c r="R51" s="1213">
        <f>R49+R50</f>
        <v>146259.89999999999</v>
      </c>
      <c r="S51" s="1170"/>
      <c r="T51" s="1214"/>
      <c r="U51" s="1206"/>
      <c r="V51" s="1209">
        <f t="shared" si="252"/>
        <v>0</v>
      </c>
      <c r="W51" s="1209">
        <f t="shared" si="252"/>
        <v>0</v>
      </c>
      <c r="X51" s="1209">
        <f t="shared" si="252"/>
        <v>0</v>
      </c>
      <c r="Y51" s="1209">
        <f t="shared" si="252"/>
        <v>0</v>
      </c>
      <c r="Z51" s="1209">
        <f t="shared" si="252"/>
        <v>0</v>
      </c>
      <c r="AA51" s="1209">
        <f t="shared" si="252"/>
        <v>157710.84</v>
      </c>
      <c r="AB51" s="1172">
        <f t="shared" si="194"/>
        <v>157710.84</v>
      </c>
      <c r="AC51" s="1208"/>
      <c r="AD51" s="1210"/>
      <c r="AE51" s="1209">
        <f t="shared" si="252"/>
        <v>0</v>
      </c>
      <c r="AF51" s="1209">
        <f t="shared" si="252"/>
        <v>0</v>
      </c>
      <c r="AG51" s="1209">
        <f t="shared" si="252"/>
        <v>0</v>
      </c>
      <c r="AH51" s="1209">
        <f t="shared" si="252"/>
        <v>0</v>
      </c>
      <c r="AI51" s="1209">
        <f t="shared" si="252"/>
        <v>0</v>
      </c>
      <c r="AJ51" s="1209">
        <f t="shared" si="252"/>
        <v>0</v>
      </c>
      <c r="AK51" s="1173"/>
      <c r="AL51" s="1208"/>
      <c r="AM51" s="1210"/>
      <c r="AN51" s="1211">
        <f t="shared" ref="AN51:BB51" si="253">AN49+AN50</f>
        <v>0</v>
      </c>
      <c r="AO51" s="1211">
        <f t="shared" si="253"/>
        <v>0</v>
      </c>
      <c r="AP51" s="1211">
        <f t="shared" si="253"/>
        <v>0</v>
      </c>
      <c r="AQ51" s="1211">
        <f t="shared" si="253"/>
        <v>0</v>
      </c>
      <c r="AR51" s="1211">
        <f t="shared" si="253"/>
        <v>0</v>
      </c>
      <c r="AS51" s="1211">
        <f t="shared" si="253"/>
        <v>0</v>
      </c>
      <c r="AT51" s="1170"/>
      <c r="AU51" s="1212"/>
      <c r="AV51" s="1206">
        <f t="shared" si="253"/>
        <v>0</v>
      </c>
      <c r="AW51" s="1209">
        <f t="shared" si="253"/>
        <v>0</v>
      </c>
      <c r="AX51" s="1209">
        <f t="shared" si="253"/>
        <v>0</v>
      </c>
      <c r="AY51" s="1209">
        <f t="shared" si="253"/>
        <v>0</v>
      </c>
      <c r="AZ51" s="1209">
        <f t="shared" si="253"/>
        <v>0</v>
      </c>
      <c r="BA51" s="1209">
        <f t="shared" si="253"/>
        <v>0</v>
      </c>
      <c r="BB51" s="1209">
        <f t="shared" si="253"/>
        <v>0</v>
      </c>
      <c r="BC51" s="1175"/>
      <c r="BD51" s="1052"/>
      <c r="BE51" s="1051"/>
      <c r="BF51" s="1051"/>
      <c r="BG51" s="1106"/>
      <c r="BH51" s="1106"/>
      <c r="BI51" s="1106"/>
      <c r="BJ51" s="1106"/>
      <c r="BK51" s="1106"/>
      <c r="BL51" s="1106"/>
      <c r="BM51" s="1106"/>
    </row>
    <row r="52" s="1180" customFormat="1" ht="21.75" customHeight="1">
      <c r="A52" s="1181"/>
      <c r="B52" s="1205" t="s">
        <v>406</v>
      </c>
      <c r="C52" s="1205"/>
      <c r="D52" s="1205"/>
      <c r="E52" s="1183">
        <f t="shared" si="198"/>
        <v>7803813.9800000004</v>
      </c>
      <c r="F52" s="1183">
        <f t="shared" si="187"/>
        <v>4736246.040000001</v>
      </c>
      <c r="G52" s="1184">
        <f>G51+G48</f>
        <v>12540060.02</v>
      </c>
      <c r="H52" s="1185"/>
      <c r="I52" s="1186">
        <f t="shared" si="189"/>
        <v>7787191.7000000002</v>
      </c>
      <c r="J52" s="1186">
        <f t="shared" si="190"/>
        <v>4390875.1700000009</v>
      </c>
      <c r="K52" s="1187">
        <f>K51+K48</f>
        <v>12178066.869999999</v>
      </c>
      <c r="L52" s="1206"/>
      <c r="M52" s="1207">
        <f t="shared" ref="M52:BB52" si="254">M51+M48</f>
        <v>0</v>
      </c>
      <c r="N52" s="1207">
        <f t="shared" si="254"/>
        <v>0</v>
      </c>
      <c r="O52" s="1207">
        <f t="shared" si="254"/>
        <v>0</v>
      </c>
      <c r="P52" s="1207">
        <f t="shared" si="254"/>
        <v>7507953.1000000006</v>
      </c>
      <c r="Q52" s="1207">
        <f t="shared" si="254"/>
        <v>7507953.1000000006</v>
      </c>
      <c r="R52" s="1207">
        <f t="shared" si="254"/>
        <v>4262363.8800000008</v>
      </c>
      <c r="S52" s="1170"/>
      <c r="T52" s="1208"/>
      <c r="U52" s="1209">
        <f t="shared" si="254"/>
        <v>0</v>
      </c>
      <c r="V52" s="1209">
        <f t="shared" si="254"/>
        <v>0</v>
      </c>
      <c r="W52" s="1209">
        <f t="shared" si="254"/>
        <v>0</v>
      </c>
      <c r="X52" s="1209">
        <f t="shared" si="254"/>
        <v>0</v>
      </c>
      <c r="Y52" s="1209">
        <f t="shared" si="254"/>
        <v>16622.280000000002</v>
      </c>
      <c r="Z52" s="1209">
        <f t="shared" si="254"/>
        <v>16622.280000000002</v>
      </c>
      <c r="AA52" s="1209">
        <f t="shared" si="254"/>
        <v>345370.87</v>
      </c>
      <c r="AB52" s="1172">
        <f t="shared" si="194"/>
        <v>361993.15000000002</v>
      </c>
      <c r="AC52" s="1208"/>
      <c r="AD52" s="1210">
        <f t="shared" si="254"/>
        <v>0</v>
      </c>
      <c r="AE52" s="1209">
        <f t="shared" si="254"/>
        <v>0</v>
      </c>
      <c r="AF52" s="1209">
        <f t="shared" si="254"/>
        <v>0</v>
      </c>
      <c r="AG52" s="1209">
        <f t="shared" si="254"/>
        <v>0</v>
      </c>
      <c r="AH52" s="1209">
        <f t="shared" si="254"/>
        <v>279238.59999999998</v>
      </c>
      <c r="AI52" s="1209">
        <f t="shared" si="254"/>
        <v>279238.59999999998</v>
      </c>
      <c r="AJ52" s="1209">
        <f t="shared" si="254"/>
        <v>128511.28999999999</v>
      </c>
      <c r="AK52" s="1173"/>
      <c r="AL52" s="1208"/>
      <c r="AM52" s="1210">
        <f t="shared" si="254"/>
        <v>0</v>
      </c>
      <c r="AN52" s="1211">
        <f t="shared" si="254"/>
        <v>0</v>
      </c>
      <c r="AO52" s="1211">
        <f t="shared" si="254"/>
        <v>0</v>
      </c>
      <c r="AP52" s="1211">
        <f t="shared" si="254"/>
        <v>0</v>
      </c>
      <c r="AQ52" s="1211">
        <f t="shared" si="254"/>
        <v>0</v>
      </c>
      <c r="AR52" s="1211">
        <f t="shared" si="254"/>
        <v>0</v>
      </c>
      <c r="AS52" s="1211">
        <f t="shared" si="254"/>
        <v>0</v>
      </c>
      <c r="AT52" s="1170"/>
      <c r="AU52" s="1212"/>
      <c r="AV52" s="1209">
        <f t="shared" si="254"/>
        <v>0</v>
      </c>
      <c r="AW52" s="1209">
        <f t="shared" si="254"/>
        <v>0</v>
      </c>
      <c r="AX52" s="1209">
        <f t="shared" si="254"/>
        <v>0</v>
      </c>
      <c r="AY52" s="1209">
        <f t="shared" si="254"/>
        <v>0</v>
      </c>
      <c r="AZ52" s="1209">
        <f t="shared" si="254"/>
        <v>0</v>
      </c>
      <c r="BA52" s="1209">
        <f t="shared" si="254"/>
        <v>0</v>
      </c>
      <c r="BB52" s="1209">
        <f t="shared" si="254"/>
        <v>0</v>
      </c>
      <c r="BC52" s="1175"/>
      <c r="BD52" s="1052"/>
      <c r="BE52" s="1051"/>
      <c r="BF52" s="1051"/>
      <c r="BG52" s="1106"/>
      <c r="BH52" s="1106"/>
      <c r="BI52" s="1106"/>
      <c r="BJ52" s="1106"/>
      <c r="BK52" s="1106"/>
      <c r="BL52" s="1106"/>
      <c r="BM52" s="1106"/>
    </row>
    <row r="53" ht="21.75" customHeight="1">
      <c r="B53" s="1202" t="s">
        <v>407</v>
      </c>
      <c r="C53" s="1202"/>
      <c r="D53" s="1202"/>
      <c r="E53" s="1164">
        <f t="shared" si="198"/>
        <v>0</v>
      </c>
      <c r="F53" s="1164">
        <f t="shared" si="187"/>
        <v>0</v>
      </c>
      <c r="G53" s="1165">
        <f t="shared" ref="G53:G60" si="255">E53+F53</f>
        <v>0</v>
      </c>
      <c r="H53" s="1166"/>
      <c r="I53" s="1167">
        <f t="shared" si="189"/>
        <v>0</v>
      </c>
      <c r="J53" s="1167">
        <f t="shared" si="190"/>
        <v>0</v>
      </c>
      <c r="K53" s="1168">
        <f t="shared" ref="K53:K60" si="256">I53+J53</f>
        <v>0</v>
      </c>
      <c r="L53" s="1119"/>
      <c r="M53" s="1169"/>
      <c r="N53" s="1177"/>
      <c r="O53" s="1169"/>
      <c r="P53" s="1169"/>
      <c r="Q53" s="1169">
        <f t="shared" ref="Q53:Q60" si="257">SUM(M53:P53)</f>
        <v>0</v>
      </c>
      <c r="R53" s="1169"/>
      <c r="S53" s="1170"/>
      <c r="T53" s="1171"/>
      <c r="U53" s="1119"/>
      <c r="V53" s="1169"/>
      <c r="W53" s="1177"/>
      <c r="X53" s="1177"/>
      <c r="Y53" s="1169"/>
      <c r="Z53" s="1169">
        <f t="shared" ref="Z53:Z60" si="258">SUM(V53:Y53)</f>
        <v>0</v>
      </c>
      <c r="AA53" s="1169"/>
      <c r="AB53" s="1172">
        <f t="shared" si="194"/>
        <v>0</v>
      </c>
      <c r="AC53" s="1171"/>
      <c r="AD53" s="1128"/>
      <c r="AE53" s="1169"/>
      <c r="AF53" s="1177"/>
      <c r="AG53" s="1177"/>
      <c r="AH53" s="1169"/>
      <c r="AI53" s="1169">
        <f t="shared" ref="AI53:AI60" si="259">SUM(AE53:AH53)</f>
        <v>0</v>
      </c>
      <c r="AJ53" s="1169"/>
      <c r="AK53" s="1173"/>
      <c r="AL53" s="1171"/>
      <c r="AM53" s="1128"/>
      <c r="AN53" s="1170"/>
      <c r="AO53" s="1175"/>
      <c r="AP53" s="1175"/>
      <c r="AQ53" s="1170"/>
      <c r="AR53" s="1170">
        <f t="shared" ref="AR53:AR60" si="260">SUM(AN53:AQ53)</f>
        <v>0</v>
      </c>
      <c r="AS53" s="1170"/>
      <c r="AT53" s="1170"/>
      <c r="AU53" s="1174"/>
      <c r="AV53" s="1131"/>
      <c r="AW53" s="1169"/>
      <c r="AX53" s="1177"/>
      <c r="AY53" s="1177"/>
      <c r="AZ53" s="1169"/>
      <c r="BA53" s="1169">
        <f t="shared" ref="BA53:BA60" si="261">SUM(AW53:AZ53)</f>
        <v>0</v>
      </c>
      <c r="BB53" s="1169"/>
      <c r="BC53" s="1175"/>
      <c r="BD53" s="1027"/>
      <c r="BE53" s="1029"/>
      <c r="BF53" s="1029"/>
    </row>
    <row r="54" ht="21.75" customHeight="1">
      <c r="A54" s="999" t="s">
        <v>408</v>
      </c>
      <c r="B54" s="1202" t="s">
        <v>409</v>
      </c>
      <c r="C54" s="1202"/>
      <c r="D54" s="1202"/>
      <c r="E54" s="1164">
        <f t="shared" si="198"/>
        <v>10553.9</v>
      </c>
      <c r="F54" s="1164">
        <f t="shared" si="187"/>
        <v>969300.17000000004</v>
      </c>
      <c r="G54" s="1165">
        <f t="shared" si="255"/>
        <v>979854.07000000007</v>
      </c>
      <c r="H54" s="1166"/>
      <c r="I54" s="1167">
        <f t="shared" si="189"/>
        <v>0</v>
      </c>
      <c r="J54" s="1167">
        <f t="shared" si="190"/>
        <v>961790.13</v>
      </c>
      <c r="K54" s="1168">
        <f t="shared" si="256"/>
        <v>961790.13</v>
      </c>
      <c r="L54" s="1119"/>
      <c r="M54" s="1169"/>
      <c r="N54" s="1177"/>
      <c r="O54" s="1169"/>
      <c r="P54" s="1169"/>
      <c r="Q54" s="1169">
        <f t="shared" si="257"/>
        <v>0</v>
      </c>
      <c r="R54" s="1169">
        <v>961790.13</v>
      </c>
      <c r="S54" s="1170"/>
      <c r="T54" s="1171"/>
      <c r="U54" s="1119"/>
      <c r="V54" s="1169"/>
      <c r="W54" s="1177"/>
      <c r="X54" s="1177"/>
      <c r="Y54" s="1169">
        <v>10553.9</v>
      </c>
      <c r="Z54" s="1169">
        <f t="shared" si="258"/>
        <v>10553.9</v>
      </c>
      <c r="AA54" s="1169">
        <v>7510.04</v>
      </c>
      <c r="AB54" s="1172">
        <f t="shared" si="194"/>
        <v>18063.939999999999</v>
      </c>
      <c r="AC54" s="1171"/>
      <c r="AD54" s="1128"/>
      <c r="AE54" s="1169"/>
      <c r="AF54" s="1177"/>
      <c r="AG54" s="1177"/>
      <c r="AH54" s="1169"/>
      <c r="AI54" s="1169">
        <f t="shared" si="259"/>
        <v>0</v>
      </c>
      <c r="AJ54" s="1169"/>
      <c r="AK54" s="1173"/>
      <c r="AL54" s="1171"/>
      <c r="AM54" s="1128"/>
      <c r="AN54" s="1170"/>
      <c r="AO54" s="1175"/>
      <c r="AP54" s="1175"/>
      <c r="AQ54" s="1170"/>
      <c r="AR54" s="1170">
        <f t="shared" si="260"/>
        <v>0</v>
      </c>
      <c r="AS54" s="1170"/>
      <c r="AT54" s="1170"/>
      <c r="AU54" s="1174"/>
      <c r="AV54" s="1131"/>
      <c r="AW54" s="1169"/>
      <c r="AX54" s="1177"/>
      <c r="AY54" s="1177"/>
      <c r="AZ54" s="1169"/>
      <c r="BA54" s="1169">
        <f t="shared" si="261"/>
        <v>0</v>
      </c>
      <c r="BB54" s="1169"/>
      <c r="BC54" s="1175"/>
      <c r="BD54" s="1027"/>
      <c r="BE54" s="1029"/>
      <c r="BF54" s="1029"/>
    </row>
    <row r="55" s="1215" customFormat="1" ht="21.75" customHeight="1">
      <c r="A55" s="1216" t="s">
        <v>410</v>
      </c>
      <c r="B55" s="1202" t="s">
        <v>411</v>
      </c>
      <c r="C55" s="1217"/>
      <c r="D55" s="1217"/>
      <c r="E55" s="1164">
        <f t="shared" si="198"/>
        <v>450220.67999999999</v>
      </c>
      <c r="F55" s="1164">
        <f t="shared" si="187"/>
        <v>536507.34000000008</v>
      </c>
      <c r="G55" s="1165">
        <f t="shared" si="255"/>
        <v>986728.02000000002</v>
      </c>
      <c r="H55" s="1166"/>
      <c r="I55" s="1167">
        <f t="shared" si="189"/>
        <v>450220.67999999999</v>
      </c>
      <c r="J55" s="1167">
        <f t="shared" si="190"/>
        <v>528997.30000000005</v>
      </c>
      <c r="K55" s="1168">
        <f t="shared" si="256"/>
        <v>979217.97999999998</v>
      </c>
      <c r="L55" s="1119"/>
      <c r="M55" s="1169"/>
      <c r="N55" s="1177"/>
      <c r="O55" s="1169"/>
      <c r="P55" s="1169">
        <v>450220.67999999999</v>
      </c>
      <c r="Q55" s="1169">
        <f t="shared" si="257"/>
        <v>450220.67999999999</v>
      </c>
      <c r="R55" s="1169">
        <v>232780.66</v>
      </c>
      <c r="S55" s="1170"/>
      <c r="T55" s="1171"/>
      <c r="U55" s="1119"/>
      <c r="V55" s="1169"/>
      <c r="W55" s="1177"/>
      <c r="X55" s="1177"/>
      <c r="Y55" s="1169"/>
      <c r="Z55" s="1169">
        <f t="shared" si="258"/>
        <v>0</v>
      </c>
      <c r="AA55" s="1169">
        <v>7510.04</v>
      </c>
      <c r="AB55" s="1172">
        <f t="shared" si="194"/>
        <v>7510.04</v>
      </c>
      <c r="AC55" s="1171"/>
      <c r="AD55" s="1128"/>
      <c r="AE55" s="1169"/>
      <c r="AF55" s="1177"/>
      <c r="AG55" s="1177"/>
      <c r="AH55" s="1169"/>
      <c r="AI55" s="1169">
        <f t="shared" si="259"/>
        <v>0</v>
      </c>
      <c r="AJ55" s="1169">
        <v>296216.64000000001</v>
      </c>
      <c r="AK55" s="1173"/>
      <c r="AL55" s="1171"/>
      <c r="AM55" s="1128"/>
      <c r="AN55" s="1170"/>
      <c r="AO55" s="1175"/>
      <c r="AP55" s="1175"/>
      <c r="AQ55" s="1170"/>
      <c r="AR55" s="1170">
        <f t="shared" si="260"/>
        <v>0</v>
      </c>
      <c r="AS55" s="1170"/>
      <c r="AT55" s="1170"/>
      <c r="AU55" s="1174"/>
      <c r="AV55" s="1119"/>
      <c r="AW55" s="1169"/>
      <c r="AX55" s="1177"/>
      <c r="AY55" s="1177"/>
      <c r="AZ55" s="1169"/>
      <c r="BA55" s="1169">
        <f t="shared" si="261"/>
        <v>0</v>
      </c>
      <c r="BB55" s="1169"/>
      <c r="BC55" s="1175"/>
      <c r="BD55" s="1027"/>
      <c r="BE55" s="1024"/>
      <c r="BF55" s="1024"/>
      <c r="BG55" s="1008"/>
      <c r="BH55" s="1008"/>
      <c r="BI55" s="1008"/>
      <c r="BJ55" s="1008"/>
      <c r="BK55" s="1008"/>
      <c r="BL55" s="1008"/>
      <c r="BM55" s="1008"/>
    </row>
    <row r="56" s="1215" customFormat="1" ht="21.75" customHeight="1">
      <c r="A56" s="1216" t="s">
        <v>412</v>
      </c>
      <c r="B56" s="1202" t="s">
        <v>413</v>
      </c>
      <c r="C56" s="1217"/>
      <c r="D56" s="1217"/>
      <c r="E56" s="1164">
        <f t="shared" si="198"/>
        <v>660.29999999999995</v>
      </c>
      <c r="F56" s="1164">
        <f t="shared" si="187"/>
        <v>231573.67000000001</v>
      </c>
      <c r="G56" s="1165">
        <f t="shared" si="255"/>
        <v>232233.97</v>
      </c>
      <c r="H56" s="1166"/>
      <c r="I56" s="1167">
        <f t="shared" si="189"/>
        <v>660.29999999999995</v>
      </c>
      <c r="J56" s="1167">
        <f t="shared" si="190"/>
        <v>231573.67000000001</v>
      </c>
      <c r="K56" s="1168">
        <f t="shared" si="256"/>
        <v>232233.97</v>
      </c>
      <c r="L56" s="1119"/>
      <c r="M56" s="1169"/>
      <c r="N56" s="1177"/>
      <c r="O56" s="1169"/>
      <c r="P56" s="1169">
        <v>660.29999999999995</v>
      </c>
      <c r="Q56" s="1169">
        <f t="shared" si="257"/>
        <v>660.29999999999995</v>
      </c>
      <c r="R56" s="1169">
        <v>231573.67000000001</v>
      </c>
      <c r="S56" s="1170"/>
      <c r="T56" s="1171"/>
      <c r="U56" s="1119"/>
      <c r="V56" s="1169"/>
      <c r="W56" s="1177"/>
      <c r="X56" s="1177"/>
      <c r="Y56" s="1169"/>
      <c r="Z56" s="1169">
        <f t="shared" si="258"/>
        <v>0</v>
      </c>
      <c r="AA56" s="1169"/>
      <c r="AB56" s="1172">
        <f t="shared" si="194"/>
        <v>0</v>
      </c>
      <c r="AC56" s="1171"/>
      <c r="AD56" s="1128"/>
      <c r="AE56" s="1169"/>
      <c r="AF56" s="1177"/>
      <c r="AG56" s="1177"/>
      <c r="AH56" s="1169"/>
      <c r="AI56" s="1169">
        <f t="shared" si="259"/>
        <v>0</v>
      </c>
      <c r="AJ56" s="1169"/>
      <c r="AK56" s="1173"/>
      <c r="AL56" s="1171"/>
      <c r="AM56" s="1128"/>
      <c r="AN56" s="1170"/>
      <c r="AO56" s="1175"/>
      <c r="AP56" s="1175"/>
      <c r="AQ56" s="1170"/>
      <c r="AR56" s="1170">
        <f t="shared" si="260"/>
        <v>0</v>
      </c>
      <c r="AS56" s="1170"/>
      <c r="AT56" s="1170"/>
      <c r="AU56" s="1174"/>
      <c r="AV56" s="1119"/>
      <c r="AW56" s="1169"/>
      <c r="AX56" s="1177"/>
      <c r="AY56" s="1177"/>
      <c r="AZ56" s="1169"/>
      <c r="BA56" s="1169">
        <f t="shared" si="261"/>
        <v>0</v>
      </c>
      <c r="BB56" s="1169"/>
      <c r="BC56" s="1175"/>
      <c r="BD56" s="1027"/>
      <c r="BE56" s="1024"/>
      <c r="BF56" s="1024"/>
      <c r="BG56" s="1008"/>
      <c r="BH56" s="1008"/>
      <c r="BI56" s="1008"/>
      <c r="BJ56" s="1008"/>
      <c r="BK56" s="1008"/>
      <c r="BL56" s="1008"/>
      <c r="BM56" s="1008"/>
    </row>
    <row r="57" s="1215" customFormat="1" ht="21.75" customHeight="1">
      <c r="A57" s="1216"/>
      <c r="B57" s="1202" t="s">
        <v>414</v>
      </c>
      <c r="C57" s="1202"/>
      <c r="D57" s="1202"/>
      <c r="E57" s="1164">
        <f t="shared" si="198"/>
        <v>0</v>
      </c>
      <c r="F57" s="1164">
        <f t="shared" si="187"/>
        <v>0</v>
      </c>
      <c r="G57" s="1165">
        <f>R57+AA57+AJ57+AS57+BB57</f>
        <v>0</v>
      </c>
      <c r="H57" s="1166"/>
      <c r="I57" s="1167">
        <f t="shared" si="189"/>
        <v>0</v>
      </c>
      <c r="J57" s="1167">
        <f t="shared" si="190"/>
        <v>0</v>
      </c>
      <c r="K57" s="1168">
        <f>V57+AE57+AN57+AW57+BF57</f>
        <v>0</v>
      </c>
      <c r="L57" s="1119"/>
      <c r="M57" s="1169"/>
      <c r="N57" s="1177"/>
      <c r="O57" s="1169"/>
      <c r="P57" s="1169"/>
      <c r="Q57" s="1169">
        <f t="shared" si="257"/>
        <v>0</v>
      </c>
      <c r="R57" s="1169"/>
      <c r="S57" s="1170"/>
      <c r="T57" s="1171"/>
      <c r="U57" s="1119"/>
      <c r="V57" s="1169"/>
      <c r="W57" s="1177"/>
      <c r="X57" s="1177"/>
      <c r="Y57" s="1169"/>
      <c r="Z57" s="1169">
        <f t="shared" si="258"/>
        <v>0</v>
      </c>
      <c r="AA57" s="1169"/>
      <c r="AB57" s="1172">
        <f t="shared" si="194"/>
        <v>0</v>
      </c>
      <c r="AC57" s="1171"/>
      <c r="AD57" s="1128"/>
      <c r="AE57" s="1169"/>
      <c r="AF57" s="1177"/>
      <c r="AG57" s="1177"/>
      <c r="AH57" s="1169"/>
      <c r="AI57" s="1169">
        <f t="shared" si="259"/>
        <v>0</v>
      </c>
      <c r="AJ57" s="1169"/>
      <c r="AK57" s="1173"/>
      <c r="AL57" s="1171"/>
      <c r="AM57" s="1128"/>
      <c r="AN57" s="1170"/>
      <c r="AO57" s="1175"/>
      <c r="AP57" s="1175"/>
      <c r="AQ57" s="1170"/>
      <c r="AR57" s="1170">
        <f t="shared" si="260"/>
        <v>0</v>
      </c>
      <c r="AS57" s="1170"/>
      <c r="AT57" s="1170"/>
      <c r="AU57" s="1174"/>
      <c r="AV57" s="1119"/>
      <c r="AW57" s="1169"/>
      <c r="AX57" s="1177"/>
      <c r="AY57" s="1177"/>
      <c r="AZ57" s="1169"/>
      <c r="BA57" s="1169">
        <f t="shared" si="261"/>
        <v>0</v>
      </c>
      <c r="BB57" s="1169"/>
      <c r="BC57" s="1175"/>
      <c r="BD57" s="1027"/>
      <c r="BE57" s="1024"/>
      <c r="BF57" s="1024"/>
      <c r="BG57" s="1008"/>
      <c r="BH57" s="1008"/>
      <c r="BI57" s="1008"/>
      <c r="BJ57" s="1008"/>
      <c r="BK57" s="1008"/>
      <c r="BL57" s="1008"/>
      <c r="BM57" s="1008"/>
    </row>
    <row r="58" s="1215" customFormat="1" ht="21.75" customHeight="1">
      <c r="A58" s="1216" t="s">
        <v>415</v>
      </c>
      <c r="B58" s="1202" t="s">
        <v>416</v>
      </c>
      <c r="C58" s="1202"/>
      <c r="D58" s="1202"/>
      <c r="E58" s="1164">
        <f t="shared" si="198"/>
        <v>103256.67999999999</v>
      </c>
      <c r="F58" s="1164">
        <f t="shared" si="187"/>
        <v>540118.03000000003</v>
      </c>
      <c r="G58" s="1165">
        <f t="shared" si="255"/>
        <v>643374.70999999996</v>
      </c>
      <c r="H58" s="1166"/>
      <c r="I58" s="1167">
        <f t="shared" si="189"/>
        <v>103256.67999999999</v>
      </c>
      <c r="J58" s="1167">
        <f t="shared" si="190"/>
        <v>540118.03000000003</v>
      </c>
      <c r="K58" s="1168">
        <f t="shared" si="256"/>
        <v>643374.70999999996</v>
      </c>
      <c r="L58" s="1119"/>
      <c r="M58" s="1169"/>
      <c r="N58" s="1177"/>
      <c r="O58" s="1169"/>
      <c r="P58" s="1169">
        <v>87219.119999999995</v>
      </c>
      <c r="Q58" s="1169">
        <f t="shared" si="257"/>
        <v>87219.119999999995</v>
      </c>
      <c r="R58" s="1169">
        <v>516448.03000000003</v>
      </c>
      <c r="S58" s="1170"/>
      <c r="T58" s="1171"/>
      <c r="U58" s="1119"/>
      <c r="V58" s="1169"/>
      <c r="W58" s="1177"/>
      <c r="X58" s="1177"/>
      <c r="Y58" s="1169"/>
      <c r="Z58" s="1169">
        <f t="shared" si="258"/>
        <v>0</v>
      </c>
      <c r="AA58" s="1169"/>
      <c r="AB58" s="1172">
        <f t="shared" si="194"/>
        <v>0</v>
      </c>
      <c r="AC58" s="1171"/>
      <c r="AD58" s="1128"/>
      <c r="AE58" s="1169"/>
      <c r="AF58" s="1177"/>
      <c r="AG58" s="1177"/>
      <c r="AH58" s="1169">
        <v>16037.559999999999</v>
      </c>
      <c r="AI58" s="1169">
        <f t="shared" si="259"/>
        <v>16037.559999999999</v>
      </c>
      <c r="AJ58" s="1169">
        <v>23670</v>
      </c>
      <c r="AK58" s="1173"/>
      <c r="AL58" s="1171"/>
      <c r="AM58" s="1128"/>
      <c r="AN58" s="1170"/>
      <c r="AO58" s="1175"/>
      <c r="AP58" s="1175"/>
      <c r="AQ58" s="1170"/>
      <c r="AR58" s="1170">
        <f t="shared" si="260"/>
        <v>0</v>
      </c>
      <c r="AS58" s="1170"/>
      <c r="AT58" s="1170"/>
      <c r="AU58" s="1174"/>
      <c r="AV58" s="1119"/>
      <c r="AW58" s="1169"/>
      <c r="AX58" s="1177"/>
      <c r="AY58" s="1177"/>
      <c r="AZ58" s="1169"/>
      <c r="BA58" s="1169">
        <f t="shared" si="261"/>
        <v>0</v>
      </c>
      <c r="BB58" s="1169"/>
      <c r="BC58" s="1175"/>
      <c r="BD58" s="1027"/>
      <c r="BE58" s="1024"/>
      <c r="BF58" s="1024"/>
      <c r="BG58" s="1008"/>
      <c r="BH58" s="1008"/>
      <c r="BI58" s="1008"/>
      <c r="BJ58" s="1008"/>
      <c r="BK58" s="1008"/>
      <c r="BL58" s="1008"/>
      <c r="BM58" s="1008"/>
    </row>
    <row r="59" s="1215" customFormat="1" ht="21.75" customHeight="1">
      <c r="A59" s="1216" t="s">
        <v>417</v>
      </c>
      <c r="B59" s="1202" t="s">
        <v>80</v>
      </c>
      <c r="C59" s="1218"/>
      <c r="D59" s="1217"/>
      <c r="E59" s="1164">
        <f t="shared" si="198"/>
        <v>90068.660000000003</v>
      </c>
      <c r="F59" s="1164">
        <f t="shared" si="187"/>
        <v>592.27999999999997</v>
      </c>
      <c r="G59" s="1165">
        <f t="shared" si="255"/>
        <v>90660.940000000002</v>
      </c>
      <c r="H59" s="1166"/>
      <c r="I59" s="1167">
        <f t="shared" si="189"/>
        <v>90068.660000000003</v>
      </c>
      <c r="J59" s="1167">
        <f t="shared" si="190"/>
        <v>592.27999999999997</v>
      </c>
      <c r="K59" s="1168">
        <f t="shared" si="256"/>
        <v>90660.940000000002</v>
      </c>
      <c r="L59" s="1119"/>
      <c r="M59" s="1169"/>
      <c r="N59" s="1199"/>
      <c r="O59" s="1169"/>
      <c r="P59" s="1169">
        <v>90068.660000000003</v>
      </c>
      <c r="Q59" s="1169">
        <f t="shared" si="257"/>
        <v>90068.660000000003</v>
      </c>
      <c r="R59" s="1169">
        <v>592.27999999999997</v>
      </c>
      <c r="S59" s="1170"/>
      <c r="T59" s="1171"/>
      <c r="U59" s="1119"/>
      <c r="V59" s="1169"/>
      <c r="W59" s="1199"/>
      <c r="X59" s="1177"/>
      <c r="Y59" s="1169"/>
      <c r="Z59" s="1169">
        <f t="shared" si="258"/>
        <v>0</v>
      </c>
      <c r="AA59" s="1169"/>
      <c r="AB59" s="1172">
        <f t="shared" si="194"/>
        <v>0</v>
      </c>
      <c r="AC59" s="1171"/>
      <c r="AD59" s="1128"/>
      <c r="AE59" s="1169"/>
      <c r="AF59" s="1199"/>
      <c r="AG59" s="1177"/>
      <c r="AH59" s="1169"/>
      <c r="AI59" s="1169">
        <f t="shared" si="259"/>
        <v>0</v>
      </c>
      <c r="AJ59" s="1169"/>
      <c r="AK59" s="1173"/>
      <c r="AL59" s="1171"/>
      <c r="AM59" s="1128"/>
      <c r="AN59" s="1170"/>
      <c r="AO59" s="1200"/>
      <c r="AP59" s="1175"/>
      <c r="AQ59" s="1170"/>
      <c r="AR59" s="1170">
        <f t="shared" si="260"/>
        <v>0</v>
      </c>
      <c r="AS59" s="1170"/>
      <c r="AT59" s="1170"/>
      <c r="AU59" s="1174"/>
      <c r="AV59" s="1119"/>
      <c r="AW59" s="1169"/>
      <c r="AX59" s="1199"/>
      <c r="AY59" s="1177"/>
      <c r="AZ59" s="1169"/>
      <c r="BA59" s="1169">
        <f t="shared" si="261"/>
        <v>0</v>
      </c>
      <c r="BB59" s="1169"/>
      <c r="BC59" s="1175"/>
      <c r="BD59" s="1027"/>
      <c r="BE59" s="1024"/>
      <c r="BF59" s="1024"/>
      <c r="BG59" s="1008"/>
      <c r="BH59" s="1008"/>
      <c r="BI59" s="1008"/>
      <c r="BJ59" s="1008"/>
      <c r="BK59" s="1008"/>
      <c r="BL59" s="1008"/>
      <c r="BM59" s="1008"/>
    </row>
    <row r="60" s="1215" customFormat="1" ht="21.75" customHeight="1">
      <c r="A60" s="1216" t="s">
        <v>418</v>
      </c>
      <c r="B60" s="1202" t="s">
        <v>419</v>
      </c>
      <c r="C60" s="1219"/>
      <c r="D60" s="1202"/>
      <c r="E60" s="1164">
        <f t="shared" si="198"/>
        <v>375785.35999999999</v>
      </c>
      <c r="F60" s="1164">
        <f t="shared" si="187"/>
        <v>1985244.9199999999</v>
      </c>
      <c r="G60" s="1165">
        <f t="shared" si="255"/>
        <v>2361030.2799999998</v>
      </c>
      <c r="H60" s="1166"/>
      <c r="I60" s="1167">
        <f t="shared" si="189"/>
        <v>360011.35999999999</v>
      </c>
      <c r="J60" s="1167">
        <f t="shared" si="190"/>
        <v>1947694.72</v>
      </c>
      <c r="K60" s="1168">
        <f t="shared" si="256"/>
        <v>2307706.0800000001</v>
      </c>
      <c r="L60" s="1119"/>
      <c r="M60" s="1169"/>
      <c r="N60" s="1177"/>
      <c r="O60" s="1169"/>
      <c r="P60" s="1169">
        <v>360011.35999999999</v>
      </c>
      <c r="Q60" s="1169">
        <f t="shared" si="257"/>
        <v>360011.35999999999</v>
      </c>
      <c r="R60" s="1169">
        <v>1945242.2</v>
      </c>
      <c r="S60" s="1170"/>
      <c r="T60" s="1171"/>
      <c r="U60" s="1119"/>
      <c r="V60" s="1169"/>
      <c r="W60" s="1177"/>
      <c r="X60" s="1177"/>
      <c r="Y60" s="1169">
        <v>15774</v>
      </c>
      <c r="Z60" s="1169">
        <f t="shared" si="258"/>
        <v>15774</v>
      </c>
      <c r="AA60" s="1169">
        <v>37550.199999999997</v>
      </c>
      <c r="AB60" s="1172">
        <f t="shared" si="194"/>
        <v>53324.199999999997</v>
      </c>
      <c r="AC60" s="1171"/>
      <c r="AD60" s="1128"/>
      <c r="AE60" s="1169"/>
      <c r="AF60" s="1177"/>
      <c r="AG60" s="1177"/>
      <c r="AH60" s="1169"/>
      <c r="AI60" s="1169">
        <f t="shared" si="259"/>
        <v>0</v>
      </c>
      <c r="AJ60" s="1169">
        <v>2452.52</v>
      </c>
      <c r="AK60" s="1173"/>
      <c r="AL60" s="1171"/>
      <c r="AM60" s="1128"/>
      <c r="AN60" s="1170"/>
      <c r="AO60" s="1175"/>
      <c r="AP60" s="1175"/>
      <c r="AQ60" s="1170"/>
      <c r="AR60" s="1170">
        <f t="shared" si="260"/>
        <v>0</v>
      </c>
      <c r="AS60" s="1170"/>
      <c r="AT60" s="1170"/>
      <c r="AU60" s="1174"/>
      <c r="AV60" s="1119"/>
      <c r="AW60" s="1169"/>
      <c r="AX60" s="1177"/>
      <c r="AY60" s="1177"/>
      <c r="AZ60" s="1169"/>
      <c r="BA60" s="1169">
        <f t="shared" si="261"/>
        <v>0</v>
      </c>
      <c r="BB60" s="1169"/>
      <c r="BC60" s="1175"/>
      <c r="BD60" s="1027"/>
      <c r="BE60" s="1024"/>
      <c r="BF60" s="1024"/>
      <c r="BG60" s="1008"/>
      <c r="BH60" s="1008"/>
      <c r="BI60" s="1008"/>
      <c r="BJ60" s="1008"/>
      <c r="BK60" s="1008"/>
      <c r="BL60" s="1008"/>
      <c r="BM60" s="1008"/>
    </row>
    <row r="61" s="1215" customFormat="1" ht="21.75" customHeight="1">
      <c r="A61" s="1216"/>
      <c r="B61" s="1205" t="s">
        <v>363</v>
      </c>
      <c r="C61" s="1205"/>
      <c r="D61" s="1205"/>
      <c r="E61" s="1183">
        <f t="shared" si="198"/>
        <v>1030545.5800000001</v>
      </c>
      <c r="F61" s="1183">
        <f t="shared" si="187"/>
        <v>4263336.4099999992</v>
      </c>
      <c r="G61" s="1220">
        <f>SUM(G53:G60)</f>
        <v>5293881.9900000002</v>
      </c>
      <c r="H61" s="1221"/>
      <c r="I61" s="1186">
        <f t="shared" si="189"/>
        <v>1004217.6800000001</v>
      </c>
      <c r="J61" s="1186">
        <f t="shared" si="190"/>
        <v>4210766.129999999</v>
      </c>
      <c r="K61" s="1222">
        <f>SUM(K53:K60)</f>
        <v>5214983.8100000005</v>
      </c>
      <c r="L61" s="1188"/>
      <c r="M61" s="1096">
        <f>SUM(M53:M60)</f>
        <v>0</v>
      </c>
      <c r="N61" s="1096">
        <f t="shared" ref="N61:AJ61" si="262">SUM(N53:N60)</f>
        <v>0</v>
      </c>
      <c r="O61" s="1096">
        <f>SUM(O53:O60)</f>
        <v>0</v>
      </c>
      <c r="P61" s="1096">
        <f t="shared" si="262"/>
        <v>988180.12</v>
      </c>
      <c r="Q61" s="1096">
        <f t="shared" si="262"/>
        <v>988180.12</v>
      </c>
      <c r="R61" s="1096">
        <f>SUM(R53:R60)</f>
        <v>3888426.9699999997</v>
      </c>
      <c r="S61" s="1170"/>
      <c r="T61" s="1189"/>
      <c r="U61" s="1188"/>
      <c r="V61" s="1096">
        <f t="shared" si="262"/>
        <v>0</v>
      </c>
      <c r="W61" s="1096">
        <f t="shared" si="262"/>
        <v>0</v>
      </c>
      <c r="X61" s="1096">
        <f t="shared" si="262"/>
        <v>0</v>
      </c>
      <c r="Y61" s="1096">
        <f t="shared" si="262"/>
        <v>26327.900000000001</v>
      </c>
      <c r="Z61" s="1096">
        <f t="shared" si="262"/>
        <v>26327.900000000001</v>
      </c>
      <c r="AA61" s="1096">
        <f t="shared" si="262"/>
        <v>52570.279999999999</v>
      </c>
      <c r="AB61" s="1172">
        <f t="shared" si="194"/>
        <v>78898.179999999993</v>
      </c>
      <c r="AC61" s="1189"/>
      <c r="AD61" s="1197"/>
      <c r="AE61" s="1096">
        <f t="shared" si="262"/>
        <v>0</v>
      </c>
      <c r="AF61" s="1096">
        <f t="shared" si="262"/>
        <v>0</v>
      </c>
      <c r="AG61" s="1096">
        <f t="shared" si="262"/>
        <v>0</v>
      </c>
      <c r="AH61" s="1096">
        <f t="shared" si="262"/>
        <v>16037.559999999999</v>
      </c>
      <c r="AI61" s="1096">
        <f t="shared" si="262"/>
        <v>16037.559999999999</v>
      </c>
      <c r="AJ61" s="1096">
        <f t="shared" si="262"/>
        <v>322339.16000000003</v>
      </c>
      <c r="AK61" s="1173"/>
      <c r="AL61" s="1189"/>
      <c r="AM61" s="1197"/>
      <c r="AN61" s="1190">
        <f t="shared" ref="AN61:BB61" si="263">SUM(AN53:AN60)</f>
        <v>0</v>
      </c>
      <c r="AO61" s="1190">
        <f t="shared" si="263"/>
        <v>0</v>
      </c>
      <c r="AP61" s="1190">
        <f t="shared" si="263"/>
        <v>0</v>
      </c>
      <c r="AQ61" s="1190">
        <f t="shared" si="263"/>
        <v>0</v>
      </c>
      <c r="AR61" s="1190">
        <f t="shared" si="263"/>
        <v>0</v>
      </c>
      <c r="AS61" s="1190">
        <f t="shared" si="263"/>
        <v>0</v>
      </c>
      <c r="AT61" s="1170"/>
      <c r="AU61" s="1191"/>
      <c r="AV61" s="1188">
        <f t="shared" si="263"/>
        <v>0</v>
      </c>
      <c r="AW61" s="1096">
        <f t="shared" si="263"/>
        <v>0</v>
      </c>
      <c r="AX61" s="1096">
        <f t="shared" si="263"/>
        <v>0</v>
      </c>
      <c r="AY61" s="1096">
        <f t="shared" si="263"/>
        <v>0</v>
      </c>
      <c r="AZ61" s="1096">
        <f t="shared" si="263"/>
        <v>0</v>
      </c>
      <c r="BA61" s="1096">
        <f t="shared" si="263"/>
        <v>0</v>
      </c>
      <c r="BB61" s="1096">
        <f t="shared" si="263"/>
        <v>0</v>
      </c>
      <c r="BC61" s="1175"/>
      <c r="BD61" s="1027"/>
      <c r="BE61" s="1024"/>
      <c r="BF61" s="1024"/>
      <c r="BG61" s="1008"/>
      <c r="BH61" s="1008"/>
      <c r="BI61" s="1008"/>
      <c r="BJ61" s="1008"/>
      <c r="BK61" s="1008"/>
      <c r="BL61" s="1008"/>
      <c r="BM61" s="1008"/>
    </row>
    <row r="62" s="1215" customFormat="1" ht="21.75" customHeight="1">
      <c r="A62" s="1216" t="s">
        <v>420</v>
      </c>
      <c r="B62" s="1202" t="s">
        <v>421</v>
      </c>
      <c r="C62" s="1203"/>
      <c r="D62" s="1202"/>
      <c r="E62" s="1164">
        <f t="shared" si="198"/>
        <v>29371.279999999999</v>
      </c>
      <c r="F62" s="1164">
        <f t="shared" si="187"/>
        <v>202310.04000000001</v>
      </c>
      <c r="G62" s="1165">
        <f t="shared" ref="G62:G74" si="264">E62+F62</f>
        <v>231681.32000000001</v>
      </c>
      <c r="H62" s="1166"/>
      <c r="I62" s="1167">
        <f t="shared" si="189"/>
        <v>29371.279999999999</v>
      </c>
      <c r="J62" s="1167">
        <f t="shared" si="190"/>
        <v>194800</v>
      </c>
      <c r="K62" s="1168">
        <f t="shared" ref="K62:K74" si="265">I62+J62</f>
        <v>224171.28</v>
      </c>
      <c r="L62" s="1119"/>
      <c r="M62" s="1169"/>
      <c r="N62" s="1177"/>
      <c r="O62" s="1169"/>
      <c r="P62" s="1169">
        <v>29371.279999999999</v>
      </c>
      <c r="Q62" s="1169">
        <f t="shared" ref="Q62:Q74" si="266">SUM(M62:P62)</f>
        <v>29371.279999999999</v>
      </c>
      <c r="R62" s="1169">
        <v>194800</v>
      </c>
      <c r="S62" s="1170"/>
      <c r="T62" s="1171"/>
      <c r="U62" s="1119"/>
      <c r="V62" s="1169"/>
      <c r="W62" s="1177"/>
      <c r="X62" s="1177"/>
      <c r="Y62" s="1169"/>
      <c r="Z62" s="1169">
        <f t="shared" ref="Z62:Z74" si="267">SUM(V62:Y62)</f>
        <v>0</v>
      </c>
      <c r="AA62" s="1169">
        <v>7510.04</v>
      </c>
      <c r="AB62" s="1172">
        <f t="shared" si="194"/>
        <v>7510.04</v>
      </c>
      <c r="AC62" s="1171"/>
      <c r="AD62" s="1128"/>
      <c r="AE62" s="1169"/>
      <c r="AF62" s="1177"/>
      <c r="AG62" s="1177"/>
      <c r="AH62" s="1169"/>
      <c r="AI62" s="1169">
        <f t="shared" ref="AI62:AI74" si="268">SUM(AE62:AH62)</f>
        <v>0</v>
      </c>
      <c r="AJ62" s="1169"/>
      <c r="AK62" s="1173"/>
      <c r="AL62" s="1171"/>
      <c r="AM62" s="1128"/>
      <c r="AN62" s="1170"/>
      <c r="AO62" s="1175"/>
      <c r="AP62" s="1175"/>
      <c r="AQ62" s="1170"/>
      <c r="AR62" s="1170">
        <f t="shared" ref="AR62:AR74" si="269">SUM(AN62:AQ62)</f>
        <v>0</v>
      </c>
      <c r="AS62" s="1170"/>
      <c r="AT62" s="1170"/>
      <c r="AU62" s="1174"/>
      <c r="AV62" s="1119"/>
      <c r="AW62" s="1169"/>
      <c r="AX62" s="1177"/>
      <c r="AY62" s="1177"/>
      <c r="AZ62" s="1169"/>
      <c r="BA62" s="1169">
        <f t="shared" ref="BA62:BA74" si="270">SUM(AW62:AZ62)</f>
        <v>0</v>
      </c>
      <c r="BB62" s="1169"/>
      <c r="BC62" s="1175"/>
      <c r="BD62" s="1027"/>
      <c r="BE62" s="1024"/>
      <c r="BF62" s="1024"/>
      <c r="BG62" s="1008"/>
      <c r="BH62" s="1008"/>
      <c r="BI62" s="1008"/>
      <c r="BJ62" s="1008"/>
      <c r="BK62" s="1008"/>
      <c r="BL62" s="1008"/>
      <c r="BM62" s="1008"/>
    </row>
    <row r="63" s="1215" customFormat="1" ht="21.75" customHeight="1">
      <c r="A63" s="1216" t="s">
        <v>422</v>
      </c>
      <c r="B63" s="1202" t="s">
        <v>68</v>
      </c>
      <c r="C63" s="1219"/>
      <c r="D63" s="1202"/>
      <c r="E63" s="1164">
        <f t="shared" si="198"/>
        <v>674979.42000000004</v>
      </c>
      <c r="F63" s="1164">
        <f t="shared" si="187"/>
        <v>11000339.529999999</v>
      </c>
      <c r="G63" s="1165">
        <f t="shared" si="264"/>
        <v>11675318.949999999</v>
      </c>
      <c r="H63" s="1166"/>
      <c r="I63" s="1167">
        <f t="shared" si="189"/>
        <v>674953.13</v>
      </c>
      <c r="J63" s="1167">
        <f t="shared" si="190"/>
        <v>11000339.529999999</v>
      </c>
      <c r="K63" s="1168">
        <f t="shared" si="265"/>
        <v>11675292.66</v>
      </c>
      <c r="L63" s="1119"/>
      <c r="M63" s="1169"/>
      <c r="N63" s="1177"/>
      <c r="O63" s="1169"/>
      <c r="P63" s="1169">
        <v>674953.13</v>
      </c>
      <c r="Q63" s="1169">
        <f t="shared" si="266"/>
        <v>674953.13</v>
      </c>
      <c r="R63" s="1169">
        <v>11000339.529999999</v>
      </c>
      <c r="S63" s="1170"/>
      <c r="T63" s="1171"/>
      <c r="U63" s="1119"/>
      <c r="V63" s="1169"/>
      <c r="W63" s="1177"/>
      <c r="X63" s="1177"/>
      <c r="Y63" s="1169">
        <v>26.289999999999999</v>
      </c>
      <c r="Z63" s="1169">
        <f t="shared" si="267"/>
        <v>26.289999999999999</v>
      </c>
      <c r="AA63" s="1169"/>
      <c r="AB63" s="1172">
        <f t="shared" si="194"/>
        <v>26.289999999999999</v>
      </c>
      <c r="AC63" s="1171"/>
      <c r="AD63" s="1128"/>
      <c r="AE63" s="1169"/>
      <c r="AF63" s="1177"/>
      <c r="AG63" s="1177"/>
      <c r="AH63" s="1169"/>
      <c r="AI63" s="1169">
        <f t="shared" si="268"/>
        <v>0</v>
      </c>
      <c r="AJ63" s="1169"/>
      <c r="AK63" s="1173"/>
      <c r="AL63" s="1171"/>
      <c r="AM63" s="1128"/>
      <c r="AN63" s="1170"/>
      <c r="AO63" s="1175"/>
      <c r="AP63" s="1175"/>
      <c r="AQ63" s="1170"/>
      <c r="AR63" s="1170">
        <f t="shared" si="269"/>
        <v>0</v>
      </c>
      <c r="AS63" s="1170"/>
      <c r="AT63" s="1170"/>
      <c r="AU63" s="1174"/>
      <c r="AV63" s="1119"/>
      <c r="AW63" s="1169"/>
      <c r="AX63" s="1177"/>
      <c r="AY63" s="1177"/>
      <c r="AZ63" s="1169"/>
      <c r="BA63" s="1169">
        <f t="shared" si="270"/>
        <v>0</v>
      </c>
      <c r="BB63" s="1169"/>
      <c r="BC63" s="1175"/>
      <c r="BD63" s="1027"/>
      <c r="BE63" s="1024"/>
      <c r="BF63" s="1024"/>
      <c r="BG63" s="1008"/>
      <c r="BH63" s="1008"/>
      <c r="BI63" s="1008"/>
      <c r="BJ63" s="1008"/>
      <c r="BK63" s="1008"/>
      <c r="BL63" s="1008"/>
      <c r="BM63" s="1008"/>
    </row>
    <row r="64" s="1215" customFormat="1" ht="21.75" customHeight="1">
      <c r="A64" s="1216" t="s">
        <v>423</v>
      </c>
      <c r="B64" s="1202" t="s">
        <v>289</v>
      </c>
      <c r="C64" s="1202"/>
      <c r="D64" s="1202"/>
      <c r="E64" s="1164">
        <f t="shared" si="198"/>
        <v>4743.1000000000004</v>
      </c>
      <c r="F64" s="1164">
        <f t="shared" si="187"/>
        <v>2879948.25</v>
      </c>
      <c r="G64" s="1165">
        <f t="shared" si="264"/>
        <v>2884691.3500000001</v>
      </c>
      <c r="H64" s="1166"/>
      <c r="I64" s="1167">
        <f t="shared" si="189"/>
        <v>4743.1000000000004</v>
      </c>
      <c r="J64" s="1167">
        <f t="shared" si="190"/>
        <v>2879948.25</v>
      </c>
      <c r="K64" s="1168">
        <f t="shared" si="265"/>
        <v>2884691.3500000001</v>
      </c>
      <c r="L64" s="1119"/>
      <c r="M64" s="1169"/>
      <c r="N64" s="1177"/>
      <c r="O64" s="1169"/>
      <c r="P64" s="1169">
        <v>4743.1000000000004</v>
      </c>
      <c r="Q64" s="1169">
        <f t="shared" si="266"/>
        <v>4743.1000000000004</v>
      </c>
      <c r="R64" s="1169">
        <v>2749054.7000000002</v>
      </c>
      <c r="S64" s="1170"/>
      <c r="T64" s="1171"/>
      <c r="U64" s="1119"/>
      <c r="V64" s="1169"/>
      <c r="W64" s="1177"/>
      <c r="X64" s="1177"/>
      <c r="Y64" s="1169"/>
      <c r="Z64" s="1169">
        <f t="shared" si="267"/>
        <v>0</v>
      </c>
      <c r="AA64" s="1169"/>
      <c r="AB64" s="1172">
        <f t="shared" si="194"/>
        <v>0</v>
      </c>
      <c r="AC64" s="1171"/>
      <c r="AD64" s="1128"/>
      <c r="AE64" s="1169"/>
      <c r="AF64" s="1177"/>
      <c r="AG64" s="1177"/>
      <c r="AH64" s="1169"/>
      <c r="AI64" s="1169">
        <f t="shared" si="268"/>
        <v>0</v>
      </c>
      <c r="AJ64" s="1169">
        <v>130893.55</v>
      </c>
      <c r="AK64" s="1173"/>
      <c r="AL64" s="1171"/>
      <c r="AM64" s="1128"/>
      <c r="AN64" s="1170"/>
      <c r="AO64" s="1175"/>
      <c r="AP64" s="1175"/>
      <c r="AQ64" s="1170"/>
      <c r="AR64" s="1170">
        <f t="shared" si="269"/>
        <v>0</v>
      </c>
      <c r="AS64" s="1170"/>
      <c r="AT64" s="1170"/>
      <c r="AU64" s="1174"/>
      <c r="AV64" s="1119"/>
      <c r="AW64" s="1169"/>
      <c r="AX64" s="1177"/>
      <c r="AY64" s="1177"/>
      <c r="AZ64" s="1169"/>
      <c r="BA64" s="1169">
        <f t="shared" si="270"/>
        <v>0</v>
      </c>
      <c r="BB64" s="1169"/>
      <c r="BC64" s="1175"/>
      <c r="BD64" s="1027"/>
      <c r="BE64" s="1024"/>
      <c r="BF64" s="1024"/>
      <c r="BG64" s="1008"/>
      <c r="BH64" s="1008"/>
      <c r="BI64" s="1008"/>
      <c r="BJ64" s="1008"/>
      <c r="BK64" s="1008"/>
      <c r="BL64" s="1008"/>
      <c r="BM64" s="1008"/>
    </row>
    <row r="65" s="1215" customFormat="1" ht="21.75" customHeight="1">
      <c r="A65" s="1216"/>
      <c r="B65" s="1202" t="s">
        <v>424</v>
      </c>
      <c r="C65" s="1219"/>
      <c r="D65" s="1202"/>
      <c r="E65" s="1164">
        <f t="shared" si="198"/>
        <v>0</v>
      </c>
      <c r="F65" s="1164">
        <f t="shared" si="187"/>
        <v>0</v>
      </c>
      <c r="G65" s="1165">
        <f t="shared" si="264"/>
        <v>0</v>
      </c>
      <c r="H65" s="1166"/>
      <c r="I65" s="1167">
        <f t="shared" si="189"/>
        <v>0</v>
      </c>
      <c r="J65" s="1167">
        <f t="shared" si="190"/>
        <v>0</v>
      </c>
      <c r="K65" s="1168">
        <f t="shared" si="265"/>
        <v>0</v>
      </c>
      <c r="L65" s="1119"/>
      <c r="M65" s="1169"/>
      <c r="N65" s="1177"/>
      <c r="O65" s="1169"/>
      <c r="P65" s="1169"/>
      <c r="Q65" s="1169">
        <f t="shared" si="266"/>
        <v>0</v>
      </c>
      <c r="R65" s="1169"/>
      <c r="S65" s="1170"/>
      <c r="T65" s="1171"/>
      <c r="U65" s="1119"/>
      <c r="V65" s="1169"/>
      <c r="W65" s="1177"/>
      <c r="X65" s="1177"/>
      <c r="Y65" s="1169"/>
      <c r="Z65" s="1169">
        <f t="shared" si="267"/>
        <v>0</v>
      </c>
      <c r="AA65" s="1169"/>
      <c r="AB65" s="1172">
        <f t="shared" si="194"/>
        <v>0</v>
      </c>
      <c r="AC65" s="1171"/>
      <c r="AD65" s="1128"/>
      <c r="AE65" s="1169"/>
      <c r="AF65" s="1177"/>
      <c r="AG65" s="1177"/>
      <c r="AH65" s="1169"/>
      <c r="AI65" s="1169">
        <f t="shared" si="268"/>
        <v>0</v>
      </c>
      <c r="AJ65" s="1169"/>
      <c r="AK65" s="1173"/>
      <c r="AL65" s="1171"/>
      <c r="AM65" s="1128"/>
      <c r="AN65" s="1170"/>
      <c r="AO65" s="1175"/>
      <c r="AP65" s="1175"/>
      <c r="AQ65" s="1170"/>
      <c r="AR65" s="1170">
        <f t="shared" si="269"/>
        <v>0</v>
      </c>
      <c r="AS65" s="1170"/>
      <c r="AT65" s="1170"/>
      <c r="AU65" s="1174"/>
      <c r="AV65" s="1119"/>
      <c r="AW65" s="1169"/>
      <c r="AX65" s="1177"/>
      <c r="AY65" s="1177"/>
      <c r="AZ65" s="1169"/>
      <c r="BA65" s="1169">
        <f t="shared" si="270"/>
        <v>0</v>
      </c>
      <c r="BB65" s="1169"/>
      <c r="BC65" s="1175"/>
      <c r="BD65" s="1027"/>
      <c r="BE65" s="1024"/>
      <c r="BF65" s="1024"/>
      <c r="BG65" s="1008"/>
      <c r="BH65" s="1008"/>
      <c r="BI65" s="1008"/>
      <c r="BJ65" s="1008"/>
      <c r="BK65" s="1008"/>
      <c r="BL65" s="1008"/>
      <c r="BM65" s="1008"/>
    </row>
    <row r="66" s="1215" customFormat="1" ht="21.75" customHeight="1">
      <c r="A66" s="1216" t="s">
        <v>425</v>
      </c>
      <c r="B66" s="1202" t="s">
        <v>426</v>
      </c>
      <c r="C66" s="1202"/>
      <c r="D66" s="1202"/>
      <c r="E66" s="1164">
        <f t="shared" si="198"/>
        <v>10556.52</v>
      </c>
      <c r="F66" s="1164">
        <f t="shared" si="187"/>
        <v>238563.73000000001</v>
      </c>
      <c r="G66" s="1165">
        <f t="shared" si="264"/>
        <v>249120.25</v>
      </c>
      <c r="H66" s="1166"/>
      <c r="I66" s="1167">
        <f t="shared" si="189"/>
        <v>10556.52</v>
      </c>
      <c r="J66" s="1167">
        <f t="shared" si="190"/>
        <v>238563.73000000001</v>
      </c>
      <c r="K66" s="1168">
        <f t="shared" si="265"/>
        <v>249120.25</v>
      </c>
      <c r="L66" s="1119"/>
      <c r="M66" s="1169"/>
      <c r="N66" s="1177"/>
      <c r="O66" s="1169"/>
      <c r="P66" s="1169">
        <v>10556.52</v>
      </c>
      <c r="Q66" s="1169">
        <f t="shared" si="266"/>
        <v>10556.52</v>
      </c>
      <c r="R66" s="1169">
        <v>238563.73000000001</v>
      </c>
      <c r="S66" s="1170"/>
      <c r="T66" s="1171"/>
      <c r="U66" s="1119"/>
      <c r="V66" s="1169"/>
      <c r="W66" s="1177"/>
      <c r="X66" s="1177"/>
      <c r="Y66" s="1169"/>
      <c r="Z66" s="1169">
        <f t="shared" si="267"/>
        <v>0</v>
      </c>
      <c r="AA66" s="1169"/>
      <c r="AB66" s="1172">
        <f t="shared" si="194"/>
        <v>0</v>
      </c>
      <c r="AC66" s="1171"/>
      <c r="AD66" s="1128"/>
      <c r="AE66" s="1169"/>
      <c r="AF66" s="1177"/>
      <c r="AG66" s="1177"/>
      <c r="AH66" s="1169"/>
      <c r="AI66" s="1169">
        <f t="shared" si="268"/>
        <v>0</v>
      </c>
      <c r="AJ66" s="1169"/>
      <c r="AK66" s="1173"/>
      <c r="AL66" s="1171"/>
      <c r="AM66" s="1128"/>
      <c r="AN66" s="1170"/>
      <c r="AO66" s="1175"/>
      <c r="AP66" s="1175"/>
      <c r="AQ66" s="1170"/>
      <c r="AR66" s="1170">
        <f t="shared" si="269"/>
        <v>0</v>
      </c>
      <c r="AS66" s="1170"/>
      <c r="AT66" s="1170"/>
      <c r="AU66" s="1174"/>
      <c r="AV66" s="1119"/>
      <c r="AW66" s="1169"/>
      <c r="AX66" s="1177"/>
      <c r="AY66" s="1177"/>
      <c r="AZ66" s="1169"/>
      <c r="BA66" s="1169">
        <f t="shared" si="270"/>
        <v>0</v>
      </c>
      <c r="BB66" s="1169"/>
      <c r="BC66" s="1175"/>
      <c r="BD66" s="1027"/>
      <c r="BE66" s="1024"/>
      <c r="BF66" s="1024"/>
      <c r="BG66" s="1008"/>
      <c r="BH66" s="1008"/>
      <c r="BI66" s="1008"/>
      <c r="BJ66" s="1008"/>
      <c r="BK66" s="1008"/>
      <c r="BL66" s="1008"/>
      <c r="BM66" s="1008"/>
    </row>
    <row r="67" s="1215" customFormat="1" ht="21.75" customHeight="1">
      <c r="A67" s="1216"/>
      <c r="B67" s="1202" t="s">
        <v>427</v>
      </c>
      <c r="C67" s="1202"/>
      <c r="D67" s="1202"/>
      <c r="E67" s="1164">
        <f t="shared" si="198"/>
        <v>0</v>
      </c>
      <c r="F67" s="1164">
        <f t="shared" si="187"/>
        <v>0</v>
      </c>
      <c r="G67" s="1165">
        <f t="shared" si="264"/>
        <v>0</v>
      </c>
      <c r="H67" s="1166"/>
      <c r="I67" s="1167">
        <f t="shared" si="189"/>
        <v>0</v>
      </c>
      <c r="J67" s="1167">
        <f t="shared" si="190"/>
        <v>0</v>
      </c>
      <c r="K67" s="1168">
        <f t="shared" si="265"/>
        <v>0</v>
      </c>
      <c r="L67" s="1119"/>
      <c r="M67" s="1169"/>
      <c r="N67" s="1177"/>
      <c r="O67" s="1169"/>
      <c r="P67" s="1169"/>
      <c r="Q67" s="1169">
        <f t="shared" si="266"/>
        <v>0</v>
      </c>
      <c r="R67" s="1169"/>
      <c r="S67" s="1170"/>
      <c r="T67" s="1171"/>
      <c r="U67" s="1119"/>
      <c r="V67" s="1169"/>
      <c r="W67" s="1177"/>
      <c r="X67" s="1177"/>
      <c r="Y67" s="1169"/>
      <c r="Z67" s="1169">
        <f t="shared" si="267"/>
        <v>0</v>
      </c>
      <c r="AA67" s="1169"/>
      <c r="AB67" s="1172">
        <f t="shared" si="194"/>
        <v>0</v>
      </c>
      <c r="AC67" s="1171"/>
      <c r="AD67" s="1128"/>
      <c r="AE67" s="1169"/>
      <c r="AF67" s="1177"/>
      <c r="AG67" s="1177"/>
      <c r="AH67" s="1169"/>
      <c r="AI67" s="1169">
        <f t="shared" si="268"/>
        <v>0</v>
      </c>
      <c r="AJ67" s="1169"/>
      <c r="AK67" s="1173"/>
      <c r="AL67" s="1171"/>
      <c r="AM67" s="1128"/>
      <c r="AN67" s="1170"/>
      <c r="AO67" s="1175"/>
      <c r="AP67" s="1175"/>
      <c r="AQ67" s="1170"/>
      <c r="AR67" s="1170">
        <f t="shared" si="269"/>
        <v>0</v>
      </c>
      <c r="AS67" s="1170"/>
      <c r="AT67" s="1170"/>
      <c r="AU67" s="1174"/>
      <c r="AV67" s="1119"/>
      <c r="AW67" s="1169"/>
      <c r="AX67" s="1177"/>
      <c r="AY67" s="1177"/>
      <c r="AZ67" s="1169"/>
      <c r="BA67" s="1169">
        <f t="shared" si="270"/>
        <v>0</v>
      </c>
      <c r="BB67" s="1169"/>
      <c r="BC67" s="1175"/>
      <c r="BD67" s="1027"/>
      <c r="BE67" s="1024"/>
      <c r="BF67" s="1024"/>
      <c r="BG67" s="1008"/>
      <c r="BH67" s="1008"/>
      <c r="BI67" s="1008"/>
      <c r="BJ67" s="1008"/>
      <c r="BK67" s="1008"/>
      <c r="BL67" s="1008"/>
      <c r="BM67" s="1008"/>
    </row>
    <row r="68" s="1215" customFormat="1" ht="21.75" customHeight="1">
      <c r="A68" s="1216" t="s">
        <v>428</v>
      </c>
      <c r="B68" s="1202" t="s">
        <v>73</v>
      </c>
      <c r="C68" s="1202"/>
      <c r="D68" s="1202"/>
      <c r="E68" s="1164">
        <f t="shared" si="198"/>
        <v>1704.8800000000001</v>
      </c>
      <c r="F68" s="1164">
        <f t="shared" si="187"/>
        <v>7906.3500000000004</v>
      </c>
      <c r="G68" s="1165">
        <f t="shared" si="264"/>
        <v>9611.2299999999996</v>
      </c>
      <c r="H68" s="1166"/>
      <c r="I68" s="1167">
        <f t="shared" si="189"/>
        <v>1704.8800000000001</v>
      </c>
      <c r="J68" s="1167">
        <f t="shared" si="190"/>
        <v>7906.3500000000004</v>
      </c>
      <c r="K68" s="1168">
        <f t="shared" si="265"/>
        <v>9611.2299999999996</v>
      </c>
      <c r="L68" s="1119"/>
      <c r="M68" s="1169"/>
      <c r="N68" s="1177"/>
      <c r="O68" s="1169"/>
      <c r="P68" s="1169">
        <v>1704.8800000000001</v>
      </c>
      <c r="Q68" s="1169">
        <f t="shared" si="266"/>
        <v>1704.8800000000001</v>
      </c>
      <c r="R68" s="1169">
        <v>6219.7700000000004</v>
      </c>
      <c r="S68" s="1170"/>
      <c r="T68" s="1171"/>
      <c r="U68" s="1119"/>
      <c r="V68" s="1169"/>
      <c r="W68" s="1177"/>
      <c r="X68" s="1177"/>
      <c r="Y68" s="1169"/>
      <c r="Z68" s="1169">
        <f t="shared" si="267"/>
        <v>0</v>
      </c>
      <c r="AA68" s="1169"/>
      <c r="AB68" s="1172">
        <f t="shared" si="194"/>
        <v>0</v>
      </c>
      <c r="AC68" s="1171"/>
      <c r="AD68" s="1128"/>
      <c r="AE68" s="1169"/>
      <c r="AF68" s="1177"/>
      <c r="AG68" s="1177"/>
      <c r="AH68" s="1169"/>
      <c r="AI68" s="1169">
        <f t="shared" si="268"/>
        <v>0</v>
      </c>
      <c r="AJ68" s="1169">
        <v>1686.5799999999999</v>
      </c>
      <c r="AK68" s="1173"/>
      <c r="AL68" s="1171"/>
      <c r="AM68" s="1128"/>
      <c r="AN68" s="1170"/>
      <c r="AO68" s="1175"/>
      <c r="AP68" s="1175"/>
      <c r="AQ68" s="1170"/>
      <c r="AR68" s="1170">
        <f t="shared" si="269"/>
        <v>0</v>
      </c>
      <c r="AS68" s="1170"/>
      <c r="AT68" s="1170"/>
      <c r="AU68" s="1174"/>
      <c r="AV68" s="1119"/>
      <c r="AW68" s="1169"/>
      <c r="AX68" s="1177"/>
      <c r="AY68" s="1177"/>
      <c r="AZ68" s="1169"/>
      <c r="BA68" s="1169">
        <f t="shared" si="270"/>
        <v>0</v>
      </c>
      <c r="BB68" s="1169"/>
      <c r="BC68" s="1175"/>
      <c r="BD68" s="1027"/>
      <c r="BE68" s="1024"/>
      <c r="BF68" s="1024"/>
      <c r="BG68" s="1008"/>
      <c r="BH68" s="1008"/>
      <c r="BI68" s="1008"/>
      <c r="BJ68" s="1008"/>
      <c r="BK68" s="1008"/>
      <c r="BL68" s="1008"/>
      <c r="BM68" s="1008"/>
    </row>
    <row r="69" s="1215" customFormat="1" ht="21.75" customHeight="1">
      <c r="A69" s="1216" t="s">
        <v>429</v>
      </c>
      <c r="B69" s="1202" t="s">
        <v>75</v>
      </c>
      <c r="C69" s="1203"/>
      <c r="D69" s="1202"/>
      <c r="E69" s="1164">
        <f t="shared" si="198"/>
        <v>0</v>
      </c>
      <c r="F69" s="1164">
        <f t="shared" si="187"/>
        <v>7529.3899999999994</v>
      </c>
      <c r="G69" s="1165">
        <f t="shared" si="264"/>
        <v>7529.3899999999994</v>
      </c>
      <c r="H69" s="1166"/>
      <c r="I69" s="1167">
        <f t="shared" si="189"/>
        <v>0</v>
      </c>
      <c r="J69" s="1167">
        <f t="shared" si="190"/>
        <v>7379.1899999999996</v>
      </c>
      <c r="K69" s="1168">
        <f t="shared" si="265"/>
        <v>7379.1899999999996</v>
      </c>
      <c r="L69" s="1119"/>
      <c r="M69" s="1169"/>
      <c r="N69" s="1177"/>
      <c r="O69" s="1169"/>
      <c r="P69" s="1169"/>
      <c r="Q69" s="1169">
        <f t="shared" si="266"/>
        <v>0</v>
      </c>
      <c r="R69" s="1169">
        <v>7379.1899999999996</v>
      </c>
      <c r="S69" s="1170"/>
      <c r="T69" s="1171"/>
      <c r="U69" s="1119"/>
      <c r="V69" s="1169"/>
      <c r="W69" s="1177"/>
      <c r="X69" s="1177"/>
      <c r="Y69" s="1169"/>
      <c r="Z69" s="1169">
        <f t="shared" si="267"/>
        <v>0</v>
      </c>
      <c r="AA69" s="1169">
        <v>150.19999999999999</v>
      </c>
      <c r="AB69" s="1172">
        <f t="shared" si="194"/>
        <v>150.19999999999999</v>
      </c>
      <c r="AC69" s="1171"/>
      <c r="AD69" s="1128"/>
      <c r="AE69" s="1169"/>
      <c r="AF69" s="1177"/>
      <c r="AG69" s="1177"/>
      <c r="AH69" s="1169"/>
      <c r="AI69" s="1169">
        <f t="shared" si="268"/>
        <v>0</v>
      </c>
      <c r="AJ69" s="1169"/>
      <c r="AK69" s="1173"/>
      <c r="AL69" s="1171"/>
      <c r="AM69" s="1128"/>
      <c r="AN69" s="1170"/>
      <c r="AO69" s="1175"/>
      <c r="AP69" s="1175"/>
      <c r="AQ69" s="1170"/>
      <c r="AR69" s="1170">
        <f t="shared" si="269"/>
        <v>0</v>
      </c>
      <c r="AS69" s="1170"/>
      <c r="AT69" s="1170"/>
      <c r="AU69" s="1174"/>
      <c r="AV69" s="1119"/>
      <c r="AW69" s="1169"/>
      <c r="AX69" s="1177"/>
      <c r="AY69" s="1177"/>
      <c r="AZ69" s="1169"/>
      <c r="BA69" s="1169">
        <f t="shared" si="270"/>
        <v>0</v>
      </c>
      <c r="BB69" s="1169"/>
      <c r="BC69" s="1175"/>
      <c r="BD69" s="1027"/>
      <c r="BE69" s="1024"/>
      <c r="BF69" s="1024"/>
      <c r="BG69" s="1008"/>
      <c r="BH69" s="1008"/>
      <c r="BI69" s="1008"/>
      <c r="BJ69" s="1008"/>
      <c r="BK69" s="1008"/>
      <c r="BL69" s="1008"/>
      <c r="BM69" s="1008"/>
    </row>
    <row r="70" s="1215" customFormat="1" ht="21.75" customHeight="1">
      <c r="A70" s="1216" t="s">
        <v>430</v>
      </c>
      <c r="B70" s="1202" t="s">
        <v>431</v>
      </c>
      <c r="C70" s="1203"/>
      <c r="D70" s="1202"/>
      <c r="E70" s="1164">
        <f t="shared" si="198"/>
        <v>0</v>
      </c>
      <c r="F70" s="1164">
        <f t="shared" si="187"/>
        <v>46546.180000000008</v>
      </c>
      <c r="G70" s="1165">
        <f t="shared" si="264"/>
        <v>46546.180000000008</v>
      </c>
      <c r="H70" s="1166"/>
      <c r="I70" s="1167">
        <f t="shared" si="189"/>
        <v>0</v>
      </c>
      <c r="J70" s="1167">
        <f t="shared" si="190"/>
        <v>39036.140000000007</v>
      </c>
      <c r="K70" s="1168">
        <f t="shared" si="265"/>
        <v>39036.140000000007</v>
      </c>
      <c r="L70" s="1119"/>
      <c r="M70" s="1169"/>
      <c r="N70" s="1177"/>
      <c r="O70" s="1169"/>
      <c r="P70" s="1169"/>
      <c r="Q70" s="1169">
        <f t="shared" si="266"/>
        <v>0</v>
      </c>
      <c r="R70" s="1169">
        <v>37549.480000000003</v>
      </c>
      <c r="S70" s="1170"/>
      <c r="T70" s="1171"/>
      <c r="U70" s="1119"/>
      <c r="V70" s="1169"/>
      <c r="W70" s="1177"/>
      <c r="X70" s="1177"/>
      <c r="Y70" s="1169"/>
      <c r="Z70" s="1169">
        <f t="shared" si="267"/>
        <v>0</v>
      </c>
      <c r="AA70" s="1169">
        <v>7510.04</v>
      </c>
      <c r="AB70" s="1172">
        <f t="shared" si="194"/>
        <v>7510.04</v>
      </c>
      <c r="AC70" s="1171"/>
      <c r="AD70" s="1128"/>
      <c r="AE70" s="1169"/>
      <c r="AF70" s="1177"/>
      <c r="AG70" s="1177"/>
      <c r="AH70" s="1169"/>
      <c r="AI70" s="1169">
        <f t="shared" si="268"/>
        <v>0</v>
      </c>
      <c r="AJ70" s="1169">
        <v>1486.6600000000001</v>
      </c>
      <c r="AK70" s="1173"/>
      <c r="AL70" s="1171"/>
      <c r="AM70" s="1128"/>
      <c r="AN70" s="1170"/>
      <c r="AO70" s="1175"/>
      <c r="AP70" s="1175"/>
      <c r="AQ70" s="1170"/>
      <c r="AR70" s="1170">
        <f t="shared" si="269"/>
        <v>0</v>
      </c>
      <c r="AS70" s="1170"/>
      <c r="AT70" s="1170"/>
      <c r="AU70" s="1174"/>
      <c r="AV70" s="1119"/>
      <c r="AW70" s="1169"/>
      <c r="AX70" s="1177"/>
      <c r="AY70" s="1177"/>
      <c r="AZ70" s="1169"/>
      <c r="BA70" s="1169">
        <f t="shared" si="270"/>
        <v>0</v>
      </c>
      <c r="BB70" s="1169"/>
      <c r="BC70" s="1175"/>
      <c r="BD70" s="1027"/>
      <c r="BE70" s="1024"/>
      <c r="BF70" s="1024"/>
      <c r="BG70" s="1008"/>
      <c r="BH70" s="1008"/>
      <c r="BI70" s="1008"/>
      <c r="BJ70" s="1008"/>
      <c r="BK70" s="1008"/>
      <c r="BL70" s="1008"/>
      <c r="BM70" s="1008"/>
    </row>
    <row r="71" s="1215" customFormat="1" ht="21.75" customHeight="1">
      <c r="A71" s="1216" t="s">
        <v>432</v>
      </c>
      <c r="B71" s="1202" t="s">
        <v>433</v>
      </c>
      <c r="C71" s="1203"/>
      <c r="D71" s="1217"/>
      <c r="E71" s="1164">
        <f t="shared" si="198"/>
        <v>0</v>
      </c>
      <c r="F71" s="1164">
        <f t="shared" si="187"/>
        <v>15002.879999999999</v>
      </c>
      <c r="G71" s="1165">
        <f t="shared" si="264"/>
        <v>15002.879999999999</v>
      </c>
      <c r="H71" s="1166"/>
      <c r="I71" s="1167">
        <f t="shared" si="189"/>
        <v>0</v>
      </c>
      <c r="J71" s="1167">
        <f t="shared" si="190"/>
        <v>15002.879999999999</v>
      </c>
      <c r="K71" s="1168">
        <f t="shared" si="265"/>
        <v>15002.879999999999</v>
      </c>
      <c r="L71" s="1119"/>
      <c r="M71" s="1169"/>
      <c r="N71" s="1177"/>
      <c r="O71" s="1169"/>
      <c r="P71" s="1169"/>
      <c r="Q71" s="1169">
        <f t="shared" si="266"/>
        <v>0</v>
      </c>
      <c r="R71" s="1169">
        <v>14166.879999999999</v>
      </c>
      <c r="S71" s="1170"/>
      <c r="T71" s="1171"/>
      <c r="U71" s="1119"/>
      <c r="V71" s="1169"/>
      <c r="W71" s="1177"/>
      <c r="X71" s="1177"/>
      <c r="Y71" s="1169"/>
      <c r="Z71" s="1169">
        <f t="shared" si="267"/>
        <v>0</v>
      </c>
      <c r="AA71" s="1169"/>
      <c r="AB71" s="1172">
        <f t="shared" si="194"/>
        <v>0</v>
      </c>
      <c r="AC71" s="1171"/>
      <c r="AD71" s="1128"/>
      <c r="AE71" s="1169"/>
      <c r="AF71" s="1177"/>
      <c r="AG71" s="1177"/>
      <c r="AH71" s="1169"/>
      <c r="AI71" s="1169">
        <f t="shared" si="268"/>
        <v>0</v>
      </c>
      <c r="AJ71" s="1169">
        <v>836</v>
      </c>
      <c r="AK71" s="1173"/>
      <c r="AL71" s="1171"/>
      <c r="AM71" s="1128"/>
      <c r="AN71" s="1170"/>
      <c r="AO71" s="1175"/>
      <c r="AP71" s="1175"/>
      <c r="AQ71" s="1170"/>
      <c r="AR71" s="1170">
        <f t="shared" si="269"/>
        <v>0</v>
      </c>
      <c r="AS71" s="1170"/>
      <c r="AT71" s="1170"/>
      <c r="AU71" s="1174"/>
      <c r="AV71" s="1119"/>
      <c r="AW71" s="1169"/>
      <c r="AX71" s="1177"/>
      <c r="AY71" s="1177"/>
      <c r="AZ71" s="1169"/>
      <c r="BA71" s="1169">
        <f t="shared" si="270"/>
        <v>0</v>
      </c>
      <c r="BB71" s="1169"/>
      <c r="BC71" s="1175"/>
      <c r="BD71" s="1027"/>
      <c r="BE71" s="1024"/>
      <c r="BF71" s="1024"/>
      <c r="BG71" s="1008"/>
      <c r="BH71" s="1008"/>
      <c r="BI71" s="1008"/>
      <c r="BJ71" s="1008"/>
      <c r="BK71" s="1008"/>
      <c r="BL71" s="1008"/>
      <c r="BM71" s="1008"/>
    </row>
    <row r="72" s="1215" customFormat="1" ht="21.75" customHeight="1">
      <c r="A72" s="1216" t="s">
        <v>434</v>
      </c>
      <c r="B72" s="1202" t="s">
        <v>435</v>
      </c>
      <c r="C72" s="1203"/>
      <c r="D72" s="1202"/>
      <c r="E72" s="1164">
        <f t="shared" si="198"/>
        <v>11357.639999999999</v>
      </c>
      <c r="F72" s="1164">
        <f t="shared" si="187"/>
        <v>112108.11</v>
      </c>
      <c r="G72" s="1165">
        <f t="shared" si="264"/>
        <v>123465.75</v>
      </c>
      <c r="H72" s="1166"/>
      <c r="I72" s="1167">
        <f t="shared" si="189"/>
        <v>11357.639999999999</v>
      </c>
      <c r="J72" s="1167">
        <f t="shared" si="190"/>
        <v>112108.11</v>
      </c>
      <c r="K72" s="1168">
        <f t="shared" si="265"/>
        <v>123465.75</v>
      </c>
      <c r="L72" s="1119"/>
      <c r="M72" s="1169"/>
      <c r="N72" s="1177"/>
      <c r="O72" s="1169"/>
      <c r="P72" s="1169">
        <v>11357.639999999999</v>
      </c>
      <c r="Q72" s="1169">
        <f t="shared" si="266"/>
        <v>11357.639999999999</v>
      </c>
      <c r="R72" s="1169">
        <v>112108.11</v>
      </c>
      <c r="S72" s="1170"/>
      <c r="T72" s="1171"/>
      <c r="U72" s="1119"/>
      <c r="V72" s="1169"/>
      <c r="W72" s="1177"/>
      <c r="X72" s="1177"/>
      <c r="Y72" s="1169"/>
      <c r="Z72" s="1169">
        <f t="shared" si="267"/>
        <v>0</v>
      </c>
      <c r="AA72" s="1169"/>
      <c r="AB72" s="1172">
        <f t="shared" si="194"/>
        <v>0</v>
      </c>
      <c r="AC72" s="1171"/>
      <c r="AD72" s="1128"/>
      <c r="AE72" s="1169"/>
      <c r="AF72" s="1177"/>
      <c r="AG72" s="1177"/>
      <c r="AH72" s="1169"/>
      <c r="AI72" s="1169">
        <f t="shared" si="268"/>
        <v>0</v>
      </c>
      <c r="AJ72" s="1169"/>
      <c r="AK72" s="1173"/>
      <c r="AL72" s="1171"/>
      <c r="AM72" s="1128"/>
      <c r="AN72" s="1170"/>
      <c r="AO72" s="1175"/>
      <c r="AP72" s="1175"/>
      <c r="AQ72" s="1170"/>
      <c r="AR72" s="1170">
        <f t="shared" si="269"/>
        <v>0</v>
      </c>
      <c r="AS72" s="1170"/>
      <c r="AT72" s="1170"/>
      <c r="AU72" s="1174"/>
      <c r="AV72" s="1119"/>
      <c r="AW72" s="1169"/>
      <c r="AX72" s="1177"/>
      <c r="AY72" s="1177"/>
      <c r="AZ72" s="1169"/>
      <c r="BA72" s="1169">
        <f t="shared" si="270"/>
        <v>0</v>
      </c>
      <c r="BB72" s="1169"/>
      <c r="BC72" s="1175"/>
      <c r="BD72" s="1027"/>
      <c r="BE72" s="1024"/>
      <c r="BF72" s="1024"/>
      <c r="BG72" s="1008"/>
      <c r="BH72" s="1008"/>
      <c r="BI72" s="1008"/>
      <c r="BJ72" s="1008"/>
      <c r="BK72" s="1008"/>
      <c r="BL72" s="1008"/>
      <c r="BM72" s="1008"/>
    </row>
    <row r="73" s="1215" customFormat="1" ht="21.75" customHeight="1">
      <c r="A73" s="1216"/>
      <c r="B73" s="1202" t="s">
        <v>436</v>
      </c>
      <c r="C73" s="1202"/>
      <c r="D73" s="1202"/>
      <c r="E73" s="1164">
        <f t="shared" si="198"/>
        <v>0</v>
      </c>
      <c r="F73" s="1164">
        <f t="shared" si="187"/>
        <v>0</v>
      </c>
      <c r="G73" s="1165">
        <f t="shared" si="264"/>
        <v>0</v>
      </c>
      <c r="H73" s="1166"/>
      <c r="I73" s="1167">
        <f t="shared" si="189"/>
        <v>0</v>
      </c>
      <c r="J73" s="1167">
        <f t="shared" si="190"/>
        <v>0</v>
      </c>
      <c r="K73" s="1168">
        <f t="shared" si="265"/>
        <v>0</v>
      </c>
      <c r="L73" s="1119"/>
      <c r="M73" s="1169"/>
      <c r="N73" s="1177"/>
      <c r="O73" s="1169"/>
      <c r="P73" s="1169"/>
      <c r="Q73" s="1169">
        <f t="shared" si="266"/>
        <v>0</v>
      </c>
      <c r="R73" s="1169"/>
      <c r="S73" s="1170"/>
      <c r="T73" s="1171"/>
      <c r="U73" s="1119"/>
      <c r="V73" s="1169"/>
      <c r="W73" s="1177"/>
      <c r="X73" s="1177"/>
      <c r="Y73" s="1169"/>
      <c r="Z73" s="1169">
        <f t="shared" si="267"/>
        <v>0</v>
      </c>
      <c r="AA73" s="1169"/>
      <c r="AB73" s="1172">
        <f t="shared" si="194"/>
        <v>0</v>
      </c>
      <c r="AC73" s="1171"/>
      <c r="AD73" s="1128"/>
      <c r="AE73" s="1169"/>
      <c r="AF73" s="1177"/>
      <c r="AG73" s="1177"/>
      <c r="AH73" s="1169"/>
      <c r="AI73" s="1169">
        <f t="shared" si="268"/>
        <v>0</v>
      </c>
      <c r="AJ73" s="1169"/>
      <c r="AK73" s="1173"/>
      <c r="AL73" s="1171"/>
      <c r="AM73" s="1128"/>
      <c r="AN73" s="1170"/>
      <c r="AO73" s="1175"/>
      <c r="AP73" s="1175"/>
      <c r="AQ73" s="1170"/>
      <c r="AR73" s="1170">
        <f t="shared" si="269"/>
        <v>0</v>
      </c>
      <c r="AS73" s="1170"/>
      <c r="AT73" s="1170"/>
      <c r="AU73" s="1174"/>
      <c r="AV73" s="1119"/>
      <c r="AW73" s="1169"/>
      <c r="AX73" s="1177"/>
      <c r="AY73" s="1177"/>
      <c r="AZ73" s="1169"/>
      <c r="BA73" s="1169">
        <f t="shared" si="270"/>
        <v>0</v>
      </c>
      <c r="BB73" s="1169"/>
      <c r="BC73" s="1175"/>
      <c r="BD73" s="1027"/>
      <c r="BE73" s="1024"/>
      <c r="BF73" s="1024"/>
      <c r="BG73" s="1008"/>
      <c r="BH73" s="1008"/>
      <c r="BI73" s="1008"/>
      <c r="BJ73" s="1008"/>
      <c r="BK73" s="1008"/>
      <c r="BL73" s="1008"/>
      <c r="BM73" s="1008"/>
    </row>
    <row r="74" s="1215" customFormat="1" ht="21.75" customHeight="1">
      <c r="A74" s="1216" t="s">
        <v>437</v>
      </c>
      <c r="B74" s="1202" t="s">
        <v>78</v>
      </c>
      <c r="C74" s="1223"/>
      <c r="D74" s="1223"/>
      <c r="E74" s="1164">
        <f t="shared" si="198"/>
        <v>0</v>
      </c>
      <c r="F74" s="1164">
        <f t="shared" si="187"/>
        <v>0</v>
      </c>
      <c r="G74" s="1165">
        <f t="shared" si="264"/>
        <v>0</v>
      </c>
      <c r="H74" s="1166"/>
      <c r="I74" s="1167">
        <f t="shared" si="189"/>
        <v>0</v>
      </c>
      <c r="J74" s="1167">
        <f t="shared" si="190"/>
        <v>0</v>
      </c>
      <c r="K74" s="1168">
        <f t="shared" si="265"/>
        <v>0</v>
      </c>
      <c r="L74" s="1119"/>
      <c r="M74" s="1169"/>
      <c r="N74" s="1177"/>
      <c r="O74" s="1169"/>
      <c r="P74" s="1169"/>
      <c r="Q74" s="1169">
        <f t="shared" si="266"/>
        <v>0</v>
      </c>
      <c r="R74" s="1169"/>
      <c r="S74" s="1170"/>
      <c r="T74" s="1171"/>
      <c r="U74" s="1119"/>
      <c r="V74" s="1169"/>
      <c r="W74" s="1177"/>
      <c r="X74" s="1177"/>
      <c r="Y74" s="1169"/>
      <c r="Z74" s="1169">
        <f t="shared" si="267"/>
        <v>0</v>
      </c>
      <c r="AA74" s="1169"/>
      <c r="AB74" s="1172">
        <f t="shared" si="194"/>
        <v>0</v>
      </c>
      <c r="AC74" s="1171"/>
      <c r="AD74" s="1128"/>
      <c r="AE74" s="1169"/>
      <c r="AF74" s="1177"/>
      <c r="AG74" s="1177"/>
      <c r="AH74" s="1169"/>
      <c r="AI74" s="1169">
        <f t="shared" si="268"/>
        <v>0</v>
      </c>
      <c r="AJ74" s="1169"/>
      <c r="AK74" s="1173"/>
      <c r="AL74" s="1171"/>
      <c r="AM74" s="1128"/>
      <c r="AN74" s="1170"/>
      <c r="AO74" s="1175"/>
      <c r="AP74" s="1175"/>
      <c r="AQ74" s="1170"/>
      <c r="AR74" s="1170">
        <f t="shared" si="269"/>
        <v>0</v>
      </c>
      <c r="AS74" s="1170"/>
      <c r="AT74" s="1170"/>
      <c r="AU74" s="1174"/>
      <c r="AV74" s="1119"/>
      <c r="AW74" s="1169"/>
      <c r="AX74" s="1177"/>
      <c r="AY74" s="1177"/>
      <c r="AZ74" s="1169"/>
      <c r="BA74" s="1169">
        <f t="shared" si="270"/>
        <v>0</v>
      </c>
      <c r="BB74" s="1169"/>
      <c r="BC74" s="1175"/>
      <c r="BD74" s="1027"/>
      <c r="BE74" s="1024"/>
      <c r="BF74" s="1024"/>
      <c r="BG74" s="1008"/>
      <c r="BH74" s="1008"/>
      <c r="BI74" s="1008"/>
      <c r="BJ74" s="1008"/>
      <c r="BK74" s="1008"/>
      <c r="BL74" s="1008"/>
      <c r="BM74" s="1008"/>
    </row>
    <row r="75" s="1215" customFormat="1" ht="21.75" customHeight="1">
      <c r="A75" s="1216"/>
      <c r="B75" s="1205" t="s">
        <v>22</v>
      </c>
      <c r="C75" s="1205"/>
      <c r="D75" s="1205"/>
      <c r="E75" s="1183">
        <f t="shared" si="198"/>
        <v>732712.84000000008</v>
      </c>
      <c r="F75" s="1183">
        <f t="shared" ref="E75:F101" si="271">R75+AA75+AJ75+AS75+BB75</f>
        <v>14510254.459999999</v>
      </c>
      <c r="G75" s="1184">
        <f>SUM(G62:G74)</f>
        <v>15242967.300000001</v>
      </c>
      <c r="H75" s="1185"/>
      <c r="I75" s="1186">
        <f t="shared" ref="I75:I103" si="272">E75-Z75</f>
        <v>732686.55000000005</v>
      </c>
      <c r="J75" s="1186">
        <f t="shared" ref="J75:J103" si="273">F75-AA75</f>
        <v>14495084.18</v>
      </c>
      <c r="K75" s="1187">
        <f>SUM(K62:K74)</f>
        <v>15227770.73</v>
      </c>
      <c r="L75" s="1119"/>
      <c r="M75" s="1096">
        <f t="shared" ref="M75:R75" si="274">SUM(M62:M74)</f>
        <v>0</v>
      </c>
      <c r="N75" s="1096">
        <f t="shared" si="274"/>
        <v>0</v>
      </c>
      <c r="O75" s="1096">
        <f t="shared" si="274"/>
        <v>0</v>
      </c>
      <c r="P75" s="1096">
        <f t="shared" si="274"/>
        <v>732686.55000000005</v>
      </c>
      <c r="Q75" s="1096">
        <f t="shared" si="274"/>
        <v>732686.55000000005</v>
      </c>
      <c r="R75" s="1096">
        <f t="shared" si="274"/>
        <v>14360181.390000001</v>
      </c>
      <c r="S75" s="1170"/>
      <c r="T75" s="1189"/>
      <c r="U75" s="1119"/>
      <c r="V75" s="1096">
        <f t="shared" ref="V75:AA75" si="275">SUM(V62:V74)</f>
        <v>0</v>
      </c>
      <c r="W75" s="1096">
        <f t="shared" si="275"/>
        <v>0</v>
      </c>
      <c r="X75" s="1096">
        <f t="shared" si="275"/>
        <v>0</v>
      </c>
      <c r="Y75" s="1096">
        <f t="shared" si="275"/>
        <v>26.289999999999999</v>
      </c>
      <c r="Z75" s="1096">
        <f t="shared" si="275"/>
        <v>26.289999999999999</v>
      </c>
      <c r="AA75" s="1096">
        <f t="shared" si="275"/>
        <v>15170.279999999999</v>
      </c>
      <c r="AB75" s="1172">
        <f t="shared" ref="AB75:AB103" si="276">Z75+AA75</f>
        <v>15196.57</v>
      </c>
      <c r="AC75" s="1189"/>
      <c r="AD75" s="1128"/>
      <c r="AE75" s="1096">
        <f t="shared" ref="AE75:AJ75" si="277">SUM(AE62:AE74)</f>
        <v>0</v>
      </c>
      <c r="AF75" s="1096">
        <f t="shared" si="277"/>
        <v>0</v>
      </c>
      <c r="AG75" s="1096">
        <f t="shared" si="277"/>
        <v>0</v>
      </c>
      <c r="AH75" s="1096">
        <f t="shared" si="277"/>
        <v>0</v>
      </c>
      <c r="AI75" s="1096">
        <f t="shared" si="277"/>
        <v>0</v>
      </c>
      <c r="AJ75" s="1096">
        <f t="shared" si="277"/>
        <v>134902.79000000001</v>
      </c>
      <c r="AK75" s="1173"/>
      <c r="AL75" s="1189"/>
      <c r="AM75" s="1128"/>
      <c r="AN75" s="1190">
        <f t="shared" ref="AN75:AS75" si="278">SUM(AN62:AN74)</f>
        <v>0</v>
      </c>
      <c r="AO75" s="1190">
        <f t="shared" si="278"/>
        <v>0</v>
      </c>
      <c r="AP75" s="1190">
        <f t="shared" si="278"/>
        <v>0</v>
      </c>
      <c r="AQ75" s="1190">
        <f t="shared" si="278"/>
        <v>0</v>
      </c>
      <c r="AR75" s="1190">
        <f t="shared" si="278"/>
        <v>0</v>
      </c>
      <c r="AS75" s="1190">
        <f t="shared" si="278"/>
        <v>0</v>
      </c>
      <c r="AT75" s="1170"/>
      <c r="AU75" s="1191"/>
      <c r="AV75" s="1119"/>
      <c r="AW75" s="1096">
        <f t="shared" ref="AW75:BB75" si="279">SUM(AW62:AW74)</f>
        <v>0</v>
      </c>
      <c r="AX75" s="1096">
        <f t="shared" si="279"/>
        <v>0</v>
      </c>
      <c r="AY75" s="1096">
        <f t="shared" si="279"/>
        <v>0</v>
      </c>
      <c r="AZ75" s="1096">
        <f t="shared" si="279"/>
        <v>0</v>
      </c>
      <c r="BA75" s="1096">
        <f t="shared" si="279"/>
        <v>0</v>
      </c>
      <c r="BB75" s="1096">
        <f t="shared" si="279"/>
        <v>0</v>
      </c>
      <c r="BC75" s="1175"/>
      <c r="BD75" s="1027"/>
      <c r="BE75" s="1024"/>
      <c r="BF75" s="1024"/>
      <c r="BG75" s="1008"/>
      <c r="BH75" s="1008"/>
      <c r="BI75" s="1008"/>
      <c r="BJ75" s="1008"/>
      <c r="BK75" s="1008"/>
      <c r="BL75" s="1008"/>
      <c r="BM75" s="1008"/>
    </row>
    <row r="76" s="1215" customFormat="1" ht="21.75" customHeight="1">
      <c r="A76" s="1216" t="s">
        <v>438</v>
      </c>
      <c r="B76" s="1202" t="s">
        <v>26</v>
      </c>
      <c r="C76" s="1202"/>
      <c r="D76" s="1202"/>
      <c r="E76" s="1164">
        <f t="shared" si="198"/>
        <v>77865.350000000006</v>
      </c>
      <c r="F76" s="1164">
        <f t="shared" si="271"/>
        <v>124312.03</v>
      </c>
      <c r="G76" s="1165">
        <f t="shared" ref="G76:G101" si="280">E76+F76</f>
        <v>202177.38</v>
      </c>
      <c r="H76" s="1166"/>
      <c r="I76" s="1167">
        <f t="shared" si="272"/>
        <v>77230.850000000006</v>
      </c>
      <c r="J76" s="1167">
        <f t="shared" si="273"/>
        <v>124312.03</v>
      </c>
      <c r="K76" s="1168">
        <f t="shared" ref="K76:K101" si="281">I76+J76</f>
        <v>201542.88</v>
      </c>
      <c r="L76" s="1119"/>
      <c r="M76" s="1169"/>
      <c r="N76" s="1177"/>
      <c r="O76" s="1169"/>
      <c r="P76" s="1169">
        <v>77230.850000000006</v>
      </c>
      <c r="Q76" s="1169">
        <f t="shared" ref="Q76:Q101" si="282">SUM(M76:P76)</f>
        <v>77230.850000000006</v>
      </c>
      <c r="R76" s="1169">
        <v>124312.03</v>
      </c>
      <c r="S76" s="1170"/>
      <c r="T76" s="1171"/>
      <c r="U76" s="1119"/>
      <c r="V76" s="1169"/>
      <c r="W76" s="1177"/>
      <c r="X76" s="1177"/>
      <c r="Y76" s="1169">
        <v>634.5</v>
      </c>
      <c r="Z76" s="1169">
        <f t="shared" ref="Z76:Z101" si="283">SUM(V76:Y76)</f>
        <v>634.5</v>
      </c>
      <c r="AA76" s="1169"/>
      <c r="AB76" s="1172">
        <f t="shared" si="276"/>
        <v>634.5</v>
      </c>
      <c r="AC76" s="1171"/>
      <c r="AD76" s="1128"/>
      <c r="AE76" s="1169"/>
      <c r="AF76" s="1177"/>
      <c r="AG76" s="1177"/>
      <c r="AH76" s="1169"/>
      <c r="AI76" s="1169">
        <f t="shared" ref="AI76:AI101" si="284">SUM(AE76:AH76)</f>
        <v>0</v>
      </c>
      <c r="AJ76" s="1169"/>
      <c r="AK76" s="1173"/>
      <c r="AL76" s="1171"/>
      <c r="AM76" s="1128"/>
      <c r="AN76" s="1170"/>
      <c r="AO76" s="1175"/>
      <c r="AP76" s="1175"/>
      <c r="AQ76" s="1170"/>
      <c r="AR76" s="1170">
        <f t="shared" ref="AR76:AR101" si="285">SUM(AN76:AQ76)</f>
        <v>0</v>
      </c>
      <c r="AS76" s="1170"/>
      <c r="AT76" s="1170"/>
      <c r="AU76" s="1174"/>
      <c r="AV76" s="1119"/>
      <c r="AW76" s="1169"/>
      <c r="AX76" s="1177"/>
      <c r="AY76" s="1177"/>
      <c r="AZ76" s="1169"/>
      <c r="BA76" s="1169">
        <f t="shared" ref="BA76:BA99" si="286">SUM(AW76:AZ76)</f>
        <v>0</v>
      </c>
      <c r="BB76" s="1169"/>
      <c r="BC76" s="1175"/>
      <c r="BD76" s="1027"/>
      <c r="BE76" s="1024"/>
      <c r="BF76" s="1024"/>
      <c r="BG76" s="1008"/>
      <c r="BH76" s="1008"/>
      <c r="BI76" s="1008"/>
      <c r="BJ76" s="1008"/>
      <c r="BK76" s="1008"/>
      <c r="BL76" s="1008"/>
      <c r="BM76" s="1008"/>
    </row>
    <row r="77" s="1215" customFormat="1" ht="21.75" customHeight="1">
      <c r="A77" s="1216"/>
      <c r="B77" s="1202" t="s">
        <v>439</v>
      </c>
      <c r="C77" s="1202"/>
      <c r="D77" s="1202"/>
      <c r="E77" s="1164">
        <f t="shared" si="198"/>
        <v>0</v>
      </c>
      <c r="F77" s="1164">
        <f t="shared" si="271"/>
        <v>0</v>
      </c>
      <c r="G77" s="1165">
        <f t="shared" si="280"/>
        <v>0</v>
      </c>
      <c r="H77" s="1166"/>
      <c r="I77" s="1167">
        <f t="shared" si="272"/>
        <v>0</v>
      </c>
      <c r="J77" s="1167">
        <f t="shared" si="273"/>
        <v>0</v>
      </c>
      <c r="K77" s="1168">
        <f t="shared" si="281"/>
        <v>0</v>
      </c>
      <c r="L77" s="1119"/>
      <c r="M77" s="1169"/>
      <c r="N77" s="1177"/>
      <c r="O77" s="1169"/>
      <c r="P77" s="1169"/>
      <c r="Q77" s="1169">
        <f t="shared" si="282"/>
        <v>0</v>
      </c>
      <c r="R77" s="1169"/>
      <c r="S77" s="1170"/>
      <c r="T77" s="1171"/>
      <c r="U77" s="1119"/>
      <c r="V77" s="1169"/>
      <c r="W77" s="1177"/>
      <c r="X77" s="1177"/>
      <c r="Y77" s="1169"/>
      <c r="Z77" s="1169">
        <f t="shared" si="283"/>
        <v>0</v>
      </c>
      <c r="AA77" s="1169"/>
      <c r="AB77" s="1172">
        <f t="shared" si="276"/>
        <v>0</v>
      </c>
      <c r="AC77" s="1171"/>
      <c r="AD77" s="1128"/>
      <c r="AE77" s="1169"/>
      <c r="AF77" s="1177"/>
      <c r="AG77" s="1177"/>
      <c r="AH77" s="1169"/>
      <c r="AI77" s="1169">
        <f t="shared" si="284"/>
        <v>0</v>
      </c>
      <c r="AJ77" s="1169"/>
      <c r="AK77" s="1173"/>
      <c r="AL77" s="1171"/>
      <c r="AM77" s="1128"/>
      <c r="AN77" s="1170"/>
      <c r="AO77" s="1175"/>
      <c r="AP77" s="1175"/>
      <c r="AQ77" s="1170"/>
      <c r="AR77" s="1170">
        <f t="shared" si="285"/>
        <v>0</v>
      </c>
      <c r="AS77" s="1170"/>
      <c r="AT77" s="1170"/>
      <c r="AU77" s="1174"/>
      <c r="AV77" s="1119"/>
      <c r="AW77" s="1169"/>
      <c r="AX77" s="1177"/>
      <c r="AY77" s="1177"/>
      <c r="AZ77" s="1169"/>
      <c r="BA77" s="1169">
        <f t="shared" si="286"/>
        <v>0</v>
      </c>
      <c r="BB77" s="1169"/>
      <c r="BC77" s="1175"/>
      <c r="BD77" s="1027"/>
      <c r="BE77" s="1024"/>
      <c r="BF77" s="1024"/>
      <c r="BG77" s="1008"/>
      <c r="BH77" s="1008"/>
      <c r="BI77" s="1008"/>
      <c r="BJ77" s="1008"/>
      <c r="BK77" s="1008"/>
      <c r="BL77" s="1008"/>
      <c r="BM77" s="1008"/>
    </row>
    <row r="78" s="1215" customFormat="1" ht="21.75" customHeight="1">
      <c r="A78" s="1216" t="s">
        <v>440</v>
      </c>
      <c r="B78" s="1202" t="s">
        <v>441</v>
      </c>
      <c r="C78" s="1202"/>
      <c r="D78" s="1202"/>
      <c r="E78" s="1164">
        <f t="shared" si="198"/>
        <v>1394942.21</v>
      </c>
      <c r="F78" s="1164">
        <f t="shared" si="271"/>
        <v>72985.319999999992</v>
      </c>
      <c r="G78" s="1165">
        <f t="shared" si="280"/>
        <v>1467927.53</v>
      </c>
      <c r="H78" s="1166"/>
      <c r="I78" s="1167">
        <f t="shared" si="272"/>
        <v>161082.03000000003</v>
      </c>
      <c r="J78" s="1167">
        <f t="shared" si="273"/>
        <v>72985.319999999992</v>
      </c>
      <c r="K78" s="1168">
        <f t="shared" si="281"/>
        <v>234067.35000000003</v>
      </c>
      <c r="L78" s="1119"/>
      <c r="M78" s="1169"/>
      <c r="N78" s="1177"/>
      <c r="O78" s="1169"/>
      <c r="P78" s="1169">
        <v>161082.03</v>
      </c>
      <c r="Q78" s="1169">
        <f t="shared" si="282"/>
        <v>161082.03</v>
      </c>
      <c r="R78" s="1169">
        <v>10779.870000000001</v>
      </c>
      <c r="S78" s="1170"/>
      <c r="T78" s="1171"/>
      <c r="U78" s="1119"/>
      <c r="V78" s="1169"/>
      <c r="W78" s="1177"/>
      <c r="X78" s="1177"/>
      <c r="Y78" s="1169">
        <v>1233860.1799999999</v>
      </c>
      <c r="Z78" s="1169">
        <f t="shared" si="283"/>
        <v>1233860.1799999999</v>
      </c>
      <c r="AA78" s="1169"/>
      <c r="AB78" s="1172">
        <f t="shared" si="276"/>
        <v>1233860.1799999999</v>
      </c>
      <c r="AC78" s="1171"/>
      <c r="AD78" s="1128"/>
      <c r="AE78" s="1169"/>
      <c r="AF78" s="1177"/>
      <c r="AG78" s="1177"/>
      <c r="AH78" s="1169"/>
      <c r="AI78" s="1169">
        <f t="shared" si="284"/>
        <v>0</v>
      </c>
      <c r="AJ78" s="1169">
        <v>62205.449999999997</v>
      </c>
      <c r="AK78" s="1173"/>
      <c r="AL78" s="1171"/>
      <c r="AM78" s="1128"/>
      <c r="AN78" s="1170"/>
      <c r="AO78" s="1175"/>
      <c r="AP78" s="1175"/>
      <c r="AQ78" s="1170"/>
      <c r="AR78" s="1170">
        <f t="shared" si="285"/>
        <v>0</v>
      </c>
      <c r="AS78" s="1170"/>
      <c r="AT78" s="1170"/>
      <c r="AU78" s="1174"/>
      <c r="AV78" s="1119"/>
      <c r="AW78" s="1169"/>
      <c r="AX78" s="1177"/>
      <c r="AY78" s="1177"/>
      <c r="AZ78" s="1169"/>
      <c r="BA78" s="1169">
        <f t="shared" si="286"/>
        <v>0</v>
      </c>
      <c r="BB78" s="1169"/>
      <c r="BC78" s="1175"/>
      <c r="BD78" s="1027"/>
      <c r="BE78" s="1024"/>
      <c r="BF78" s="1024"/>
      <c r="BG78" s="1008"/>
      <c r="BH78" s="1008"/>
      <c r="BI78" s="1008"/>
      <c r="BJ78" s="1008"/>
      <c r="BK78" s="1008"/>
      <c r="BL78" s="1008"/>
      <c r="BM78" s="1008"/>
    </row>
    <row r="79" s="1215" customFormat="1" ht="21.75" customHeight="1">
      <c r="A79" s="1216" t="s">
        <v>442</v>
      </c>
      <c r="B79" s="1202" t="s">
        <v>84</v>
      </c>
      <c r="C79" s="1202"/>
      <c r="D79" s="1202"/>
      <c r="E79" s="1164">
        <f t="shared" si="198"/>
        <v>100148.10000000001</v>
      </c>
      <c r="F79" s="1164">
        <f t="shared" si="271"/>
        <v>115255.82000000001</v>
      </c>
      <c r="G79" s="1165">
        <f t="shared" si="280"/>
        <v>215403.92000000001</v>
      </c>
      <c r="H79" s="1166"/>
      <c r="I79" s="1167">
        <f t="shared" si="272"/>
        <v>27778.5</v>
      </c>
      <c r="J79" s="1167">
        <f t="shared" si="273"/>
        <v>91927.080000000002</v>
      </c>
      <c r="K79" s="1168">
        <f t="shared" si="281"/>
        <v>119705.58</v>
      </c>
      <c r="L79" s="1119"/>
      <c r="M79" s="1169"/>
      <c r="N79" s="1177"/>
      <c r="O79" s="1169"/>
      <c r="P79" s="1169">
        <v>27778.5</v>
      </c>
      <c r="Q79" s="1169">
        <f t="shared" si="282"/>
        <v>27778.5</v>
      </c>
      <c r="R79" s="1169">
        <v>46792.510000000002</v>
      </c>
      <c r="S79" s="1170"/>
      <c r="T79" s="1171"/>
      <c r="U79" s="1119"/>
      <c r="V79" s="1169"/>
      <c r="W79" s="1177"/>
      <c r="X79" s="1177"/>
      <c r="Y79" s="1169">
        <v>72369.600000000006</v>
      </c>
      <c r="Z79" s="1169">
        <f t="shared" si="283"/>
        <v>72369.600000000006</v>
      </c>
      <c r="AA79" s="1169">
        <v>23328.740000000002</v>
      </c>
      <c r="AB79" s="1172">
        <f t="shared" si="276"/>
        <v>95698.340000000011</v>
      </c>
      <c r="AC79" s="1171"/>
      <c r="AD79" s="1128"/>
      <c r="AE79" s="1169"/>
      <c r="AF79" s="1177"/>
      <c r="AG79" s="1177"/>
      <c r="AH79" s="1169"/>
      <c r="AI79" s="1169">
        <f t="shared" si="284"/>
        <v>0</v>
      </c>
      <c r="AJ79" s="1169">
        <v>45134.57</v>
      </c>
      <c r="AK79" s="1173"/>
      <c r="AL79" s="1171"/>
      <c r="AM79" s="1128"/>
      <c r="AN79" s="1170"/>
      <c r="AO79" s="1175"/>
      <c r="AP79" s="1175"/>
      <c r="AQ79" s="1170"/>
      <c r="AR79" s="1170">
        <f t="shared" si="285"/>
        <v>0</v>
      </c>
      <c r="AS79" s="1170"/>
      <c r="AT79" s="1170"/>
      <c r="AU79" s="1174"/>
      <c r="AV79" s="1119"/>
      <c r="AW79" s="1169"/>
      <c r="AX79" s="1177"/>
      <c r="AY79" s="1177"/>
      <c r="AZ79" s="1169"/>
      <c r="BA79" s="1169">
        <f t="shared" si="286"/>
        <v>0</v>
      </c>
      <c r="BB79" s="1169"/>
      <c r="BC79" s="1175"/>
      <c r="BD79" s="1027"/>
      <c r="BE79" s="1024"/>
      <c r="BF79" s="1024"/>
      <c r="BG79" s="1008"/>
      <c r="BH79" s="1008"/>
      <c r="BI79" s="1008"/>
      <c r="BJ79" s="1008"/>
      <c r="BK79" s="1008"/>
      <c r="BL79" s="1008"/>
      <c r="BM79" s="1008"/>
    </row>
    <row r="80" s="1215" customFormat="1" ht="21.75" customHeight="1">
      <c r="A80" s="1216" t="s">
        <v>443</v>
      </c>
      <c r="B80" s="1202" t="s">
        <v>288</v>
      </c>
      <c r="C80" s="1202"/>
      <c r="D80" s="1202"/>
      <c r="E80" s="1164">
        <f t="shared" ref="E80:E101" si="287">Q80+Z80+AI80+AR80+BA80</f>
        <v>59675.589999999997</v>
      </c>
      <c r="F80" s="1164">
        <f t="shared" si="271"/>
        <v>2533530.54</v>
      </c>
      <c r="G80" s="1165">
        <f t="shared" si="280"/>
        <v>2593206.1299999999</v>
      </c>
      <c r="H80" s="1166"/>
      <c r="I80" s="1167">
        <f t="shared" si="272"/>
        <v>48633.789999999994</v>
      </c>
      <c r="J80" s="1167">
        <f t="shared" si="273"/>
        <v>2533128.8999999999</v>
      </c>
      <c r="K80" s="1168">
        <f t="shared" si="281"/>
        <v>2581762.6899999999</v>
      </c>
      <c r="L80" s="1119"/>
      <c r="M80" s="1169"/>
      <c r="N80" s="1177"/>
      <c r="O80" s="1169"/>
      <c r="P80" s="1169">
        <v>48633.790000000001</v>
      </c>
      <c r="Q80" s="1169">
        <f t="shared" si="282"/>
        <v>48633.790000000001</v>
      </c>
      <c r="R80" s="1169">
        <v>2533128.8999999999</v>
      </c>
      <c r="S80" s="1170"/>
      <c r="T80" s="1171"/>
      <c r="U80" s="1119"/>
      <c r="V80" s="1169"/>
      <c r="W80" s="1177"/>
      <c r="X80" s="1177"/>
      <c r="Y80" s="1169">
        <v>11041.799999999999</v>
      </c>
      <c r="Z80" s="1169">
        <f t="shared" si="283"/>
        <v>11041.799999999999</v>
      </c>
      <c r="AA80" s="1169">
        <v>401.63999999999999</v>
      </c>
      <c r="AB80" s="1172">
        <f t="shared" si="276"/>
        <v>11443.439999999999</v>
      </c>
      <c r="AC80" s="1171"/>
      <c r="AD80" s="1128"/>
      <c r="AE80" s="1169"/>
      <c r="AF80" s="1177"/>
      <c r="AG80" s="1177"/>
      <c r="AH80" s="1169"/>
      <c r="AI80" s="1169">
        <f t="shared" si="284"/>
        <v>0</v>
      </c>
      <c r="AJ80" s="1169"/>
      <c r="AK80" s="1173"/>
      <c r="AL80" s="1171"/>
      <c r="AM80" s="1128"/>
      <c r="AN80" s="1170"/>
      <c r="AO80" s="1175"/>
      <c r="AP80" s="1175"/>
      <c r="AQ80" s="1170"/>
      <c r="AR80" s="1170">
        <f t="shared" si="285"/>
        <v>0</v>
      </c>
      <c r="AS80" s="1170"/>
      <c r="AT80" s="1170"/>
      <c r="AU80" s="1174"/>
      <c r="AV80" s="1119"/>
      <c r="AW80" s="1169"/>
      <c r="AX80" s="1177"/>
      <c r="AY80" s="1177"/>
      <c r="AZ80" s="1169"/>
      <c r="BA80" s="1169">
        <f t="shared" si="286"/>
        <v>0</v>
      </c>
      <c r="BB80" s="1169"/>
      <c r="BC80" s="1175"/>
      <c r="BD80" s="1027"/>
      <c r="BE80" s="1024"/>
      <c r="BF80" s="1024"/>
      <c r="BG80" s="1008"/>
      <c r="BH80" s="1008"/>
      <c r="BI80" s="1008"/>
      <c r="BJ80" s="1008"/>
      <c r="BK80" s="1008"/>
      <c r="BL80" s="1008"/>
      <c r="BM80" s="1008"/>
    </row>
    <row r="81" s="1215" customFormat="1" ht="21.75" customHeight="1">
      <c r="A81" s="1216" t="s">
        <v>444</v>
      </c>
      <c r="B81" s="1176" t="s">
        <v>445</v>
      </c>
      <c r="C81" s="1176"/>
      <c r="D81" s="1176"/>
      <c r="E81" s="1164">
        <f t="shared" si="287"/>
        <v>129418.92999999999</v>
      </c>
      <c r="F81" s="1164">
        <f t="shared" si="271"/>
        <v>152617.64999999999</v>
      </c>
      <c r="G81" s="1165">
        <f t="shared" si="280"/>
        <v>282036.57999999996</v>
      </c>
      <c r="H81" s="1166"/>
      <c r="I81" s="1167">
        <f t="shared" si="272"/>
        <v>116548.42</v>
      </c>
      <c r="J81" s="1167">
        <f t="shared" si="273"/>
        <v>130087.53</v>
      </c>
      <c r="K81" s="1168">
        <f t="shared" si="281"/>
        <v>246635.95000000001</v>
      </c>
      <c r="L81" s="1119"/>
      <c r="M81" s="1169"/>
      <c r="N81" s="1177"/>
      <c r="O81" s="1169"/>
      <c r="P81" s="1169">
        <f>52783.45+63764.97</f>
        <v>116548.42</v>
      </c>
      <c r="Q81" s="1169">
        <f t="shared" si="282"/>
        <v>116548.42</v>
      </c>
      <c r="R81" s="1169">
        <f>70488.85+35787.12</f>
        <v>106275.97</v>
      </c>
      <c r="S81" s="1170"/>
      <c r="T81" s="1171"/>
      <c r="U81" s="1119"/>
      <c r="V81" s="1169"/>
      <c r="W81" s="1177"/>
      <c r="X81" s="1177"/>
      <c r="Y81" s="1169">
        <v>12870.51</v>
      </c>
      <c r="Z81" s="1169">
        <f t="shared" si="283"/>
        <v>12870.51</v>
      </c>
      <c r="AA81" s="1169">
        <v>22530.119999999999</v>
      </c>
      <c r="AB81" s="1172">
        <f t="shared" si="276"/>
        <v>35400.629999999997</v>
      </c>
      <c r="AC81" s="1171"/>
      <c r="AD81" s="1128"/>
      <c r="AE81" s="1169"/>
      <c r="AF81" s="1177"/>
      <c r="AG81" s="1177"/>
      <c r="AH81" s="1169"/>
      <c r="AI81" s="1169">
        <f t="shared" si="284"/>
        <v>0</v>
      </c>
      <c r="AJ81" s="1169">
        <f>23539.56+272</f>
        <v>23811.560000000001</v>
      </c>
      <c r="AK81" s="1173"/>
      <c r="AL81" s="1171"/>
      <c r="AM81" s="1128"/>
      <c r="AN81" s="1170"/>
      <c r="AO81" s="1175"/>
      <c r="AP81" s="1175"/>
      <c r="AQ81" s="1170"/>
      <c r="AR81" s="1170">
        <f t="shared" si="285"/>
        <v>0</v>
      </c>
      <c r="AS81" s="1170"/>
      <c r="AT81" s="1170"/>
      <c r="AU81" s="1174"/>
      <c r="AV81" s="1119"/>
      <c r="AW81" s="1169"/>
      <c r="AX81" s="1177"/>
      <c r="AY81" s="1177"/>
      <c r="AZ81" s="1169"/>
      <c r="BA81" s="1169">
        <f t="shared" si="286"/>
        <v>0</v>
      </c>
      <c r="BB81" s="1169"/>
      <c r="BC81" s="1175"/>
      <c r="BD81" s="1027"/>
      <c r="BE81" s="1024"/>
      <c r="BF81" s="1024"/>
      <c r="BG81" s="1008"/>
      <c r="BH81" s="1008"/>
      <c r="BI81" s="1008"/>
      <c r="BJ81" s="1008"/>
      <c r="BK81" s="1008"/>
      <c r="BL81" s="1008"/>
      <c r="BM81" s="1008"/>
    </row>
    <row r="82" s="1215" customFormat="1" ht="21.75" customHeight="1">
      <c r="A82" s="1216" t="s">
        <v>446</v>
      </c>
      <c r="B82" s="1176" t="s">
        <v>447</v>
      </c>
      <c r="C82" s="1176"/>
      <c r="D82" s="1176"/>
      <c r="E82" s="1164">
        <f t="shared" si="287"/>
        <v>19680.900000000001</v>
      </c>
      <c r="F82" s="1164">
        <f t="shared" si="271"/>
        <v>79940.630000000005</v>
      </c>
      <c r="G82" s="1165">
        <f t="shared" si="280"/>
        <v>99621.529999999999</v>
      </c>
      <c r="H82" s="1166"/>
      <c r="I82" s="1167">
        <f t="shared" si="272"/>
        <v>19680.900000000001</v>
      </c>
      <c r="J82" s="1167">
        <f t="shared" si="273"/>
        <v>27063.810000000005</v>
      </c>
      <c r="K82" s="1168">
        <f t="shared" si="281"/>
        <v>46744.710000000006</v>
      </c>
      <c r="L82" s="1119"/>
      <c r="M82" s="1169"/>
      <c r="N82" s="1177"/>
      <c r="O82" s="1169"/>
      <c r="P82" s="1169">
        <f>8100.5+11580.4</f>
        <v>19680.900000000001</v>
      </c>
      <c r="Q82" s="1169">
        <f t="shared" si="282"/>
        <v>19680.900000000001</v>
      </c>
      <c r="R82" s="1169">
        <f>6260.15+20803.66</f>
        <v>27063.809999999998</v>
      </c>
      <c r="S82" s="1170"/>
      <c r="T82" s="1171"/>
      <c r="U82" s="1119"/>
      <c r="V82" s="1169"/>
      <c r="W82" s="1177"/>
      <c r="X82" s="1177"/>
      <c r="Y82" s="1169"/>
      <c r="Z82" s="1169">
        <f t="shared" si="283"/>
        <v>0</v>
      </c>
      <c r="AA82" s="1169">
        <v>52876.82</v>
      </c>
      <c r="AB82" s="1172">
        <f t="shared" si="276"/>
        <v>52876.82</v>
      </c>
      <c r="AC82" s="1171"/>
      <c r="AD82" s="1128"/>
      <c r="AE82" s="1169"/>
      <c r="AF82" s="1177"/>
      <c r="AG82" s="1177"/>
      <c r="AH82" s="1169"/>
      <c r="AI82" s="1169">
        <f t="shared" si="284"/>
        <v>0</v>
      </c>
      <c r="AJ82" s="1169"/>
      <c r="AK82" s="1173"/>
      <c r="AL82" s="1171"/>
      <c r="AM82" s="1128"/>
      <c r="AN82" s="1170"/>
      <c r="AO82" s="1175"/>
      <c r="AP82" s="1175"/>
      <c r="AQ82" s="1170"/>
      <c r="AR82" s="1170">
        <f t="shared" si="285"/>
        <v>0</v>
      </c>
      <c r="AS82" s="1170"/>
      <c r="AT82" s="1170"/>
      <c r="AU82" s="1174"/>
      <c r="AV82" s="1119"/>
      <c r="AW82" s="1169"/>
      <c r="AX82" s="1177"/>
      <c r="AY82" s="1177"/>
      <c r="AZ82" s="1169"/>
      <c r="BA82" s="1169">
        <f t="shared" si="286"/>
        <v>0</v>
      </c>
      <c r="BB82" s="1169"/>
      <c r="BC82" s="1175"/>
      <c r="BD82" s="1027"/>
      <c r="BE82" s="1024"/>
      <c r="BF82" s="1024"/>
      <c r="BG82" s="1008"/>
      <c r="BH82" s="1008"/>
      <c r="BI82" s="1008"/>
      <c r="BJ82" s="1008"/>
      <c r="BK82" s="1008"/>
      <c r="BL82" s="1008"/>
      <c r="BM82" s="1008"/>
    </row>
    <row r="83" s="1215" customFormat="1" ht="21.75" customHeight="1">
      <c r="A83" s="1216" t="s">
        <v>448</v>
      </c>
      <c r="B83" s="1176" t="s">
        <v>449</v>
      </c>
      <c r="C83" s="1176"/>
      <c r="D83" s="1176"/>
      <c r="E83" s="1164">
        <f t="shared" si="287"/>
        <v>22091.91</v>
      </c>
      <c r="F83" s="1164">
        <f t="shared" si="271"/>
        <v>52188.199999999997</v>
      </c>
      <c r="G83" s="1165">
        <f t="shared" si="280"/>
        <v>74280.110000000001</v>
      </c>
      <c r="H83" s="1166"/>
      <c r="I83" s="1167">
        <f t="shared" si="272"/>
        <v>22091.91</v>
      </c>
      <c r="J83" s="1167">
        <f t="shared" si="273"/>
        <v>14638</v>
      </c>
      <c r="K83" s="1168">
        <f t="shared" si="281"/>
        <v>36729.910000000003</v>
      </c>
      <c r="L83" s="1119"/>
      <c r="M83" s="1169"/>
      <c r="N83" s="1177"/>
      <c r="O83" s="1169"/>
      <c r="P83" s="1169">
        <v>22091.91</v>
      </c>
      <c r="Q83" s="1169">
        <f t="shared" si="282"/>
        <v>22091.91</v>
      </c>
      <c r="R83" s="1169">
        <v>14638</v>
      </c>
      <c r="S83" s="1170"/>
      <c r="T83" s="1171"/>
      <c r="U83" s="1119"/>
      <c r="V83" s="1169"/>
      <c r="W83" s="1177"/>
      <c r="X83" s="1177"/>
      <c r="Y83" s="1169"/>
      <c r="Z83" s="1169">
        <f t="shared" si="283"/>
        <v>0</v>
      </c>
      <c r="AA83" s="1169">
        <v>37550.199999999997</v>
      </c>
      <c r="AB83" s="1172">
        <f t="shared" si="276"/>
        <v>37550.199999999997</v>
      </c>
      <c r="AC83" s="1171"/>
      <c r="AD83" s="1128"/>
      <c r="AE83" s="1169"/>
      <c r="AF83" s="1177"/>
      <c r="AG83" s="1177"/>
      <c r="AH83" s="1169"/>
      <c r="AI83" s="1169">
        <f t="shared" si="284"/>
        <v>0</v>
      </c>
      <c r="AJ83" s="1169"/>
      <c r="AK83" s="1173"/>
      <c r="AL83" s="1171"/>
      <c r="AM83" s="1128"/>
      <c r="AN83" s="1170"/>
      <c r="AO83" s="1175"/>
      <c r="AP83" s="1175"/>
      <c r="AQ83" s="1170"/>
      <c r="AR83" s="1170">
        <f t="shared" si="285"/>
        <v>0</v>
      </c>
      <c r="AS83" s="1170"/>
      <c r="AT83" s="1170"/>
      <c r="AU83" s="1174"/>
      <c r="AV83" s="1119"/>
      <c r="AW83" s="1169"/>
      <c r="AX83" s="1177"/>
      <c r="AY83" s="1177"/>
      <c r="AZ83" s="1169"/>
      <c r="BA83" s="1169">
        <f t="shared" si="286"/>
        <v>0</v>
      </c>
      <c r="BB83" s="1169"/>
      <c r="BC83" s="1175"/>
      <c r="BD83" s="1027"/>
      <c r="BE83" s="1024"/>
      <c r="BF83" s="1024"/>
      <c r="BG83" s="1008"/>
      <c r="BH83" s="1008"/>
      <c r="BI83" s="1008"/>
      <c r="BJ83" s="1008"/>
      <c r="BK83" s="1008"/>
      <c r="BL83" s="1008"/>
      <c r="BM83" s="1008"/>
    </row>
    <row r="84" s="1215" customFormat="1" ht="21.75" customHeight="1">
      <c r="A84" s="1216"/>
      <c r="B84" s="1176" t="s">
        <v>450</v>
      </c>
      <c r="C84" s="1176"/>
      <c r="D84" s="1176"/>
      <c r="E84" s="1164">
        <f t="shared" si="287"/>
        <v>0</v>
      </c>
      <c r="F84" s="1164">
        <f t="shared" si="271"/>
        <v>0</v>
      </c>
      <c r="G84" s="1165">
        <f t="shared" si="280"/>
        <v>0</v>
      </c>
      <c r="H84" s="1166"/>
      <c r="I84" s="1167">
        <f t="shared" si="272"/>
        <v>0</v>
      </c>
      <c r="J84" s="1167">
        <f t="shared" si="273"/>
        <v>0</v>
      </c>
      <c r="K84" s="1168">
        <f t="shared" si="281"/>
        <v>0</v>
      </c>
      <c r="L84" s="1119"/>
      <c r="M84" s="1169"/>
      <c r="N84" s="1177"/>
      <c r="O84" s="1169"/>
      <c r="P84" s="1169"/>
      <c r="Q84" s="1169">
        <f t="shared" si="282"/>
        <v>0</v>
      </c>
      <c r="R84" s="1169"/>
      <c r="S84" s="1170"/>
      <c r="T84" s="1171"/>
      <c r="U84" s="1119"/>
      <c r="V84" s="1169"/>
      <c r="W84" s="1177"/>
      <c r="X84" s="1177"/>
      <c r="Y84" s="1169"/>
      <c r="Z84" s="1169">
        <f t="shared" si="283"/>
        <v>0</v>
      </c>
      <c r="AA84" s="1169"/>
      <c r="AB84" s="1172">
        <f t="shared" si="276"/>
        <v>0</v>
      </c>
      <c r="AC84" s="1171"/>
      <c r="AD84" s="1128"/>
      <c r="AE84" s="1169"/>
      <c r="AF84" s="1177"/>
      <c r="AG84" s="1177"/>
      <c r="AH84" s="1169"/>
      <c r="AI84" s="1169">
        <f t="shared" si="284"/>
        <v>0</v>
      </c>
      <c r="AJ84" s="1169"/>
      <c r="AK84" s="1173"/>
      <c r="AL84" s="1171"/>
      <c r="AM84" s="1128"/>
      <c r="AN84" s="1170"/>
      <c r="AO84" s="1175"/>
      <c r="AP84" s="1175"/>
      <c r="AQ84" s="1170"/>
      <c r="AR84" s="1170">
        <f t="shared" si="285"/>
        <v>0</v>
      </c>
      <c r="AS84" s="1170"/>
      <c r="AT84" s="1170"/>
      <c r="AU84" s="1174"/>
      <c r="AV84" s="1119"/>
      <c r="AW84" s="1169"/>
      <c r="AX84" s="1177"/>
      <c r="AY84" s="1177"/>
      <c r="AZ84" s="1169"/>
      <c r="BA84" s="1169">
        <f t="shared" si="286"/>
        <v>0</v>
      </c>
      <c r="BB84" s="1169"/>
      <c r="BC84" s="1175"/>
      <c r="BD84" s="1027"/>
      <c r="BE84" s="1024"/>
      <c r="BF84" s="1024"/>
      <c r="BG84" s="1008"/>
      <c r="BH84" s="1008"/>
      <c r="BI84" s="1008"/>
      <c r="BJ84" s="1008"/>
      <c r="BK84" s="1008"/>
      <c r="BL84" s="1008"/>
      <c r="BM84" s="1008"/>
    </row>
    <row r="85" s="1215" customFormat="1" ht="21.75" customHeight="1">
      <c r="A85" s="1216" t="s">
        <v>451</v>
      </c>
      <c r="B85" s="1202" t="s">
        <v>452</v>
      </c>
      <c r="C85" s="1202"/>
      <c r="D85" s="1202"/>
      <c r="E85" s="1164">
        <f t="shared" si="287"/>
        <v>0</v>
      </c>
      <c r="F85" s="1164">
        <f t="shared" si="271"/>
        <v>0</v>
      </c>
      <c r="G85" s="1165">
        <f t="shared" si="280"/>
        <v>0</v>
      </c>
      <c r="H85" s="1166"/>
      <c r="I85" s="1167">
        <f t="shared" si="272"/>
        <v>0</v>
      </c>
      <c r="J85" s="1167">
        <f t="shared" si="273"/>
        <v>0</v>
      </c>
      <c r="K85" s="1168">
        <f t="shared" si="281"/>
        <v>0</v>
      </c>
      <c r="L85" s="1119"/>
      <c r="M85" s="1169"/>
      <c r="N85" s="1177"/>
      <c r="O85" s="1169"/>
      <c r="P85" s="1169"/>
      <c r="Q85" s="1169">
        <f t="shared" si="282"/>
        <v>0</v>
      </c>
      <c r="R85" s="1169"/>
      <c r="S85" s="1170"/>
      <c r="T85" s="1171"/>
      <c r="U85" s="1119"/>
      <c r="V85" s="1169"/>
      <c r="W85" s="1177"/>
      <c r="X85" s="1177"/>
      <c r="Y85" s="1169"/>
      <c r="Z85" s="1169">
        <f t="shared" si="283"/>
        <v>0</v>
      </c>
      <c r="AA85" s="1169"/>
      <c r="AB85" s="1172">
        <f t="shared" si="276"/>
        <v>0</v>
      </c>
      <c r="AC85" s="1171"/>
      <c r="AD85" s="1128"/>
      <c r="AE85" s="1169"/>
      <c r="AF85" s="1177"/>
      <c r="AG85" s="1177"/>
      <c r="AH85" s="1169"/>
      <c r="AI85" s="1169">
        <f t="shared" si="284"/>
        <v>0</v>
      </c>
      <c r="AJ85" s="1169"/>
      <c r="AK85" s="1173"/>
      <c r="AL85" s="1171"/>
      <c r="AM85" s="1128"/>
      <c r="AN85" s="1170"/>
      <c r="AO85" s="1175"/>
      <c r="AP85" s="1175"/>
      <c r="AQ85" s="1170"/>
      <c r="AR85" s="1170">
        <f t="shared" si="285"/>
        <v>0</v>
      </c>
      <c r="AS85" s="1170"/>
      <c r="AT85" s="1170"/>
      <c r="AU85" s="1174"/>
      <c r="AV85" s="1119"/>
      <c r="AW85" s="1169"/>
      <c r="AX85" s="1177"/>
      <c r="AY85" s="1177"/>
      <c r="AZ85" s="1169"/>
      <c r="BA85" s="1169">
        <f t="shared" si="286"/>
        <v>0</v>
      </c>
      <c r="BB85" s="1169"/>
      <c r="BC85" s="1175"/>
      <c r="BD85" s="1027"/>
      <c r="BE85" s="1024"/>
      <c r="BF85" s="1024"/>
      <c r="BG85" s="1008"/>
      <c r="BH85" s="1008"/>
      <c r="BI85" s="1008"/>
      <c r="BJ85" s="1008"/>
      <c r="BK85" s="1008"/>
      <c r="BL85" s="1008"/>
      <c r="BM85" s="1008"/>
    </row>
    <row r="86" s="1215" customFormat="1" ht="21.75" customHeight="1">
      <c r="A86" s="1216" t="s">
        <v>453</v>
      </c>
      <c r="B86" s="1202" t="s">
        <v>454</v>
      </c>
      <c r="C86" s="1202"/>
      <c r="D86" s="1202"/>
      <c r="E86" s="1164">
        <f t="shared" si="287"/>
        <v>5760.6099999999997</v>
      </c>
      <c r="F86" s="1164">
        <f t="shared" si="271"/>
        <v>7981.3100000000004</v>
      </c>
      <c r="G86" s="1165">
        <f t="shared" si="280"/>
        <v>13741.92</v>
      </c>
      <c r="H86" s="1166"/>
      <c r="I86" s="1167">
        <f t="shared" si="272"/>
        <v>0</v>
      </c>
      <c r="J86" s="1167">
        <f t="shared" si="273"/>
        <v>0</v>
      </c>
      <c r="K86" s="1168">
        <f t="shared" si="281"/>
        <v>0</v>
      </c>
      <c r="L86" s="1119"/>
      <c r="M86" s="1169"/>
      <c r="N86" s="1177"/>
      <c r="O86" s="1169"/>
      <c r="P86" s="1169"/>
      <c r="Q86" s="1169">
        <f t="shared" si="282"/>
        <v>0</v>
      </c>
      <c r="R86" s="1169"/>
      <c r="S86" s="1170"/>
      <c r="T86" s="1171"/>
      <c r="U86" s="1119"/>
      <c r="V86" s="1169"/>
      <c r="W86" s="1177"/>
      <c r="X86" s="1177"/>
      <c r="Y86" s="1169">
        <v>5760.6099999999997</v>
      </c>
      <c r="Z86" s="1169">
        <f t="shared" si="283"/>
        <v>5760.6099999999997</v>
      </c>
      <c r="AA86" s="1169">
        <v>7981.3100000000004</v>
      </c>
      <c r="AB86" s="1172">
        <f t="shared" si="276"/>
        <v>13741.92</v>
      </c>
      <c r="AC86" s="1171"/>
      <c r="AD86" s="1128"/>
      <c r="AE86" s="1169"/>
      <c r="AF86" s="1177"/>
      <c r="AG86" s="1177"/>
      <c r="AH86" s="1169"/>
      <c r="AI86" s="1169">
        <f t="shared" si="284"/>
        <v>0</v>
      </c>
      <c r="AJ86" s="1169"/>
      <c r="AK86" s="1173"/>
      <c r="AL86" s="1171"/>
      <c r="AM86" s="1128"/>
      <c r="AN86" s="1170"/>
      <c r="AO86" s="1175"/>
      <c r="AP86" s="1175"/>
      <c r="AQ86" s="1170"/>
      <c r="AR86" s="1170">
        <f t="shared" si="285"/>
        <v>0</v>
      </c>
      <c r="AS86" s="1170"/>
      <c r="AT86" s="1170"/>
      <c r="AU86" s="1174"/>
      <c r="AV86" s="1119"/>
      <c r="AW86" s="1169"/>
      <c r="AX86" s="1177"/>
      <c r="AY86" s="1177"/>
      <c r="AZ86" s="1169"/>
      <c r="BA86" s="1169">
        <f t="shared" si="286"/>
        <v>0</v>
      </c>
      <c r="BB86" s="1169"/>
      <c r="BC86" s="1175"/>
      <c r="BD86" s="1027"/>
      <c r="BE86" s="1024"/>
      <c r="BF86" s="1024"/>
      <c r="BG86" s="1008"/>
      <c r="BH86" s="1008"/>
      <c r="BI86" s="1008"/>
      <c r="BJ86" s="1008"/>
      <c r="BK86" s="1008"/>
      <c r="BL86" s="1008"/>
      <c r="BM86" s="1008"/>
    </row>
    <row r="87" s="1215" customFormat="1" ht="21.75" customHeight="1">
      <c r="A87" s="1216" t="s">
        <v>455</v>
      </c>
      <c r="B87" s="1202" t="s">
        <v>311</v>
      </c>
      <c r="C87" s="1202"/>
      <c r="D87" s="1202"/>
      <c r="E87" s="1164">
        <f t="shared" si="287"/>
        <v>402.00999999999999</v>
      </c>
      <c r="F87" s="1164">
        <f t="shared" si="271"/>
        <v>8677.7099999999991</v>
      </c>
      <c r="G87" s="1165">
        <f t="shared" si="280"/>
        <v>9079.7199999999993</v>
      </c>
      <c r="H87" s="1166"/>
      <c r="I87" s="1167">
        <f t="shared" si="272"/>
        <v>402.00999999999999</v>
      </c>
      <c r="J87" s="1167">
        <f t="shared" si="273"/>
        <v>8677.7099999999991</v>
      </c>
      <c r="K87" s="1168">
        <f t="shared" si="281"/>
        <v>9079.7199999999993</v>
      </c>
      <c r="L87" s="1119"/>
      <c r="M87" s="1169"/>
      <c r="N87" s="1177"/>
      <c r="O87" s="1169"/>
      <c r="P87" s="1169"/>
      <c r="Q87" s="1169">
        <f t="shared" si="282"/>
        <v>0</v>
      </c>
      <c r="R87" s="1169"/>
      <c r="S87" s="1170"/>
      <c r="T87" s="1171"/>
      <c r="U87" s="1119"/>
      <c r="V87" s="1169"/>
      <c r="W87" s="1177"/>
      <c r="X87" s="1177"/>
      <c r="Y87" s="1169"/>
      <c r="Z87" s="1169">
        <f t="shared" si="283"/>
        <v>0</v>
      </c>
      <c r="AA87" s="1169"/>
      <c r="AB87" s="1172">
        <f t="shared" si="276"/>
        <v>0</v>
      </c>
      <c r="AC87" s="1171"/>
      <c r="AD87" s="1128"/>
      <c r="AE87" s="1169"/>
      <c r="AF87" s="1177"/>
      <c r="AG87" s="1177"/>
      <c r="AH87" s="1169">
        <v>402.00999999999999</v>
      </c>
      <c r="AI87" s="1169">
        <f t="shared" si="284"/>
        <v>402.00999999999999</v>
      </c>
      <c r="AJ87" s="1169">
        <v>8677.7099999999991</v>
      </c>
      <c r="AK87" s="1173"/>
      <c r="AL87" s="1171"/>
      <c r="AM87" s="1128"/>
      <c r="AN87" s="1170"/>
      <c r="AO87" s="1175"/>
      <c r="AP87" s="1175"/>
      <c r="AQ87" s="1170"/>
      <c r="AR87" s="1170">
        <f t="shared" si="285"/>
        <v>0</v>
      </c>
      <c r="AS87" s="1170"/>
      <c r="AT87" s="1170"/>
      <c r="AU87" s="1174"/>
      <c r="AV87" s="1119"/>
      <c r="AW87" s="1169"/>
      <c r="AX87" s="1177"/>
      <c r="AY87" s="1177"/>
      <c r="AZ87" s="1169"/>
      <c r="BA87" s="1169">
        <f t="shared" si="286"/>
        <v>0</v>
      </c>
      <c r="BB87" s="1169"/>
      <c r="BC87" s="1175"/>
      <c r="BD87" s="1027"/>
      <c r="BE87" s="1024"/>
      <c r="BF87" s="1024"/>
      <c r="BG87" s="1008"/>
      <c r="BH87" s="1008"/>
      <c r="BI87" s="1008"/>
      <c r="BJ87" s="1008"/>
      <c r="BK87" s="1008"/>
      <c r="BL87" s="1008"/>
      <c r="BM87" s="1008"/>
    </row>
    <row r="88" s="1215" customFormat="1" ht="21.75" customHeight="1">
      <c r="A88" s="1216"/>
      <c r="B88" s="1202" t="s">
        <v>456</v>
      </c>
      <c r="C88" s="1202"/>
      <c r="D88" s="1202"/>
      <c r="E88" s="1164">
        <f t="shared" si="287"/>
        <v>0</v>
      </c>
      <c r="F88" s="1164">
        <f t="shared" si="271"/>
        <v>0</v>
      </c>
      <c r="G88" s="1165">
        <f t="shared" si="280"/>
        <v>0</v>
      </c>
      <c r="H88" s="1166"/>
      <c r="I88" s="1167">
        <f t="shared" si="272"/>
        <v>0</v>
      </c>
      <c r="J88" s="1167">
        <f t="shared" si="273"/>
        <v>0</v>
      </c>
      <c r="K88" s="1168">
        <f t="shared" si="281"/>
        <v>0</v>
      </c>
      <c r="L88" s="1119"/>
      <c r="M88" s="1169"/>
      <c r="N88" s="1177"/>
      <c r="O88" s="1169"/>
      <c r="P88" s="1169"/>
      <c r="Q88" s="1169">
        <f t="shared" si="282"/>
        <v>0</v>
      </c>
      <c r="R88" s="1169"/>
      <c r="S88" s="1170"/>
      <c r="T88" s="1171"/>
      <c r="U88" s="1119"/>
      <c r="V88" s="1169"/>
      <c r="W88" s="1177"/>
      <c r="X88" s="1177"/>
      <c r="Y88" s="1169"/>
      <c r="Z88" s="1169">
        <f t="shared" si="283"/>
        <v>0</v>
      </c>
      <c r="AA88" s="1169"/>
      <c r="AB88" s="1172">
        <f t="shared" si="276"/>
        <v>0</v>
      </c>
      <c r="AC88" s="1171"/>
      <c r="AD88" s="1128"/>
      <c r="AE88" s="1169"/>
      <c r="AF88" s="1177"/>
      <c r="AG88" s="1177"/>
      <c r="AH88" s="1169"/>
      <c r="AI88" s="1169">
        <f t="shared" si="284"/>
        <v>0</v>
      </c>
      <c r="AJ88" s="1169"/>
      <c r="AK88" s="1173"/>
      <c r="AL88" s="1171"/>
      <c r="AM88" s="1128"/>
      <c r="AN88" s="1170"/>
      <c r="AO88" s="1175"/>
      <c r="AP88" s="1175"/>
      <c r="AQ88" s="1170"/>
      <c r="AR88" s="1170">
        <f t="shared" si="285"/>
        <v>0</v>
      </c>
      <c r="AS88" s="1170"/>
      <c r="AT88" s="1170"/>
      <c r="AU88" s="1174"/>
      <c r="AV88" s="1119"/>
      <c r="AW88" s="1169"/>
      <c r="AX88" s="1177"/>
      <c r="AY88" s="1177"/>
      <c r="AZ88" s="1169"/>
      <c r="BA88" s="1169">
        <f t="shared" si="286"/>
        <v>0</v>
      </c>
      <c r="BB88" s="1169"/>
      <c r="BC88" s="1175"/>
      <c r="BD88" s="1027"/>
      <c r="BE88" s="1024"/>
      <c r="BF88" s="1024"/>
      <c r="BG88" s="1008"/>
      <c r="BH88" s="1008"/>
      <c r="BI88" s="1008"/>
      <c r="BJ88" s="1008"/>
      <c r="BK88" s="1008"/>
      <c r="BL88" s="1008"/>
      <c r="BM88" s="1008"/>
    </row>
    <row r="89" s="1215" customFormat="1" ht="21.75" customHeight="1">
      <c r="A89" s="999"/>
      <c r="B89" s="1202" t="s">
        <v>457</v>
      </c>
      <c r="C89" s="1202"/>
      <c r="D89" s="1202"/>
      <c r="E89" s="1164">
        <f t="shared" si="287"/>
        <v>0</v>
      </c>
      <c r="F89" s="1164">
        <f t="shared" si="271"/>
        <v>0</v>
      </c>
      <c r="G89" s="1165">
        <f t="shared" si="280"/>
        <v>0</v>
      </c>
      <c r="H89" s="1166"/>
      <c r="I89" s="1167">
        <f t="shared" si="272"/>
        <v>0</v>
      </c>
      <c r="J89" s="1167">
        <f t="shared" si="273"/>
        <v>0</v>
      </c>
      <c r="K89" s="1168">
        <f t="shared" si="281"/>
        <v>0</v>
      </c>
      <c r="L89" s="1119"/>
      <c r="M89" s="1169"/>
      <c r="N89" s="1177"/>
      <c r="O89" s="1169"/>
      <c r="P89" s="1169"/>
      <c r="Q89" s="1169">
        <f t="shared" si="282"/>
        <v>0</v>
      </c>
      <c r="R89" s="1169"/>
      <c r="S89" s="1170"/>
      <c r="T89" s="1171"/>
      <c r="U89" s="1119"/>
      <c r="V89" s="1169"/>
      <c r="W89" s="1177"/>
      <c r="X89" s="1177"/>
      <c r="Y89" s="1169"/>
      <c r="Z89" s="1169">
        <f t="shared" si="283"/>
        <v>0</v>
      </c>
      <c r="AA89" s="1169"/>
      <c r="AB89" s="1172">
        <f t="shared" si="276"/>
        <v>0</v>
      </c>
      <c r="AC89" s="1171"/>
      <c r="AD89" s="1128"/>
      <c r="AE89" s="1169"/>
      <c r="AF89" s="1177"/>
      <c r="AG89" s="1177"/>
      <c r="AH89" s="1169"/>
      <c r="AI89" s="1169">
        <f t="shared" si="284"/>
        <v>0</v>
      </c>
      <c r="AJ89" s="1169"/>
      <c r="AK89" s="1173"/>
      <c r="AL89" s="1171"/>
      <c r="AM89" s="1128"/>
      <c r="AN89" s="1170"/>
      <c r="AO89" s="1175"/>
      <c r="AP89" s="1175"/>
      <c r="AQ89" s="1170"/>
      <c r="AR89" s="1170">
        <f t="shared" si="285"/>
        <v>0</v>
      </c>
      <c r="AS89" s="1170"/>
      <c r="AT89" s="1170"/>
      <c r="AU89" s="1174"/>
      <c r="AV89" s="1119"/>
      <c r="AW89" s="1169"/>
      <c r="AX89" s="1177"/>
      <c r="AY89" s="1177"/>
      <c r="AZ89" s="1169"/>
      <c r="BA89" s="1169">
        <f t="shared" si="286"/>
        <v>0</v>
      </c>
      <c r="BB89" s="1169"/>
      <c r="BC89" s="1175"/>
      <c r="BD89" s="1027"/>
      <c r="BE89" s="1024"/>
      <c r="BF89" s="1024"/>
      <c r="BG89" s="1008"/>
      <c r="BH89" s="1008"/>
      <c r="BI89" s="1008"/>
      <c r="BJ89" s="1008"/>
      <c r="BK89" s="1008"/>
      <c r="BL89" s="1008"/>
      <c r="BM89" s="1008"/>
    </row>
    <row r="90" s="1215" customFormat="1" ht="21.75" customHeight="1">
      <c r="A90" s="999"/>
      <c r="B90" s="1202" t="s">
        <v>458</v>
      </c>
      <c r="C90" s="1202"/>
      <c r="D90" s="1202"/>
      <c r="E90" s="1164">
        <f t="shared" si="287"/>
        <v>0</v>
      </c>
      <c r="F90" s="1164">
        <f t="shared" si="271"/>
        <v>0</v>
      </c>
      <c r="G90" s="1165">
        <f t="shared" si="280"/>
        <v>0</v>
      </c>
      <c r="H90" s="1166"/>
      <c r="I90" s="1167">
        <f t="shared" si="272"/>
        <v>0</v>
      </c>
      <c r="J90" s="1167">
        <f t="shared" si="273"/>
        <v>0</v>
      </c>
      <c r="K90" s="1168">
        <f t="shared" si="281"/>
        <v>0</v>
      </c>
      <c r="L90" s="1119"/>
      <c r="M90" s="1169"/>
      <c r="N90" s="1177"/>
      <c r="O90" s="1169"/>
      <c r="P90" s="1169"/>
      <c r="Q90" s="1169">
        <f t="shared" si="282"/>
        <v>0</v>
      </c>
      <c r="R90" s="1169"/>
      <c r="S90" s="1170"/>
      <c r="T90" s="1171"/>
      <c r="U90" s="1119"/>
      <c r="V90" s="1169"/>
      <c r="W90" s="1177"/>
      <c r="X90" s="1177"/>
      <c r="Y90" s="1169"/>
      <c r="Z90" s="1169">
        <f t="shared" si="283"/>
        <v>0</v>
      </c>
      <c r="AA90" s="1169"/>
      <c r="AB90" s="1172">
        <f t="shared" si="276"/>
        <v>0</v>
      </c>
      <c r="AC90" s="1171"/>
      <c r="AD90" s="1128"/>
      <c r="AE90" s="1169"/>
      <c r="AF90" s="1177"/>
      <c r="AG90" s="1177"/>
      <c r="AH90" s="1169"/>
      <c r="AI90" s="1169">
        <f t="shared" si="284"/>
        <v>0</v>
      </c>
      <c r="AJ90" s="1169"/>
      <c r="AK90" s="1173"/>
      <c r="AL90" s="1171"/>
      <c r="AM90" s="1128"/>
      <c r="AN90" s="1170"/>
      <c r="AO90" s="1175"/>
      <c r="AP90" s="1175"/>
      <c r="AQ90" s="1170"/>
      <c r="AR90" s="1170">
        <f t="shared" si="285"/>
        <v>0</v>
      </c>
      <c r="AS90" s="1170"/>
      <c r="AT90" s="1170"/>
      <c r="AU90" s="1174"/>
      <c r="AV90" s="1119"/>
      <c r="AW90" s="1169"/>
      <c r="AX90" s="1177"/>
      <c r="AY90" s="1177"/>
      <c r="AZ90" s="1169"/>
      <c r="BA90" s="1169">
        <f t="shared" si="286"/>
        <v>0</v>
      </c>
      <c r="BB90" s="1169"/>
      <c r="BC90" s="1175"/>
      <c r="BD90" s="1027"/>
      <c r="BE90" s="1024"/>
      <c r="BF90" s="1024"/>
      <c r="BG90" s="1008"/>
      <c r="BH90" s="1008"/>
      <c r="BI90" s="1008"/>
      <c r="BJ90" s="1008"/>
      <c r="BK90" s="1008"/>
      <c r="BL90" s="1008"/>
      <c r="BM90" s="1008"/>
    </row>
    <row r="91" s="1215" customFormat="1" ht="21.75" customHeight="1">
      <c r="A91" s="1216"/>
      <c r="B91" s="1202" t="s">
        <v>459</v>
      </c>
      <c r="C91" s="1202"/>
      <c r="D91" s="1202"/>
      <c r="E91" s="1164">
        <f t="shared" si="287"/>
        <v>0</v>
      </c>
      <c r="F91" s="1164">
        <f t="shared" si="271"/>
        <v>0</v>
      </c>
      <c r="G91" s="1165">
        <f t="shared" si="280"/>
        <v>0</v>
      </c>
      <c r="H91" s="1166"/>
      <c r="I91" s="1167">
        <f t="shared" si="272"/>
        <v>0</v>
      </c>
      <c r="J91" s="1167">
        <f t="shared" si="273"/>
        <v>0</v>
      </c>
      <c r="K91" s="1168">
        <f t="shared" si="281"/>
        <v>0</v>
      </c>
      <c r="L91" s="1119"/>
      <c r="M91" s="1169"/>
      <c r="N91" s="1177"/>
      <c r="O91" s="1169"/>
      <c r="P91" s="1169"/>
      <c r="Q91" s="1169">
        <f t="shared" si="282"/>
        <v>0</v>
      </c>
      <c r="R91" s="1169"/>
      <c r="S91" s="1170"/>
      <c r="T91" s="1171"/>
      <c r="U91" s="1119"/>
      <c r="V91" s="1169"/>
      <c r="W91" s="1177"/>
      <c r="X91" s="1177"/>
      <c r="Y91" s="1169"/>
      <c r="Z91" s="1169">
        <f t="shared" si="283"/>
        <v>0</v>
      </c>
      <c r="AA91" s="1169"/>
      <c r="AB91" s="1172">
        <f t="shared" si="276"/>
        <v>0</v>
      </c>
      <c r="AC91" s="1171"/>
      <c r="AD91" s="1128"/>
      <c r="AE91" s="1169"/>
      <c r="AF91" s="1177"/>
      <c r="AG91" s="1177"/>
      <c r="AH91" s="1169"/>
      <c r="AI91" s="1169">
        <f t="shared" si="284"/>
        <v>0</v>
      </c>
      <c r="AJ91" s="1169"/>
      <c r="AK91" s="1173"/>
      <c r="AL91" s="1171"/>
      <c r="AM91" s="1128"/>
      <c r="AN91" s="1170"/>
      <c r="AO91" s="1175"/>
      <c r="AP91" s="1175"/>
      <c r="AQ91" s="1170"/>
      <c r="AR91" s="1170">
        <f t="shared" si="285"/>
        <v>0</v>
      </c>
      <c r="AS91" s="1170"/>
      <c r="AT91" s="1170"/>
      <c r="AU91" s="1174"/>
      <c r="AV91" s="1119"/>
      <c r="AW91" s="1169"/>
      <c r="AX91" s="1177"/>
      <c r="AY91" s="1177"/>
      <c r="AZ91" s="1169"/>
      <c r="BA91" s="1169">
        <f t="shared" si="286"/>
        <v>0</v>
      </c>
      <c r="BB91" s="1169"/>
      <c r="BC91" s="1175"/>
      <c r="BD91" s="1027"/>
      <c r="BE91" s="1024"/>
      <c r="BF91" s="1024"/>
      <c r="BG91" s="1008"/>
      <c r="BH91" s="1008"/>
      <c r="BI91" s="1008"/>
      <c r="BJ91" s="1008"/>
      <c r="BK91" s="1008"/>
      <c r="BL91" s="1008"/>
      <c r="BM91" s="1008"/>
    </row>
    <row r="92" s="1215" customFormat="1" ht="21.75" customHeight="1">
      <c r="A92" s="1216"/>
      <c r="B92" s="1202" t="s">
        <v>460</v>
      </c>
      <c r="C92" s="1202"/>
      <c r="D92" s="1202"/>
      <c r="E92" s="1164">
        <f t="shared" si="287"/>
        <v>0</v>
      </c>
      <c r="F92" s="1164">
        <f t="shared" si="271"/>
        <v>0</v>
      </c>
      <c r="G92" s="1165">
        <f t="shared" si="280"/>
        <v>0</v>
      </c>
      <c r="H92" s="1166"/>
      <c r="I92" s="1167">
        <f t="shared" si="272"/>
        <v>0</v>
      </c>
      <c r="J92" s="1167">
        <f t="shared" si="273"/>
        <v>0</v>
      </c>
      <c r="K92" s="1168">
        <f t="shared" si="281"/>
        <v>0</v>
      </c>
      <c r="L92" s="1119"/>
      <c r="M92" s="1169"/>
      <c r="N92" s="1177"/>
      <c r="O92" s="1169"/>
      <c r="P92" s="1169"/>
      <c r="Q92" s="1169">
        <f t="shared" si="282"/>
        <v>0</v>
      </c>
      <c r="R92" s="1169"/>
      <c r="S92" s="1170"/>
      <c r="T92" s="1171"/>
      <c r="U92" s="1119"/>
      <c r="V92" s="1169"/>
      <c r="W92" s="1177"/>
      <c r="X92" s="1177"/>
      <c r="Y92" s="1169"/>
      <c r="Z92" s="1169">
        <f t="shared" si="283"/>
        <v>0</v>
      </c>
      <c r="AA92" s="1169"/>
      <c r="AB92" s="1172">
        <f t="shared" si="276"/>
        <v>0</v>
      </c>
      <c r="AC92" s="1171"/>
      <c r="AD92" s="1128"/>
      <c r="AE92" s="1169"/>
      <c r="AF92" s="1177"/>
      <c r="AG92" s="1177"/>
      <c r="AH92" s="1169"/>
      <c r="AI92" s="1169">
        <f t="shared" si="284"/>
        <v>0</v>
      </c>
      <c r="AJ92" s="1169"/>
      <c r="AK92" s="1173"/>
      <c r="AL92" s="1171"/>
      <c r="AM92" s="1128"/>
      <c r="AN92" s="1170"/>
      <c r="AO92" s="1175"/>
      <c r="AP92" s="1175"/>
      <c r="AQ92" s="1170"/>
      <c r="AR92" s="1170">
        <f t="shared" si="285"/>
        <v>0</v>
      </c>
      <c r="AS92" s="1170"/>
      <c r="AT92" s="1170"/>
      <c r="AU92" s="1174"/>
      <c r="AV92" s="1119"/>
      <c r="AW92" s="1169"/>
      <c r="AX92" s="1177"/>
      <c r="AY92" s="1177"/>
      <c r="AZ92" s="1169"/>
      <c r="BA92" s="1169">
        <f t="shared" si="286"/>
        <v>0</v>
      </c>
      <c r="BB92" s="1169"/>
      <c r="BC92" s="1175"/>
      <c r="BD92" s="1027"/>
      <c r="BE92" s="1024"/>
      <c r="BF92" s="1024"/>
      <c r="BG92" s="1008"/>
      <c r="BH92" s="1008"/>
      <c r="BI92" s="1008"/>
      <c r="BJ92" s="1008"/>
      <c r="BK92" s="1008"/>
      <c r="BL92" s="1008"/>
      <c r="BM92" s="1008"/>
    </row>
    <row r="93" s="1215" customFormat="1" ht="21.75" customHeight="1">
      <c r="A93" s="1216"/>
      <c r="B93" s="1202" t="s">
        <v>461</v>
      </c>
      <c r="C93" s="1202"/>
      <c r="D93" s="1202"/>
      <c r="E93" s="1164">
        <f t="shared" si="287"/>
        <v>0</v>
      </c>
      <c r="F93" s="1164">
        <f t="shared" si="271"/>
        <v>0</v>
      </c>
      <c r="G93" s="1165">
        <f t="shared" si="280"/>
        <v>0</v>
      </c>
      <c r="H93" s="1166"/>
      <c r="I93" s="1167">
        <f t="shared" si="272"/>
        <v>0</v>
      </c>
      <c r="J93" s="1167">
        <f t="shared" si="273"/>
        <v>0</v>
      </c>
      <c r="K93" s="1168">
        <f t="shared" si="281"/>
        <v>0</v>
      </c>
      <c r="L93" s="1119"/>
      <c r="M93" s="1169"/>
      <c r="N93" s="1177"/>
      <c r="O93" s="1169"/>
      <c r="P93" s="1169"/>
      <c r="Q93" s="1169">
        <f t="shared" si="282"/>
        <v>0</v>
      </c>
      <c r="R93" s="1169"/>
      <c r="S93" s="1170"/>
      <c r="T93" s="1171"/>
      <c r="U93" s="1119"/>
      <c r="V93" s="1169"/>
      <c r="W93" s="1177"/>
      <c r="X93" s="1177"/>
      <c r="Y93" s="1169"/>
      <c r="Z93" s="1169">
        <f t="shared" si="283"/>
        <v>0</v>
      </c>
      <c r="AA93" s="1169"/>
      <c r="AB93" s="1172">
        <f t="shared" si="276"/>
        <v>0</v>
      </c>
      <c r="AC93" s="1171"/>
      <c r="AD93" s="1128"/>
      <c r="AE93" s="1169"/>
      <c r="AF93" s="1177"/>
      <c r="AG93" s="1177"/>
      <c r="AH93" s="1169"/>
      <c r="AI93" s="1169">
        <f t="shared" si="284"/>
        <v>0</v>
      </c>
      <c r="AJ93" s="1169"/>
      <c r="AK93" s="1173"/>
      <c r="AL93" s="1171"/>
      <c r="AM93" s="1128"/>
      <c r="AN93" s="1170"/>
      <c r="AO93" s="1175"/>
      <c r="AP93" s="1175"/>
      <c r="AQ93" s="1170"/>
      <c r="AR93" s="1170">
        <f t="shared" si="285"/>
        <v>0</v>
      </c>
      <c r="AS93" s="1170"/>
      <c r="AT93" s="1170"/>
      <c r="AU93" s="1174"/>
      <c r="AV93" s="1119"/>
      <c r="AW93" s="1169"/>
      <c r="AX93" s="1177"/>
      <c r="AY93" s="1177"/>
      <c r="AZ93" s="1169"/>
      <c r="BA93" s="1169">
        <f t="shared" si="286"/>
        <v>0</v>
      </c>
      <c r="BB93" s="1169"/>
      <c r="BC93" s="1175"/>
      <c r="BD93" s="1027"/>
      <c r="BE93" s="1024"/>
      <c r="BF93" s="1024"/>
      <c r="BG93" s="1008"/>
      <c r="BH93" s="1008"/>
      <c r="BI93" s="1008"/>
      <c r="BJ93" s="1008"/>
      <c r="BK93" s="1008"/>
      <c r="BL93" s="1008"/>
      <c r="BM93" s="1008"/>
    </row>
    <row r="94" s="1215" customFormat="1" ht="21.75" customHeight="1">
      <c r="A94" s="1216"/>
      <c r="B94" s="1202" t="s">
        <v>462</v>
      </c>
      <c r="C94" s="1202"/>
      <c r="D94" s="1202"/>
      <c r="E94" s="1164">
        <f t="shared" si="287"/>
        <v>0</v>
      </c>
      <c r="F94" s="1164">
        <f t="shared" si="271"/>
        <v>0</v>
      </c>
      <c r="G94" s="1165">
        <f t="shared" si="280"/>
        <v>0</v>
      </c>
      <c r="H94" s="1166"/>
      <c r="I94" s="1167">
        <f t="shared" si="272"/>
        <v>0</v>
      </c>
      <c r="J94" s="1167">
        <f t="shared" si="273"/>
        <v>0</v>
      </c>
      <c r="K94" s="1168">
        <f t="shared" si="281"/>
        <v>0</v>
      </c>
      <c r="L94" s="1119"/>
      <c r="M94" s="1169"/>
      <c r="N94" s="1177"/>
      <c r="O94" s="1169"/>
      <c r="P94" s="1169"/>
      <c r="Q94" s="1169">
        <f t="shared" si="282"/>
        <v>0</v>
      </c>
      <c r="R94" s="1169"/>
      <c r="S94" s="1170"/>
      <c r="T94" s="1171"/>
      <c r="U94" s="1119"/>
      <c r="V94" s="1169"/>
      <c r="W94" s="1177"/>
      <c r="X94" s="1177"/>
      <c r="Y94" s="1169"/>
      <c r="Z94" s="1169">
        <f t="shared" si="283"/>
        <v>0</v>
      </c>
      <c r="AA94" s="1169"/>
      <c r="AB94" s="1172">
        <f t="shared" si="276"/>
        <v>0</v>
      </c>
      <c r="AC94" s="1171"/>
      <c r="AD94" s="1128"/>
      <c r="AE94" s="1169"/>
      <c r="AF94" s="1177"/>
      <c r="AG94" s="1177"/>
      <c r="AH94" s="1169"/>
      <c r="AI94" s="1169">
        <f t="shared" si="284"/>
        <v>0</v>
      </c>
      <c r="AJ94" s="1169"/>
      <c r="AK94" s="1173"/>
      <c r="AL94" s="1171"/>
      <c r="AM94" s="1128"/>
      <c r="AN94" s="1170"/>
      <c r="AO94" s="1175"/>
      <c r="AP94" s="1175"/>
      <c r="AQ94" s="1170"/>
      <c r="AR94" s="1170">
        <f t="shared" si="285"/>
        <v>0</v>
      </c>
      <c r="AS94" s="1170"/>
      <c r="AT94" s="1170"/>
      <c r="AU94" s="1174"/>
      <c r="AV94" s="1119"/>
      <c r="AW94" s="1169"/>
      <c r="AX94" s="1177"/>
      <c r="AY94" s="1177"/>
      <c r="AZ94" s="1169"/>
      <c r="BA94" s="1169">
        <f t="shared" si="286"/>
        <v>0</v>
      </c>
      <c r="BB94" s="1169"/>
      <c r="BC94" s="1175"/>
      <c r="BD94" s="1027"/>
      <c r="BE94" s="1024"/>
      <c r="BF94" s="1024"/>
      <c r="BG94" s="1008"/>
      <c r="BH94" s="1008"/>
      <c r="BI94" s="1008"/>
      <c r="BJ94" s="1008"/>
      <c r="BK94" s="1008"/>
      <c r="BL94" s="1008"/>
      <c r="BM94" s="1008"/>
    </row>
    <row r="95" s="1215" customFormat="1" ht="21.75" customHeight="1">
      <c r="A95" s="1216"/>
      <c r="B95" s="1202" t="s">
        <v>463</v>
      </c>
      <c r="C95" s="1202"/>
      <c r="D95" s="1202"/>
      <c r="E95" s="1164">
        <f t="shared" si="287"/>
        <v>0</v>
      </c>
      <c r="F95" s="1164">
        <f t="shared" si="271"/>
        <v>0</v>
      </c>
      <c r="G95" s="1165">
        <f t="shared" si="280"/>
        <v>0</v>
      </c>
      <c r="H95" s="1166"/>
      <c r="I95" s="1167">
        <f t="shared" si="272"/>
        <v>0</v>
      </c>
      <c r="J95" s="1167">
        <f t="shared" si="273"/>
        <v>0</v>
      </c>
      <c r="K95" s="1168">
        <f t="shared" si="281"/>
        <v>0</v>
      </c>
      <c r="L95" s="1119"/>
      <c r="M95" s="1169"/>
      <c r="N95" s="1177"/>
      <c r="O95" s="1169"/>
      <c r="P95" s="1169"/>
      <c r="Q95" s="1169">
        <f t="shared" si="282"/>
        <v>0</v>
      </c>
      <c r="R95" s="1169"/>
      <c r="S95" s="1170"/>
      <c r="T95" s="1171"/>
      <c r="U95" s="1119"/>
      <c r="V95" s="1169"/>
      <c r="W95" s="1177"/>
      <c r="X95" s="1177"/>
      <c r="Y95" s="1169"/>
      <c r="Z95" s="1169">
        <f t="shared" si="283"/>
        <v>0</v>
      </c>
      <c r="AA95" s="1169"/>
      <c r="AB95" s="1172">
        <f t="shared" si="276"/>
        <v>0</v>
      </c>
      <c r="AC95" s="1171"/>
      <c r="AD95" s="1128"/>
      <c r="AE95" s="1169"/>
      <c r="AF95" s="1177"/>
      <c r="AG95" s="1177"/>
      <c r="AH95" s="1169"/>
      <c r="AI95" s="1169">
        <f t="shared" si="284"/>
        <v>0</v>
      </c>
      <c r="AJ95" s="1169"/>
      <c r="AK95" s="1173"/>
      <c r="AL95" s="1171"/>
      <c r="AM95" s="1128"/>
      <c r="AN95" s="1170"/>
      <c r="AO95" s="1175"/>
      <c r="AP95" s="1175"/>
      <c r="AQ95" s="1170"/>
      <c r="AR95" s="1170">
        <f t="shared" si="285"/>
        <v>0</v>
      </c>
      <c r="AS95" s="1170"/>
      <c r="AT95" s="1170"/>
      <c r="AU95" s="1174"/>
      <c r="AV95" s="1119"/>
      <c r="AW95" s="1169"/>
      <c r="AX95" s="1177"/>
      <c r="AY95" s="1177"/>
      <c r="AZ95" s="1169"/>
      <c r="BA95" s="1169">
        <f t="shared" si="286"/>
        <v>0</v>
      </c>
      <c r="BB95" s="1169"/>
      <c r="BC95" s="1175"/>
      <c r="BD95" s="1027"/>
      <c r="BE95" s="1024"/>
      <c r="BF95" s="1024"/>
      <c r="BG95" s="1008"/>
      <c r="BH95" s="1008"/>
      <c r="BI95" s="1008"/>
      <c r="BJ95" s="1008"/>
      <c r="BK95" s="1008"/>
      <c r="BL95" s="1008"/>
      <c r="BM95" s="1008"/>
    </row>
    <row r="96" ht="21.75" customHeight="1">
      <c r="B96" s="1202" t="s">
        <v>464</v>
      </c>
      <c r="C96" s="1202"/>
      <c r="D96" s="1202"/>
      <c r="E96" s="1164">
        <f t="shared" si="287"/>
        <v>0</v>
      </c>
      <c r="F96" s="1164">
        <f t="shared" si="271"/>
        <v>0</v>
      </c>
      <c r="G96" s="1165">
        <f t="shared" si="280"/>
        <v>0</v>
      </c>
      <c r="H96" s="1166"/>
      <c r="I96" s="1167">
        <f t="shared" si="272"/>
        <v>0</v>
      </c>
      <c r="J96" s="1167">
        <f t="shared" si="273"/>
        <v>0</v>
      </c>
      <c r="K96" s="1168">
        <f t="shared" si="281"/>
        <v>0</v>
      </c>
      <c r="L96" s="1119"/>
      <c r="M96" s="1169"/>
      <c r="N96" s="1177"/>
      <c r="O96" s="1169"/>
      <c r="P96" s="1169"/>
      <c r="Q96" s="1169">
        <f t="shared" si="282"/>
        <v>0</v>
      </c>
      <c r="R96" s="1169"/>
      <c r="S96" s="1170"/>
      <c r="T96" s="1171"/>
      <c r="U96" s="1119"/>
      <c r="V96" s="1169"/>
      <c r="W96" s="1177"/>
      <c r="X96" s="1177"/>
      <c r="Y96" s="1169"/>
      <c r="Z96" s="1169">
        <f t="shared" si="283"/>
        <v>0</v>
      </c>
      <c r="AA96" s="1169"/>
      <c r="AB96" s="1172">
        <f t="shared" si="276"/>
        <v>0</v>
      </c>
      <c r="AC96" s="1171"/>
      <c r="AD96" s="1128"/>
      <c r="AE96" s="1169"/>
      <c r="AF96" s="1177"/>
      <c r="AG96" s="1177"/>
      <c r="AH96" s="1169"/>
      <c r="AI96" s="1169">
        <f t="shared" si="284"/>
        <v>0</v>
      </c>
      <c r="AJ96" s="1169"/>
      <c r="AK96" s="1173"/>
      <c r="AL96" s="1171"/>
      <c r="AM96" s="1128"/>
      <c r="AN96" s="1170"/>
      <c r="AO96" s="1175"/>
      <c r="AP96" s="1175"/>
      <c r="AQ96" s="1170"/>
      <c r="AR96" s="1170">
        <f t="shared" si="285"/>
        <v>0</v>
      </c>
      <c r="AS96" s="1170"/>
      <c r="AT96" s="1170"/>
      <c r="AU96" s="1174"/>
      <c r="AV96" s="1131"/>
      <c r="AW96" s="1169"/>
      <c r="AX96" s="1177"/>
      <c r="AY96" s="1177"/>
      <c r="AZ96" s="1169"/>
      <c r="BA96" s="1169">
        <f t="shared" si="286"/>
        <v>0</v>
      </c>
      <c r="BB96" s="1169"/>
      <c r="BC96" s="1175"/>
      <c r="BD96" s="1027"/>
      <c r="BE96" s="1029"/>
      <c r="BF96" s="1029"/>
    </row>
    <row r="97" ht="21.75" customHeight="1">
      <c r="B97" s="1202" t="s">
        <v>465</v>
      </c>
      <c r="C97" s="1202"/>
      <c r="D97" s="1202"/>
      <c r="E97" s="1164">
        <f t="shared" si="287"/>
        <v>0</v>
      </c>
      <c r="F97" s="1164">
        <f t="shared" si="271"/>
        <v>0</v>
      </c>
      <c r="G97" s="1165">
        <f t="shared" si="280"/>
        <v>0</v>
      </c>
      <c r="H97" s="1166"/>
      <c r="I97" s="1167">
        <f t="shared" si="272"/>
        <v>0</v>
      </c>
      <c r="J97" s="1167">
        <f t="shared" si="273"/>
        <v>0</v>
      </c>
      <c r="K97" s="1168">
        <f t="shared" si="281"/>
        <v>0</v>
      </c>
      <c r="L97" s="1119"/>
      <c r="M97" s="1169"/>
      <c r="N97" s="1177"/>
      <c r="O97" s="1169"/>
      <c r="P97" s="1169"/>
      <c r="Q97" s="1169">
        <f t="shared" si="282"/>
        <v>0</v>
      </c>
      <c r="R97" s="1169"/>
      <c r="S97" s="1170"/>
      <c r="T97" s="1171"/>
      <c r="U97" s="1119"/>
      <c r="V97" s="1169"/>
      <c r="W97" s="1177"/>
      <c r="X97" s="1177"/>
      <c r="Y97" s="1169"/>
      <c r="Z97" s="1169">
        <f t="shared" si="283"/>
        <v>0</v>
      </c>
      <c r="AA97" s="1169"/>
      <c r="AB97" s="1172">
        <f t="shared" si="276"/>
        <v>0</v>
      </c>
      <c r="AC97" s="1171"/>
      <c r="AD97" s="1128"/>
      <c r="AE97" s="1169"/>
      <c r="AF97" s="1177"/>
      <c r="AG97" s="1177"/>
      <c r="AH97" s="1169"/>
      <c r="AI97" s="1169">
        <f t="shared" si="284"/>
        <v>0</v>
      </c>
      <c r="AJ97" s="1169"/>
      <c r="AK97" s="1173"/>
      <c r="AL97" s="1171"/>
      <c r="AM97" s="1128"/>
      <c r="AN97" s="1170"/>
      <c r="AO97" s="1175"/>
      <c r="AP97" s="1175"/>
      <c r="AQ97" s="1170"/>
      <c r="AR97" s="1170">
        <f t="shared" si="285"/>
        <v>0</v>
      </c>
      <c r="AS97" s="1170"/>
      <c r="AT97" s="1170"/>
      <c r="AU97" s="1174"/>
      <c r="AV97" s="1131"/>
      <c r="AW97" s="1169"/>
      <c r="AX97" s="1177"/>
      <c r="AY97" s="1177"/>
      <c r="AZ97" s="1169"/>
      <c r="BA97" s="1169">
        <f t="shared" si="286"/>
        <v>0</v>
      </c>
      <c r="BB97" s="1169"/>
      <c r="BC97" s="1175"/>
      <c r="BD97" s="1027"/>
      <c r="BE97" s="1029"/>
      <c r="BF97" s="1029"/>
    </row>
    <row r="98" ht="21.75" customHeight="1">
      <c r="B98" s="1202" t="s">
        <v>303</v>
      </c>
      <c r="C98" s="1202"/>
      <c r="D98" s="1202"/>
      <c r="E98" s="1164">
        <f t="shared" si="287"/>
        <v>0</v>
      </c>
      <c r="F98" s="1164">
        <f t="shared" si="271"/>
        <v>0</v>
      </c>
      <c r="G98" s="1165">
        <f t="shared" si="280"/>
        <v>0</v>
      </c>
      <c r="H98" s="1166"/>
      <c r="I98" s="1167">
        <f t="shared" si="272"/>
        <v>0</v>
      </c>
      <c r="J98" s="1167">
        <f t="shared" si="273"/>
        <v>0</v>
      </c>
      <c r="K98" s="1168">
        <f t="shared" si="281"/>
        <v>0</v>
      </c>
      <c r="L98" s="1119"/>
      <c r="M98" s="1169"/>
      <c r="N98" s="1177"/>
      <c r="O98" s="1169"/>
      <c r="P98" s="1169"/>
      <c r="Q98" s="1169">
        <f t="shared" si="282"/>
        <v>0</v>
      </c>
      <c r="R98" s="1169"/>
      <c r="S98" s="1170"/>
      <c r="T98" s="1171"/>
      <c r="U98" s="1119"/>
      <c r="V98" s="1169"/>
      <c r="W98" s="1177"/>
      <c r="X98" s="1177"/>
      <c r="Y98" s="1169"/>
      <c r="Z98" s="1169">
        <f t="shared" si="283"/>
        <v>0</v>
      </c>
      <c r="AA98" s="1169"/>
      <c r="AB98" s="1172">
        <f t="shared" si="276"/>
        <v>0</v>
      </c>
      <c r="AC98" s="1171"/>
      <c r="AD98" s="1128"/>
      <c r="AE98" s="1169"/>
      <c r="AF98" s="1177"/>
      <c r="AG98" s="1177"/>
      <c r="AH98" s="1169"/>
      <c r="AI98" s="1169">
        <f t="shared" si="284"/>
        <v>0</v>
      </c>
      <c r="AJ98" s="1169"/>
      <c r="AK98" s="1173"/>
      <c r="AL98" s="1171"/>
      <c r="AM98" s="1128"/>
      <c r="AN98" s="1170"/>
      <c r="AO98" s="1175"/>
      <c r="AP98" s="1175"/>
      <c r="AQ98" s="1170"/>
      <c r="AR98" s="1170">
        <f t="shared" si="285"/>
        <v>0</v>
      </c>
      <c r="AS98" s="1170"/>
      <c r="AT98" s="1170"/>
      <c r="AU98" s="1174"/>
      <c r="AV98" s="1131"/>
      <c r="AW98" s="1169"/>
      <c r="AX98" s="1177"/>
      <c r="AY98" s="1177"/>
      <c r="AZ98" s="1169"/>
      <c r="BA98" s="1169">
        <f t="shared" si="286"/>
        <v>0</v>
      </c>
      <c r="BB98" s="1169"/>
      <c r="BC98" s="1175"/>
      <c r="BD98" s="1027"/>
      <c r="BE98" s="1029"/>
      <c r="BF98" s="1029"/>
    </row>
    <row r="99" ht="21.75" customHeight="1">
      <c r="B99" s="1202" t="s">
        <v>304</v>
      </c>
      <c r="C99" s="1202"/>
      <c r="D99" s="1202"/>
      <c r="E99" s="1164">
        <f t="shared" si="287"/>
        <v>0</v>
      </c>
      <c r="F99" s="1164">
        <f t="shared" si="271"/>
        <v>0</v>
      </c>
      <c r="G99" s="1165">
        <f t="shared" si="280"/>
        <v>0</v>
      </c>
      <c r="H99" s="1166"/>
      <c r="I99" s="1167">
        <f t="shared" si="272"/>
        <v>0</v>
      </c>
      <c r="J99" s="1167">
        <f t="shared" si="273"/>
        <v>0</v>
      </c>
      <c r="K99" s="1168">
        <f t="shared" si="281"/>
        <v>0</v>
      </c>
      <c r="L99" s="1119"/>
      <c r="M99" s="1169"/>
      <c r="N99" s="1177"/>
      <c r="O99" s="1169"/>
      <c r="P99" s="1169"/>
      <c r="Q99" s="1169">
        <f t="shared" si="282"/>
        <v>0</v>
      </c>
      <c r="R99" s="1169"/>
      <c r="S99" s="1170"/>
      <c r="T99" s="1171"/>
      <c r="U99" s="1119"/>
      <c r="V99" s="1169"/>
      <c r="W99" s="1177"/>
      <c r="X99" s="1177"/>
      <c r="Y99" s="1169"/>
      <c r="Z99" s="1169">
        <f t="shared" si="283"/>
        <v>0</v>
      </c>
      <c r="AA99" s="1169"/>
      <c r="AB99" s="1172">
        <f t="shared" si="276"/>
        <v>0</v>
      </c>
      <c r="AC99" s="1171"/>
      <c r="AD99" s="1128"/>
      <c r="AE99" s="1169"/>
      <c r="AF99" s="1177"/>
      <c r="AG99" s="1177"/>
      <c r="AH99" s="1169"/>
      <c r="AI99" s="1169">
        <f t="shared" si="284"/>
        <v>0</v>
      </c>
      <c r="AJ99" s="1169"/>
      <c r="AK99" s="1173"/>
      <c r="AL99" s="1171"/>
      <c r="AM99" s="1128"/>
      <c r="AN99" s="1170"/>
      <c r="AO99" s="1175"/>
      <c r="AP99" s="1175"/>
      <c r="AQ99" s="1170"/>
      <c r="AR99" s="1170">
        <f t="shared" si="285"/>
        <v>0</v>
      </c>
      <c r="AS99" s="1170"/>
      <c r="AT99" s="1170"/>
      <c r="AU99" s="1174"/>
      <c r="AV99" s="1131"/>
      <c r="AW99" s="1169"/>
      <c r="AX99" s="1177"/>
      <c r="AY99" s="1177"/>
      <c r="AZ99" s="1169"/>
      <c r="BA99" s="1169">
        <f t="shared" si="286"/>
        <v>0</v>
      </c>
      <c r="BB99" s="1169"/>
      <c r="BC99" s="1175"/>
      <c r="BD99" s="1027"/>
      <c r="BE99" s="1029"/>
      <c r="BF99" s="1029"/>
    </row>
    <row r="100" ht="21.75" customHeight="1">
      <c r="A100" s="1110" t="s">
        <v>466</v>
      </c>
      <c r="B100" s="1202" t="s">
        <v>467</v>
      </c>
      <c r="C100" s="1202"/>
      <c r="D100" s="1202"/>
      <c r="E100" s="1164">
        <f t="shared" si="287"/>
        <v>367751.52000000002</v>
      </c>
      <c r="F100" s="1164">
        <f t="shared" si="271"/>
        <v>0</v>
      </c>
      <c r="G100" s="1165">
        <f>E100+F100</f>
        <v>367751.52000000002</v>
      </c>
      <c r="H100" s="1166"/>
      <c r="I100" s="1167">
        <f t="shared" si="272"/>
        <v>0</v>
      </c>
      <c r="J100" s="1167">
        <f t="shared" si="273"/>
        <v>0</v>
      </c>
      <c r="K100" s="1168">
        <f>I100+J100</f>
        <v>0</v>
      </c>
      <c r="L100" s="1119"/>
      <c r="M100" s="1169"/>
      <c r="N100" s="1177"/>
      <c r="O100" s="1169"/>
      <c r="P100" s="1169"/>
      <c r="Q100" s="1169">
        <f>SUM(M100:P100)</f>
        <v>0</v>
      </c>
      <c r="R100" s="1169"/>
      <c r="S100" s="1170"/>
      <c r="T100" s="1171"/>
      <c r="U100" s="1119"/>
      <c r="V100" s="1169"/>
      <c r="W100" s="1177"/>
      <c r="X100" s="1177"/>
      <c r="Y100" s="1169">
        <v>367751.52000000002</v>
      </c>
      <c r="Z100" s="1169">
        <f>SUM(V100:Y100)</f>
        <v>367751.52000000002</v>
      </c>
      <c r="AA100" s="1169"/>
      <c r="AB100" s="1172">
        <f t="shared" si="276"/>
        <v>367751.52000000002</v>
      </c>
      <c r="AC100" s="1171"/>
      <c r="AD100" s="1128"/>
      <c r="AE100" s="1169"/>
      <c r="AF100" s="1177"/>
      <c r="AG100" s="1177"/>
      <c r="AH100" s="1169"/>
      <c r="AI100" s="1169">
        <f>SUM(AE100:AH100)</f>
        <v>0</v>
      </c>
      <c r="AJ100" s="1169"/>
      <c r="AK100" s="1173"/>
      <c r="AL100" s="1171"/>
      <c r="AM100" s="1128"/>
      <c r="AN100" s="1170"/>
      <c r="AO100" s="1175"/>
      <c r="AP100" s="1175"/>
      <c r="AQ100" s="1170"/>
      <c r="AR100" s="1170">
        <f>SUM(AN100:AQ100)</f>
        <v>0</v>
      </c>
      <c r="AS100" s="1170"/>
      <c r="AT100" s="1170"/>
      <c r="AU100" s="1174"/>
      <c r="AV100" s="1131"/>
      <c r="AW100" s="1169"/>
      <c r="AX100" s="1177"/>
      <c r="AY100" s="1177"/>
      <c r="AZ100" s="1169"/>
      <c r="BA100" s="1169">
        <f t="shared" ref="BA100:BA101" si="288">SUM(AW100:AZ100)</f>
        <v>0</v>
      </c>
      <c r="BB100" s="1169"/>
      <c r="BC100" s="1175"/>
      <c r="BD100" s="1027"/>
      <c r="BE100" s="1029"/>
      <c r="BF100" s="1029"/>
    </row>
    <row r="101" ht="21.75" customHeight="1">
      <c r="A101" s="999" t="s">
        <v>468</v>
      </c>
      <c r="B101" s="1202" t="s">
        <v>469</v>
      </c>
      <c r="C101" s="1202"/>
      <c r="D101" s="1202"/>
      <c r="E101" s="1164">
        <f t="shared" si="287"/>
        <v>0</v>
      </c>
      <c r="F101" s="1164">
        <f t="shared" si="271"/>
        <v>0</v>
      </c>
      <c r="G101" s="1165">
        <f t="shared" si="280"/>
        <v>0</v>
      </c>
      <c r="H101" s="1166"/>
      <c r="I101" s="1167">
        <f t="shared" si="272"/>
        <v>0</v>
      </c>
      <c r="J101" s="1167">
        <f t="shared" si="273"/>
        <v>0</v>
      </c>
      <c r="K101" s="1168">
        <f t="shared" si="281"/>
        <v>0</v>
      </c>
      <c r="L101" s="1119"/>
      <c r="M101" s="1169"/>
      <c r="N101" s="1177"/>
      <c r="O101" s="1169"/>
      <c r="P101" s="1169"/>
      <c r="Q101" s="1169">
        <f t="shared" si="282"/>
        <v>0</v>
      </c>
      <c r="R101" s="1169"/>
      <c r="S101" s="1170"/>
      <c r="T101" s="1171"/>
      <c r="U101" s="1119"/>
      <c r="V101" s="1169"/>
      <c r="W101" s="1177"/>
      <c r="X101" s="1177"/>
      <c r="Y101" s="1169"/>
      <c r="Z101" s="1169">
        <f t="shared" si="283"/>
        <v>0</v>
      </c>
      <c r="AA101" s="1169"/>
      <c r="AB101" s="1172">
        <f t="shared" si="276"/>
        <v>0</v>
      </c>
      <c r="AC101" s="1171"/>
      <c r="AD101" s="1128"/>
      <c r="AE101" s="1169"/>
      <c r="AF101" s="1177"/>
      <c r="AG101" s="1177"/>
      <c r="AH101" s="1169"/>
      <c r="AI101" s="1169">
        <f t="shared" si="284"/>
        <v>0</v>
      </c>
      <c r="AJ101" s="1169"/>
      <c r="AK101" s="1173"/>
      <c r="AL101" s="1171"/>
      <c r="AM101" s="1128"/>
      <c r="AN101" s="1170"/>
      <c r="AO101" s="1175"/>
      <c r="AP101" s="1175"/>
      <c r="AQ101" s="1170"/>
      <c r="AR101" s="1170">
        <f t="shared" si="285"/>
        <v>0</v>
      </c>
      <c r="AS101" s="1170"/>
      <c r="AT101" s="1170"/>
      <c r="AU101" s="1174"/>
      <c r="AV101" s="1131"/>
      <c r="AW101" s="1169"/>
      <c r="AX101" s="1177"/>
      <c r="AY101" s="1177"/>
      <c r="AZ101" s="1169"/>
      <c r="BA101" s="1169">
        <f t="shared" si="288"/>
        <v>0</v>
      </c>
      <c r="BB101" s="1169"/>
      <c r="BC101" s="1175"/>
      <c r="BD101" s="1027"/>
      <c r="BE101" s="1029"/>
      <c r="BF101" s="1029"/>
    </row>
    <row r="102" ht="21.75" customHeight="1">
      <c r="A102" s="1110"/>
      <c r="B102" s="1205" t="s">
        <v>27</v>
      </c>
      <c r="C102" s="1205"/>
      <c r="D102" s="1205"/>
      <c r="E102" s="1183">
        <f t="shared" ref="E102:F165" si="289">Q102+Z102+AI102+AR102+BA102</f>
        <v>2177737.1299999999</v>
      </c>
      <c r="F102" s="1183">
        <f t="shared" ref="F102:F165" si="290">R102+AA102+AJ102+AS102+BB102</f>
        <v>3147489.2100000004</v>
      </c>
      <c r="G102" s="1184">
        <f>SUM(G76:G101)</f>
        <v>5325226.3399999999</v>
      </c>
      <c r="H102" s="1185"/>
      <c r="I102" s="1186">
        <f t="shared" si="272"/>
        <v>473448.40999999968</v>
      </c>
      <c r="J102" s="1186">
        <f t="shared" si="273"/>
        <v>3002820.3800000004</v>
      </c>
      <c r="K102" s="1187">
        <f>SUM(K76:K101)</f>
        <v>3476268.7900000005</v>
      </c>
      <c r="L102" s="1206"/>
      <c r="M102" s="1213">
        <f t="shared" ref="M102:R102" si="291">SUM(M76:M101)</f>
        <v>0</v>
      </c>
      <c r="N102" s="1213">
        <f t="shared" si="291"/>
        <v>0</v>
      </c>
      <c r="O102" s="1213">
        <f t="shared" si="291"/>
        <v>0</v>
      </c>
      <c r="P102" s="1213">
        <f t="shared" si="291"/>
        <v>473046.39999999997</v>
      </c>
      <c r="Q102" s="1213">
        <f t="shared" si="291"/>
        <v>473046.39999999997</v>
      </c>
      <c r="R102" s="1213">
        <f t="shared" si="291"/>
        <v>2862991.0900000003</v>
      </c>
      <c r="S102" s="1170"/>
      <c r="T102" s="1214"/>
      <c r="U102" s="1206">
        <f t="shared" ref="U102:AA102" si="292">SUM(U76:U101)</f>
        <v>0</v>
      </c>
      <c r="V102" s="1209">
        <f t="shared" si="292"/>
        <v>0</v>
      </c>
      <c r="W102" s="1209">
        <f t="shared" si="292"/>
        <v>0</v>
      </c>
      <c r="X102" s="1209">
        <f t="shared" si="292"/>
        <v>0</v>
      </c>
      <c r="Y102" s="1209">
        <f t="shared" si="292"/>
        <v>1704288.7200000002</v>
      </c>
      <c r="Z102" s="1209">
        <f t="shared" si="292"/>
        <v>1704288.7200000002</v>
      </c>
      <c r="AA102" s="1209">
        <f t="shared" si="292"/>
        <v>144668.83000000002</v>
      </c>
      <c r="AB102" s="1172">
        <f t="shared" si="276"/>
        <v>1848957.5500000003</v>
      </c>
      <c r="AC102" s="1208"/>
      <c r="AD102" s="1210">
        <f t="shared" ref="AD102:AJ102" si="293">SUM(AD76:AD101)</f>
        <v>0</v>
      </c>
      <c r="AE102" s="1209">
        <f t="shared" si="293"/>
        <v>0</v>
      </c>
      <c r="AF102" s="1209">
        <f t="shared" si="293"/>
        <v>0</v>
      </c>
      <c r="AG102" s="1209">
        <f t="shared" si="293"/>
        <v>0</v>
      </c>
      <c r="AH102" s="1209">
        <f t="shared" si="293"/>
        <v>402.00999999999999</v>
      </c>
      <c r="AI102" s="1209">
        <f t="shared" si="293"/>
        <v>402.00999999999999</v>
      </c>
      <c r="AJ102" s="1209">
        <f t="shared" si="293"/>
        <v>139829.28999999998</v>
      </c>
      <c r="AK102" s="1173"/>
      <c r="AL102" s="1208"/>
      <c r="AM102" s="1128"/>
      <c r="AN102" s="1190">
        <f t="shared" ref="AN102:AS102" si="294">SUM(AN76:AN101)</f>
        <v>0</v>
      </c>
      <c r="AO102" s="1190">
        <f t="shared" si="294"/>
        <v>0</v>
      </c>
      <c r="AP102" s="1190">
        <f t="shared" si="294"/>
        <v>0</v>
      </c>
      <c r="AQ102" s="1190">
        <f t="shared" si="294"/>
        <v>0</v>
      </c>
      <c r="AR102" s="1190">
        <f t="shared" si="294"/>
        <v>0</v>
      </c>
      <c r="AS102" s="1190">
        <f t="shared" si="294"/>
        <v>0</v>
      </c>
      <c r="AT102" s="1170"/>
      <c r="AU102" s="1191"/>
      <c r="AV102" s="1131"/>
      <c r="AW102" s="1096">
        <f t="shared" ref="AW102:BB102" si="295">SUM(AW76:AW101)</f>
        <v>0</v>
      </c>
      <c r="AX102" s="1096">
        <f t="shared" si="295"/>
        <v>0</v>
      </c>
      <c r="AY102" s="1096">
        <f t="shared" si="295"/>
        <v>0</v>
      </c>
      <c r="AZ102" s="1096">
        <f t="shared" si="295"/>
        <v>0</v>
      </c>
      <c r="BA102" s="1096">
        <f t="shared" si="295"/>
        <v>0</v>
      </c>
      <c r="BB102" s="1096">
        <f t="shared" si="295"/>
        <v>0</v>
      </c>
      <c r="BC102" s="1175"/>
      <c r="BD102" s="1027"/>
      <c r="BE102" s="1029"/>
      <c r="BF102" s="1029"/>
    </row>
    <row r="103" ht="21.75" customHeight="1">
      <c r="A103" s="1110"/>
      <c r="B103" s="1205" t="s">
        <v>470</v>
      </c>
      <c r="C103" s="1205"/>
      <c r="D103" s="1205"/>
      <c r="E103" s="1183">
        <f t="shared" si="289"/>
        <v>11744809.529999999</v>
      </c>
      <c r="F103" s="1183">
        <f t="shared" si="290"/>
        <v>26657326.120000001</v>
      </c>
      <c r="G103" s="1220">
        <f>G102+G75+G61+G52</f>
        <v>38402135.650000006</v>
      </c>
      <c r="H103" s="1221"/>
      <c r="I103" s="1186">
        <f t="shared" si="272"/>
        <v>9997544.3399999999</v>
      </c>
      <c r="J103" s="1186">
        <f t="shared" si="273"/>
        <v>26099545.859999999</v>
      </c>
      <c r="K103" s="1222">
        <f>K102+K75+K61+K52</f>
        <v>36097090.199999996</v>
      </c>
      <c r="L103" s="1188"/>
      <c r="M103" s="1096">
        <f t="shared" ref="M103:R103" si="296">M102+M75+M61+M52</f>
        <v>0</v>
      </c>
      <c r="N103" s="1096">
        <f t="shared" si="296"/>
        <v>0</v>
      </c>
      <c r="O103" s="1096">
        <f t="shared" si="296"/>
        <v>0</v>
      </c>
      <c r="P103" s="1096">
        <f t="shared" si="296"/>
        <v>9701866.1699999999</v>
      </c>
      <c r="Q103" s="1096">
        <f t="shared" si="296"/>
        <v>9701866.1699999999</v>
      </c>
      <c r="R103" s="1096">
        <f t="shared" si="296"/>
        <v>25373963.329999998</v>
      </c>
      <c r="S103" s="1170"/>
      <c r="T103" s="1189"/>
      <c r="U103" s="1096">
        <f t="shared" ref="U103:AA103" si="297">U102+U75+U61+U52</f>
        <v>0</v>
      </c>
      <c r="V103" s="1096">
        <f t="shared" si="297"/>
        <v>0</v>
      </c>
      <c r="W103" s="1096">
        <f t="shared" si="297"/>
        <v>0</v>
      </c>
      <c r="X103" s="1096">
        <f t="shared" si="297"/>
        <v>0</v>
      </c>
      <c r="Y103" s="1096">
        <f t="shared" si="297"/>
        <v>1747265.1900000002</v>
      </c>
      <c r="Z103" s="1096">
        <f t="shared" si="297"/>
        <v>1747265.1900000002</v>
      </c>
      <c r="AA103" s="1096">
        <f t="shared" si="297"/>
        <v>557780.26000000001</v>
      </c>
      <c r="AB103" s="1172">
        <f t="shared" si="276"/>
        <v>2305045.4500000002</v>
      </c>
      <c r="AC103" s="1189"/>
      <c r="AD103" s="1197">
        <f t="shared" ref="AD103:AJ103" si="298">AD102+AD75+AD61+AD52</f>
        <v>0</v>
      </c>
      <c r="AE103" s="1096">
        <f t="shared" si="298"/>
        <v>0</v>
      </c>
      <c r="AF103" s="1096">
        <f t="shared" si="298"/>
        <v>0</v>
      </c>
      <c r="AG103" s="1096">
        <f t="shared" si="298"/>
        <v>0</v>
      </c>
      <c r="AH103" s="1096">
        <f t="shared" si="298"/>
        <v>295678.16999999998</v>
      </c>
      <c r="AI103" s="1096">
        <f t="shared" si="298"/>
        <v>295678.16999999998</v>
      </c>
      <c r="AJ103" s="1096">
        <f t="shared" si="298"/>
        <v>725582.53000000003</v>
      </c>
      <c r="AK103" s="1173"/>
      <c r="AL103" s="1189"/>
      <c r="AM103" s="1197">
        <f t="shared" ref="AM103:AS103" si="299">AM102+AM75+AM61+AM52</f>
        <v>0</v>
      </c>
      <c r="AN103" s="1190">
        <f t="shared" si="299"/>
        <v>0</v>
      </c>
      <c r="AO103" s="1190">
        <f t="shared" si="299"/>
        <v>0</v>
      </c>
      <c r="AP103" s="1190">
        <f t="shared" si="299"/>
        <v>0</v>
      </c>
      <c r="AQ103" s="1190">
        <f t="shared" si="299"/>
        <v>0</v>
      </c>
      <c r="AR103" s="1190">
        <f t="shared" si="299"/>
        <v>0</v>
      </c>
      <c r="AS103" s="1190">
        <f t="shared" si="299"/>
        <v>0</v>
      </c>
      <c r="AT103" s="1170"/>
      <c r="AU103" s="1191"/>
      <c r="AV103" s="1096">
        <f t="shared" ref="AV103:BB103" si="300">AV102+AV75+AV61+AV52</f>
        <v>0</v>
      </c>
      <c r="AW103" s="1096">
        <f t="shared" si="300"/>
        <v>0</v>
      </c>
      <c r="AX103" s="1096">
        <f t="shared" si="300"/>
        <v>0</v>
      </c>
      <c r="AY103" s="1096">
        <f t="shared" si="300"/>
        <v>0</v>
      </c>
      <c r="AZ103" s="1096">
        <f t="shared" si="300"/>
        <v>0</v>
      </c>
      <c r="BA103" s="1096">
        <f t="shared" si="300"/>
        <v>0</v>
      </c>
      <c r="BB103" s="1096">
        <f t="shared" si="300"/>
        <v>0</v>
      </c>
      <c r="BC103" s="1175"/>
      <c r="BD103" s="1027"/>
      <c r="BE103" s="1029"/>
      <c r="BF103" s="1029"/>
    </row>
    <row r="104" s="1224" customFormat="1" ht="18.75" customHeight="1">
      <c r="A104" s="999"/>
      <c r="B104" s="1133"/>
      <c r="C104" s="1133"/>
      <c r="D104" s="1133"/>
      <c r="E104" s="1225"/>
      <c r="F104" s="1225"/>
      <c r="G104" s="1226"/>
      <c r="H104" s="1227"/>
      <c r="I104" s="1228"/>
      <c r="J104" s="1228"/>
      <c r="K104" s="1167"/>
      <c r="L104" s="1229"/>
      <c r="M104" s="1230"/>
      <c r="N104" s="1230"/>
      <c r="O104" s="1230"/>
      <c r="P104" s="1230"/>
      <c r="Q104" s="1230"/>
      <c r="R104" s="1230"/>
      <c r="S104" s="1170"/>
      <c r="T104" s="1231"/>
      <c r="U104" s="1229"/>
      <c r="V104" s="1230"/>
      <c r="W104" s="1229"/>
      <c r="X104" s="1230"/>
      <c r="Y104" s="1230"/>
      <c r="Z104" s="1230"/>
      <c r="AA104" s="1230"/>
      <c r="AB104" s="1170"/>
      <c r="AC104" s="1231"/>
      <c r="AD104" s="1024"/>
      <c r="AE104" s="1230"/>
      <c r="AF104" s="1229"/>
      <c r="AG104" s="1229"/>
      <c r="AH104" s="1229"/>
      <c r="AI104" s="1229"/>
      <c r="AJ104" s="1229"/>
      <c r="AK104" s="1173"/>
      <c r="AL104" s="1025"/>
      <c r="AM104" s="1024"/>
      <c r="AN104" s="1023"/>
      <c r="AO104" s="1024"/>
      <c r="AP104" s="1024"/>
      <c r="AQ104" s="1024"/>
      <c r="AR104" s="1024"/>
      <c r="AS104" s="1024"/>
      <c r="AT104" s="1170"/>
      <c r="AU104" s="1027"/>
      <c r="AV104" s="1133"/>
      <c r="AW104" s="1230"/>
      <c r="AX104" s="1229"/>
      <c r="AY104" s="1229"/>
      <c r="AZ104" s="1229"/>
      <c r="BA104" s="1229"/>
      <c r="BB104" s="1229"/>
      <c r="BC104" s="1175"/>
      <c r="BD104" s="1027"/>
      <c r="BE104" s="1029"/>
      <c r="BF104" s="1029"/>
      <c r="BG104" s="1000"/>
      <c r="BH104" s="1000"/>
      <c r="BI104" s="1000"/>
      <c r="BJ104" s="1000"/>
      <c r="BK104" s="1000"/>
      <c r="BL104" s="1000"/>
      <c r="BM104" s="1000"/>
    </row>
    <row r="105" ht="18.75" customHeight="1">
      <c r="B105" s="1232"/>
      <c r="C105" s="1232"/>
      <c r="D105" s="1232"/>
      <c r="E105" s="1225"/>
      <c r="F105" s="1225"/>
      <c r="G105" s="1226"/>
      <c r="H105" s="1227"/>
      <c r="I105" s="1228"/>
      <c r="J105" s="1228"/>
      <c r="K105" s="1167"/>
      <c r="L105" s="1229"/>
      <c r="M105" s="1230"/>
      <c r="N105" s="1229"/>
      <c r="O105" s="1230"/>
      <c r="P105" s="1230"/>
      <c r="Q105" s="1229"/>
      <c r="R105" s="1229"/>
      <c r="S105" s="1170"/>
      <c r="U105" s="1229"/>
      <c r="V105" s="1230"/>
      <c r="W105" s="1229"/>
      <c r="X105" s="1229"/>
      <c r="Y105" s="1230"/>
      <c r="Z105" s="1229"/>
      <c r="AA105" s="1229"/>
      <c r="AB105" s="1170"/>
      <c r="AD105" s="1229"/>
      <c r="AE105" s="1230"/>
      <c r="AF105" s="1229"/>
      <c r="AG105" s="1229"/>
      <c r="AH105" s="1230"/>
      <c r="AI105" s="1229"/>
      <c r="AJ105" s="1229"/>
      <c r="AK105" s="1173"/>
      <c r="AL105" s="1025"/>
      <c r="AM105" s="1024"/>
      <c r="AN105" s="1023"/>
      <c r="AO105" s="1024"/>
      <c r="AP105" s="1024"/>
      <c r="AQ105" s="1023"/>
      <c r="AR105" s="1024"/>
      <c r="AS105" s="1024"/>
      <c r="AT105" s="1170"/>
      <c r="AU105" s="1027"/>
      <c r="AV105" s="1029"/>
      <c r="AW105" s="1023"/>
      <c r="AX105" s="1024"/>
      <c r="AY105" s="1024"/>
      <c r="AZ105" s="1023"/>
      <c r="BA105" s="1024"/>
      <c r="BB105" s="1024"/>
      <c r="BC105" s="1175"/>
      <c r="BD105" s="1027"/>
      <c r="BE105" s="1029"/>
      <c r="BF105" s="1029"/>
    </row>
    <row r="106" ht="37.5" customHeight="1">
      <c r="B106" s="1233" t="s">
        <v>471</v>
      </c>
      <c r="C106" s="1234"/>
      <c r="D106" s="1234"/>
      <c r="E106" s="1113" t="s">
        <v>347</v>
      </c>
      <c r="F106" s="1114"/>
      <c r="G106" s="1114"/>
      <c r="H106" s="1115"/>
      <c r="I106" s="1235" t="s">
        <v>335</v>
      </c>
      <c r="J106" s="1236"/>
      <c r="K106" s="1237"/>
      <c r="L106" s="1119"/>
      <c r="M106" s="1120" t="s">
        <v>127</v>
      </c>
      <c r="N106" s="1121"/>
      <c r="O106" s="1121"/>
      <c r="P106" s="1121"/>
      <c r="Q106" s="1121"/>
      <c r="R106" s="1122"/>
      <c r="S106" s="1123"/>
      <c r="T106" s="1124"/>
      <c r="U106" s="1125"/>
      <c r="V106" s="1120" t="s">
        <v>325</v>
      </c>
      <c r="W106" s="1121"/>
      <c r="X106" s="1121"/>
      <c r="Y106" s="1121"/>
      <c r="Z106" s="1121"/>
      <c r="AA106" s="1122"/>
      <c r="AB106" s="1115"/>
      <c r="AC106" s="1126"/>
      <c r="AD106" s="1125"/>
      <c r="AE106" s="1120" t="s">
        <v>311</v>
      </c>
      <c r="AF106" s="1121"/>
      <c r="AG106" s="1121"/>
      <c r="AH106" s="1121"/>
      <c r="AI106" s="1121"/>
      <c r="AJ106" s="1122"/>
      <c r="AK106" s="1127"/>
      <c r="AL106" s="1126"/>
      <c r="AM106" s="1128"/>
      <c r="AN106" s="1043" t="s">
        <v>327</v>
      </c>
      <c r="AO106" s="1044"/>
      <c r="AP106" s="1044"/>
      <c r="AQ106" s="1044"/>
      <c r="AR106" s="1044"/>
      <c r="AS106" s="1045"/>
      <c r="AT106" s="1129"/>
      <c r="AU106" s="1130"/>
      <c r="AV106" s="1131"/>
      <c r="AW106" s="1120" t="s">
        <v>349</v>
      </c>
      <c r="AX106" s="1121"/>
      <c r="AY106" s="1121"/>
      <c r="AZ106" s="1121"/>
      <c r="BA106" s="1121"/>
      <c r="BB106" s="1122"/>
      <c r="BC106" s="1029"/>
      <c r="BD106" s="1132"/>
      <c r="BE106" s="1133"/>
      <c r="BF106" s="1133"/>
    </row>
    <row r="107" ht="18.75" customHeight="1">
      <c r="A107" s="1110"/>
      <c r="B107" s="1134" t="s">
        <v>350</v>
      </c>
      <c r="C107" s="1134"/>
      <c r="D107" s="1134"/>
      <c r="E107" s="1135" t="s">
        <v>332</v>
      </c>
      <c r="F107" s="1135" t="s">
        <v>333</v>
      </c>
      <c r="G107" s="1136" t="s">
        <v>334</v>
      </c>
      <c r="H107" s="1137" t="s">
        <v>341</v>
      </c>
      <c r="I107" s="1138"/>
      <c r="J107" s="1138"/>
      <c r="K107" s="1139"/>
      <c r="L107" s="1119"/>
      <c r="M107" s="1073" t="s">
        <v>336</v>
      </c>
      <c r="N107" s="1073" t="s">
        <v>337</v>
      </c>
      <c r="O107" s="1073" t="s">
        <v>338</v>
      </c>
      <c r="P107" s="1073" t="s">
        <v>344</v>
      </c>
      <c r="Q107" s="1073" t="s">
        <v>351</v>
      </c>
      <c r="R107" s="1140" t="s">
        <v>339</v>
      </c>
      <c r="S107" s="1141" t="s">
        <v>340</v>
      </c>
      <c r="T107" s="1142"/>
      <c r="U107" s="1128"/>
      <c r="V107" s="1073" t="s">
        <v>336</v>
      </c>
      <c r="W107" s="1073" t="s">
        <v>337</v>
      </c>
      <c r="X107" s="1073" t="s">
        <v>338</v>
      </c>
      <c r="Y107" s="1073" t="s">
        <v>344</v>
      </c>
      <c r="Z107" s="1073" t="s">
        <v>351</v>
      </c>
      <c r="AA107" s="1140" t="s">
        <v>339</v>
      </c>
      <c r="AB107" s="1143" t="str">
        <f>S107</f>
        <v xml:space="preserve">Итого (спирт+наркотики+растворы+перевязка)</v>
      </c>
      <c r="AC107" s="1142"/>
      <c r="AD107" s="1128"/>
      <c r="AE107" s="1073" t="s">
        <v>336</v>
      </c>
      <c r="AF107" s="1073" t="s">
        <v>337</v>
      </c>
      <c r="AG107" s="1073" t="s">
        <v>338</v>
      </c>
      <c r="AH107" s="1073" t="s">
        <v>344</v>
      </c>
      <c r="AI107" s="1073" t="s">
        <v>351</v>
      </c>
      <c r="AJ107" s="1140" t="s">
        <v>339</v>
      </c>
      <c r="AK107" s="1141" t="s">
        <v>340</v>
      </c>
      <c r="AL107" s="1142"/>
      <c r="AM107" s="1128"/>
      <c r="AN107" s="1144" t="s">
        <v>336</v>
      </c>
      <c r="AO107" s="1144" t="s">
        <v>337</v>
      </c>
      <c r="AP107" s="1144" t="s">
        <v>338</v>
      </c>
      <c r="AQ107" s="1073" t="s">
        <v>344</v>
      </c>
      <c r="AR107" s="1073" t="s">
        <v>351</v>
      </c>
      <c r="AS107" s="1140" t="s">
        <v>339</v>
      </c>
      <c r="AT107" s="1145"/>
      <c r="AU107" s="1146"/>
      <c r="AV107" s="1131"/>
      <c r="AW107" s="1073" t="s">
        <v>336</v>
      </c>
      <c r="AX107" s="1073" t="s">
        <v>337</v>
      </c>
      <c r="AY107" s="1073" t="s">
        <v>338</v>
      </c>
      <c r="AZ107" s="1073" t="s">
        <v>344</v>
      </c>
      <c r="BA107" s="1073" t="s">
        <v>351</v>
      </c>
      <c r="BB107" s="1140" t="s">
        <v>339</v>
      </c>
      <c r="BC107" s="1147"/>
      <c r="BD107" s="1132"/>
      <c r="BE107" s="1133"/>
      <c r="BF107" s="1133"/>
    </row>
    <row r="108" ht="39.75" customHeight="1">
      <c r="A108" s="1110"/>
      <c r="B108" s="1149"/>
      <c r="C108" s="1149"/>
      <c r="D108" s="1149"/>
      <c r="E108" s="1150"/>
      <c r="F108" s="1150"/>
      <c r="G108" s="1151"/>
      <c r="H108" s="1152"/>
      <c r="I108" s="1153" t="s">
        <v>342</v>
      </c>
      <c r="J108" s="1154" t="s">
        <v>339</v>
      </c>
      <c r="K108" s="1155" t="s">
        <v>335</v>
      </c>
      <c r="L108" s="1119"/>
      <c r="M108" s="1095"/>
      <c r="N108" s="1095"/>
      <c r="O108" s="1095"/>
      <c r="P108" s="1095"/>
      <c r="Q108" s="1095"/>
      <c r="R108" s="1123"/>
      <c r="S108" s="1156"/>
      <c r="T108" s="1124"/>
      <c r="U108" s="1128"/>
      <c r="V108" s="1095"/>
      <c r="W108" s="1095"/>
      <c r="X108" s="1095"/>
      <c r="Y108" s="1095"/>
      <c r="Z108" s="1095"/>
      <c r="AA108" s="1123"/>
      <c r="AB108" s="1157"/>
      <c r="AC108" s="1124"/>
      <c r="AD108" s="1128"/>
      <c r="AE108" s="1095"/>
      <c r="AF108" s="1095"/>
      <c r="AG108" s="1095"/>
      <c r="AH108" s="1095"/>
      <c r="AI108" s="1095"/>
      <c r="AJ108" s="1123"/>
      <c r="AK108" s="1156"/>
      <c r="AL108" s="1124"/>
      <c r="AM108" s="1128"/>
      <c r="AN108" s="1158"/>
      <c r="AO108" s="1158"/>
      <c r="AP108" s="1158"/>
      <c r="AQ108" s="1095"/>
      <c r="AR108" s="1095"/>
      <c r="AS108" s="1123"/>
      <c r="AT108" s="1159"/>
      <c r="AU108" s="1160"/>
      <c r="AV108" s="1131"/>
      <c r="AW108" s="1095"/>
      <c r="AX108" s="1095"/>
      <c r="AY108" s="1095"/>
      <c r="AZ108" s="1095"/>
      <c r="BA108" s="1095"/>
      <c r="BB108" s="1123"/>
      <c r="BC108" s="1161"/>
      <c r="BD108" s="1132"/>
      <c r="BE108" s="1133"/>
      <c r="BF108" s="1133"/>
    </row>
    <row r="109" ht="22.5" customHeight="1">
      <c r="A109" s="999" t="str">
        <f t="shared" ref="A109:A172" si="301">A11</f>
        <v xml:space="preserve">Павельева Л.Г.</v>
      </c>
      <c r="B109" s="1162" t="s">
        <v>178</v>
      </c>
      <c r="C109" s="1162"/>
      <c r="D109" s="1162"/>
      <c r="E109" s="1164">
        <f t="shared" si="289"/>
        <v>1440035.2999999998</v>
      </c>
      <c r="F109" s="1164">
        <f t="shared" si="290"/>
        <v>37866.949999999997</v>
      </c>
      <c r="G109" s="1165">
        <f t="shared" ref="G109:G116" si="302">E109+F109</f>
        <v>1477902.2499999998</v>
      </c>
      <c r="H109" s="1166"/>
      <c r="I109" s="1167">
        <f t="shared" ref="I109:J172" si="303">E109-Z109</f>
        <v>1439836.3999999999</v>
      </c>
      <c r="J109" s="1167">
        <f t="shared" ref="J109:J172" si="304">F109-AA109</f>
        <v>19441.499999999996</v>
      </c>
      <c r="K109" s="1168">
        <f t="shared" ref="K109:K116" si="305">I109+J109</f>
        <v>1459277.8999999999</v>
      </c>
      <c r="L109" s="1119"/>
      <c r="M109" s="1238"/>
      <c r="N109" s="1238"/>
      <c r="O109" s="1238"/>
      <c r="P109" s="1238">
        <v>1304754.3999999999</v>
      </c>
      <c r="Q109" s="1169">
        <f t="shared" ref="Q109:Q116" si="306">SUM(M109:P109)</f>
        <v>1304754.3999999999</v>
      </c>
      <c r="R109" s="1238">
        <v>19441.5</v>
      </c>
      <c r="S109" s="1170"/>
      <c r="T109" s="1239"/>
      <c r="U109" s="1119"/>
      <c r="V109" s="1169"/>
      <c r="W109" s="1169"/>
      <c r="X109" s="1169"/>
      <c r="Y109" s="1169">
        <v>198.90000000000001</v>
      </c>
      <c r="Z109" s="1169">
        <f t="shared" ref="Z109:Z116" si="307">SUM(V109:Y109)</f>
        <v>198.90000000000001</v>
      </c>
      <c r="AA109" s="1169">
        <v>18425.450000000001</v>
      </c>
      <c r="AB109" s="1172">
        <f t="shared" ref="AB109:AB172" si="308">Z109+AA109</f>
        <v>18624.350000000002</v>
      </c>
      <c r="AC109" s="1240"/>
      <c r="AD109" s="1119"/>
      <c r="AE109" s="1169"/>
      <c r="AF109" s="1169"/>
      <c r="AG109" s="1169"/>
      <c r="AH109" s="1169">
        <v>135082</v>
      </c>
      <c r="AI109" s="1169">
        <f t="shared" ref="AI109:AI116" si="309">SUM(AE109:AH109)</f>
        <v>135082</v>
      </c>
      <c r="AJ109" s="1169"/>
      <c r="AK109" s="1127"/>
      <c r="AL109" s="1171"/>
      <c r="AM109" s="1128"/>
      <c r="AN109" s="1170"/>
      <c r="AO109" s="1170"/>
      <c r="AP109" s="1170"/>
      <c r="AQ109" s="1170"/>
      <c r="AR109" s="1170">
        <f t="shared" ref="AR109:AR116" si="310">SUM(AN109:AQ109)</f>
        <v>0</v>
      </c>
      <c r="AS109" s="1170"/>
      <c r="AT109" s="1170"/>
      <c r="AU109" s="1174"/>
      <c r="AV109" s="1241"/>
      <c r="AW109" s="1169"/>
      <c r="AX109" s="1169"/>
      <c r="AY109" s="1169"/>
      <c r="AZ109" s="1169"/>
      <c r="BA109" s="1169">
        <f t="shared" ref="BA109:BA116" si="311">SUM(AW109:AZ109)</f>
        <v>0</v>
      </c>
      <c r="BB109" s="1169"/>
      <c r="BC109" s="1175"/>
      <c r="BD109" s="1027"/>
      <c r="BE109" s="1029"/>
      <c r="BF109" s="1029"/>
    </row>
    <row r="110" ht="22.5" customHeight="1">
      <c r="A110" s="999" t="str">
        <f t="shared" si="301"/>
        <v xml:space="preserve">Губаренко О.Н.</v>
      </c>
      <c r="B110" s="1176" t="s">
        <v>354</v>
      </c>
      <c r="C110" s="1176"/>
      <c r="D110" s="1176"/>
      <c r="E110" s="1164">
        <f t="shared" si="289"/>
        <v>250752.95000000001</v>
      </c>
      <c r="F110" s="1164">
        <f t="shared" si="290"/>
        <v>50692.209999999999</v>
      </c>
      <c r="G110" s="1165">
        <f t="shared" si="302"/>
        <v>301445.16000000003</v>
      </c>
      <c r="H110" s="1166"/>
      <c r="I110" s="1167">
        <f t="shared" si="303"/>
        <v>250752.95000000001</v>
      </c>
      <c r="J110" s="1167">
        <f t="shared" si="304"/>
        <v>32044</v>
      </c>
      <c r="K110" s="1168">
        <f t="shared" si="305"/>
        <v>282796.95000000001</v>
      </c>
      <c r="L110" s="1119"/>
      <c r="M110" s="1238"/>
      <c r="N110" s="1242"/>
      <c r="O110" s="1242"/>
      <c r="P110" s="1238">
        <v>250752.95000000001</v>
      </c>
      <c r="Q110" s="1169">
        <f t="shared" si="306"/>
        <v>250752.95000000001</v>
      </c>
      <c r="R110" s="1238">
        <v>32044</v>
      </c>
      <c r="S110" s="1170"/>
      <c r="T110" s="1239"/>
      <c r="U110" s="1119"/>
      <c r="V110" s="1169"/>
      <c r="W110" s="1177"/>
      <c r="X110" s="1177"/>
      <c r="Y110" s="1169"/>
      <c r="Z110" s="1169">
        <f t="shared" si="307"/>
        <v>0</v>
      </c>
      <c r="AA110" s="1169">
        <v>18648.209999999999</v>
      </c>
      <c r="AB110" s="1172">
        <f t="shared" si="308"/>
        <v>18648.209999999999</v>
      </c>
      <c r="AC110" s="1240"/>
      <c r="AD110" s="1119"/>
      <c r="AE110" s="1169"/>
      <c r="AF110" s="1177"/>
      <c r="AG110" s="1177"/>
      <c r="AH110" s="1169"/>
      <c r="AI110" s="1169">
        <f t="shared" si="309"/>
        <v>0</v>
      </c>
      <c r="AJ110" s="1169"/>
      <c r="AK110" s="1173"/>
      <c r="AL110" s="1171"/>
      <c r="AM110" s="1128"/>
      <c r="AN110" s="1170"/>
      <c r="AO110" s="1175"/>
      <c r="AP110" s="1175"/>
      <c r="AQ110" s="1170"/>
      <c r="AR110" s="1170">
        <f t="shared" si="310"/>
        <v>0</v>
      </c>
      <c r="AS110" s="1170"/>
      <c r="AT110" s="1170"/>
      <c r="AU110" s="1174"/>
      <c r="AV110" s="1241"/>
      <c r="AW110" s="1169"/>
      <c r="AX110" s="1177"/>
      <c r="AY110" s="1177"/>
      <c r="AZ110" s="1169"/>
      <c r="BA110" s="1169">
        <f t="shared" si="311"/>
        <v>0</v>
      </c>
      <c r="BB110" s="1169"/>
      <c r="BC110" s="1175"/>
      <c r="BD110" s="1027"/>
      <c r="BE110" s="1029"/>
      <c r="BF110" s="1029"/>
    </row>
    <row r="111" ht="22.5" customHeight="1">
      <c r="A111" s="999" t="str">
        <f t="shared" si="301"/>
        <v xml:space="preserve">Петрюк Е.В.</v>
      </c>
      <c r="B111" s="1176" t="s">
        <v>181</v>
      </c>
      <c r="C111" s="1176"/>
      <c r="D111" s="1176"/>
      <c r="E111" s="1164">
        <f t="shared" si="289"/>
        <v>138128.50999999998</v>
      </c>
      <c r="F111" s="1164">
        <f t="shared" si="290"/>
        <v>20274.360000000001</v>
      </c>
      <c r="G111" s="1165">
        <f t="shared" si="302"/>
        <v>158402.87</v>
      </c>
      <c r="H111" s="1166"/>
      <c r="I111" s="1167">
        <f t="shared" si="303"/>
        <v>135999.01999999999</v>
      </c>
      <c r="J111" s="1167">
        <f t="shared" si="304"/>
        <v>20274.360000000001</v>
      </c>
      <c r="K111" s="1168">
        <f t="shared" si="305"/>
        <v>156273.38</v>
      </c>
      <c r="L111" s="1119"/>
      <c r="M111" s="1238"/>
      <c r="N111" s="1242"/>
      <c r="O111" s="1242"/>
      <c r="P111" s="1238">
        <v>135999.01999999999</v>
      </c>
      <c r="Q111" s="1169">
        <f t="shared" si="306"/>
        <v>135999.01999999999</v>
      </c>
      <c r="R111" s="1238">
        <v>20274.360000000001</v>
      </c>
      <c r="S111" s="1170"/>
      <c r="T111" s="1239"/>
      <c r="U111" s="1119"/>
      <c r="V111" s="1169"/>
      <c r="W111" s="1177"/>
      <c r="X111" s="1177"/>
      <c r="Y111" s="1169">
        <v>2129.4899999999998</v>
      </c>
      <c r="Z111" s="1169">
        <f t="shared" si="307"/>
        <v>2129.4899999999998</v>
      </c>
      <c r="AA111" s="1169"/>
      <c r="AB111" s="1172">
        <f t="shared" si="308"/>
        <v>2129.4899999999998</v>
      </c>
      <c r="AC111" s="1240"/>
      <c r="AD111" s="1119"/>
      <c r="AE111" s="1169"/>
      <c r="AF111" s="1177"/>
      <c r="AG111" s="1177"/>
      <c r="AH111" s="1169"/>
      <c r="AI111" s="1169">
        <f t="shared" si="309"/>
        <v>0</v>
      </c>
      <c r="AJ111" s="1169"/>
      <c r="AK111" s="1173"/>
      <c r="AL111" s="1171"/>
      <c r="AM111" s="1128"/>
      <c r="AN111" s="1170"/>
      <c r="AO111" s="1175"/>
      <c r="AP111" s="1175"/>
      <c r="AQ111" s="1170"/>
      <c r="AR111" s="1170">
        <f t="shared" si="310"/>
        <v>0</v>
      </c>
      <c r="AS111" s="1170"/>
      <c r="AT111" s="1170"/>
      <c r="AU111" s="1174"/>
      <c r="AV111" s="1241"/>
      <c r="AW111" s="1169"/>
      <c r="AX111" s="1177"/>
      <c r="AY111" s="1177"/>
      <c r="AZ111" s="1169"/>
      <c r="BA111" s="1169">
        <f t="shared" si="311"/>
        <v>0</v>
      </c>
      <c r="BB111" s="1169"/>
      <c r="BC111" s="1175"/>
      <c r="BD111" s="1027"/>
      <c r="BE111" s="1029"/>
      <c r="BF111" s="1029"/>
    </row>
    <row r="112" ht="22.5" customHeight="1">
      <c r="A112" s="999" t="str">
        <f t="shared" si="301"/>
        <v xml:space="preserve">Кутько И.Г.</v>
      </c>
      <c r="B112" s="1176" t="s">
        <v>357</v>
      </c>
      <c r="C112" s="1176"/>
      <c r="D112" s="1176"/>
      <c r="E112" s="1164">
        <f t="shared" si="289"/>
        <v>545807.38</v>
      </c>
      <c r="F112" s="1164">
        <f t="shared" si="290"/>
        <v>53643.330000000002</v>
      </c>
      <c r="G112" s="1165">
        <f t="shared" si="302"/>
        <v>599450.70999999996</v>
      </c>
      <c r="H112" s="1166"/>
      <c r="I112" s="1167">
        <f t="shared" si="303"/>
        <v>545654.38</v>
      </c>
      <c r="J112" s="1167">
        <f t="shared" si="304"/>
        <v>46133.290000000001</v>
      </c>
      <c r="K112" s="1168">
        <f t="shared" si="305"/>
        <v>591787.67000000004</v>
      </c>
      <c r="L112" s="1119"/>
      <c r="M112" s="1238"/>
      <c r="N112" s="1242"/>
      <c r="O112" s="1242"/>
      <c r="P112" s="1238">
        <v>545654.38</v>
      </c>
      <c r="Q112" s="1169">
        <f t="shared" si="306"/>
        <v>545654.38</v>
      </c>
      <c r="R112" s="1238">
        <v>46133.290000000001</v>
      </c>
      <c r="S112" s="1170"/>
      <c r="T112" s="1239"/>
      <c r="U112" s="1119"/>
      <c r="V112" s="1169"/>
      <c r="W112" s="1177"/>
      <c r="X112" s="1177"/>
      <c r="Y112" s="1169">
        <v>153</v>
      </c>
      <c r="Z112" s="1169">
        <f t="shared" si="307"/>
        <v>153</v>
      </c>
      <c r="AA112" s="1169">
        <v>7510.04</v>
      </c>
      <c r="AB112" s="1172">
        <f t="shared" si="308"/>
        <v>7663.04</v>
      </c>
      <c r="AC112" s="1240"/>
      <c r="AD112" s="1119"/>
      <c r="AE112" s="1169"/>
      <c r="AF112" s="1177"/>
      <c r="AG112" s="1177"/>
      <c r="AH112" s="1169"/>
      <c r="AI112" s="1169">
        <f t="shared" si="309"/>
        <v>0</v>
      </c>
      <c r="AJ112" s="1169"/>
      <c r="AK112" s="1173"/>
      <c r="AL112" s="1171"/>
      <c r="AM112" s="1128"/>
      <c r="AN112" s="1170"/>
      <c r="AO112" s="1175"/>
      <c r="AP112" s="1175"/>
      <c r="AQ112" s="1170"/>
      <c r="AR112" s="1170">
        <f t="shared" si="310"/>
        <v>0</v>
      </c>
      <c r="AS112" s="1170"/>
      <c r="AT112" s="1170"/>
      <c r="AU112" s="1174"/>
      <c r="AV112" s="1241"/>
      <c r="AW112" s="1169"/>
      <c r="AX112" s="1177"/>
      <c r="AY112" s="1177"/>
      <c r="AZ112" s="1169"/>
      <c r="BA112" s="1169">
        <f t="shared" si="311"/>
        <v>0</v>
      </c>
      <c r="BB112" s="1169"/>
      <c r="BC112" s="1175"/>
      <c r="BD112" s="1027"/>
      <c r="BE112" s="1029"/>
      <c r="BF112" s="1029"/>
    </row>
    <row r="113" ht="22.5" customHeight="1">
      <c r="A113" s="999" t="str">
        <f t="shared" si="301"/>
        <v xml:space="preserve">Елина С.И.</v>
      </c>
      <c r="B113" s="1176" t="s">
        <v>183</v>
      </c>
      <c r="C113" s="1176"/>
      <c r="D113" s="1176"/>
      <c r="E113" s="1164">
        <f t="shared" si="289"/>
        <v>306666.65000000002</v>
      </c>
      <c r="F113" s="1164">
        <f t="shared" si="290"/>
        <v>35421.940000000002</v>
      </c>
      <c r="G113" s="1165">
        <f t="shared" si="302"/>
        <v>342088.59000000003</v>
      </c>
      <c r="H113" s="1166"/>
      <c r="I113" s="1167">
        <f t="shared" si="303"/>
        <v>306088.27000000002</v>
      </c>
      <c r="J113" s="1167">
        <f t="shared" si="304"/>
        <v>16773.730000000003</v>
      </c>
      <c r="K113" s="1168">
        <f t="shared" si="305"/>
        <v>322862</v>
      </c>
      <c r="L113" s="1119"/>
      <c r="M113" s="1238"/>
      <c r="N113" s="1242"/>
      <c r="O113" s="1242"/>
      <c r="P113" s="1238">
        <v>306088.27000000002</v>
      </c>
      <c r="Q113" s="1169">
        <f t="shared" si="306"/>
        <v>306088.27000000002</v>
      </c>
      <c r="R113" s="1238">
        <v>16773.73</v>
      </c>
      <c r="S113" s="1170"/>
      <c r="T113" s="1239"/>
      <c r="U113" s="1119"/>
      <c r="V113" s="1169"/>
      <c r="W113" s="1177"/>
      <c r="X113" s="1177"/>
      <c r="Y113" s="1169">
        <v>578.38</v>
      </c>
      <c r="Z113" s="1169">
        <f t="shared" si="307"/>
        <v>578.38</v>
      </c>
      <c r="AA113" s="1169">
        <v>18648.209999999999</v>
      </c>
      <c r="AB113" s="1172">
        <f t="shared" si="308"/>
        <v>19226.59</v>
      </c>
      <c r="AC113" s="1240"/>
      <c r="AD113" s="1119"/>
      <c r="AE113" s="1169"/>
      <c r="AF113" s="1177"/>
      <c r="AG113" s="1177"/>
      <c r="AH113" s="1169"/>
      <c r="AI113" s="1169">
        <f t="shared" si="309"/>
        <v>0</v>
      </c>
      <c r="AJ113" s="1169"/>
      <c r="AK113" s="1173"/>
      <c r="AL113" s="1171"/>
      <c r="AM113" s="1128"/>
      <c r="AN113" s="1170"/>
      <c r="AO113" s="1175"/>
      <c r="AP113" s="1175"/>
      <c r="AQ113" s="1170"/>
      <c r="AR113" s="1170">
        <f t="shared" si="310"/>
        <v>0</v>
      </c>
      <c r="AS113" s="1170"/>
      <c r="AT113" s="1170"/>
      <c r="AU113" s="1174"/>
      <c r="AV113" s="1241"/>
      <c r="AW113" s="1169"/>
      <c r="AX113" s="1177"/>
      <c r="AY113" s="1177"/>
      <c r="AZ113" s="1169"/>
      <c r="BA113" s="1169">
        <f t="shared" si="311"/>
        <v>0</v>
      </c>
      <c r="BB113" s="1169"/>
      <c r="BC113" s="1175"/>
      <c r="BD113" s="1027"/>
      <c r="BE113" s="1029"/>
      <c r="BF113" s="1029"/>
    </row>
    <row r="114" ht="22.5" customHeight="1">
      <c r="A114" s="999" t="str">
        <f t="shared" si="301"/>
        <v xml:space="preserve">Никитина О.Г.</v>
      </c>
      <c r="B114" s="1176" t="s">
        <v>184</v>
      </c>
      <c r="C114" s="1176"/>
      <c r="D114" s="1176"/>
      <c r="E114" s="1164">
        <f t="shared" si="289"/>
        <v>1349903.8399999999</v>
      </c>
      <c r="F114" s="1164">
        <f t="shared" si="290"/>
        <v>58906</v>
      </c>
      <c r="G114" s="1165">
        <f t="shared" si="302"/>
        <v>1408809.8399999999</v>
      </c>
      <c r="H114" s="1166"/>
      <c r="I114" s="1167">
        <f t="shared" si="303"/>
        <v>1349842.6399999999</v>
      </c>
      <c r="J114" s="1167">
        <f t="shared" si="304"/>
        <v>40257.790000000001</v>
      </c>
      <c r="K114" s="1168">
        <f t="shared" si="305"/>
        <v>1390100.4299999999</v>
      </c>
      <c r="L114" s="1119"/>
      <c r="M114" s="1238"/>
      <c r="N114" s="1242"/>
      <c r="O114" s="1242"/>
      <c r="P114" s="1238">
        <v>1349842.6399999999</v>
      </c>
      <c r="Q114" s="1169">
        <f t="shared" si="306"/>
        <v>1349842.6399999999</v>
      </c>
      <c r="R114" s="1238">
        <v>40257.790000000001</v>
      </c>
      <c r="S114" s="1170"/>
      <c r="T114" s="1239"/>
      <c r="U114" s="1119"/>
      <c r="V114" s="1169"/>
      <c r="W114" s="1177"/>
      <c r="X114" s="1177"/>
      <c r="Y114" s="1169">
        <v>61.200000000000003</v>
      </c>
      <c r="Z114" s="1169">
        <f t="shared" si="307"/>
        <v>61.200000000000003</v>
      </c>
      <c r="AA114" s="1169">
        <v>18648.209999999999</v>
      </c>
      <c r="AB114" s="1172">
        <f t="shared" si="308"/>
        <v>18709.41</v>
      </c>
      <c r="AC114" s="1240"/>
      <c r="AD114" s="1119"/>
      <c r="AE114" s="1169"/>
      <c r="AF114" s="1177"/>
      <c r="AG114" s="1177"/>
      <c r="AH114" s="1169"/>
      <c r="AI114" s="1169">
        <f t="shared" si="309"/>
        <v>0</v>
      </c>
      <c r="AJ114" s="1169"/>
      <c r="AK114" s="1173"/>
      <c r="AL114" s="1171"/>
      <c r="AM114" s="1128"/>
      <c r="AN114" s="1170"/>
      <c r="AO114" s="1175"/>
      <c r="AP114" s="1175"/>
      <c r="AQ114" s="1170"/>
      <c r="AR114" s="1170">
        <f t="shared" si="310"/>
        <v>0</v>
      </c>
      <c r="AS114" s="1170"/>
      <c r="AT114" s="1170"/>
      <c r="AU114" s="1174"/>
      <c r="AV114" s="1241"/>
      <c r="AW114" s="1169"/>
      <c r="AX114" s="1177"/>
      <c r="AY114" s="1177"/>
      <c r="AZ114" s="1169"/>
      <c r="BA114" s="1169">
        <f t="shared" si="311"/>
        <v>0</v>
      </c>
      <c r="BB114" s="1169"/>
      <c r="BC114" s="1175"/>
      <c r="BD114" s="1027"/>
      <c r="BE114" s="1029"/>
      <c r="BF114" s="1029"/>
    </row>
    <row r="115" ht="22.5" customHeight="1">
      <c r="A115" s="999" t="str">
        <f t="shared" si="301"/>
        <v xml:space="preserve">Судакова Е.С.</v>
      </c>
      <c r="B115" s="1178" t="s">
        <v>361</v>
      </c>
      <c r="C115" s="1179"/>
      <c r="D115" s="1179"/>
      <c r="E115" s="1164">
        <f t="shared" si="289"/>
        <v>96131.050000000003</v>
      </c>
      <c r="F115" s="1164">
        <f t="shared" si="290"/>
        <v>44974</v>
      </c>
      <c r="G115" s="1165">
        <f t="shared" si="302"/>
        <v>141105.04999999999</v>
      </c>
      <c r="H115" s="1166"/>
      <c r="I115" s="1167">
        <f t="shared" si="303"/>
        <v>96100.449999999997</v>
      </c>
      <c r="J115" s="1167">
        <f t="shared" si="304"/>
        <v>26325.790000000001</v>
      </c>
      <c r="K115" s="1168">
        <f t="shared" si="305"/>
        <v>122426.23999999999</v>
      </c>
      <c r="L115" s="1119"/>
      <c r="M115" s="1238"/>
      <c r="N115" s="1242"/>
      <c r="O115" s="1242"/>
      <c r="P115" s="1238">
        <v>95742.199999999997</v>
      </c>
      <c r="Q115" s="1169">
        <f t="shared" si="306"/>
        <v>95742.199999999997</v>
      </c>
      <c r="R115" s="1238">
        <v>26325.790000000001</v>
      </c>
      <c r="S115" s="1170"/>
      <c r="T115" s="1239"/>
      <c r="U115" s="1119"/>
      <c r="V115" s="1169"/>
      <c r="W115" s="1177"/>
      <c r="X115" s="1177"/>
      <c r="Y115" s="1169">
        <v>30.600000000000001</v>
      </c>
      <c r="Z115" s="1169">
        <f t="shared" si="307"/>
        <v>30.600000000000001</v>
      </c>
      <c r="AA115" s="1169">
        <v>18648.209999999999</v>
      </c>
      <c r="AB115" s="1172">
        <f t="shared" si="308"/>
        <v>18678.809999999998</v>
      </c>
      <c r="AC115" s="1240"/>
      <c r="AD115" s="1119"/>
      <c r="AE115" s="1169"/>
      <c r="AF115" s="1177"/>
      <c r="AG115" s="1177"/>
      <c r="AH115" s="1169">
        <v>358.25</v>
      </c>
      <c r="AI115" s="1169">
        <f t="shared" si="309"/>
        <v>358.25</v>
      </c>
      <c r="AJ115" s="1169"/>
      <c r="AK115" s="1173"/>
      <c r="AL115" s="1171"/>
      <c r="AM115" s="1128"/>
      <c r="AN115" s="1170"/>
      <c r="AO115" s="1175"/>
      <c r="AP115" s="1175"/>
      <c r="AQ115" s="1170"/>
      <c r="AR115" s="1170">
        <f t="shared" si="310"/>
        <v>0</v>
      </c>
      <c r="AS115" s="1170"/>
      <c r="AT115" s="1170"/>
      <c r="AU115" s="1174"/>
      <c r="AV115" s="1241"/>
      <c r="AW115" s="1169"/>
      <c r="AX115" s="1177"/>
      <c r="AY115" s="1177"/>
      <c r="AZ115" s="1169"/>
      <c r="BA115" s="1169">
        <f t="shared" si="311"/>
        <v>0</v>
      </c>
      <c r="BB115" s="1169"/>
      <c r="BC115" s="1175"/>
      <c r="BD115" s="1027"/>
      <c r="BE115" s="1029"/>
      <c r="BF115" s="1029"/>
    </row>
    <row r="116" ht="22.5" customHeight="1">
      <c r="A116" s="999" t="str">
        <f t="shared" si="301"/>
        <v xml:space="preserve">Осипова А.А.</v>
      </c>
      <c r="B116" s="1176" t="s">
        <v>185</v>
      </c>
      <c r="C116" s="1176"/>
      <c r="D116" s="1176"/>
      <c r="E116" s="1164">
        <f t="shared" si="289"/>
        <v>198080.13</v>
      </c>
      <c r="F116" s="1164">
        <f t="shared" si="290"/>
        <v>25331.399999999998</v>
      </c>
      <c r="G116" s="1165">
        <f t="shared" si="302"/>
        <v>223411.53</v>
      </c>
      <c r="H116" s="1166"/>
      <c r="I116" s="1167">
        <f t="shared" si="303"/>
        <v>197774.13</v>
      </c>
      <c r="J116" s="1167">
        <f t="shared" si="304"/>
        <v>6683.1899999999987</v>
      </c>
      <c r="K116" s="1168">
        <f t="shared" si="305"/>
        <v>204457.32000000001</v>
      </c>
      <c r="L116" s="1119"/>
      <c r="M116" s="1238"/>
      <c r="N116" s="1242"/>
      <c r="O116" s="1242"/>
      <c r="P116" s="1238">
        <v>197774.13</v>
      </c>
      <c r="Q116" s="1169">
        <f t="shared" si="306"/>
        <v>197774.13</v>
      </c>
      <c r="R116" s="1238">
        <v>6683.1899999999996</v>
      </c>
      <c r="S116" s="1170"/>
      <c r="T116" s="1239"/>
      <c r="U116" s="1119"/>
      <c r="V116" s="1169"/>
      <c r="W116" s="1177"/>
      <c r="X116" s="1177"/>
      <c r="Y116" s="1169">
        <v>306</v>
      </c>
      <c r="Z116" s="1169">
        <f t="shared" si="307"/>
        <v>306</v>
      </c>
      <c r="AA116" s="1169">
        <v>18648.209999999999</v>
      </c>
      <c r="AB116" s="1172">
        <f t="shared" si="308"/>
        <v>18954.209999999999</v>
      </c>
      <c r="AC116" s="1240"/>
      <c r="AD116" s="1119"/>
      <c r="AE116" s="1169"/>
      <c r="AF116" s="1177"/>
      <c r="AG116" s="1177"/>
      <c r="AH116" s="1169"/>
      <c r="AI116" s="1169">
        <f t="shared" si="309"/>
        <v>0</v>
      </c>
      <c r="AJ116" s="1169"/>
      <c r="AK116" s="1173"/>
      <c r="AL116" s="1171"/>
      <c r="AM116" s="1128"/>
      <c r="AN116" s="1170"/>
      <c r="AO116" s="1175"/>
      <c r="AP116" s="1175"/>
      <c r="AQ116" s="1170"/>
      <c r="AR116" s="1170">
        <f t="shared" si="310"/>
        <v>0</v>
      </c>
      <c r="AS116" s="1170"/>
      <c r="AT116" s="1170"/>
      <c r="AU116" s="1174"/>
      <c r="AV116" s="1241"/>
      <c r="AW116" s="1169"/>
      <c r="AX116" s="1177"/>
      <c r="AY116" s="1177"/>
      <c r="AZ116" s="1169"/>
      <c r="BA116" s="1169">
        <f t="shared" si="311"/>
        <v>0</v>
      </c>
      <c r="BB116" s="1169"/>
      <c r="BC116" s="1175"/>
      <c r="BD116" s="1027"/>
      <c r="BE116" s="1029"/>
      <c r="BF116" s="1029"/>
    </row>
    <row r="117" s="1180" customFormat="1" ht="22.5" customHeight="1">
      <c r="A117" s="999">
        <f t="shared" si="301"/>
        <v>0</v>
      </c>
      <c r="B117" s="1182" t="s">
        <v>363</v>
      </c>
      <c r="C117" s="1182"/>
      <c r="D117" s="1182"/>
      <c r="E117" s="1183">
        <f t="shared" si="289"/>
        <v>4325505.8100000005</v>
      </c>
      <c r="F117" s="1183">
        <f t="shared" si="290"/>
        <v>327110.19</v>
      </c>
      <c r="G117" s="1184">
        <f>SUM(G109:G116)</f>
        <v>4652616</v>
      </c>
      <c r="H117" s="1185"/>
      <c r="I117" s="1186">
        <f t="shared" si="303"/>
        <v>4322048.2400000002</v>
      </c>
      <c r="J117" s="1186">
        <f t="shared" si="304"/>
        <v>207933.65000000002</v>
      </c>
      <c r="K117" s="1187">
        <f>SUM(K109:K116)</f>
        <v>4529981.8900000006</v>
      </c>
      <c r="L117" s="1188"/>
      <c r="M117" s="1096">
        <f t="shared" ref="M117:R117" si="312">SUM(M109:M116)</f>
        <v>0</v>
      </c>
      <c r="N117" s="1096">
        <f t="shared" si="312"/>
        <v>0</v>
      </c>
      <c r="O117" s="1096">
        <f t="shared" si="312"/>
        <v>0</v>
      </c>
      <c r="P117" s="1096">
        <f t="shared" si="312"/>
        <v>4186607.9900000002</v>
      </c>
      <c r="Q117" s="1096">
        <f t="shared" si="312"/>
        <v>4186607.9900000002</v>
      </c>
      <c r="R117" s="1096">
        <f t="shared" si="312"/>
        <v>207933.65000000002</v>
      </c>
      <c r="S117" s="1170"/>
      <c r="T117" s="1243"/>
      <c r="U117" s="1119"/>
      <c r="V117" s="1096">
        <f t="shared" ref="V117:AA117" si="313">SUM(V109:V116)</f>
        <v>0</v>
      </c>
      <c r="W117" s="1096">
        <f t="shared" si="313"/>
        <v>0</v>
      </c>
      <c r="X117" s="1096">
        <f t="shared" si="313"/>
        <v>0</v>
      </c>
      <c r="Y117" s="1096">
        <f t="shared" si="313"/>
        <v>3457.5699999999997</v>
      </c>
      <c r="Z117" s="1096">
        <f t="shared" si="313"/>
        <v>3457.5699999999997</v>
      </c>
      <c r="AA117" s="1096">
        <f t="shared" si="313"/>
        <v>119176.53999999998</v>
      </c>
      <c r="AB117" s="1172">
        <f t="shared" si="308"/>
        <v>122634.10999999999</v>
      </c>
      <c r="AC117" s="1243"/>
      <c r="AD117" s="1244"/>
      <c r="AE117" s="1096">
        <f t="shared" ref="AE117:AJ117" si="314">SUM(AE109:AE116)</f>
        <v>0</v>
      </c>
      <c r="AF117" s="1096">
        <f t="shared" si="314"/>
        <v>0</v>
      </c>
      <c r="AG117" s="1096">
        <f t="shared" si="314"/>
        <v>0</v>
      </c>
      <c r="AH117" s="1096">
        <f t="shared" si="314"/>
        <v>135440.25</v>
      </c>
      <c r="AI117" s="1096">
        <f t="shared" si="314"/>
        <v>135440.25</v>
      </c>
      <c r="AJ117" s="1096">
        <f t="shared" si="314"/>
        <v>0</v>
      </c>
      <c r="AK117" s="1173"/>
      <c r="AL117" s="1189"/>
      <c r="AM117" s="1125"/>
      <c r="AN117" s="1190">
        <f t="shared" ref="AN117:AS117" si="315">SUM(AN109:AN116)</f>
        <v>0</v>
      </c>
      <c r="AO117" s="1190">
        <f t="shared" si="315"/>
        <v>0</v>
      </c>
      <c r="AP117" s="1190">
        <f t="shared" si="315"/>
        <v>0</v>
      </c>
      <c r="AQ117" s="1190">
        <f t="shared" si="315"/>
        <v>0</v>
      </c>
      <c r="AR117" s="1190">
        <f t="shared" si="315"/>
        <v>0</v>
      </c>
      <c r="AS117" s="1190">
        <f t="shared" si="315"/>
        <v>0</v>
      </c>
      <c r="AT117" s="1170"/>
      <c r="AU117" s="1191"/>
      <c r="AV117" s="1245"/>
      <c r="AW117" s="1096">
        <f t="shared" ref="AW117:BB117" si="316">SUM(AW109:AW116)</f>
        <v>0</v>
      </c>
      <c r="AX117" s="1096">
        <f t="shared" si="316"/>
        <v>0</v>
      </c>
      <c r="AY117" s="1096">
        <f t="shared" si="316"/>
        <v>0</v>
      </c>
      <c r="AZ117" s="1096">
        <f t="shared" si="316"/>
        <v>0</v>
      </c>
      <c r="BA117" s="1096">
        <f t="shared" si="316"/>
        <v>0</v>
      </c>
      <c r="BB117" s="1096">
        <f t="shared" si="316"/>
        <v>0</v>
      </c>
      <c r="BC117" s="1175"/>
      <c r="BD117" s="1052"/>
      <c r="BE117" s="1051"/>
      <c r="BF117" s="1051"/>
      <c r="BG117" s="1106"/>
      <c r="BH117" s="1106"/>
      <c r="BI117" s="1106"/>
      <c r="BJ117" s="1106"/>
      <c r="BK117" s="1106"/>
      <c r="BL117" s="1106"/>
      <c r="BM117" s="1106"/>
    </row>
    <row r="118" ht="22.5" customHeight="1">
      <c r="A118" s="999">
        <f t="shared" si="301"/>
        <v>0</v>
      </c>
      <c r="B118" s="1176" t="s">
        <v>364</v>
      </c>
      <c r="C118" s="1176"/>
      <c r="D118" s="1176"/>
      <c r="E118" s="1164">
        <f t="shared" si="289"/>
        <v>0</v>
      </c>
      <c r="F118" s="1164">
        <f t="shared" si="290"/>
        <v>0</v>
      </c>
      <c r="G118" s="1165">
        <f t="shared" ref="G118:G130" si="317">E118+F118</f>
        <v>0</v>
      </c>
      <c r="H118" s="1166"/>
      <c r="I118" s="1167">
        <f t="shared" si="303"/>
        <v>0</v>
      </c>
      <c r="J118" s="1167">
        <f t="shared" si="304"/>
        <v>0</v>
      </c>
      <c r="K118" s="1168">
        <f t="shared" ref="K118:K130" si="318">I118+J118</f>
        <v>0</v>
      </c>
      <c r="L118" s="1119"/>
      <c r="M118" s="1238"/>
      <c r="N118" s="1242"/>
      <c r="O118" s="1242"/>
      <c r="P118" s="1238"/>
      <c r="Q118" s="1169">
        <f t="shared" ref="Q118:Q130" si="319">SUM(M118:P118)</f>
        <v>0</v>
      </c>
      <c r="R118" s="1238"/>
      <c r="S118" s="1170"/>
      <c r="T118" s="1239"/>
      <c r="U118" s="1119"/>
      <c r="V118" s="1169"/>
      <c r="W118" s="1177"/>
      <c r="X118" s="1177"/>
      <c r="Y118" s="1169"/>
      <c r="Z118" s="1169">
        <f t="shared" ref="Z118:Z130" si="320">SUM(V118:Y118)</f>
        <v>0</v>
      </c>
      <c r="AA118" s="1169"/>
      <c r="AB118" s="1172">
        <f t="shared" si="308"/>
        <v>0</v>
      </c>
      <c r="AC118" s="1240"/>
      <c r="AD118" s="1119"/>
      <c r="AE118" s="1169"/>
      <c r="AF118" s="1177"/>
      <c r="AG118" s="1177"/>
      <c r="AH118" s="1169"/>
      <c r="AI118" s="1169">
        <f t="shared" ref="AI118:AI130" si="321">SUM(AE118:AH118)</f>
        <v>0</v>
      </c>
      <c r="AJ118" s="1169"/>
      <c r="AK118" s="1173"/>
      <c r="AL118" s="1171"/>
      <c r="AM118" s="1128"/>
      <c r="AN118" s="1170"/>
      <c r="AO118" s="1175"/>
      <c r="AP118" s="1175"/>
      <c r="AQ118" s="1170"/>
      <c r="AR118" s="1170">
        <f t="shared" ref="AR118:AR130" si="322">SUM(AN118:AQ118)</f>
        <v>0</v>
      </c>
      <c r="AS118" s="1170"/>
      <c r="AT118" s="1170"/>
      <c r="AU118" s="1174"/>
      <c r="AV118" s="1241"/>
      <c r="AW118" s="1169"/>
      <c r="AX118" s="1177"/>
      <c r="AY118" s="1177"/>
      <c r="AZ118" s="1169"/>
      <c r="BA118" s="1169">
        <f t="shared" ref="BA118:BA130" si="323">SUM(AW118:AZ118)</f>
        <v>0</v>
      </c>
      <c r="BB118" s="1169"/>
      <c r="BC118" s="1175"/>
      <c r="BD118" s="1027"/>
      <c r="BE118" s="1029"/>
      <c r="BF118" s="1029"/>
    </row>
    <row r="119" ht="22.5" customHeight="1">
      <c r="A119" s="999" t="str">
        <f t="shared" si="301"/>
        <v xml:space="preserve">Сметанина О.В.</v>
      </c>
      <c r="B119" s="1176" t="s">
        <v>195</v>
      </c>
      <c r="C119" s="1176"/>
      <c r="D119" s="1176"/>
      <c r="E119" s="1164">
        <f t="shared" si="289"/>
        <v>254774.67000000001</v>
      </c>
      <c r="F119" s="1164">
        <f t="shared" si="290"/>
        <v>70711.050000000003</v>
      </c>
      <c r="G119" s="1165">
        <f t="shared" si="317"/>
        <v>325485.72000000003</v>
      </c>
      <c r="H119" s="1166"/>
      <c r="I119" s="1167">
        <f t="shared" si="303"/>
        <v>254774.67000000001</v>
      </c>
      <c r="J119" s="1167">
        <f t="shared" si="304"/>
        <v>63147.450000000004</v>
      </c>
      <c r="K119" s="1168">
        <f t="shared" si="318"/>
        <v>317922.12</v>
      </c>
      <c r="L119" s="1119"/>
      <c r="M119" s="1238"/>
      <c r="N119" s="1242"/>
      <c r="O119" s="1242"/>
      <c r="P119" s="1238">
        <v>254774.67000000001</v>
      </c>
      <c r="Q119" s="1169">
        <f t="shared" si="319"/>
        <v>254774.67000000001</v>
      </c>
      <c r="R119" s="1238">
        <v>63147.449999999997</v>
      </c>
      <c r="S119" s="1170"/>
      <c r="T119" s="1239"/>
      <c r="U119" s="1119"/>
      <c r="V119" s="1169"/>
      <c r="W119" s="1177"/>
      <c r="X119" s="1177"/>
      <c r="Y119" s="1169"/>
      <c r="Z119" s="1169">
        <f t="shared" si="320"/>
        <v>0</v>
      </c>
      <c r="AA119" s="1169">
        <v>7563.6000000000004</v>
      </c>
      <c r="AB119" s="1172">
        <f t="shared" si="308"/>
        <v>7563.6000000000004</v>
      </c>
      <c r="AC119" s="1240"/>
      <c r="AD119" s="1119"/>
      <c r="AE119" s="1169"/>
      <c r="AF119" s="1177"/>
      <c r="AG119" s="1177"/>
      <c r="AH119" s="1169"/>
      <c r="AI119" s="1169">
        <f t="shared" si="321"/>
        <v>0</v>
      </c>
      <c r="AJ119" s="1169"/>
      <c r="AK119" s="1173"/>
      <c r="AL119" s="1171"/>
      <c r="AM119" s="1128"/>
      <c r="AN119" s="1170"/>
      <c r="AO119" s="1175"/>
      <c r="AP119" s="1175"/>
      <c r="AQ119" s="1170"/>
      <c r="AR119" s="1170">
        <f t="shared" si="322"/>
        <v>0</v>
      </c>
      <c r="AS119" s="1170"/>
      <c r="AT119" s="1170"/>
      <c r="AU119" s="1174"/>
      <c r="AV119" s="1241"/>
      <c r="AW119" s="1169"/>
      <c r="AX119" s="1177"/>
      <c r="AY119" s="1177"/>
      <c r="AZ119" s="1169"/>
      <c r="BA119" s="1169">
        <f t="shared" si="323"/>
        <v>0</v>
      </c>
      <c r="BB119" s="1169"/>
      <c r="BC119" s="1175"/>
      <c r="BD119" s="1027"/>
      <c r="BE119" s="1029"/>
      <c r="BF119" s="1029"/>
    </row>
    <row r="120" ht="22.5" customHeight="1">
      <c r="A120" s="999" t="str">
        <f t="shared" si="301"/>
        <v xml:space="preserve">Козенко С.С.</v>
      </c>
      <c r="B120" s="1176" t="s">
        <v>196</v>
      </c>
      <c r="C120" s="1176"/>
      <c r="D120" s="1176"/>
      <c r="E120" s="1164">
        <f t="shared" si="289"/>
        <v>156157.29000000001</v>
      </c>
      <c r="F120" s="1164">
        <f t="shared" si="290"/>
        <v>68859.509999999995</v>
      </c>
      <c r="G120" s="1165">
        <f t="shared" si="317"/>
        <v>225016.79999999999</v>
      </c>
      <c r="H120" s="1166"/>
      <c r="I120" s="1167">
        <f t="shared" si="303"/>
        <v>154448.44</v>
      </c>
      <c r="J120" s="1167">
        <f t="shared" si="304"/>
        <v>50211.299999999996</v>
      </c>
      <c r="K120" s="1168">
        <f t="shared" si="318"/>
        <v>204659.73999999999</v>
      </c>
      <c r="L120" s="1119"/>
      <c r="M120" s="1238"/>
      <c r="N120" s="1242"/>
      <c r="O120" s="1242"/>
      <c r="P120" s="1238">
        <v>154448.44</v>
      </c>
      <c r="Q120" s="1169">
        <f t="shared" si="319"/>
        <v>154448.44</v>
      </c>
      <c r="R120" s="1238">
        <v>50157.68</v>
      </c>
      <c r="S120" s="1170"/>
      <c r="T120" s="1239"/>
      <c r="U120" s="1119"/>
      <c r="V120" s="1169"/>
      <c r="W120" s="1177"/>
      <c r="X120" s="1177"/>
      <c r="Y120" s="1169">
        <v>1708.8499999999999</v>
      </c>
      <c r="Z120" s="1169">
        <f t="shared" si="320"/>
        <v>1708.8499999999999</v>
      </c>
      <c r="AA120" s="1169">
        <v>18648.209999999999</v>
      </c>
      <c r="AB120" s="1172">
        <f t="shared" si="308"/>
        <v>20357.059999999998</v>
      </c>
      <c r="AC120" s="1240"/>
      <c r="AD120" s="1119"/>
      <c r="AE120" s="1169"/>
      <c r="AF120" s="1177"/>
      <c r="AG120" s="1177"/>
      <c r="AH120" s="1169"/>
      <c r="AI120" s="1169">
        <f t="shared" si="321"/>
        <v>0</v>
      </c>
      <c r="AJ120" s="1169">
        <v>53.619999999999997</v>
      </c>
      <c r="AK120" s="1173"/>
      <c r="AL120" s="1171"/>
      <c r="AM120" s="1128"/>
      <c r="AN120" s="1170"/>
      <c r="AO120" s="1175"/>
      <c r="AP120" s="1175"/>
      <c r="AQ120" s="1170"/>
      <c r="AR120" s="1170">
        <f t="shared" si="322"/>
        <v>0</v>
      </c>
      <c r="AS120" s="1170"/>
      <c r="AT120" s="1170"/>
      <c r="AU120" s="1174"/>
      <c r="AV120" s="1241"/>
      <c r="AW120" s="1169"/>
      <c r="AX120" s="1177"/>
      <c r="AY120" s="1177"/>
      <c r="AZ120" s="1169"/>
      <c r="BA120" s="1169">
        <f t="shared" si="323"/>
        <v>0</v>
      </c>
      <c r="BB120" s="1169"/>
      <c r="BC120" s="1175"/>
      <c r="BD120" s="1027"/>
      <c r="BE120" s="1029"/>
      <c r="BF120" s="1029"/>
    </row>
    <row r="121" ht="22.5" customHeight="1">
      <c r="A121" s="999">
        <f t="shared" si="301"/>
        <v>0</v>
      </c>
      <c r="B121" s="1193" t="s">
        <v>367</v>
      </c>
      <c r="C121" s="1193"/>
      <c r="D121" s="1193"/>
      <c r="E121" s="1164">
        <f t="shared" si="289"/>
        <v>0</v>
      </c>
      <c r="F121" s="1164">
        <f t="shared" si="290"/>
        <v>0</v>
      </c>
      <c r="G121" s="1165">
        <f t="shared" si="317"/>
        <v>0</v>
      </c>
      <c r="H121" s="1166"/>
      <c r="I121" s="1167">
        <f t="shared" si="303"/>
        <v>0</v>
      </c>
      <c r="J121" s="1167">
        <f t="shared" si="304"/>
        <v>0</v>
      </c>
      <c r="K121" s="1168">
        <f t="shared" si="318"/>
        <v>0</v>
      </c>
      <c r="L121" s="1119"/>
      <c r="M121" s="1238"/>
      <c r="N121" s="1242"/>
      <c r="O121" s="1242"/>
      <c r="P121" s="1238"/>
      <c r="Q121" s="1169">
        <f t="shared" si="319"/>
        <v>0</v>
      </c>
      <c r="R121" s="1238"/>
      <c r="S121" s="1170"/>
      <c r="T121" s="1239"/>
      <c r="U121" s="1119"/>
      <c r="V121" s="1169"/>
      <c r="W121" s="1177"/>
      <c r="X121" s="1177"/>
      <c r="Y121" s="1169"/>
      <c r="Z121" s="1169">
        <f t="shared" si="320"/>
        <v>0</v>
      </c>
      <c r="AA121" s="1169"/>
      <c r="AB121" s="1172">
        <f t="shared" si="308"/>
        <v>0</v>
      </c>
      <c r="AC121" s="1240"/>
      <c r="AD121" s="1119"/>
      <c r="AE121" s="1169"/>
      <c r="AF121" s="1177"/>
      <c r="AG121" s="1177"/>
      <c r="AH121" s="1169"/>
      <c r="AI121" s="1169">
        <f t="shared" si="321"/>
        <v>0</v>
      </c>
      <c r="AJ121" s="1169"/>
      <c r="AK121" s="1173"/>
      <c r="AL121" s="1171"/>
      <c r="AM121" s="1128"/>
      <c r="AN121" s="1170"/>
      <c r="AO121" s="1175"/>
      <c r="AP121" s="1175"/>
      <c r="AQ121" s="1170"/>
      <c r="AR121" s="1170">
        <f t="shared" si="322"/>
        <v>0</v>
      </c>
      <c r="AS121" s="1170"/>
      <c r="AT121" s="1170"/>
      <c r="AU121" s="1174"/>
      <c r="AV121" s="1241"/>
      <c r="AW121" s="1169"/>
      <c r="AX121" s="1177"/>
      <c r="AY121" s="1177"/>
      <c r="AZ121" s="1169"/>
      <c r="BA121" s="1169">
        <f t="shared" si="323"/>
        <v>0</v>
      </c>
      <c r="BB121" s="1169"/>
      <c r="BC121" s="1175"/>
      <c r="BD121" s="1027"/>
      <c r="BE121" s="1029"/>
      <c r="BF121" s="1029"/>
    </row>
    <row r="122" ht="22.5" customHeight="1">
      <c r="A122" s="999" t="str">
        <f t="shared" si="301"/>
        <v xml:space="preserve">Разумец Е.Г.</v>
      </c>
      <c r="B122" s="1176" t="s">
        <v>201</v>
      </c>
      <c r="C122" s="1176"/>
      <c r="D122" s="1176"/>
      <c r="E122" s="1164">
        <f t="shared" si="289"/>
        <v>170841.20999999999</v>
      </c>
      <c r="F122" s="1164">
        <f t="shared" si="290"/>
        <v>692276.15000000002</v>
      </c>
      <c r="G122" s="1165">
        <f t="shared" si="317"/>
        <v>863117.35999999999</v>
      </c>
      <c r="H122" s="1166"/>
      <c r="I122" s="1167">
        <f t="shared" si="303"/>
        <v>170841.20999999999</v>
      </c>
      <c r="J122" s="1167">
        <f t="shared" si="304"/>
        <v>692276.15000000002</v>
      </c>
      <c r="K122" s="1168">
        <f t="shared" si="318"/>
        <v>863117.35999999999</v>
      </c>
      <c r="L122" s="1119"/>
      <c r="M122" s="1238"/>
      <c r="N122" s="1242"/>
      <c r="O122" s="1242"/>
      <c r="P122" s="1238">
        <v>170841.20999999999</v>
      </c>
      <c r="Q122" s="1169">
        <f t="shared" si="319"/>
        <v>170841.20999999999</v>
      </c>
      <c r="R122" s="1238">
        <v>691539.43000000005</v>
      </c>
      <c r="S122" s="1170"/>
      <c r="T122" s="1239"/>
      <c r="U122" s="1119"/>
      <c r="V122" s="1169"/>
      <c r="W122" s="1177"/>
      <c r="X122" s="1177"/>
      <c r="Y122" s="1169"/>
      <c r="Z122" s="1169">
        <f t="shared" si="320"/>
        <v>0</v>
      </c>
      <c r="AA122" s="1169"/>
      <c r="AB122" s="1172">
        <f t="shared" si="308"/>
        <v>0</v>
      </c>
      <c r="AC122" s="1240"/>
      <c r="AD122" s="1119"/>
      <c r="AE122" s="1169"/>
      <c r="AF122" s="1177"/>
      <c r="AG122" s="1177"/>
      <c r="AH122" s="1169"/>
      <c r="AI122" s="1169">
        <f t="shared" si="321"/>
        <v>0</v>
      </c>
      <c r="AJ122" s="1169">
        <v>736.72000000000003</v>
      </c>
      <c r="AK122" s="1173"/>
      <c r="AL122" s="1171"/>
      <c r="AM122" s="1128"/>
      <c r="AN122" s="1170"/>
      <c r="AO122" s="1175"/>
      <c r="AP122" s="1175"/>
      <c r="AQ122" s="1170"/>
      <c r="AR122" s="1170">
        <f t="shared" si="322"/>
        <v>0</v>
      </c>
      <c r="AS122" s="1170"/>
      <c r="AT122" s="1170"/>
      <c r="AU122" s="1174"/>
      <c r="AV122" s="1241"/>
      <c r="AW122" s="1169"/>
      <c r="AX122" s="1177"/>
      <c r="AY122" s="1177"/>
      <c r="AZ122" s="1169"/>
      <c r="BA122" s="1169">
        <f t="shared" si="323"/>
        <v>0</v>
      </c>
      <c r="BB122" s="1169"/>
      <c r="BC122" s="1175"/>
      <c r="BD122" s="1027"/>
      <c r="BE122" s="1029"/>
      <c r="BF122" s="1029"/>
    </row>
    <row r="123" ht="22.5" customHeight="1">
      <c r="A123" s="999" t="str">
        <f t="shared" si="301"/>
        <v xml:space="preserve">Шарова Т.М.</v>
      </c>
      <c r="B123" s="1176" t="s">
        <v>203</v>
      </c>
      <c r="C123" s="1176"/>
      <c r="D123" s="1176"/>
      <c r="E123" s="1164">
        <f t="shared" si="289"/>
        <v>68905.179999999993</v>
      </c>
      <c r="F123" s="1164">
        <f t="shared" si="290"/>
        <v>35224.709999999999</v>
      </c>
      <c r="G123" s="1165">
        <f t="shared" si="317"/>
        <v>104129.88999999998</v>
      </c>
      <c r="H123" s="1166"/>
      <c r="I123" s="1167">
        <f t="shared" si="303"/>
        <v>68905.179999999993</v>
      </c>
      <c r="J123" s="1167">
        <f t="shared" si="304"/>
        <v>35224.709999999999</v>
      </c>
      <c r="K123" s="1168">
        <f t="shared" si="318"/>
        <v>104129.88999999998</v>
      </c>
      <c r="L123" s="1119"/>
      <c r="M123" s="1238"/>
      <c r="N123" s="1242"/>
      <c r="O123" s="1242"/>
      <c r="P123" s="1238">
        <v>68905.179999999993</v>
      </c>
      <c r="Q123" s="1169">
        <f t="shared" si="319"/>
        <v>68905.179999999993</v>
      </c>
      <c r="R123" s="1238">
        <v>35224.709999999999</v>
      </c>
      <c r="S123" s="1170"/>
      <c r="T123" s="1239"/>
      <c r="U123" s="1119"/>
      <c r="V123" s="1169"/>
      <c r="W123" s="1177"/>
      <c r="X123" s="1177"/>
      <c r="Y123" s="1169"/>
      <c r="Z123" s="1169">
        <f t="shared" si="320"/>
        <v>0</v>
      </c>
      <c r="AA123" s="1169"/>
      <c r="AB123" s="1172">
        <f t="shared" si="308"/>
        <v>0</v>
      </c>
      <c r="AC123" s="1240"/>
      <c r="AD123" s="1119"/>
      <c r="AE123" s="1169"/>
      <c r="AF123" s="1177"/>
      <c r="AG123" s="1177"/>
      <c r="AH123" s="1169"/>
      <c r="AI123" s="1169">
        <f t="shared" si="321"/>
        <v>0</v>
      </c>
      <c r="AJ123" s="1169"/>
      <c r="AK123" s="1173"/>
      <c r="AL123" s="1171"/>
      <c r="AM123" s="1128"/>
      <c r="AN123" s="1170"/>
      <c r="AO123" s="1175"/>
      <c r="AP123" s="1175"/>
      <c r="AQ123" s="1170"/>
      <c r="AR123" s="1170">
        <f t="shared" si="322"/>
        <v>0</v>
      </c>
      <c r="AS123" s="1170"/>
      <c r="AT123" s="1170"/>
      <c r="AU123" s="1174"/>
      <c r="AV123" s="1241"/>
      <c r="AW123" s="1169"/>
      <c r="AX123" s="1177"/>
      <c r="AY123" s="1177"/>
      <c r="AZ123" s="1169"/>
      <c r="BA123" s="1169">
        <f t="shared" si="323"/>
        <v>0</v>
      </c>
      <c r="BB123" s="1169"/>
      <c r="BC123" s="1175"/>
      <c r="BD123" s="1027"/>
      <c r="BE123" s="1029"/>
      <c r="BF123" s="1029"/>
    </row>
    <row r="124" ht="22.5" customHeight="1">
      <c r="A124" s="999" t="str">
        <f t="shared" si="301"/>
        <v xml:space="preserve">Крошка С.С.</v>
      </c>
      <c r="B124" s="1176" t="s">
        <v>204</v>
      </c>
      <c r="C124" s="1194"/>
      <c r="D124" s="1194"/>
      <c r="E124" s="1164">
        <f t="shared" si="289"/>
        <v>26075.009999999998</v>
      </c>
      <c r="F124" s="1164">
        <f t="shared" si="290"/>
        <v>195620.55000000002</v>
      </c>
      <c r="G124" s="1165">
        <f t="shared" si="317"/>
        <v>221695.56000000003</v>
      </c>
      <c r="H124" s="1166"/>
      <c r="I124" s="1167">
        <f t="shared" si="303"/>
        <v>25983.209999999999</v>
      </c>
      <c r="J124" s="1167">
        <f t="shared" si="304"/>
        <v>195620.55000000002</v>
      </c>
      <c r="K124" s="1168">
        <f t="shared" si="318"/>
        <v>221603.76000000001</v>
      </c>
      <c r="L124" s="1119"/>
      <c r="M124" s="1238"/>
      <c r="N124" s="1242"/>
      <c r="O124" s="1242"/>
      <c r="P124" s="1238">
        <v>25983.209999999999</v>
      </c>
      <c r="Q124" s="1169">
        <f t="shared" si="319"/>
        <v>25983.209999999999</v>
      </c>
      <c r="R124" s="1238">
        <f>21133.22+174180.26</f>
        <v>195313.48000000001</v>
      </c>
      <c r="S124" s="1170"/>
      <c r="T124" s="1239"/>
      <c r="U124" s="1119"/>
      <c r="V124" s="1169"/>
      <c r="W124" s="1177"/>
      <c r="X124" s="1177"/>
      <c r="Y124" s="1169">
        <v>91.799999999999997</v>
      </c>
      <c r="Z124" s="1169">
        <f t="shared" si="320"/>
        <v>91.799999999999997</v>
      </c>
      <c r="AA124" s="1169"/>
      <c r="AB124" s="1172">
        <f t="shared" si="308"/>
        <v>91.799999999999997</v>
      </c>
      <c r="AC124" s="1240"/>
      <c r="AD124" s="1119"/>
      <c r="AE124" s="1169"/>
      <c r="AF124" s="1177"/>
      <c r="AG124" s="1177"/>
      <c r="AH124" s="1169"/>
      <c r="AI124" s="1169">
        <f t="shared" si="321"/>
        <v>0</v>
      </c>
      <c r="AJ124" s="1169">
        <v>307.06999999999999</v>
      </c>
      <c r="AK124" s="1173"/>
      <c r="AL124" s="1171"/>
      <c r="AM124" s="1128"/>
      <c r="AN124" s="1170"/>
      <c r="AO124" s="1175"/>
      <c r="AP124" s="1175"/>
      <c r="AQ124" s="1170"/>
      <c r="AR124" s="1170">
        <f t="shared" si="322"/>
        <v>0</v>
      </c>
      <c r="AS124" s="1170"/>
      <c r="AT124" s="1170"/>
      <c r="AU124" s="1174"/>
      <c r="AV124" s="1241"/>
      <c r="AW124" s="1169"/>
      <c r="AX124" s="1177"/>
      <c r="AY124" s="1177"/>
      <c r="AZ124" s="1169"/>
      <c r="BA124" s="1169">
        <f t="shared" si="323"/>
        <v>0</v>
      </c>
      <c r="BB124" s="1169"/>
      <c r="BC124" s="1175"/>
      <c r="BD124" s="1027"/>
      <c r="BE124" s="1029"/>
      <c r="BF124" s="1029"/>
    </row>
    <row r="125" ht="22.5" customHeight="1">
      <c r="A125" s="999" t="str">
        <f t="shared" si="301"/>
        <v xml:space="preserve">Козлитина Н.В.</v>
      </c>
      <c r="B125" s="1176" t="s">
        <v>205</v>
      </c>
      <c r="C125" s="1176"/>
      <c r="D125" s="1176"/>
      <c r="E125" s="1164">
        <f t="shared" si="289"/>
        <v>464647.82999999996</v>
      </c>
      <c r="F125" s="1164">
        <f t="shared" si="290"/>
        <v>622783.79000000004</v>
      </c>
      <c r="G125" s="1165">
        <f t="shared" si="317"/>
        <v>1087431.6200000001</v>
      </c>
      <c r="H125" s="1166"/>
      <c r="I125" s="1167">
        <f t="shared" si="303"/>
        <v>462831.87999999995</v>
      </c>
      <c r="J125" s="1167">
        <f t="shared" si="304"/>
        <v>603223.20000000007</v>
      </c>
      <c r="K125" s="1168">
        <f t="shared" si="318"/>
        <v>1066055.0800000001</v>
      </c>
      <c r="L125" s="1119"/>
      <c r="M125" s="1238"/>
      <c r="N125" s="1242"/>
      <c r="O125" s="1242"/>
      <c r="P125" s="1238">
        <v>462817.65999999997</v>
      </c>
      <c r="Q125" s="1169">
        <f t="shared" si="319"/>
        <v>462817.65999999997</v>
      </c>
      <c r="R125" s="1238">
        <v>602528.80000000005</v>
      </c>
      <c r="S125" s="1170"/>
      <c r="T125" s="1239"/>
      <c r="U125" s="1119"/>
      <c r="V125" s="1169"/>
      <c r="W125" s="1177"/>
      <c r="X125" s="1177"/>
      <c r="Y125" s="1169">
        <v>1815.95</v>
      </c>
      <c r="Z125" s="1169">
        <f t="shared" si="320"/>
        <v>1815.95</v>
      </c>
      <c r="AA125" s="1169">
        <v>19560.59</v>
      </c>
      <c r="AB125" s="1172">
        <f t="shared" si="308"/>
        <v>21376.540000000001</v>
      </c>
      <c r="AC125" s="1240"/>
      <c r="AD125" s="1119"/>
      <c r="AE125" s="1169"/>
      <c r="AF125" s="1177"/>
      <c r="AG125" s="1177"/>
      <c r="AH125" s="1169"/>
      <c r="AI125" s="1169">
        <f t="shared" si="321"/>
        <v>0</v>
      </c>
      <c r="AJ125" s="1169"/>
      <c r="AK125" s="1173"/>
      <c r="AL125" s="1171"/>
      <c r="AM125" s="1128"/>
      <c r="AN125" s="1170"/>
      <c r="AO125" s="1175"/>
      <c r="AP125" s="1175"/>
      <c r="AQ125" s="1170"/>
      <c r="AR125" s="1170">
        <f t="shared" si="322"/>
        <v>0</v>
      </c>
      <c r="AS125" s="1170"/>
      <c r="AT125" s="1170"/>
      <c r="AU125" s="1174"/>
      <c r="AV125" s="1241"/>
      <c r="AW125" s="1169"/>
      <c r="AX125" s="1177"/>
      <c r="AY125" s="1177"/>
      <c r="AZ125" s="1169">
        <v>14.220000000000001</v>
      </c>
      <c r="BA125" s="1169">
        <f t="shared" si="323"/>
        <v>14.220000000000001</v>
      </c>
      <c r="BB125" s="1169">
        <v>694.39999999999998</v>
      </c>
      <c r="BC125" s="1175"/>
      <c r="BD125" s="1027"/>
      <c r="BE125" s="1029"/>
      <c r="BF125" s="1029"/>
    </row>
    <row r="126" ht="22.5" customHeight="1">
      <c r="A126" s="999" t="str">
        <f t="shared" si="301"/>
        <v xml:space="preserve">Баженова И.В.</v>
      </c>
      <c r="B126" s="1176" t="s">
        <v>206</v>
      </c>
      <c r="C126" s="1176"/>
      <c r="D126" s="1176"/>
      <c r="E126" s="1164">
        <f t="shared" si="289"/>
        <v>177418.14999999999</v>
      </c>
      <c r="F126" s="1164">
        <f t="shared" si="290"/>
        <v>330860.09000000003</v>
      </c>
      <c r="G126" s="1165">
        <f t="shared" si="317"/>
        <v>508278.23999999999</v>
      </c>
      <c r="H126" s="1166"/>
      <c r="I126" s="1167">
        <f t="shared" si="303"/>
        <v>175840.75</v>
      </c>
      <c r="J126" s="1167">
        <f t="shared" si="304"/>
        <v>312211.88</v>
      </c>
      <c r="K126" s="1168">
        <f t="shared" si="318"/>
        <v>488052.63</v>
      </c>
      <c r="L126" s="1119"/>
      <c r="M126" s="1238"/>
      <c r="N126" s="1242"/>
      <c r="O126" s="1242"/>
      <c r="P126" s="1238">
        <v>175840.75</v>
      </c>
      <c r="Q126" s="1169">
        <f t="shared" si="319"/>
        <v>175840.75</v>
      </c>
      <c r="R126" s="1238">
        <v>312126.53000000003</v>
      </c>
      <c r="S126" s="1170"/>
      <c r="T126" s="1239"/>
      <c r="U126" s="1119"/>
      <c r="V126" s="1169"/>
      <c r="W126" s="1177"/>
      <c r="X126" s="1177"/>
      <c r="Y126" s="1169">
        <v>1577.4000000000001</v>
      </c>
      <c r="Z126" s="1169">
        <f t="shared" si="320"/>
        <v>1577.4000000000001</v>
      </c>
      <c r="AA126" s="1169">
        <v>18648.209999999999</v>
      </c>
      <c r="AB126" s="1172">
        <f t="shared" si="308"/>
        <v>20225.610000000001</v>
      </c>
      <c r="AC126" s="1240"/>
      <c r="AD126" s="1119"/>
      <c r="AE126" s="1169"/>
      <c r="AF126" s="1177"/>
      <c r="AG126" s="1177"/>
      <c r="AH126" s="1169"/>
      <c r="AI126" s="1169">
        <f t="shared" si="321"/>
        <v>0</v>
      </c>
      <c r="AJ126" s="1169">
        <v>85.349999999999994</v>
      </c>
      <c r="AK126" s="1173"/>
      <c r="AL126" s="1171"/>
      <c r="AM126" s="1128"/>
      <c r="AN126" s="1170"/>
      <c r="AO126" s="1175"/>
      <c r="AP126" s="1175"/>
      <c r="AQ126" s="1170"/>
      <c r="AR126" s="1170">
        <f t="shared" si="322"/>
        <v>0</v>
      </c>
      <c r="AS126" s="1170"/>
      <c r="AT126" s="1170"/>
      <c r="AU126" s="1174"/>
      <c r="AV126" s="1241"/>
      <c r="AW126" s="1169"/>
      <c r="AX126" s="1177"/>
      <c r="AY126" s="1177"/>
      <c r="AZ126" s="1169"/>
      <c r="BA126" s="1169">
        <f t="shared" si="323"/>
        <v>0</v>
      </c>
      <c r="BB126" s="1169"/>
      <c r="BC126" s="1175"/>
      <c r="BD126" s="1027"/>
      <c r="BE126" s="1029"/>
      <c r="BF126" s="1029"/>
    </row>
    <row r="127" ht="22.5" customHeight="1">
      <c r="A127" s="999" t="str">
        <f t="shared" si="301"/>
        <v xml:space="preserve">Герингер О.А.</v>
      </c>
      <c r="B127" s="1176" t="s">
        <v>207</v>
      </c>
      <c r="C127" s="1194"/>
      <c r="D127" s="1194"/>
      <c r="E127" s="1164">
        <f t="shared" si="289"/>
        <v>186789.81999999998</v>
      </c>
      <c r="F127" s="1164">
        <f t="shared" si="290"/>
        <v>160900.72999999998</v>
      </c>
      <c r="G127" s="1165">
        <f t="shared" si="317"/>
        <v>347690.54999999993</v>
      </c>
      <c r="H127" s="1166"/>
      <c r="I127" s="1167">
        <f t="shared" si="303"/>
        <v>186774.51999999999</v>
      </c>
      <c r="J127" s="1167">
        <f t="shared" si="304"/>
        <v>142252.51999999999</v>
      </c>
      <c r="K127" s="1168">
        <f t="shared" si="318"/>
        <v>329027.03999999998</v>
      </c>
      <c r="L127" s="1119"/>
      <c r="M127" s="1238"/>
      <c r="N127" s="1242"/>
      <c r="O127" s="1242"/>
      <c r="P127" s="1238">
        <v>186774.51999999999</v>
      </c>
      <c r="Q127" s="1169">
        <f t="shared" si="319"/>
        <v>186774.51999999999</v>
      </c>
      <c r="R127" s="1238">
        <v>142252.51999999999</v>
      </c>
      <c r="S127" s="1170"/>
      <c r="T127" s="1239"/>
      <c r="U127" s="1119"/>
      <c r="V127" s="1169"/>
      <c r="W127" s="1177"/>
      <c r="X127" s="1177"/>
      <c r="Y127" s="1169">
        <v>15.300000000000001</v>
      </c>
      <c r="Z127" s="1169">
        <f t="shared" si="320"/>
        <v>15.300000000000001</v>
      </c>
      <c r="AA127" s="1169">
        <v>18648.209999999999</v>
      </c>
      <c r="AB127" s="1172">
        <f t="shared" si="308"/>
        <v>18663.509999999998</v>
      </c>
      <c r="AC127" s="1240"/>
      <c r="AD127" s="1119"/>
      <c r="AE127" s="1169"/>
      <c r="AF127" s="1177"/>
      <c r="AG127" s="1177"/>
      <c r="AH127" s="1169"/>
      <c r="AI127" s="1169">
        <f t="shared" si="321"/>
        <v>0</v>
      </c>
      <c r="AJ127" s="1169"/>
      <c r="AK127" s="1173"/>
      <c r="AL127" s="1171"/>
      <c r="AM127" s="1128"/>
      <c r="AN127" s="1170"/>
      <c r="AO127" s="1175"/>
      <c r="AP127" s="1175"/>
      <c r="AQ127" s="1170"/>
      <c r="AR127" s="1170">
        <f t="shared" si="322"/>
        <v>0</v>
      </c>
      <c r="AS127" s="1170"/>
      <c r="AT127" s="1170"/>
      <c r="AU127" s="1174"/>
      <c r="AV127" s="1241"/>
      <c r="AW127" s="1169"/>
      <c r="AX127" s="1177"/>
      <c r="AY127" s="1177"/>
      <c r="AZ127" s="1169"/>
      <c r="BA127" s="1169">
        <f t="shared" si="323"/>
        <v>0</v>
      </c>
      <c r="BB127" s="1169"/>
      <c r="BC127" s="1175"/>
      <c r="BD127" s="1027"/>
      <c r="BE127" s="1029"/>
      <c r="BF127" s="1029"/>
    </row>
    <row r="128" ht="22.5" customHeight="1">
      <c r="A128" s="999" t="str">
        <f t="shared" si="301"/>
        <v xml:space="preserve">Ничипуренко И.А.</v>
      </c>
      <c r="B128" s="1176" t="s">
        <v>375</v>
      </c>
      <c r="C128" s="1176"/>
      <c r="D128" s="1176"/>
      <c r="E128" s="1164">
        <f t="shared" si="289"/>
        <v>119533.95</v>
      </c>
      <c r="F128" s="1164">
        <f t="shared" si="290"/>
        <v>71340.349999999991</v>
      </c>
      <c r="G128" s="1165">
        <f t="shared" si="317"/>
        <v>190874.29999999999</v>
      </c>
      <c r="H128" s="1166"/>
      <c r="I128" s="1167">
        <f t="shared" si="303"/>
        <v>119533.95</v>
      </c>
      <c r="J128" s="1167">
        <f t="shared" si="304"/>
        <v>52692.139999999992</v>
      </c>
      <c r="K128" s="1168">
        <f t="shared" si="318"/>
        <v>172226.09</v>
      </c>
      <c r="L128" s="1119"/>
      <c r="M128" s="1238"/>
      <c r="N128" s="1242"/>
      <c r="O128" s="1242"/>
      <c r="P128" s="1238">
        <v>119533.95</v>
      </c>
      <c r="Q128" s="1169">
        <f t="shared" si="319"/>
        <v>119533.95</v>
      </c>
      <c r="R128" s="1238">
        <v>45432.019999999997</v>
      </c>
      <c r="S128" s="1170"/>
      <c r="T128" s="1239"/>
      <c r="U128" s="1119"/>
      <c r="V128" s="1169"/>
      <c r="W128" s="1177"/>
      <c r="X128" s="1177"/>
      <c r="Y128" s="1169"/>
      <c r="Z128" s="1169">
        <f t="shared" si="320"/>
        <v>0</v>
      </c>
      <c r="AA128" s="1169">
        <v>18648.209999999999</v>
      </c>
      <c r="AB128" s="1172">
        <f t="shared" si="308"/>
        <v>18648.209999999999</v>
      </c>
      <c r="AC128" s="1240"/>
      <c r="AD128" s="1119"/>
      <c r="AE128" s="1169"/>
      <c r="AF128" s="1177"/>
      <c r="AG128" s="1177"/>
      <c r="AH128" s="1169"/>
      <c r="AI128" s="1169">
        <f t="shared" si="321"/>
        <v>0</v>
      </c>
      <c r="AJ128" s="1169">
        <v>7260.1199999999999</v>
      </c>
      <c r="AK128" s="1173"/>
      <c r="AL128" s="1171"/>
      <c r="AM128" s="1128"/>
      <c r="AN128" s="1170"/>
      <c r="AO128" s="1175"/>
      <c r="AP128" s="1175"/>
      <c r="AQ128" s="1170"/>
      <c r="AR128" s="1170">
        <f t="shared" si="322"/>
        <v>0</v>
      </c>
      <c r="AS128" s="1170"/>
      <c r="AT128" s="1170"/>
      <c r="AU128" s="1174"/>
      <c r="AV128" s="1241"/>
      <c r="AW128" s="1169"/>
      <c r="AX128" s="1177"/>
      <c r="AY128" s="1177"/>
      <c r="AZ128" s="1169"/>
      <c r="BA128" s="1169">
        <f t="shared" si="323"/>
        <v>0</v>
      </c>
      <c r="BB128" s="1169"/>
      <c r="BC128" s="1175"/>
      <c r="BD128" s="1027"/>
      <c r="BE128" s="1029"/>
      <c r="BF128" s="1029"/>
    </row>
    <row r="129" ht="22.5" customHeight="1">
      <c r="A129" s="999" t="str">
        <f t="shared" si="301"/>
        <v xml:space="preserve">Дылыкова А.А. Закусова О.А. Бондаренко НФ</v>
      </c>
      <c r="B129" s="1176" t="s">
        <v>210</v>
      </c>
      <c r="C129" s="1176"/>
      <c r="D129" s="1176"/>
      <c r="E129" s="1164">
        <f t="shared" si="289"/>
        <v>74533.009999999995</v>
      </c>
      <c r="F129" s="1164">
        <f t="shared" si="290"/>
        <v>193041.29000000001</v>
      </c>
      <c r="G129" s="1165">
        <f t="shared" si="317"/>
        <v>267574.29999999999</v>
      </c>
      <c r="H129" s="1166"/>
      <c r="I129" s="1167">
        <f t="shared" si="303"/>
        <v>74533.009999999995</v>
      </c>
      <c r="J129" s="1167">
        <f t="shared" si="304"/>
        <v>193041.29000000001</v>
      </c>
      <c r="K129" s="1168">
        <f t="shared" si="318"/>
        <v>267574.29999999999</v>
      </c>
      <c r="L129" s="1119"/>
      <c r="M129" s="1238"/>
      <c r="N129" s="1242"/>
      <c r="O129" s="1242"/>
      <c r="P129" s="1238">
        <v>73609.679999999993</v>
      </c>
      <c r="Q129" s="1169">
        <f t="shared" si="319"/>
        <v>73609.679999999993</v>
      </c>
      <c r="R129" s="1238">
        <v>189129.48000000001</v>
      </c>
      <c r="S129" s="1170"/>
      <c r="T129" s="1239"/>
      <c r="U129" s="1119"/>
      <c r="V129" s="1169"/>
      <c r="W129" s="1177"/>
      <c r="X129" s="1177"/>
      <c r="Y129" s="1169"/>
      <c r="Z129" s="1169">
        <f t="shared" si="320"/>
        <v>0</v>
      </c>
      <c r="AA129" s="1169"/>
      <c r="AB129" s="1172">
        <f t="shared" si="308"/>
        <v>0</v>
      </c>
      <c r="AC129" s="1240"/>
      <c r="AD129" s="1119"/>
      <c r="AE129" s="1169"/>
      <c r="AF129" s="1177"/>
      <c r="AG129" s="1177"/>
      <c r="AH129" s="1169">
        <v>923.33000000000004</v>
      </c>
      <c r="AI129" s="1169">
        <f t="shared" si="321"/>
        <v>923.33000000000004</v>
      </c>
      <c r="AJ129" s="1169">
        <v>3911.8099999999999</v>
      </c>
      <c r="AK129" s="1173"/>
      <c r="AL129" s="1171"/>
      <c r="AM129" s="1128"/>
      <c r="AN129" s="1170"/>
      <c r="AO129" s="1175"/>
      <c r="AP129" s="1175"/>
      <c r="AQ129" s="1170"/>
      <c r="AR129" s="1170">
        <f t="shared" si="322"/>
        <v>0</v>
      </c>
      <c r="AS129" s="1170"/>
      <c r="AT129" s="1170"/>
      <c r="AU129" s="1174"/>
      <c r="AV129" s="1241"/>
      <c r="AW129" s="1169"/>
      <c r="AX129" s="1177"/>
      <c r="AY129" s="1177"/>
      <c r="AZ129" s="1169"/>
      <c r="BA129" s="1169">
        <f t="shared" si="323"/>
        <v>0</v>
      </c>
      <c r="BB129" s="1169"/>
      <c r="BC129" s="1175"/>
      <c r="BD129" s="1027"/>
      <c r="BE129" s="1029"/>
      <c r="BF129" s="1029"/>
    </row>
    <row r="130" ht="22.5" customHeight="1">
      <c r="A130" s="999" t="str">
        <f t="shared" si="301"/>
        <v xml:space="preserve">Мазуренко А.Н.</v>
      </c>
      <c r="B130" s="1176" t="s">
        <v>211</v>
      </c>
      <c r="C130" s="1176"/>
      <c r="D130" s="1176"/>
      <c r="E130" s="1164">
        <f t="shared" si="289"/>
        <v>230979.48999999999</v>
      </c>
      <c r="F130" s="1164">
        <f t="shared" si="290"/>
        <v>71172.740000000005</v>
      </c>
      <c r="G130" s="1165">
        <f t="shared" si="317"/>
        <v>302152.22999999998</v>
      </c>
      <c r="H130" s="1166"/>
      <c r="I130" s="1167">
        <f t="shared" si="303"/>
        <v>230979.48999999999</v>
      </c>
      <c r="J130" s="1167">
        <f t="shared" si="304"/>
        <v>60034.570000000007</v>
      </c>
      <c r="K130" s="1168">
        <f t="shared" si="318"/>
        <v>291014.06</v>
      </c>
      <c r="L130" s="1119"/>
      <c r="M130" s="1238"/>
      <c r="N130" s="1242"/>
      <c r="O130" s="1242"/>
      <c r="P130" s="1238">
        <v>230979.48999999999</v>
      </c>
      <c r="Q130" s="1169">
        <f t="shared" si="319"/>
        <v>230979.48999999999</v>
      </c>
      <c r="R130" s="1238">
        <v>60034.57</v>
      </c>
      <c r="S130" s="1170"/>
      <c r="T130" s="1239"/>
      <c r="U130" s="1119"/>
      <c r="V130" s="1169"/>
      <c r="W130" s="1177"/>
      <c r="X130" s="1177"/>
      <c r="Y130" s="1169"/>
      <c r="Z130" s="1169">
        <f t="shared" si="320"/>
        <v>0</v>
      </c>
      <c r="AA130" s="1169">
        <v>11138.17</v>
      </c>
      <c r="AB130" s="1172">
        <f t="shared" si="308"/>
        <v>11138.17</v>
      </c>
      <c r="AC130" s="1240"/>
      <c r="AD130" s="1119"/>
      <c r="AE130" s="1169"/>
      <c r="AF130" s="1177"/>
      <c r="AG130" s="1177"/>
      <c r="AH130" s="1169"/>
      <c r="AI130" s="1169">
        <f t="shared" si="321"/>
        <v>0</v>
      </c>
      <c r="AJ130" s="1169"/>
      <c r="AK130" s="1173"/>
      <c r="AL130" s="1171"/>
      <c r="AM130" s="1128"/>
      <c r="AN130" s="1170"/>
      <c r="AO130" s="1175"/>
      <c r="AP130" s="1175"/>
      <c r="AQ130" s="1170"/>
      <c r="AR130" s="1170">
        <f t="shared" si="322"/>
        <v>0</v>
      </c>
      <c r="AS130" s="1170"/>
      <c r="AT130" s="1170"/>
      <c r="AU130" s="1174"/>
      <c r="AV130" s="1241"/>
      <c r="AW130" s="1169"/>
      <c r="AX130" s="1177"/>
      <c r="AY130" s="1177"/>
      <c r="AZ130" s="1169"/>
      <c r="BA130" s="1169">
        <f t="shared" si="323"/>
        <v>0</v>
      </c>
      <c r="BB130" s="1169"/>
      <c r="BC130" s="1175"/>
      <c r="BD130" s="1027"/>
      <c r="BE130" s="1029"/>
      <c r="BF130" s="1029"/>
    </row>
    <row r="131" s="1180" customFormat="1" ht="22.5" customHeight="1">
      <c r="A131" s="999">
        <f t="shared" si="301"/>
        <v>0</v>
      </c>
      <c r="B131" s="1182" t="s">
        <v>363</v>
      </c>
      <c r="C131" s="1182"/>
      <c r="D131" s="1182"/>
      <c r="E131" s="1183">
        <f t="shared" si="289"/>
        <v>1930655.6099999999</v>
      </c>
      <c r="F131" s="1183">
        <f t="shared" si="290"/>
        <v>2512790.96</v>
      </c>
      <c r="G131" s="1184">
        <f>SUM(G118:G130)</f>
        <v>4443446.5700000003</v>
      </c>
      <c r="H131" s="1185"/>
      <c r="I131" s="1186">
        <f t="shared" si="303"/>
        <v>1925446.3099999998</v>
      </c>
      <c r="J131" s="1186">
        <f t="shared" si="304"/>
        <v>2399935.7599999998</v>
      </c>
      <c r="K131" s="1187">
        <f>SUM(K118:K130)</f>
        <v>4325382.0699999994</v>
      </c>
      <c r="L131" s="1188"/>
      <c r="M131" s="1096">
        <f t="shared" ref="M131:R131" si="324">SUM(M118:M130)</f>
        <v>0</v>
      </c>
      <c r="N131" s="1096">
        <f t="shared" si="324"/>
        <v>0</v>
      </c>
      <c r="O131" s="1096">
        <f t="shared" si="324"/>
        <v>0</v>
      </c>
      <c r="P131" s="1096">
        <f t="shared" si="324"/>
        <v>1924508.7599999998</v>
      </c>
      <c r="Q131" s="1096">
        <f t="shared" si="324"/>
        <v>1924508.7599999998</v>
      </c>
      <c r="R131" s="1096">
        <f t="shared" si="324"/>
        <v>2386886.6699999999</v>
      </c>
      <c r="S131" s="1170"/>
      <c r="T131" s="1243"/>
      <c r="U131" s="1119"/>
      <c r="V131" s="1096">
        <f t="shared" ref="V131:AA131" si="325">SUM(V118:V130)</f>
        <v>0</v>
      </c>
      <c r="W131" s="1096">
        <f t="shared" si="325"/>
        <v>0</v>
      </c>
      <c r="X131" s="1096">
        <f t="shared" si="325"/>
        <v>0</v>
      </c>
      <c r="Y131" s="1096">
        <f t="shared" si="325"/>
        <v>5209.3000000000002</v>
      </c>
      <c r="Z131" s="1096">
        <f t="shared" si="325"/>
        <v>5209.3000000000002</v>
      </c>
      <c r="AA131" s="1096">
        <f t="shared" si="325"/>
        <v>112855.2</v>
      </c>
      <c r="AB131" s="1172">
        <f t="shared" si="308"/>
        <v>118064.5</v>
      </c>
      <c r="AC131" s="1243"/>
      <c r="AD131" s="1244"/>
      <c r="AE131" s="1096">
        <f t="shared" ref="AE131:AJ131" si="326">SUM(AE118:AE130)</f>
        <v>0</v>
      </c>
      <c r="AF131" s="1096">
        <f t="shared" si="326"/>
        <v>0</v>
      </c>
      <c r="AG131" s="1096">
        <f t="shared" si="326"/>
        <v>0</v>
      </c>
      <c r="AH131" s="1096">
        <f t="shared" si="326"/>
        <v>923.33000000000004</v>
      </c>
      <c r="AI131" s="1096">
        <f t="shared" si="326"/>
        <v>923.33000000000004</v>
      </c>
      <c r="AJ131" s="1096">
        <f t="shared" si="326"/>
        <v>12354.689999999999</v>
      </c>
      <c r="AK131" s="1173"/>
      <c r="AL131" s="1189"/>
      <c r="AM131" s="1125"/>
      <c r="AN131" s="1190">
        <f t="shared" ref="AN131:AS131" si="327">SUM(AN118:AN130)</f>
        <v>0</v>
      </c>
      <c r="AO131" s="1190">
        <f t="shared" si="327"/>
        <v>0</v>
      </c>
      <c r="AP131" s="1190">
        <f t="shared" si="327"/>
        <v>0</v>
      </c>
      <c r="AQ131" s="1190">
        <f t="shared" si="327"/>
        <v>0</v>
      </c>
      <c r="AR131" s="1190">
        <f t="shared" si="327"/>
        <v>0</v>
      </c>
      <c r="AS131" s="1190">
        <f t="shared" si="327"/>
        <v>0</v>
      </c>
      <c r="AT131" s="1170"/>
      <c r="AU131" s="1191"/>
      <c r="AV131" s="1245"/>
      <c r="AW131" s="1096">
        <f t="shared" ref="AW131:BB131" si="328">SUM(AW118:AW130)</f>
        <v>0</v>
      </c>
      <c r="AX131" s="1096">
        <f t="shared" si="328"/>
        <v>0</v>
      </c>
      <c r="AY131" s="1096">
        <f t="shared" si="328"/>
        <v>0</v>
      </c>
      <c r="AZ131" s="1096">
        <f t="shared" si="328"/>
        <v>14.220000000000001</v>
      </c>
      <c r="BA131" s="1096">
        <f t="shared" si="328"/>
        <v>14.220000000000001</v>
      </c>
      <c r="BB131" s="1096">
        <f t="shared" si="328"/>
        <v>694.39999999999998</v>
      </c>
      <c r="BC131" s="1175"/>
      <c r="BD131" s="1052"/>
      <c r="BE131" s="1051"/>
      <c r="BF131" s="1051"/>
      <c r="BG131" s="1106"/>
      <c r="BH131" s="1106"/>
      <c r="BI131" s="1106"/>
      <c r="BJ131" s="1106"/>
      <c r="BK131" s="1106"/>
      <c r="BL131" s="1106"/>
      <c r="BM131" s="1106"/>
    </row>
    <row r="132" ht="22.5" customHeight="1">
      <c r="A132" s="999" t="str">
        <f t="shared" si="301"/>
        <v xml:space="preserve">Румак В.Н, Стоянова ЕП</v>
      </c>
      <c r="B132" s="1176" t="s">
        <v>379</v>
      </c>
      <c r="C132" s="1176"/>
      <c r="D132" s="1176"/>
      <c r="E132" s="1164">
        <f t="shared" si="289"/>
        <v>93107.699999999997</v>
      </c>
      <c r="F132" s="1164">
        <f t="shared" si="290"/>
        <v>46524.82</v>
      </c>
      <c r="G132" s="1165">
        <f t="shared" ref="G132:G136" si="329">E132+F132</f>
        <v>139632.51999999999</v>
      </c>
      <c r="H132" s="1166"/>
      <c r="I132" s="1167">
        <f t="shared" si="303"/>
        <v>92878.199999999997</v>
      </c>
      <c r="J132" s="1167">
        <f t="shared" si="304"/>
        <v>39014.779999999999</v>
      </c>
      <c r="K132" s="1168">
        <f t="shared" ref="K132:K136" si="330">I132+J132</f>
        <v>131892.97999999998</v>
      </c>
      <c r="L132" s="1119"/>
      <c r="M132" s="1238"/>
      <c r="N132" s="1242"/>
      <c r="O132" s="1242"/>
      <c r="P132" s="1238">
        <v>60466.279999999999</v>
      </c>
      <c r="Q132" s="1169">
        <f t="shared" ref="Q132:Q136" si="331">SUM(M132:P132)</f>
        <v>60466.279999999999</v>
      </c>
      <c r="R132" s="1238">
        <v>39014.779999999999</v>
      </c>
      <c r="S132" s="1170"/>
      <c r="T132" s="1239"/>
      <c r="U132" s="1119"/>
      <c r="V132" s="1169"/>
      <c r="W132" s="1177"/>
      <c r="X132" s="1177"/>
      <c r="Y132" s="1169">
        <v>229.5</v>
      </c>
      <c r="Z132" s="1169">
        <f t="shared" ref="Z132:Z136" si="332">SUM(V132:Y132)</f>
        <v>229.5</v>
      </c>
      <c r="AA132" s="1169">
        <v>7510.04</v>
      </c>
      <c r="AB132" s="1172">
        <f t="shared" si="308"/>
        <v>7739.54</v>
      </c>
      <c r="AC132" s="1240"/>
      <c r="AD132" s="1119"/>
      <c r="AE132" s="1169"/>
      <c r="AF132" s="1177"/>
      <c r="AG132" s="1177"/>
      <c r="AH132" s="1169">
        <v>32411.919999999998</v>
      </c>
      <c r="AI132" s="1169">
        <f t="shared" ref="AI132:AI136" si="333">SUM(AE132:AH132)</f>
        <v>32411.919999999998</v>
      </c>
      <c r="AJ132" s="1169"/>
      <c r="AK132" s="1173"/>
      <c r="AL132" s="1171"/>
      <c r="AM132" s="1128"/>
      <c r="AN132" s="1170"/>
      <c r="AO132" s="1175"/>
      <c r="AP132" s="1175"/>
      <c r="AQ132" s="1170"/>
      <c r="AR132" s="1170">
        <f t="shared" ref="AR132:AR136" si="334">SUM(AN132:AQ132)</f>
        <v>0</v>
      </c>
      <c r="AS132" s="1170"/>
      <c r="AT132" s="1170"/>
      <c r="AU132" s="1174"/>
      <c r="AV132" s="1241"/>
      <c r="AW132" s="1169"/>
      <c r="AX132" s="1177"/>
      <c r="AY132" s="1177"/>
      <c r="AZ132" s="1169"/>
      <c r="BA132" s="1169">
        <f t="shared" ref="BA132:BA136" si="335">SUM(AW132:AZ132)</f>
        <v>0</v>
      </c>
      <c r="BB132" s="1169"/>
      <c r="BC132" s="1175"/>
      <c r="BD132" s="1027"/>
      <c r="BE132" s="1029"/>
      <c r="BF132" s="1029"/>
    </row>
    <row r="133" ht="22.5" customHeight="1">
      <c r="A133" s="999" t="str">
        <f t="shared" si="301"/>
        <v xml:space="preserve">Голубцова О.В.</v>
      </c>
      <c r="B133" s="1176" t="s">
        <v>381</v>
      </c>
      <c r="C133" s="1176"/>
      <c r="D133" s="1176"/>
      <c r="E133" s="1164">
        <f t="shared" si="289"/>
        <v>0</v>
      </c>
      <c r="F133" s="1164">
        <f t="shared" si="290"/>
        <v>21108.119999999999</v>
      </c>
      <c r="G133" s="1165">
        <f t="shared" si="329"/>
        <v>21108.119999999999</v>
      </c>
      <c r="H133" s="1166"/>
      <c r="I133" s="1167">
        <f t="shared" si="303"/>
        <v>0</v>
      </c>
      <c r="J133" s="1167">
        <f t="shared" si="304"/>
        <v>13598.079999999998</v>
      </c>
      <c r="K133" s="1168">
        <f t="shared" si="330"/>
        <v>13598.079999999998</v>
      </c>
      <c r="L133" s="1119"/>
      <c r="M133" s="1238"/>
      <c r="N133" s="1242"/>
      <c r="O133" s="1242"/>
      <c r="P133" s="1238"/>
      <c r="Q133" s="1169">
        <f t="shared" si="331"/>
        <v>0</v>
      </c>
      <c r="R133" s="1238">
        <v>13598.08</v>
      </c>
      <c r="S133" s="1170"/>
      <c r="T133" s="1239"/>
      <c r="U133" s="1119"/>
      <c r="V133" s="1169"/>
      <c r="W133" s="1177"/>
      <c r="X133" s="1177"/>
      <c r="Y133" s="1169"/>
      <c r="Z133" s="1169">
        <f t="shared" si="332"/>
        <v>0</v>
      </c>
      <c r="AA133" s="1169">
        <v>7510.04</v>
      </c>
      <c r="AB133" s="1172">
        <f t="shared" si="308"/>
        <v>7510.04</v>
      </c>
      <c r="AC133" s="1240"/>
      <c r="AD133" s="1119"/>
      <c r="AE133" s="1169"/>
      <c r="AF133" s="1177"/>
      <c r="AG133" s="1177"/>
      <c r="AH133" s="1169"/>
      <c r="AI133" s="1169">
        <f t="shared" si="333"/>
        <v>0</v>
      </c>
      <c r="AJ133" s="1169"/>
      <c r="AK133" s="1173"/>
      <c r="AL133" s="1171"/>
      <c r="AM133" s="1128"/>
      <c r="AN133" s="1170"/>
      <c r="AO133" s="1175"/>
      <c r="AP133" s="1175"/>
      <c r="AQ133" s="1170"/>
      <c r="AR133" s="1170">
        <f t="shared" si="334"/>
        <v>0</v>
      </c>
      <c r="AS133" s="1170"/>
      <c r="AT133" s="1170"/>
      <c r="AU133" s="1174"/>
      <c r="AV133" s="1241"/>
      <c r="AW133" s="1169"/>
      <c r="AX133" s="1177"/>
      <c r="AY133" s="1177"/>
      <c r="AZ133" s="1169"/>
      <c r="BA133" s="1169">
        <f t="shared" si="335"/>
        <v>0</v>
      </c>
      <c r="BB133" s="1169"/>
      <c r="BC133" s="1175"/>
      <c r="BD133" s="1027"/>
      <c r="BE133" s="1029"/>
      <c r="BF133" s="1029"/>
    </row>
    <row r="134" ht="22.5" customHeight="1">
      <c r="A134" s="999" t="str">
        <f t="shared" si="301"/>
        <v xml:space="preserve">Бородулина М.П.</v>
      </c>
      <c r="B134" s="1176" t="s">
        <v>383</v>
      </c>
      <c r="C134" s="1176"/>
      <c r="D134" s="1176"/>
      <c r="E134" s="1164">
        <f t="shared" si="289"/>
        <v>144425.82999999999</v>
      </c>
      <c r="F134" s="1164">
        <f t="shared" si="290"/>
        <v>46894.120000000003</v>
      </c>
      <c r="G134" s="1165">
        <f t="shared" si="329"/>
        <v>191319.94999999998</v>
      </c>
      <c r="H134" s="1166"/>
      <c r="I134" s="1167">
        <f t="shared" si="303"/>
        <v>144150.42999999999</v>
      </c>
      <c r="J134" s="1167">
        <f t="shared" si="304"/>
        <v>46894.120000000003</v>
      </c>
      <c r="K134" s="1168">
        <f t="shared" si="330"/>
        <v>191044.54999999999</v>
      </c>
      <c r="L134" s="1119"/>
      <c r="M134" s="1238"/>
      <c r="N134" s="1242"/>
      <c r="O134" s="1242"/>
      <c r="P134" s="1238">
        <v>120798.25999999999</v>
      </c>
      <c r="Q134" s="1169">
        <f t="shared" si="331"/>
        <v>120798.25999999999</v>
      </c>
      <c r="R134" s="1238">
        <v>46894.120000000003</v>
      </c>
      <c r="S134" s="1170"/>
      <c r="T134" s="1239"/>
      <c r="U134" s="1119"/>
      <c r="V134" s="1169"/>
      <c r="W134" s="1177"/>
      <c r="X134" s="1177"/>
      <c r="Y134" s="1169">
        <v>275.39999999999998</v>
      </c>
      <c r="Z134" s="1169">
        <f t="shared" si="332"/>
        <v>275.39999999999998</v>
      </c>
      <c r="AA134" s="1169"/>
      <c r="AB134" s="1172">
        <f t="shared" si="308"/>
        <v>275.39999999999998</v>
      </c>
      <c r="AC134" s="1240"/>
      <c r="AD134" s="1119"/>
      <c r="AE134" s="1169"/>
      <c r="AF134" s="1177"/>
      <c r="AG134" s="1177"/>
      <c r="AH134" s="1169">
        <v>23352.169999999998</v>
      </c>
      <c r="AI134" s="1169">
        <f t="shared" si="333"/>
        <v>23352.169999999998</v>
      </c>
      <c r="AJ134" s="1169"/>
      <c r="AK134" s="1173"/>
      <c r="AL134" s="1171"/>
      <c r="AM134" s="1128"/>
      <c r="AN134" s="1170"/>
      <c r="AO134" s="1175"/>
      <c r="AP134" s="1175"/>
      <c r="AQ134" s="1170"/>
      <c r="AR134" s="1170">
        <f t="shared" si="334"/>
        <v>0</v>
      </c>
      <c r="AS134" s="1170"/>
      <c r="AT134" s="1170"/>
      <c r="AU134" s="1174"/>
      <c r="AV134" s="1241"/>
      <c r="AW134" s="1169"/>
      <c r="AX134" s="1177"/>
      <c r="AY134" s="1177"/>
      <c r="AZ134" s="1169"/>
      <c r="BA134" s="1169">
        <f t="shared" si="335"/>
        <v>0</v>
      </c>
      <c r="BB134" s="1169"/>
      <c r="BC134" s="1175"/>
      <c r="BD134" s="1027"/>
      <c r="BE134" s="1029"/>
      <c r="BF134" s="1029"/>
    </row>
    <row r="135" s="1180" customFormat="1" ht="22.5" customHeight="1">
      <c r="A135" s="999" t="str">
        <f t="shared" si="301"/>
        <v xml:space="preserve">Буханова Т.И. Мансурова А.Г.</v>
      </c>
      <c r="B135" s="1176" t="s">
        <v>385</v>
      </c>
      <c r="C135" s="1196"/>
      <c r="D135" s="1196"/>
      <c r="E135" s="1164">
        <f t="shared" si="289"/>
        <v>104523.89999999999</v>
      </c>
      <c r="F135" s="1164">
        <f t="shared" si="290"/>
        <v>94973.110000000001</v>
      </c>
      <c r="G135" s="1165">
        <f t="shared" si="329"/>
        <v>199497.01000000001</v>
      </c>
      <c r="H135" s="1166"/>
      <c r="I135" s="1167">
        <f t="shared" si="303"/>
        <v>104523.89999999999</v>
      </c>
      <c r="J135" s="1167">
        <f t="shared" si="304"/>
        <v>94973.110000000001</v>
      </c>
      <c r="K135" s="1168">
        <f t="shared" si="330"/>
        <v>199497.01000000001</v>
      </c>
      <c r="L135" s="1119"/>
      <c r="M135" s="1238"/>
      <c r="N135" s="1242"/>
      <c r="O135" s="1242"/>
      <c r="P135" s="1238">
        <v>30055.59</v>
      </c>
      <c r="Q135" s="1169">
        <f t="shared" si="331"/>
        <v>30055.59</v>
      </c>
      <c r="R135" s="1238">
        <v>94973.110000000001</v>
      </c>
      <c r="S135" s="1170"/>
      <c r="T135" s="1239"/>
      <c r="U135" s="1119"/>
      <c r="V135" s="1169"/>
      <c r="W135" s="1177"/>
      <c r="X135" s="1177"/>
      <c r="Y135" s="1169"/>
      <c r="Z135" s="1169">
        <f t="shared" si="332"/>
        <v>0</v>
      </c>
      <c r="AA135" s="1169"/>
      <c r="AB135" s="1172">
        <f t="shared" si="308"/>
        <v>0</v>
      </c>
      <c r="AC135" s="1240"/>
      <c r="AD135" s="1119"/>
      <c r="AE135" s="1169"/>
      <c r="AF135" s="1177"/>
      <c r="AG135" s="1177"/>
      <c r="AH135" s="1169">
        <v>74468.309999999998</v>
      </c>
      <c r="AI135" s="1169">
        <f t="shared" si="333"/>
        <v>74468.309999999998</v>
      </c>
      <c r="AJ135" s="1169"/>
      <c r="AK135" s="1173"/>
      <c r="AL135" s="1171"/>
      <c r="AM135" s="1128"/>
      <c r="AN135" s="1170"/>
      <c r="AO135" s="1175"/>
      <c r="AP135" s="1175"/>
      <c r="AQ135" s="1170"/>
      <c r="AR135" s="1170">
        <f t="shared" si="334"/>
        <v>0</v>
      </c>
      <c r="AS135" s="1170"/>
      <c r="AT135" s="1170"/>
      <c r="AU135" s="1174"/>
      <c r="AV135" s="1241"/>
      <c r="AW135" s="1169"/>
      <c r="AX135" s="1177"/>
      <c r="AY135" s="1177"/>
      <c r="AZ135" s="1169"/>
      <c r="BA135" s="1169">
        <f t="shared" si="335"/>
        <v>0</v>
      </c>
      <c r="BB135" s="1169"/>
      <c r="BC135" s="1175"/>
      <c r="BD135" s="1052"/>
      <c r="BE135" s="1051"/>
      <c r="BF135" s="1051"/>
      <c r="BG135" s="1106"/>
      <c r="BH135" s="1106"/>
      <c r="BI135" s="1106"/>
      <c r="BJ135" s="1106"/>
      <c r="BK135" s="1106"/>
      <c r="BL135" s="1106"/>
      <c r="BM135" s="1106"/>
    </row>
    <row r="136" ht="22.5" customHeight="1">
      <c r="A136" s="999" t="str">
        <f t="shared" si="301"/>
        <v xml:space="preserve">Мирошник Е.В.</v>
      </c>
      <c r="B136" s="1176" t="s">
        <v>387</v>
      </c>
      <c r="C136" s="1176"/>
      <c r="D136" s="1176"/>
      <c r="E136" s="1164">
        <f t="shared" si="289"/>
        <v>2591.0900000000001</v>
      </c>
      <c r="F136" s="1164">
        <f t="shared" si="290"/>
        <v>137355.42000000001</v>
      </c>
      <c r="G136" s="1165">
        <f t="shared" si="329"/>
        <v>139946.51000000001</v>
      </c>
      <c r="H136" s="1166"/>
      <c r="I136" s="1167">
        <f t="shared" si="303"/>
        <v>2591.0900000000001</v>
      </c>
      <c r="J136" s="1167">
        <f t="shared" si="304"/>
        <v>137355.42000000001</v>
      </c>
      <c r="K136" s="1168">
        <f t="shared" si="330"/>
        <v>139946.51000000001</v>
      </c>
      <c r="L136" s="1119"/>
      <c r="M136" s="1238"/>
      <c r="N136" s="1242"/>
      <c r="O136" s="1242"/>
      <c r="P136" s="1238">
        <v>1469.73</v>
      </c>
      <c r="Q136" s="1169">
        <f t="shared" si="331"/>
        <v>1469.73</v>
      </c>
      <c r="R136" s="1238">
        <v>137355.42000000001</v>
      </c>
      <c r="S136" s="1170"/>
      <c r="T136" s="1239"/>
      <c r="U136" s="1119"/>
      <c r="V136" s="1169"/>
      <c r="W136" s="1177"/>
      <c r="X136" s="1177"/>
      <c r="Y136" s="1169"/>
      <c r="Z136" s="1169">
        <f t="shared" si="332"/>
        <v>0</v>
      </c>
      <c r="AA136" s="1169"/>
      <c r="AB136" s="1172">
        <f t="shared" si="308"/>
        <v>0</v>
      </c>
      <c r="AC136" s="1240"/>
      <c r="AD136" s="1119"/>
      <c r="AE136" s="1169"/>
      <c r="AF136" s="1177"/>
      <c r="AG136" s="1177"/>
      <c r="AH136" s="1169">
        <v>1121.3599999999999</v>
      </c>
      <c r="AI136" s="1169">
        <f t="shared" si="333"/>
        <v>1121.3599999999999</v>
      </c>
      <c r="AJ136" s="1169"/>
      <c r="AK136" s="1173"/>
      <c r="AL136" s="1171"/>
      <c r="AM136" s="1128"/>
      <c r="AN136" s="1170"/>
      <c r="AO136" s="1175"/>
      <c r="AP136" s="1175"/>
      <c r="AQ136" s="1170"/>
      <c r="AR136" s="1170">
        <f t="shared" si="334"/>
        <v>0</v>
      </c>
      <c r="AS136" s="1170"/>
      <c r="AT136" s="1170"/>
      <c r="AU136" s="1174"/>
      <c r="AV136" s="1241"/>
      <c r="AW136" s="1169"/>
      <c r="AX136" s="1177"/>
      <c r="AY136" s="1177"/>
      <c r="AZ136" s="1169"/>
      <c r="BA136" s="1169">
        <f t="shared" si="335"/>
        <v>0</v>
      </c>
      <c r="BB136" s="1169"/>
      <c r="BC136" s="1175"/>
      <c r="BD136" s="1027"/>
      <c r="BE136" s="1029"/>
      <c r="BF136" s="1029"/>
    </row>
    <row r="137" ht="22.5" customHeight="1">
      <c r="A137" s="999">
        <f t="shared" si="301"/>
        <v>0</v>
      </c>
      <c r="B137" s="1182" t="s">
        <v>388</v>
      </c>
      <c r="C137" s="1182"/>
      <c r="D137" s="1182"/>
      <c r="E137" s="1183">
        <f t="shared" si="289"/>
        <v>344648.51999999996</v>
      </c>
      <c r="F137" s="1183">
        <f t="shared" si="290"/>
        <v>346855.59000000003</v>
      </c>
      <c r="G137" s="1184">
        <f>SUM(G132:G136)</f>
        <v>691504.10999999999</v>
      </c>
      <c r="H137" s="1185"/>
      <c r="I137" s="1186">
        <f t="shared" si="303"/>
        <v>344143.61999999994</v>
      </c>
      <c r="J137" s="1186">
        <f t="shared" si="304"/>
        <v>331835.51000000001</v>
      </c>
      <c r="K137" s="1187">
        <f>SUM(K132:K136)</f>
        <v>675979.13</v>
      </c>
      <c r="L137" s="1188"/>
      <c r="M137" s="1096">
        <f t="shared" ref="M137:R137" si="336">SUM(M132:M136)</f>
        <v>0</v>
      </c>
      <c r="N137" s="1096">
        <f t="shared" si="336"/>
        <v>0</v>
      </c>
      <c r="O137" s="1096">
        <f t="shared" si="336"/>
        <v>0</v>
      </c>
      <c r="P137" s="1096">
        <f t="shared" si="336"/>
        <v>212789.85999999999</v>
      </c>
      <c r="Q137" s="1096">
        <f t="shared" si="336"/>
        <v>212789.85999999999</v>
      </c>
      <c r="R137" s="1096">
        <f t="shared" si="336"/>
        <v>331835.51000000001</v>
      </c>
      <c r="S137" s="1170"/>
      <c r="T137" s="1243"/>
      <c r="U137" s="1188"/>
      <c r="V137" s="1096">
        <f t="shared" ref="V137:AA137" si="337">SUM(V132:V136)</f>
        <v>0</v>
      </c>
      <c r="W137" s="1096">
        <f t="shared" si="337"/>
        <v>0</v>
      </c>
      <c r="X137" s="1096">
        <f t="shared" si="337"/>
        <v>0</v>
      </c>
      <c r="Y137" s="1096">
        <f t="shared" si="337"/>
        <v>504.89999999999998</v>
      </c>
      <c r="Z137" s="1096">
        <f t="shared" si="337"/>
        <v>504.89999999999998</v>
      </c>
      <c r="AA137" s="1096">
        <f t="shared" si="337"/>
        <v>15020.08</v>
      </c>
      <c r="AB137" s="1172">
        <f t="shared" si="308"/>
        <v>15524.98</v>
      </c>
      <c r="AC137" s="1243"/>
      <c r="AD137" s="1188"/>
      <c r="AE137" s="1096">
        <f t="shared" ref="AE137:AJ137" si="338">SUM(AE132:AE136)</f>
        <v>0</v>
      </c>
      <c r="AF137" s="1096">
        <f t="shared" si="338"/>
        <v>0</v>
      </c>
      <c r="AG137" s="1096">
        <f t="shared" si="338"/>
        <v>0</v>
      </c>
      <c r="AH137" s="1096">
        <f t="shared" si="338"/>
        <v>131353.75999999998</v>
      </c>
      <c r="AI137" s="1096">
        <f t="shared" si="338"/>
        <v>131353.75999999998</v>
      </c>
      <c r="AJ137" s="1096">
        <f t="shared" si="338"/>
        <v>0</v>
      </c>
      <c r="AK137" s="1173"/>
      <c r="AL137" s="1189"/>
      <c r="AM137" s="1197"/>
      <c r="AN137" s="1190">
        <f t="shared" ref="AN137:BB137" si="339">SUM(AN132:AN136)</f>
        <v>0</v>
      </c>
      <c r="AO137" s="1190">
        <f t="shared" si="339"/>
        <v>0</v>
      </c>
      <c r="AP137" s="1190">
        <f t="shared" si="339"/>
        <v>0</v>
      </c>
      <c r="AQ137" s="1190">
        <f t="shared" si="339"/>
        <v>0</v>
      </c>
      <c r="AR137" s="1190">
        <f t="shared" si="339"/>
        <v>0</v>
      </c>
      <c r="AS137" s="1190">
        <f t="shared" si="339"/>
        <v>0</v>
      </c>
      <c r="AT137" s="1170"/>
      <c r="AU137" s="1191"/>
      <c r="AV137" s="1197">
        <f t="shared" si="339"/>
        <v>0</v>
      </c>
      <c r="AW137" s="1096">
        <f t="shared" si="339"/>
        <v>0</v>
      </c>
      <c r="AX137" s="1096">
        <f t="shared" si="339"/>
        <v>0</v>
      </c>
      <c r="AY137" s="1096">
        <f t="shared" si="339"/>
        <v>0</v>
      </c>
      <c r="AZ137" s="1096">
        <f t="shared" si="339"/>
        <v>0</v>
      </c>
      <c r="BA137" s="1096">
        <f t="shared" si="339"/>
        <v>0</v>
      </c>
      <c r="BB137" s="1096">
        <f t="shared" si="339"/>
        <v>0</v>
      </c>
      <c r="BC137" s="1175"/>
      <c r="BD137" s="1027"/>
      <c r="BE137" s="1029"/>
      <c r="BF137" s="1029"/>
    </row>
    <row r="138" ht="22.5" customHeight="1">
      <c r="A138" s="999" t="str">
        <f t="shared" si="301"/>
        <v xml:space="preserve">Зиненко Ю.А. Шаповалова Т.Ю.</v>
      </c>
      <c r="B138" s="1176" t="s">
        <v>390</v>
      </c>
      <c r="C138" s="1198"/>
      <c r="D138" s="1198"/>
      <c r="E138" s="1164">
        <f t="shared" si="289"/>
        <v>410347.40999999997</v>
      </c>
      <c r="F138" s="1164">
        <f t="shared" si="290"/>
        <v>32294.580000000002</v>
      </c>
      <c r="G138" s="1165">
        <f t="shared" ref="G138:G140" si="340">E138+F138</f>
        <v>442641.98999999999</v>
      </c>
      <c r="H138" s="1166"/>
      <c r="I138" s="1167">
        <f t="shared" si="303"/>
        <v>410347.40999999997</v>
      </c>
      <c r="J138" s="1167">
        <f t="shared" si="304"/>
        <v>13646.370000000003</v>
      </c>
      <c r="K138" s="1168">
        <f t="shared" ref="K138:K140" si="341">I138+J138</f>
        <v>423993.77999999997</v>
      </c>
      <c r="L138" s="1188"/>
      <c r="M138" s="1238"/>
      <c r="N138" s="1246"/>
      <c r="O138" s="1246"/>
      <c r="P138" s="1238">
        <v>410347.40999999997</v>
      </c>
      <c r="Q138" s="1169">
        <f t="shared" ref="Q138:Q140" si="342">SUM(M138:P138)</f>
        <v>410347.40999999997</v>
      </c>
      <c r="R138" s="1238">
        <v>13646.370000000001</v>
      </c>
      <c r="S138" s="1170"/>
      <c r="T138" s="1239"/>
      <c r="U138" s="1119"/>
      <c r="V138" s="1169"/>
      <c r="W138" s="1199"/>
      <c r="X138" s="1199"/>
      <c r="Y138" s="1169"/>
      <c r="Z138" s="1169">
        <f t="shared" ref="Z138:Z140" si="343">SUM(V138:Y138)</f>
        <v>0</v>
      </c>
      <c r="AA138" s="1169">
        <v>18648.209999999999</v>
      </c>
      <c r="AB138" s="1172">
        <f t="shared" si="308"/>
        <v>18648.209999999999</v>
      </c>
      <c r="AC138" s="1240"/>
      <c r="AD138" s="1119"/>
      <c r="AE138" s="1169"/>
      <c r="AF138" s="1199"/>
      <c r="AG138" s="1199"/>
      <c r="AH138" s="1169"/>
      <c r="AI138" s="1169">
        <f t="shared" ref="AI138:AI140" si="344">SUM(AE138:AH138)</f>
        <v>0</v>
      </c>
      <c r="AJ138" s="1169"/>
      <c r="AK138" s="1173"/>
      <c r="AL138" s="1171"/>
      <c r="AM138" s="1128"/>
      <c r="AN138" s="1170"/>
      <c r="AO138" s="1200"/>
      <c r="AP138" s="1200"/>
      <c r="AQ138" s="1170"/>
      <c r="AR138" s="1170">
        <f t="shared" ref="AR138:AR140" si="345">SUM(AN138:AQ138)</f>
        <v>0</v>
      </c>
      <c r="AS138" s="1170"/>
      <c r="AT138" s="1170"/>
      <c r="AU138" s="1174"/>
      <c r="AV138" s="1241"/>
      <c r="AW138" s="1169"/>
      <c r="AX138" s="1199"/>
      <c r="AY138" s="1199"/>
      <c r="AZ138" s="1169"/>
      <c r="BA138" s="1169">
        <f t="shared" ref="BA138:BA140" si="346">SUM(AW138:AZ138)</f>
        <v>0</v>
      </c>
      <c r="BB138" s="1169"/>
      <c r="BC138" s="1175"/>
      <c r="BD138" s="1027"/>
      <c r="BE138" s="1029"/>
      <c r="BF138" s="1029"/>
    </row>
    <row r="139" s="1180" customFormat="1" ht="22.5" customHeight="1">
      <c r="A139" s="999" t="str">
        <f t="shared" si="301"/>
        <v xml:space="preserve">Майорова И.В.</v>
      </c>
      <c r="B139" s="1176" t="s">
        <v>392</v>
      </c>
      <c r="C139" s="1198"/>
      <c r="D139" s="1198"/>
      <c r="E139" s="1164">
        <f t="shared" si="289"/>
        <v>1482803.6200000001</v>
      </c>
      <c r="F139" s="1164">
        <f t="shared" si="290"/>
        <v>166181.14999999999</v>
      </c>
      <c r="G139" s="1165">
        <f t="shared" si="340"/>
        <v>1648984.77</v>
      </c>
      <c r="H139" s="1166"/>
      <c r="I139" s="1167">
        <f t="shared" si="303"/>
        <v>1480131.52</v>
      </c>
      <c r="J139" s="1167">
        <f t="shared" si="304"/>
        <v>166181.14999999999</v>
      </c>
      <c r="K139" s="1168">
        <f t="shared" si="341"/>
        <v>1646312.6699999999</v>
      </c>
      <c r="L139" s="1188"/>
      <c r="M139" s="1238"/>
      <c r="N139" s="1242"/>
      <c r="O139" s="1242"/>
      <c r="P139" s="1238">
        <v>1480131.52</v>
      </c>
      <c r="Q139" s="1169">
        <f t="shared" si="342"/>
        <v>1480131.52</v>
      </c>
      <c r="R139" s="1238">
        <v>166181.14999999999</v>
      </c>
      <c r="S139" s="1170"/>
      <c r="T139" s="1239"/>
      <c r="U139" s="1119"/>
      <c r="V139" s="1169"/>
      <c r="W139" s="1177"/>
      <c r="X139" s="1177"/>
      <c r="Y139" s="1169">
        <v>2672.0999999999999</v>
      </c>
      <c r="Z139" s="1169">
        <f t="shared" si="343"/>
        <v>2672.0999999999999</v>
      </c>
      <c r="AA139" s="1169"/>
      <c r="AB139" s="1172">
        <f t="shared" si="308"/>
        <v>2672.0999999999999</v>
      </c>
      <c r="AC139" s="1240"/>
      <c r="AD139" s="1119"/>
      <c r="AE139" s="1169"/>
      <c r="AF139" s="1177"/>
      <c r="AG139" s="1177"/>
      <c r="AH139" s="1169"/>
      <c r="AI139" s="1169">
        <f t="shared" si="344"/>
        <v>0</v>
      </c>
      <c r="AJ139" s="1169"/>
      <c r="AK139" s="1173"/>
      <c r="AL139" s="1171"/>
      <c r="AM139" s="1128"/>
      <c r="AN139" s="1170"/>
      <c r="AO139" s="1175"/>
      <c r="AP139" s="1175"/>
      <c r="AQ139" s="1170"/>
      <c r="AR139" s="1170">
        <f t="shared" si="345"/>
        <v>0</v>
      </c>
      <c r="AS139" s="1170"/>
      <c r="AT139" s="1170"/>
      <c r="AU139" s="1174"/>
      <c r="AV139" s="1241"/>
      <c r="AW139" s="1169"/>
      <c r="AX139" s="1177"/>
      <c r="AY139" s="1177"/>
      <c r="AZ139" s="1169"/>
      <c r="BA139" s="1169">
        <f t="shared" si="346"/>
        <v>0</v>
      </c>
      <c r="BB139" s="1169"/>
      <c r="BC139" s="1175"/>
      <c r="BD139" s="1052"/>
      <c r="BE139" s="1051"/>
      <c r="BF139" s="1051"/>
      <c r="BG139" s="1106"/>
      <c r="BH139" s="1106"/>
      <c r="BI139" s="1106"/>
      <c r="BJ139" s="1106"/>
      <c r="BK139" s="1106"/>
      <c r="BL139" s="1106"/>
      <c r="BM139" s="1106"/>
    </row>
    <row r="140" s="1180" customFormat="1" ht="22.5" customHeight="1">
      <c r="A140" s="999" t="str">
        <f t="shared" si="301"/>
        <v xml:space="preserve">Молчанова НМ, Гребенюк Ю.С.</v>
      </c>
      <c r="B140" s="1176" t="s">
        <v>265</v>
      </c>
      <c r="C140" s="1176"/>
      <c r="D140" s="1176"/>
      <c r="E140" s="1164">
        <f t="shared" si="289"/>
        <v>384674.89000000001</v>
      </c>
      <c r="F140" s="1164">
        <f t="shared" si="290"/>
        <v>488442.62</v>
      </c>
      <c r="G140" s="1165">
        <f t="shared" si="340"/>
        <v>873117.51000000001</v>
      </c>
      <c r="H140" s="1166"/>
      <c r="I140" s="1167">
        <f t="shared" si="303"/>
        <v>384598.39000000001</v>
      </c>
      <c r="J140" s="1167">
        <f t="shared" si="304"/>
        <v>465912.5</v>
      </c>
      <c r="K140" s="1168">
        <f t="shared" si="341"/>
        <v>850510.89000000001</v>
      </c>
      <c r="L140" s="1119"/>
      <c r="M140" s="1238"/>
      <c r="N140" s="1242"/>
      <c r="O140" s="1242"/>
      <c r="P140" s="1238">
        <v>380913.48999999999</v>
      </c>
      <c r="Q140" s="1169">
        <f t="shared" si="342"/>
        <v>380913.48999999999</v>
      </c>
      <c r="R140" s="1238">
        <v>465912.5</v>
      </c>
      <c r="S140" s="1170"/>
      <c r="T140" s="1239"/>
      <c r="U140" s="1119"/>
      <c r="V140" s="1169"/>
      <c r="W140" s="1177"/>
      <c r="X140" s="1177"/>
      <c r="Y140" s="1169">
        <v>76.5</v>
      </c>
      <c r="Z140" s="1169">
        <f t="shared" si="343"/>
        <v>76.5</v>
      </c>
      <c r="AA140" s="1169">
        <v>22530.119999999999</v>
      </c>
      <c r="AB140" s="1172">
        <f t="shared" si="308"/>
        <v>22606.619999999999</v>
      </c>
      <c r="AC140" s="1240"/>
      <c r="AD140" s="1119"/>
      <c r="AE140" s="1169"/>
      <c r="AF140" s="1177"/>
      <c r="AG140" s="1177"/>
      <c r="AH140" s="1169"/>
      <c r="AI140" s="1169">
        <f t="shared" si="344"/>
        <v>0</v>
      </c>
      <c r="AJ140" s="1169"/>
      <c r="AK140" s="1173"/>
      <c r="AL140" s="1171"/>
      <c r="AM140" s="1128"/>
      <c r="AN140" s="1170"/>
      <c r="AO140" s="1175"/>
      <c r="AP140" s="1175"/>
      <c r="AQ140" s="1170"/>
      <c r="AR140" s="1170">
        <f t="shared" si="345"/>
        <v>0</v>
      </c>
      <c r="AS140" s="1170"/>
      <c r="AT140" s="1170"/>
      <c r="AU140" s="1174"/>
      <c r="AV140" s="1241"/>
      <c r="AW140" s="1169"/>
      <c r="AX140" s="1177"/>
      <c r="AY140" s="1177"/>
      <c r="AZ140" s="1169">
        <v>3684.9000000000001</v>
      </c>
      <c r="BA140" s="1169">
        <f t="shared" si="346"/>
        <v>3684.9000000000001</v>
      </c>
      <c r="BB140" s="1169"/>
      <c r="BC140" s="1175"/>
      <c r="BD140" s="1052"/>
      <c r="BE140" s="1051"/>
      <c r="BF140" s="1051"/>
      <c r="BG140" s="1106"/>
      <c r="BH140" s="1106"/>
      <c r="BI140" s="1106"/>
      <c r="BJ140" s="1106"/>
      <c r="BK140" s="1106"/>
      <c r="BL140" s="1106"/>
      <c r="BM140" s="1106"/>
    </row>
    <row r="141" ht="22.5" customHeight="1">
      <c r="A141" s="999">
        <f t="shared" si="301"/>
        <v>0</v>
      </c>
      <c r="B141" s="1182" t="s">
        <v>394</v>
      </c>
      <c r="C141" s="1182"/>
      <c r="D141" s="1182"/>
      <c r="E141" s="1183">
        <f t="shared" si="289"/>
        <v>2277825.9199999999</v>
      </c>
      <c r="F141" s="1183">
        <f t="shared" si="290"/>
        <v>686918.34999999998</v>
      </c>
      <c r="G141" s="1184">
        <f>SUM(G138:G140)</f>
        <v>2964744.27</v>
      </c>
      <c r="H141" s="1185"/>
      <c r="I141" s="1186">
        <f t="shared" si="303"/>
        <v>2275077.3199999998</v>
      </c>
      <c r="J141" s="1186">
        <f t="shared" si="304"/>
        <v>645740.02000000002</v>
      </c>
      <c r="K141" s="1187">
        <f>SUM(K138:K140)</f>
        <v>2920817.3399999999</v>
      </c>
      <c r="L141" s="1188"/>
      <c r="M141" s="1096">
        <f t="shared" ref="M141:R145" si="347">SUM(M138:M140)</f>
        <v>0</v>
      </c>
      <c r="N141" s="1096">
        <f t="shared" si="347"/>
        <v>0</v>
      </c>
      <c r="O141" s="1096">
        <f t="shared" si="347"/>
        <v>0</v>
      </c>
      <c r="P141" s="1096">
        <f t="shared" si="347"/>
        <v>2271392.4199999999</v>
      </c>
      <c r="Q141" s="1096">
        <f t="shared" si="347"/>
        <v>2271392.4199999999</v>
      </c>
      <c r="R141" s="1096">
        <f t="shared" si="347"/>
        <v>645740.02000000002</v>
      </c>
      <c r="S141" s="1170"/>
      <c r="T141" s="1243"/>
      <c r="U141" s="1119"/>
      <c r="V141" s="1096">
        <f t="shared" ref="V141:AA145" si="348">SUM(V138:V140)</f>
        <v>0</v>
      </c>
      <c r="W141" s="1096">
        <f t="shared" si="348"/>
        <v>0</v>
      </c>
      <c r="X141" s="1096">
        <f t="shared" si="348"/>
        <v>0</v>
      </c>
      <c r="Y141" s="1096">
        <f t="shared" si="348"/>
        <v>2748.5999999999999</v>
      </c>
      <c r="Z141" s="1096">
        <f t="shared" si="348"/>
        <v>2748.5999999999999</v>
      </c>
      <c r="AA141" s="1096">
        <f t="shared" si="348"/>
        <v>41178.330000000002</v>
      </c>
      <c r="AB141" s="1172">
        <f t="shared" si="308"/>
        <v>43926.93</v>
      </c>
      <c r="AC141" s="1243"/>
      <c r="AD141" s="1244"/>
      <c r="AE141" s="1096">
        <f t="shared" ref="AE141:AJ145" si="349">SUM(AE138:AE140)</f>
        <v>0</v>
      </c>
      <c r="AF141" s="1096">
        <f t="shared" si="349"/>
        <v>0</v>
      </c>
      <c r="AG141" s="1096">
        <f t="shared" si="349"/>
        <v>0</v>
      </c>
      <c r="AH141" s="1096">
        <f t="shared" si="349"/>
        <v>0</v>
      </c>
      <c r="AI141" s="1096">
        <f t="shared" si="349"/>
        <v>0</v>
      </c>
      <c r="AJ141" s="1096">
        <f t="shared" si="349"/>
        <v>0</v>
      </c>
      <c r="AK141" s="1173"/>
      <c r="AL141" s="1189"/>
      <c r="AM141" s="1125"/>
      <c r="AN141" s="1190">
        <f t="shared" ref="AN141:AS145" si="350">SUM(AN138:AN140)</f>
        <v>0</v>
      </c>
      <c r="AO141" s="1190">
        <f t="shared" si="350"/>
        <v>0</v>
      </c>
      <c r="AP141" s="1190">
        <f t="shared" si="350"/>
        <v>0</v>
      </c>
      <c r="AQ141" s="1190">
        <f t="shared" si="350"/>
        <v>0</v>
      </c>
      <c r="AR141" s="1190">
        <f t="shared" si="350"/>
        <v>0</v>
      </c>
      <c r="AS141" s="1190">
        <f t="shared" si="350"/>
        <v>0</v>
      </c>
      <c r="AT141" s="1170"/>
      <c r="AU141" s="1191"/>
      <c r="AV141" s="1245"/>
      <c r="AW141" s="1096">
        <f t="shared" ref="AW141:BB145" si="351">SUM(AW138:AW140)</f>
        <v>0</v>
      </c>
      <c r="AX141" s="1096">
        <f t="shared" si="351"/>
        <v>0</v>
      </c>
      <c r="AY141" s="1096">
        <f t="shared" si="351"/>
        <v>0</v>
      </c>
      <c r="AZ141" s="1096">
        <f t="shared" si="351"/>
        <v>3684.9000000000001</v>
      </c>
      <c r="BA141" s="1096">
        <f t="shared" si="351"/>
        <v>3684.9000000000001</v>
      </c>
      <c r="BB141" s="1096">
        <f t="shared" si="351"/>
        <v>0</v>
      </c>
      <c r="BC141" s="1175"/>
      <c r="BD141" s="1027"/>
      <c r="BE141" s="1029"/>
      <c r="BF141" s="1029"/>
    </row>
    <row r="142" ht="22.5" customHeight="1">
      <c r="A142" s="999" t="str">
        <f t="shared" si="301"/>
        <v xml:space="preserve">Шевченко Е.А.</v>
      </c>
      <c r="B142" s="1202" t="s">
        <v>50</v>
      </c>
      <c r="C142" s="1202"/>
      <c r="D142" s="1202"/>
      <c r="E142" s="1164">
        <f t="shared" si="289"/>
        <v>2999212.1599999997</v>
      </c>
      <c r="F142" s="1164">
        <f t="shared" si="290"/>
        <v>1738032.52</v>
      </c>
      <c r="G142" s="1165">
        <f t="shared" ref="G142:G144" si="352">E142+F142</f>
        <v>4737244.6799999997</v>
      </c>
      <c r="H142" s="1166"/>
      <c r="I142" s="1167">
        <f t="shared" si="303"/>
        <v>2999212.1599999997</v>
      </c>
      <c r="J142" s="1167">
        <f t="shared" si="304"/>
        <v>1738032.52</v>
      </c>
      <c r="K142" s="1168">
        <f t="shared" ref="K142:K144" si="353">I142+J142</f>
        <v>4737244.6799999997</v>
      </c>
      <c r="L142" s="1119"/>
      <c r="M142" s="1238"/>
      <c r="N142" s="1242"/>
      <c r="O142" s="1242"/>
      <c r="P142" s="1238">
        <f>39074.78+2960137.38</f>
        <v>2999212.1599999997</v>
      </c>
      <c r="Q142" s="1169">
        <f t="shared" ref="Q142:Q144" si="354">SUM(M142:P142)</f>
        <v>2999212.1599999997</v>
      </c>
      <c r="R142" s="1238">
        <v>1641805.53</v>
      </c>
      <c r="S142" s="1170"/>
      <c r="T142" s="1239"/>
      <c r="U142" s="1119"/>
      <c r="V142" s="1169"/>
      <c r="W142" s="1177"/>
      <c r="X142" s="1177"/>
      <c r="Y142" s="1169"/>
      <c r="Z142" s="1169">
        <f t="shared" ref="Z142:Z144" si="355">SUM(V142:Y142)</f>
        <v>0</v>
      </c>
      <c r="AA142" s="1169"/>
      <c r="AB142" s="1172">
        <f t="shared" si="308"/>
        <v>0</v>
      </c>
      <c r="AC142" s="1240"/>
      <c r="AD142" s="1119"/>
      <c r="AE142" s="1169"/>
      <c r="AF142" s="1177"/>
      <c r="AG142" s="1177"/>
      <c r="AH142" s="1169"/>
      <c r="AI142" s="1169">
        <f t="shared" ref="AI142:AI144" si="356">SUM(AE142:AH142)</f>
        <v>0</v>
      </c>
      <c r="AJ142" s="1169"/>
      <c r="AK142" s="1173"/>
      <c r="AL142" s="1171"/>
      <c r="AM142" s="1128"/>
      <c r="AN142" s="1170"/>
      <c r="AO142" s="1175"/>
      <c r="AP142" s="1175"/>
      <c r="AQ142" s="1170"/>
      <c r="AR142" s="1170">
        <f t="shared" ref="AR142:AR144" si="357">SUM(AN142:AQ142)</f>
        <v>0</v>
      </c>
      <c r="AS142" s="1170"/>
      <c r="AT142" s="1170"/>
      <c r="AU142" s="1174"/>
      <c r="AV142" s="1241"/>
      <c r="AW142" s="1169"/>
      <c r="AX142" s="1177"/>
      <c r="AY142" s="1177"/>
      <c r="AZ142" s="1169"/>
      <c r="BA142" s="1169">
        <f t="shared" ref="BA142:BA144" si="358">SUM(AW142:AZ142)</f>
        <v>0</v>
      </c>
      <c r="BB142" s="1169">
        <v>96226.990000000005</v>
      </c>
      <c r="BC142" s="1175"/>
      <c r="BD142" s="1027"/>
      <c r="BE142" s="1029"/>
      <c r="BF142" s="1029"/>
    </row>
    <row r="143" ht="22.5" customHeight="1">
      <c r="A143" s="999" t="str">
        <f t="shared" si="301"/>
        <v xml:space="preserve">Лещенко О.А.</v>
      </c>
      <c r="B143" s="1202" t="s">
        <v>397</v>
      </c>
      <c r="C143" s="1202"/>
      <c r="D143" s="1202"/>
      <c r="E143" s="1164">
        <f t="shared" si="289"/>
        <v>201461.41</v>
      </c>
      <c r="F143" s="1164">
        <f t="shared" si="290"/>
        <v>217798.37</v>
      </c>
      <c r="G143" s="1165">
        <f t="shared" si="352"/>
        <v>419259.78000000003</v>
      </c>
      <c r="H143" s="1166"/>
      <c r="I143" s="1167">
        <f t="shared" si="303"/>
        <v>199884.01000000001</v>
      </c>
      <c r="J143" s="1167">
        <f t="shared" si="304"/>
        <v>217798.37</v>
      </c>
      <c r="K143" s="1168">
        <f t="shared" si="353"/>
        <v>417682.38</v>
      </c>
      <c r="L143" s="1119"/>
      <c r="M143" s="1238"/>
      <c r="N143" s="1242"/>
      <c r="O143" s="1242"/>
      <c r="P143" s="1238">
        <v>199884.01000000001</v>
      </c>
      <c r="Q143" s="1169">
        <f t="shared" si="354"/>
        <v>199884.01000000001</v>
      </c>
      <c r="R143" s="1238">
        <v>131121.26999999999</v>
      </c>
      <c r="S143" s="1170"/>
      <c r="T143" s="1239"/>
      <c r="U143" s="1119"/>
      <c r="V143" s="1169"/>
      <c r="W143" s="1177"/>
      <c r="X143" s="1177"/>
      <c r="Y143" s="1169">
        <v>1577.4000000000001</v>
      </c>
      <c r="Z143" s="1169">
        <f t="shared" si="355"/>
        <v>1577.4000000000001</v>
      </c>
      <c r="AA143" s="1169"/>
      <c r="AB143" s="1172">
        <f t="shared" si="308"/>
        <v>1577.4000000000001</v>
      </c>
      <c r="AC143" s="1240"/>
      <c r="AD143" s="1119"/>
      <c r="AE143" s="1169"/>
      <c r="AF143" s="1177"/>
      <c r="AG143" s="1177"/>
      <c r="AH143" s="1169"/>
      <c r="AI143" s="1169">
        <f t="shared" si="356"/>
        <v>0</v>
      </c>
      <c r="AJ143" s="1169">
        <v>86677.100000000006</v>
      </c>
      <c r="AK143" s="1173"/>
      <c r="AL143" s="1171"/>
      <c r="AM143" s="1128"/>
      <c r="AN143" s="1170"/>
      <c r="AO143" s="1175"/>
      <c r="AP143" s="1175"/>
      <c r="AQ143" s="1170"/>
      <c r="AR143" s="1170">
        <f t="shared" si="357"/>
        <v>0</v>
      </c>
      <c r="AS143" s="1170"/>
      <c r="AT143" s="1170"/>
      <c r="AU143" s="1174"/>
      <c r="AV143" s="1241"/>
      <c r="AW143" s="1169"/>
      <c r="AX143" s="1177"/>
      <c r="AY143" s="1177"/>
      <c r="AZ143" s="1169"/>
      <c r="BA143" s="1169">
        <f t="shared" si="358"/>
        <v>0</v>
      </c>
      <c r="BB143" s="1169"/>
      <c r="BC143" s="1175"/>
      <c r="BD143" s="1027"/>
      <c r="BE143" s="1029"/>
      <c r="BF143" s="1029"/>
    </row>
    <row r="144" ht="22.5" customHeight="1">
      <c r="A144" s="999" t="str">
        <f t="shared" si="301"/>
        <v xml:space="preserve">Павленко И.В.</v>
      </c>
      <c r="B144" s="1202" t="s">
        <v>399</v>
      </c>
      <c r="C144" s="1202"/>
      <c r="D144" s="1202"/>
      <c r="E144" s="1164">
        <f t="shared" si="289"/>
        <v>490013.37</v>
      </c>
      <c r="F144" s="1164">
        <f t="shared" si="290"/>
        <v>215236.38</v>
      </c>
      <c r="G144" s="1165">
        <f t="shared" si="352"/>
        <v>705249.75</v>
      </c>
      <c r="H144" s="1166"/>
      <c r="I144" s="1167">
        <f t="shared" si="303"/>
        <v>490013.37</v>
      </c>
      <c r="J144" s="1167">
        <f t="shared" si="304"/>
        <v>215236.38</v>
      </c>
      <c r="K144" s="1168">
        <f t="shared" si="353"/>
        <v>705249.75</v>
      </c>
      <c r="L144" s="1119"/>
      <c r="M144" s="1238"/>
      <c r="N144" s="1242"/>
      <c r="O144" s="1242"/>
      <c r="P144" s="1238">
        <v>53222.239999999998</v>
      </c>
      <c r="Q144" s="1169">
        <f t="shared" si="354"/>
        <v>53222.239999999998</v>
      </c>
      <c r="R144" s="1238">
        <v>215236.38</v>
      </c>
      <c r="S144" s="1170"/>
      <c r="T144" s="1239"/>
      <c r="U144" s="1119"/>
      <c r="V144" s="1169"/>
      <c r="W144" s="1177"/>
      <c r="X144" s="1177"/>
      <c r="Y144" s="1169"/>
      <c r="Z144" s="1169">
        <f t="shared" si="355"/>
        <v>0</v>
      </c>
      <c r="AA144" s="1169"/>
      <c r="AB144" s="1172">
        <f t="shared" si="308"/>
        <v>0</v>
      </c>
      <c r="AC144" s="1240"/>
      <c r="AD144" s="1119"/>
      <c r="AE144" s="1169"/>
      <c r="AF144" s="1177"/>
      <c r="AG144" s="1177"/>
      <c r="AH144" s="1169">
        <v>436791.13</v>
      </c>
      <c r="AI144" s="1169">
        <f t="shared" si="356"/>
        <v>436791.13</v>
      </c>
      <c r="AJ144" s="1169"/>
      <c r="AK144" s="1173"/>
      <c r="AL144" s="1171"/>
      <c r="AM144" s="1128"/>
      <c r="AN144" s="1170"/>
      <c r="AO144" s="1175"/>
      <c r="AP144" s="1175"/>
      <c r="AQ144" s="1170"/>
      <c r="AR144" s="1170">
        <f t="shared" si="357"/>
        <v>0</v>
      </c>
      <c r="AS144" s="1170"/>
      <c r="AT144" s="1170"/>
      <c r="AU144" s="1174"/>
      <c r="AV144" s="1241"/>
      <c r="AW144" s="1169"/>
      <c r="AX144" s="1177"/>
      <c r="AY144" s="1177"/>
      <c r="AZ144" s="1169"/>
      <c r="BA144" s="1169">
        <f t="shared" si="358"/>
        <v>0</v>
      </c>
      <c r="BB144" s="1169"/>
      <c r="BC144" s="1175"/>
      <c r="BD144" s="1027"/>
      <c r="BE144" s="1029"/>
      <c r="BF144" s="1029"/>
    </row>
    <row r="145" s="1215" customFormat="1" ht="22.5" customHeight="1">
      <c r="A145" s="999">
        <f t="shared" si="301"/>
        <v>0</v>
      </c>
      <c r="B145" s="1205" t="s">
        <v>363</v>
      </c>
      <c r="C145" s="1205"/>
      <c r="D145" s="1205"/>
      <c r="E145" s="1183">
        <f t="shared" si="289"/>
        <v>3690686.9399999999</v>
      </c>
      <c r="F145" s="1183">
        <f t="shared" si="290"/>
        <v>2171067.2700000005</v>
      </c>
      <c r="G145" s="1184">
        <f>SUM(G142:G144)</f>
        <v>5861754.21</v>
      </c>
      <c r="H145" s="1185"/>
      <c r="I145" s="1186">
        <f t="shared" si="303"/>
        <v>3689109.54</v>
      </c>
      <c r="J145" s="1186">
        <f t="shared" si="304"/>
        <v>2171067.2700000005</v>
      </c>
      <c r="K145" s="1187">
        <f>SUM(K142:K144)</f>
        <v>5860176.8099999996</v>
      </c>
      <c r="L145" s="1188"/>
      <c r="M145" s="1096">
        <f t="shared" si="347"/>
        <v>0</v>
      </c>
      <c r="N145" s="1096">
        <f t="shared" si="347"/>
        <v>0</v>
      </c>
      <c r="O145" s="1096">
        <f t="shared" si="347"/>
        <v>0</v>
      </c>
      <c r="P145" s="1096">
        <f t="shared" si="347"/>
        <v>3252318.4100000001</v>
      </c>
      <c r="Q145" s="1096">
        <f t="shared" si="347"/>
        <v>3252318.4100000001</v>
      </c>
      <c r="R145" s="1096">
        <f t="shared" si="347"/>
        <v>1988163.1800000002</v>
      </c>
      <c r="S145" s="1170"/>
      <c r="T145" s="1243"/>
      <c r="U145" s="1119"/>
      <c r="V145" s="1096">
        <f t="shared" si="348"/>
        <v>0</v>
      </c>
      <c r="W145" s="1096">
        <f t="shared" si="348"/>
        <v>0</v>
      </c>
      <c r="X145" s="1096">
        <f t="shared" si="348"/>
        <v>0</v>
      </c>
      <c r="Y145" s="1096">
        <f t="shared" si="348"/>
        <v>1577.4000000000001</v>
      </c>
      <c r="Z145" s="1096">
        <f t="shared" si="348"/>
        <v>1577.4000000000001</v>
      </c>
      <c r="AA145" s="1096">
        <f t="shared" si="348"/>
        <v>0</v>
      </c>
      <c r="AB145" s="1172">
        <f t="shared" si="308"/>
        <v>1577.4000000000001</v>
      </c>
      <c r="AC145" s="1243"/>
      <c r="AD145" s="1244"/>
      <c r="AE145" s="1096">
        <f t="shared" si="349"/>
        <v>0</v>
      </c>
      <c r="AF145" s="1096">
        <f t="shared" si="349"/>
        <v>0</v>
      </c>
      <c r="AG145" s="1096">
        <f t="shared" si="349"/>
        <v>0</v>
      </c>
      <c r="AH145" s="1096">
        <f t="shared" si="349"/>
        <v>436791.13</v>
      </c>
      <c r="AI145" s="1096">
        <f t="shared" si="349"/>
        <v>436791.13</v>
      </c>
      <c r="AJ145" s="1096">
        <f t="shared" si="349"/>
        <v>86677.100000000006</v>
      </c>
      <c r="AK145" s="1173"/>
      <c r="AL145" s="1189"/>
      <c r="AM145" s="1125"/>
      <c r="AN145" s="1190">
        <f t="shared" si="350"/>
        <v>0</v>
      </c>
      <c r="AO145" s="1190">
        <f t="shared" si="350"/>
        <v>0</v>
      </c>
      <c r="AP145" s="1190">
        <f t="shared" si="350"/>
        <v>0</v>
      </c>
      <c r="AQ145" s="1190">
        <f t="shared" si="350"/>
        <v>0</v>
      </c>
      <c r="AR145" s="1190">
        <f t="shared" si="350"/>
        <v>0</v>
      </c>
      <c r="AS145" s="1190">
        <f t="shared" si="350"/>
        <v>0</v>
      </c>
      <c r="AT145" s="1170"/>
      <c r="AU145" s="1191"/>
      <c r="AV145" s="1245"/>
      <c r="AW145" s="1096">
        <f t="shared" si="351"/>
        <v>0</v>
      </c>
      <c r="AX145" s="1096">
        <f t="shared" si="351"/>
        <v>0</v>
      </c>
      <c r="AY145" s="1096">
        <f t="shared" si="351"/>
        <v>0</v>
      </c>
      <c r="AZ145" s="1096">
        <f t="shared" si="351"/>
        <v>0</v>
      </c>
      <c r="BA145" s="1096">
        <f t="shared" si="351"/>
        <v>0</v>
      </c>
      <c r="BB145" s="1096">
        <f t="shared" si="351"/>
        <v>96226.990000000005</v>
      </c>
      <c r="BC145" s="1175"/>
      <c r="BD145" s="1027"/>
      <c r="BE145" s="1024"/>
      <c r="BF145" s="1024"/>
      <c r="BG145" s="1008"/>
      <c r="BH145" s="1008"/>
      <c r="BI145" s="1008"/>
      <c r="BJ145" s="1008"/>
      <c r="BK145" s="1008"/>
      <c r="BL145" s="1008"/>
      <c r="BM145" s="1008"/>
    </row>
    <row r="146" s="1215" customFormat="1" ht="22.5" customHeight="1">
      <c r="A146" s="999">
        <f t="shared" si="301"/>
        <v>0</v>
      </c>
      <c r="B146" s="1205" t="s">
        <v>400</v>
      </c>
      <c r="C146" s="1205"/>
      <c r="D146" s="1205"/>
      <c r="E146" s="1183">
        <f t="shared" si="289"/>
        <v>12569322.800000001</v>
      </c>
      <c r="F146" s="1183">
        <f t="shared" si="290"/>
        <v>6044742.3600000003</v>
      </c>
      <c r="G146" s="1184">
        <f>G145+G141+G137+G131+G117</f>
        <v>18614065.16</v>
      </c>
      <c r="H146" s="1185"/>
      <c r="I146" s="1186">
        <f t="shared" si="303"/>
        <v>12555825.030000001</v>
      </c>
      <c r="J146" s="1186">
        <f t="shared" si="304"/>
        <v>5756512.21</v>
      </c>
      <c r="K146" s="1187">
        <f>K145+K141+K137+K131+K117</f>
        <v>18312337.239999998</v>
      </c>
      <c r="L146" s="1206"/>
      <c r="M146" s="1209">
        <f t="shared" ref="M146:BB146" si="359">M145+M141+M137+M131+M117</f>
        <v>0</v>
      </c>
      <c r="N146" s="1209">
        <f t="shared" si="359"/>
        <v>0</v>
      </c>
      <c r="O146" s="1209">
        <f t="shared" si="359"/>
        <v>0</v>
      </c>
      <c r="P146" s="1209">
        <f t="shared" si="359"/>
        <v>11847617.440000001</v>
      </c>
      <c r="Q146" s="1209">
        <f t="shared" si="359"/>
        <v>11847617.440000001</v>
      </c>
      <c r="R146" s="1209">
        <f t="shared" si="359"/>
        <v>5560559.0300000003</v>
      </c>
      <c r="S146" s="1170"/>
      <c r="T146" s="1247"/>
      <c r="U146" s="1209">
        <f t="shared" si="359"/>
        <v>0</v>
      </c>
      <c r="V146" s="1209">
        <f t="shared" si="359"/>
        <v>0</v>
      </c>
      <c r="W146" s="1209">
        <f t="shared" si="359"/>
        <v>0</v>
      </c>
      <c r="X146" s="1209">
        <f t="shared" si="359"/>
        <v>0</v>
      </c>
      <c r="Y146" s="1209">
        <f t="shared" si="359"/>
        <v>13497.77</v>
      </c>
      <c r="Z146" s="1209">
        <f t="shared" si="359"/>
        <v>13497.77</v>
      </c>
      <c r="AA146" s="1209">
        <f t="shared" si="359"/>
        <v>288230.14999999997</v>
      </c>
      <c r="AB146" s="1172">
        <f t="shared" si="308"/>
        <v>301727.91999999998</v>
      </c>
      <c r="AC146" s="1247"/>
      <c r="AD146" s="1206">
        <f t="shared" si="359"/>
        <v>0</v>
      </c>
      <c r="AE146" s="1209">
        <f t="shared" si="359"/>
        <v>0</v>
      </c>
      <c r="AF146" s="1209">
        <f t="shared" si="359"/>
        <v>0</v>
      </c>
      <c r="AG146" s="1209">
        <f t="shared" si="359"/>
        <v>0</v>
      </c>
      <c r="AH146" s="1209">
        <f t="shared" si="359"/>
        <v>704508.46999999997</v>
      </c>
      <c r="AI146" s="1209">
        <f t="shared" si="359"/>
        <v>704508.46999999997</v>
      </c>
      <c r="AJ146" s="1209">
        <f t="shared" si="359"/>
        <v>99031.790000000008</v>
      </c>
      <c r="AK146" s="1173"/>
      <c r="AL146" s="1208"/>
      <c r="AM146" s="1210">
        <f t="shared" si="359"/>
        <v>0</v>
      </c>
      <c r="AN146" s="1211">
        <f t="shared" si="359"/>
        <v>0</v>
      </c>
      <c r="AO146" s="1211">
        <f t="shared" si="359"/>
        <v>0</v>
      </c>
      <c r="AP146" s="1211">
        <f t="shared" si="359"/>
        <v>0</v>
      </c>
      <c r="AQ146" s="1211">
        <f t="shared" si="359"/>
        <v>0</v>
      </c>
      <c r="AR146" s="1211">
        <f t="shared" si="359"/>
        <v>0</v>
      </c>
      <c r="AS146" s="1211">
        <f t="shared" si="359"/>
        <v>0</v>
      </c>
      <c r="AT146" s="1170"/>
      <c r="AU146" s="1212"/>
      <c r="AV146" s="1211">
        <f t="shared" si="359"/>
        <v>0</v>
      </c>
      <c r="AW146" s="1209">
        <f t="shared" si="359"/>
        <v>0</v>
      </c>
      <c r="AX146" s="1209">
        <f t="shared" si="359"/>
        <v>0</v>
      </c>
      <c r="AY146" s="1209">
        <f t="shared" si="359"/>
        <v>0</v>
      </c>
      <c r="AZ146" s="1209">
        <f t="shared" si="359"/>
        <v>3699.1199999999999</v>
      </c>
      <c r="BA146" s="1209">
        <f t="shared" si="359"/>
        <v>3699.1199999999999</v>
      </c>
      <c r="BB146" s="1209">
        <f t="shared" si="359"/>
        <v>96921.389999999999</v>
      </c>
      <c r="BC146" s="1175"/>
      <c r="BD146" s="1027"/>
      <c r="BE146" s="1024"/>
      <c r="BF146" s="1024"/>
      <c r="BG146" s="1008"/>
      <c r="BH146" s="1008"/>
      <c r="BI146" s="1008"/>
      <c r="BJ146" s="1008"/>
      <c r="BK146" s="1008"/>
      <c r="BL146" s="1008"/>
      <c r="BM146" s="1008"/>
    </row>
    <row r="147" ht="22.5" customHeight="1">
      <c r="A147" s="999" t="str">
        <f t="shared" si="301"/>
        <v xml:space="preserve">Куприянова А.В.</v>
      </c>
      <c r="B147" s="1202" t="s">
        <v>402</v>
      </c>
      <c r="C147" s="1202"/>
      <c r="D147" s="1202"/>
      <c r="E147" s="1164">
        <f t="shared" si="289"/>
        <v>10150.98</v>
      </c>
      <c r="F147" s="1164">
        <f t="shared" si="290"/>
        <v>87072.089999999997</v>
      </c>
      <c r="G147" s="1165">
        <f t="shared" ref="G147:G148" si="360">E147+F147</f>
        <v>97223.069999999992</v>
      </c>
      <c r="H147" s="1166"/>
      <c r="I147" s="1167">
        <f t="shared" si="303"/>
        <v>10150.98</v>
      </c>
      <c r="J147" s="1167">
        <f t="shared" si="304"/>
        <v>64541.970000000001</v>
      </c>
      <c r="K147" s="1168">
        <f t="shared" ref="K147:K148" si="361">I147+J147</f>
        <v>74692.949999999997</v>
      </c>
      <c r="L147" s="1119"/>
      <c r="M147" s="1238"/>
      <c r="N147" s="1242"/>
      <c r="O147" s="1242"/>
      <c r="P147" s="1238">
        <v>10150.98</v>
      </c>
      <c r="Q147" s="1169">
        <f t="shared" ref="Q147:Q148" si="362">SUM(M147:P147)</f>
        <v>10150.98</v>
      </c>
      <c r="R147" s="1238">
        <v>64541.970000000001</v>
      </c>
      <c r="S147" s="1170"/>
      <c r="T147" s="1239"/>
      <c r="U147" s="1119"/>
      <c r="V147" s="1169"/>
      <c r="W147" s="1177"/>
      <c r="X147" s="1177"/>
      <c r="Y147" s="1169"/>
      <c r="Z147" s="1169">
        <f t="shared" ref="Z147:Z148" si="363">SUM(V147:Y147)</f>
        <v>0</v>
      </c>
      <c r="AA147" s="1169">
        <v>22530.119999999999</v>
      </c>
      <c r="AB147" s="1172">
        <f t="shared" si="308"/>
        <v>22530.119999999999</v>
      </c>
      <c r="AC147" s="1240"/>
      <c r="AD147" s="1119"/>
      <c r="AE147" s="1169"/>
      <c r="AF147" s="1177"/>
      <c r="AG147" s="1177"/>
      <c r="AH147" s="1169"/>
      <c r="AI147" s="1169">
        <f t="shared" ref="AI147:AI148" si="364">SUM(AE147:AH147)</f>
        <v>0</v>
      </c>
      <c r="AJ147" s="1169"/>
      <c r="AK147" s="1173"/>
      <c r="AL147" s="1171"/>
      <c r="AM147" s="1128"/>
      <c r="AN147" s="1170"/>
      <c r="AO147" s="1175"/>
      <c r="AP147" s="1175"/>
      <c r="AQ147" s="1170"/>
      <c r="AR147" s="1170">
        <f t="shared" ref="AR147:AR148" si="365">SUM(AN147:AQ147)</f>
        <v>0</v>
      </c>
      <c r="AS147" s="1170"/>
      <c r="AT147" s="1170"/>
      <c r="AU147" s="1174"/>
      <c r="AV147" s="1241"/>
      <c r="AW147" s="1169"/>
      <c r="AX147" s="1177"/>
      <c r="AY147" s="1177"/>
      <c r="AZ147" s="1169"/>
      <c r="BA147" s="1169">
        <f t="shared" ref="BA147:BA148" si="366">SUM(AW147:AZ147)</f>
        <v>0</v>
      </c>
      <c r="BB147" s="1169"/>
      <c r="BC147" s="1175"/>
      <c r="BD147" s="1027"/>
      <c r="BE147" s="1029"/>
      <c r="BF147" s="1029"/>
    </row>
    <row r="148" ht="22.5" customHeight="1">
      <c r="A148" s="999" t="str">
        <f t="shared" si="301"/>
        <v xml:space="preserve">Попова И.Ю.</v>
      </c>
      <c r="B148" s="1202" t="s">
        <v>404</v>
      </c>
      <c r="C148" s="1202"/>
      <c r="D148" s="1202"/>
      <c r="E148" s="1164">
        <f t="shared" si="289"/>
        <v>14118.360000000001</v>
      </c>
      <c r="F148" s="1164">
        <f t="shared" si="290"/>
        <v>27241.09</v>
      </c>
      <c r="G148" s="1165">
        <f t="shared" si="360"/>
        <v>41359.449999999997</v>
      </c>
      <c r="H148" s="1166"/>
      <c r="I148" s="1167">
        <f t="shared" si="303"/>
        <v>14118.360000000001</v>
      </c>
      <c r="J148" s="1167">
        <f t="shared" si="304"/>
        <v>27241.09</v>
      </c>
      <c r="K148" s="1168">
        <f t="shared" si="361"/>
        <v>41359.449999999997</v>
      </c>
      <c r="L148" s="1119"/>
      <c r="M148" s="1238"/>
      <c r="N148" s="1242"/>
      <c r="O148" s="1242"/>
      <c r="P148" s="1238">
        <v>14118.360000000001</v>
      </c>
      <c r="Q148" s="1169">
        <f t="shared" si="362"/>
        <v>14118.360000000001</v>
      </c>
      <c r="R148" s="1238">
        <v>27241.09</v>
      </c>
      <c r="S148" s="1170"/>
      <c r="T148" s="1239"/>
      <c r="U148" s="1119"/>
      <c r="V148" s="1169"/>
      <c r="W148" s="1177"/>
      <c r="X148" s="1177"/>
      <c r="Y148" s="1169"/>
      <c r="Z148" s="1169">
        <f t="shared" si="363"/>
        <v>0</v>
      </c>
      <c r="AA148" s="1169"/>
      <c r="AB148" s="1172">
        <f t="shared" si="308"/>
        <v>0</v>
      </c>
      <c r="AC148" s="1240"/>
      <c r="AD148" s="1119"/>
      <c r="AE148" s="1169"/>
      <c r="AF148" s="1177"/>
      <c r="AG148" s="1177"/>
      <c r="AH148" s="1169"/>
      <c r="AI148" s="1169">
        <f t="shared" si="364"/>
        <v>0</v>
      </c>
      <c r="AJ148" s="1169"/>
      <c r="AK148" s="1173"/>
      <c r="AL148" s="1171"/>
      <c r="AM148" s="1128"/>
      <c r="AN148" s="1170"/>
      <c r="AO148" s="1175"/>
      <c r="AP148" s="1175"/>
      <c r="AQ148" s="1170"/>
      <c r="AR148" s="1170">
        <f t="shared" si="365"/>
        <v>0</v>
      </c>
      <c r="AS148" s="1170"/>
      <c r="AT148" s="1170"/>
      <c r="AU148" s="1174"/>
      <c r="AV148" s="1241"/>
      <c r="AW148" s="1169"/>
      <c r="AX148" s="1177"/>
      <c r="AY148" s="1177"/>
      <c r="AZ148" s="1169"/>
      <c r="BA148" s="1169">
        <f t="shared" si="366"/>
        <v>0</v>
      </c>
      <c r="BB148" s="1169"/>
      <c r="BC148" s="1175"/>
      <c r="BD148" s="1027"/>
      <c r="BE148" s="1029"/>
      <c r="BF148" s="1029"/>
    </row>
    <row r="149" s="1180" customFormat="1" ht="22.5" customHeight="1">
      <c r="A149" s="999">
        <f t="shared" si="301"/>
        <v>0</v>
      </c>
      <c r="B149" s="1205" t="s">
        <v>405</v>
      </c>
      <c r="C149" s="1205"/>
      <c r="D149" s="1205"/>
      <c r="E149" s="1183">
        <f t="shared" si="289"/>
        <v>24269.34</v>
      </c>
      <c r="F149" s="1183">
        <f t="shared" si="290"/>
        <v>114313.17999999999</v>
      </c>
      <c r="G149" s="1184">
        <f>G147+G148</f>
        <v>138582.51999999999</v>
      </c>
      <c r="H149" s="1185"/>
      <c r="I149" s="1186">
        <f t="shared" si="303"/>
        <v>24269.34</v>
      </c>
      <c r="J149" s="1186">
        <f t="shared" si="304"/>
        <v>91783.059999999998</v>
      </c>
      <c r="K149" s="1187">
        <f>K147+K148</f>
        <v>116052.39999999999</v>
      </c>
      <c r="L149" s="1206"/>
      <c r="M149" s="1213">
        <f t="shared" ref="M149:R149" si="367">M147+M148</f>
        <v>0</v>
      </c>
      <c r="N149" s="1213">
        <f t="shared" si="367"/>
        <v>0</v>
      </c>
      <c r="O149" s="1213">
        <f t="shared" si="367"/>
        <v>0</v>
      </c>
      <c r="P149" s="1213">
        <f t="shared" si="367"/>
        <v>24269.34</v>
      </c>
      <c r="Q149" s="1213">
        <f t="shared" si="367"/>
        <v>24269.34</v>
      </c>
      <c r="R149" s="1213">
        <f t="shared" si="367"/>
        <v>91783.059999999998</v>
      </c>
      <c r="S149" s="1170"/>
      <c r="T149" s="1248"/>
      <c r="U149" s="1206"/>
      <c r="V149" s="1209">
        <f t="shared" ref="V149:AA149" si="368">V147+V148</f>
        <v>0</v>
      </c>
      <c r="W149" s="1209">
        <f t="shared" si="368"/>
        <v>0</v>
      </c>
      <c r="X149" s="1209">
        <f t="shared" si="368"/>
        <v>0</v>
      </c>
      <c r="Y149" s="1209">
        <f t="shared" si="368"/>
        <v>0</v>
      </c>
      <c r="Z149" s="1209">
        <f t="shared" si="368"/>
        <v>0</v>
      </c>
      <c r="AA149" s="1209">
        <f t="shared" si="368"/>
        <v>22530.119999999999</v>
      </c>
      <c r="AB149" s="1172">
        <f t="shared" si="308"/>
        <v>22530.119999999999</v>
      </c>
      <c r="AC149" s="1247"/>
      <c r="AD149" s="1206"/>
      <c r="AE149" s="1209">
        <f t="shared" ref="AE149:AJ149" si="369">AE147+AE148</f>
        <v>0</v>
      </c>
      <c r="AF149" s="1209">
        <f t="shared" si="369"/>
        <v>0</v>
      </c>
      <c r="AG149" s="1209">
        <f t="shared" si="369"/>
        <v>0</v>
      </c>
      <c r="AH149" s="1209">
        <f t="shared" si="369"/>
        <v>0</v>
      </c>
      <c r="AI149" s="1209">
        <f t="shared" si="369"/>
        <v>0</v>
      </c>
      <c r="AJ149" s="1209">
        <f t="shared" si="369"/>
        <v>0</v>
      </c>
      <c r="AK149" s="1173"/>
      <c r="AL149" s="1208"/>
      <c r="AM149" s="1210"/>
      <c r="AN149" s="1211">
        <f t="shared" ref="AN149:BB149" si="370">AN147+AN148</f>
        <v>0</v>
      </c>
      <c r="AO149" s="1211">
        <f t="shared" si="370"/>
        <v>0</v>
      </c>
      <c r="AP149" s="1211">
        <f t="shared" si="370"/>
        <v>0</v>
      </c>
      <c r="AQ149" s="1211">
        <f t="shared" si="370"/>
        <v>0</v>
      </c>
      <c r="AR149" s="1211">
        <f t="shared" si="370"/>
        <v>0</v>
      </c>
      <c r="AS149" s="1211">
        <f t="shared" si="370"/>
        <v>0</v>
      </c>
      <c r="AT149" s="1170"/>
      <c r="AU149" s="1212"/>
      <c r="AV149" s="1210">
        <f t="shared" si="370"/>
        <v>0</v>
      </c>
      <c r="AW149" s="1209">
        <f t="shared" si="370"/>
        <v>0</v>
      </c>
      <c r="AX149" s="1209">
        <f t="shared" si="370"/>
        <v>0</v>
      </c>
      <c r="AY149" s="1209">
        <f t="shared" si="370"/>
        <v>0</v>
      </c>
      <c r="AZ149" s="1209">
        <f t="shared" si="370"/>
        <v>0</v>
      </c>
      <c r="BA149" s="1209">
        <f t="shared" si="370"/>
        <v>0</v>
      </c>
      <c r="BB149" s="1209">
        <f t="shared" si="370"/>
        <v>0</v>
      </c>
      <c r="BC149" s="1175"/>
      <c r="BD149" s="1052"/>
      <c r="BE149" s="1051"/>
      <c r="BF149" s="1051"/>
      <c r="BG149" s="1106"/>
      <c r="BH149" s="1106"/>
      <c r="BI149" s="1106"/>
      <c r="BJ149" s="1106"/>
      <c r="BK149" s="1106"/>
      <c r="BL149" s="1106"/>
      <c r="BM149" s="1106"/>
    </row>
    <row r="150" ht="22.5" customHeight="1">
      <c r="A150" s="999">
        <f t="shared" si="301"/>
        <v>0</v>
      </c>
      <c r="B150" s="1205" t="s">
        <v>406</v>
      </c>
      <c r="C150" s="1205"/>
      <c r="D150" s="1205"/>
      <c r="E150" s="1183">
        <f t="shared" si="289"/>
        <v>12593592.140000001</v>
      </c>
      <c r="F150" s="1183">
        <f t="shared" si="290"/>
        <v>6159055.5399999991</v>
      </c>
      <c r="G150" s="1184">
        <f>G146+G149</f>
        <v>18752647.68</v>
      </c>
      <c r="H150" s="1185"/>
      <c r="I150" s="1186">
        <f t="shared" si="303"/>
        <v>12580094.370000001</v>
      </c>
      <c r="J150" s="1186">
        <f t="shared" si="304"/>
        <v>5848295.2699999996</v>
      </c>
      <c r="K150" s="1187">
        <f>K146+K149</f>
        <v>18428389.639999997</v>
      </c>
      <c r="L150" s="1206"/>
      <c r="M150" s="1209">
        <f t="shared" ref="M150:BB150" si="371">M146+M149</f>
        <v>0</v>
      </c>
      <c r="N150" s="1209">
        <f t="shared" si="371"/>
        <v>0</v>
      </c>
      <c r="O150" s="1209">
        <f t="shared" si="371"/>
        <v>0</v>
      </c>
      <c r="P150" s="1209">
        <f t="shared" si="371"/>
        <v>11871886.780000001</v>
      </c>
      <c r="Q150" s="1209">
        <f t="shared" si="371"/>
        <v>11871886.780000001</v>
      </c>
      <c r="R150" s="1209">
        <f t="shared" si="371"/>
        <v>5652342.0899999999</v>
      </c>
      <c r="S150" s="1170"/>
      <c r="T150" s="1247"/>
      <c r="U150" s="1209">
        <f t="shared" si="371"/>
        <v>0</v>
      </c>
      <c r="V150" s="1209">
        <f t="shared" si="371"/>
        <v>0</v>
      </c>
      <c r="W150" s="1209">
        <f t="shared" si="371"/>
        <v>0</v>
      </c>
      <c r="X150" s="1209">
        <f t="shared" si="371"/>
        <v>0</v>
      </c>
      <c r="Y150" s="1209">
        <f t="shared" si="371"/>
        <v>13497.77</v>
      </c>
      <c r="Z150" s="1209">
        <f t="shared" si="371"/>
        <v>13497.77</v>
      </c>
      <c r="AA150" s="1209">
        <f t="shared" si="371"/>
        <v>310760.26999999996</v>
      </c>
      <c r="AB150" s="1172">
        <f t="shared" si="308"/>
        <v>324258.03999999998</v>
      </c>
      <c r="AC150" s="1247"/>
      <c r="AD150" s="1206">
        <f t="shared" si="371"/>
        <v>0</v>
      </c>
      <c r="AE150" s="1209">
        <f t="shared" si="371"/>
        <v>0</v>
      </c>
      <c r="AF150" s="1209">
        <f t="shared" si="371"/>
        <v>0</v>
      </c>
      <c r="AG150" s="1209">
        <f t="shared" si="371"/>
        <v>0</v>
      </c>
      <c r="AH150" s="1209">
        <f t="shared" si="371"/>
        <v>704508.46999999997</v>
      </c>
      <c r="AI150" s="1209">
        <f t="shared" si="371"/>
        <v>704508.46999999997</v>
      </c>
      <c r="AJ150" s="1209">
        <f t="shared" si="371"/>
        <v>99031.790000000008</v>
      </c>
      <c r="AK150" s="1173"/>
      <c r="AL150" s="1208"/>
      <c r="AM150" s="1210">
        <f t="shared" si="371"/>
        <v>0</v>
      </c>
      <c r="AN150" s="1211">
        <f t="shared" si="371"/>
        <v>0</v>
      </c>
      <c r="AO150" s="1211">
        <f t="shared" si="371"/>
        <v>0</v>
      </c>
      <c r="AP150" s="1211">
        <f t="shared" si="371"/>
        <v>0</v>
      </c>
      <c r="AQ150" s="1211">
        <f t="shared" si="371"/>
        <v>0</v>
      </c>
      <c r="AR150" s="1211">
        <f t="shared" si="371"/>
        <v>0</v>
      </c>
      <c r="AS150" s="1211">
        <f t="shared" si="371"/>
        <v>0</v>
      </c>
      <c r="AT150" s="1170"/>
      <c r="AU150" s="1212"/>
      <c r="AV150" s="1211">
        <f t="shared" si="371"/>
        <v>0</v>
      </c>
      <c r="AW150" s="1209">
        <f t="shared" si="371"/>
        <v>0</v>
      </c>
      <c r="AX150" s="1209">
        <f t="shared" si="371"/>
        <v>0</v>
      </c>
      <c r="AY150" s="1209">
        <f t="shared" si="371"/>
        <v>0</v>
      </c>
      <c r="AZ150" s="1209">
        <f t="shared" si="371"/>
        <v>3699.1199999999999</v>
      </c>
      <c r="BA150" s="1209">
        <f t="shared" si="371"/>
        <v>3699.1199999999999</v>
      </c>
      <c r="BB150" s="1209">
        <f t="shared" si="371"/>
        <v>96921.389999999999</v>
      </c>
      <c r="BC150" s="1175"/>
      <c r="BD150" s="1027"/>
      <c r="BE150" s="1029"/>
      <c r="BF150" s="1029"/>
    </row>
    <row r="151" s="1215" customFormat="1" ht="22.5" customHeight="1">
      <c r="A151" s="999">
        <f t="shared" si="301"/>
        <v>0</v>
      </c>
      <c r="B151" s="1202" t="s">
        <v>407</v>
      </c>
      <c r="C151" s="1202"/>
      <c r="D151" s="1202"/>
      <c r="E151" s="1164">
        <f t="shared" si="289"/>
        <v>0</v>
      </c>
      <c r="F151" s="1164">
        <f t="shared" si="290"/>
        <v>0</v>
      </c>
      <c r="G151" s="1165">
        <f t="shared" ref="G151:G158" si="372">E151+F151</f>
        <v>0</v>
      </c>
      <c r="H151" s="1166"/>
      <c r="I151" s="1167">
        <f t="shared" si="303"/>
        <v>0</v>
      </c>
      <c r="J151" s="1167">
        <f t="shared" si="304"/>
        <v>0</v>
      </c>
      <c r="K151" s="1168">
        <f t="shared" ref="K151:K158" si="373">I151+J151</f>
        <v>0</v>
      </c>
      <c r="L151" s="1119"/>
      <c r="M151" s="1238"/>
      <c r="N151" s="1242"/>
      <c r="O151" s="1242"/>
      <c r="P151" s="1238"/>
      <c r="Q151" s="1169">
        <f t="shared" ref="Q151:Q158" si="374">SUM(M151:P151)</f>
        <v>0</v>
      </c>
      <c r="R151" s="1238"/>
      <c r="S151" s="1170"/>
      <c r="T151" s="1239"/>
      <c r="U151" s="1119"/>
      <c r="V151" s="1169"/>
      <c r="W151" s="1177"/>
      <c r="X151" s="1177"/>
      <c r="Y151" s="1169"/>
      <c r="Z151" s="1169">
        <f t="shared" ref="Z151:Z158" si="375">SUM(V151:Y151)</f>
        <v>0</v>
      </c>
      <c r="AA151" s="1169"/>
      <c r="AB151" s="1172">
        <f t="shared" si="308"/>
        <v>0</v>
      </c>
      <c r="AC151" s="1240"/>
      <c r="AD151" s="1119"/>
      <c r="AE151" s="1169"/>
      <c r="AF151" s="1177"/>
      <c r="AG151" s="1177"/>
      <c r="AH151" s="1169"/>
      <c r="AI151" s="1169">
        <f t="shared" ref="AI151:AI158" si="376">SUM(AE151:AH151)</f>
        <v>0</v>
      </c>
      <c r="AJ151" s="1169"/>
      <c r="AK151" s="1173"/>
      <c r="AL151" s="1171"/>
      <c r="AM151" s="1128"/>
      <c r="AN151" s="1170"/>
      <c r="AO151" s="1175"/>
      <c r="AP151" s="1175"/>
      <c r="AQ151" s="1170"/>
      <c r="AR151" s="1170">
        <f t="shared" ref="AR151:AR158" si="377">SUM(AN151:AQ151)</f>
        <v>0</v>
      </c>
      <c r="AS151" s="1170"/>
      <c r="AT151" s="1170"/>
      <c r="AU151" s="1174"/>
      <c r="AV151" s="1241"/>
      <c r="AW151" s="1169"/>
      <c r="AX151" s="1177"/>
      <c r="AY151" s="1177"/>
      <c r="AZ151" s="1169"/>
      <c r="BA151" s="1169">
        <f t="shared" ref="BA151:BA158" si="378">SUM(AW151:AZ151)</f>
        <v>0</v>
      </c>
      <c r="BB151" s="1169"/>
      <c r="BC151" s="1175"/>
      <c r="BD151" s="1027"/>
      <c r="BE151" s="1024"/>
      <c r="BF151" s="1024"/>
      <c r="BG151" s="1008"/>
      <c r="BH151" s="1008"/>
      <c r="BI151" s="1008"/>
      <c r="BJ151" s="1008"/>
      <c r="BK151" s="1008"/>
      <c r="BL151" s="1008"/>
      <c r="BM151" s="1008"/>
    </row>
    <row r="152" s="1215" customFormat="1" ht="22.5" customHeight="1">
      <c r="A152" s="999" t="str">
        <f t="shared" si="301"/>
        <v xml:space="preserve">Леоненко Г.Н</v>
      </c>
      <c r="B152" s="1202" t="s">
        <v>409</v>
      </c>
      <c r="C152" s="1202"/>
      <c r="D152" s="1202"/>
      <c r="E152" s="1164">
        <f t="shared" si="289"/>
        <v>989.5</v>
      </c>
      <c r="F152" s="1164">
        <f t="shared" si="290"/>
        <v>620125.18000000005</v>
      </c>
      <c r="G152" s="1165">
        <f t="shared" si="372"/>
        <v>621114.68000000005</v>
      </c>
      <c r="H152" s="1166"/>
      <c r="I152" s="1167">
        <f t="shared" si="303"/>
        <v>0</v>
      </c>
      <c r="J152" s="1167">
        <f t="shared" si="304"/>
        <v>620125.18000000005</v>
      </c>
      <c r="K152" s="1168">
        <f t="shared" si="373"/>
        <v>620125.18000000005</v>
      </c>
      <c r="L152" s="1119"/>
      <c r="M152" s="1238"/>
      <c r="N152" s="1242"/>
      <c r="O152" s="1242"/>
      <c r="P152" s="1238"/>
      <c r="Q152" s="1169">
        <f t="shared" si="374"/>
        <v>0</v>
      </c>
      <c r="R152" s="1238">
        <v>596150.18000000005</v>
      </c>
      <c r="S152" s="1170"/>
      <c r="T152" s="1239"/>
      <c r="U152" s="1119"/>
      <c r="V152" s="1169"/>
      <c r="W152" s="1177"/>
      <c r="X152" s="1177"/>
      <c r="Y152" s="1169">
        <v>989.5</v>
      </c>
      <c r="Z152" s="1169">
        <f t="shared" si="375"/>
        <v>989.5</v>
      </c>
      <c r="AA152" s="1169"/>
      <c r="AB152" s="1172">
        <f t="shared" si="308"/>
        <v>989.5</v>
      </c>
      <c r="AC152" s="1240"/>
      <c r="AD152" s="1119"/>
      <c r="AE152" s="1169"/>
      <c r="AF152" s="1177"/>
      <c r="AG152" s="1177"/>
      <c r="AH152" s="1169"/>
      <c r="AI152" s="1169">
        <f t="shared" si="376"/>
        <v>0</v>
      </c>
      <c r="AJ152" s="1169">
        <v>23975</v>
      </c>
      <c r="AK152" s="1173"/>
      <c r="AL152" s="1171"/>
      <c r="AM152" s="1128"/>
      <c r="AN152" s="1170"/>
      <c r="AO152" s="1175"/>
      <c r="AP152" s="1175"/>
      <c r="AQ152" s="1170"/>
      <c r="AR152" s="1170">
        <f t="shared" si="377"/>
        <v>0</v>
      </c>
      <c r="AS152" s="1170"/>
      <c r="AT152" s="1170"/>
      <c r="AU152" s="1174"/>
      <c r="AV152" s="1241"/>
      <c r="AW152" s="1169"/>
      <c r="AX152" s="1177"/>
      <c r="AY152" s="1177"/>
      <c r="AZ152" s="1169"/>
      <c r="BA152" s="1169">
        <f t="shared" si="378"/>
        <v>0</v>
      </c>
      <c r="BB152" s="1169"/>
      <c r="BC152" s="1175"/>
      <c r="BD152" s="1027"/>
      <c r="BE152" s="1024"/>
      <c r="BF152" s="1024"/>
      <c r="BG152" s="1008"/>
      <c r="BH152" s="1008"/>
      <c r="BI152" s="1008"/>
      <c r="BJ152" s="1008"/>
      <c r="BK152" s="1008"/>
      <c r="BL152" s="1008"/>
      <c r="BM152" s="1008"/>
    </row>
    <row r="153" s="1215" customFormat="1" ht="22.5" customHeight="1">
      <c r="A153" s="999" t="str">
        <f t="shared" si="301"/>
        <v xml:space="preserve">Саяпина О.А.</v>
      </c>
      <c r="B153" s="1202" t="s">
        <v>411</v>
      </c>
      <c r="C153" s="1217"/>
      <c r="D153" s="1217"/>
      <c r="E153" s="1164">
        <f t="shared" si="289"/>
        <v>801326.08999999997</v>
      </c>
      <c r="F153" s="1164">
        <f t="shared" si="290"/>
        <v>1111100.5800000001</v>
      </c>
      <c r="G153" s="1165">
        <f t="shared" si="372"/>
        <v>1912426.6699999999</v>
      </c>
      <c r="H153" s="1166"/>
      <c r="I153" s="1167">
        <f t="shared" si="303"/>
        <v>801326.08999999997</v>
      </c>
      <c r="J153" s="1167">
        <f t="shared" si="304"/>
        <v>1111100.5800000001</v>
      </c>
      <c r="K153" s="1168">
        <f t="shared" si="373"/>
        <v>1912426.6699999999</v>
      </c>
      <c r="L153" s="1119"/>
      <c r="M153" s="1238"/>
      <c r="N153" s="1242"/>
      <c r="O153" s="1242" t="s">
        <v>40</v>
      </c>
      <c r="P153" s="1238">
        <v>801326.08999999997</v>
      </c>
      <c r="Q153" s="1169">
        <f t="shared" si="374"/>
        <v>801326.08999999997</v>
      </c>
      <c r="R153" s="1238">
        <v>607270.67000000004</v>
      </c>
      <c r="S153" s="1170"/>
      <c r="T153" s="1239"/>
      <c r="U153" s="1119"/>
      <c r="V153" s="1169"/>
      <c r="W153" s="1177"/>
      <c r="X153" s="1177"/>
      <c r="Y153" s="1169"/>
      <c r="Z153" s="1169">
        <f t="shared" si="375"/>
        <v>0</v>
      </c>
      <c r="AA153" s="1169"/>
      <c r="AB153" s="1172">
        <f t="shared" si="308"/>
        <v>0</v>
      </c>
      <c r="AC153" s="1240"/>
      <c r="AD153" s="1119"/>
      <c r="AE153" s="1169"/>
      <c r="AF153" s="1177"/>
      <c r="AG153" s="1177"/>
      <c r="AH153" s="1169"/>
      <c r="AI153" s="1169">
        <f t="shared" si="376"/>
        <v>0</v>
      </c>
      <c r="AJ153" s="1169">
        <v>503829.90999999997</v>
      </c>
      <c r="AK153" s="1173"/>
      <c r="AL153" s="1171"/>
      <c r="AM153" s="1128"/>
      <c r="AN153" s="1170"/>
      <c r="AO153" s="1175"/>
      <c r="AP153" s="1175"/>
      <c r="AQ153" s="1170"/>
      <c r="AR153" s="1170">
        <f t="shared" si="377"/>
        <v>0</v>
      </c>
      <c r="AS153" s="1170"/>
      <c r="AT153" s="1170"/>
      <c r="AU153" s="1174"/>
      <c r="AV153" s="1128"/>
      <c r="AW153" s="1169"/>
      <c r="AX153" s="1177"/>
      <c r="AY153" s="1177"/>
      <c r="AZ153" s="1169"/>
      <c r="BA153" s="1169">
        <f t="shared" si="378"/>
        <v>0</v>
      </c>
      <c r="BB153" s="1169"/>
      <c r="BC153" s="1175"/>
      <c r="BD153" s="1027"/>
      <c r="BE153" s="1024"/>
      <c r="BF153" s="1024"/>
      <c r="BG153" s="1008"/>
      <c r="BH153" s="1008"/>
      <c r="BI153" s="1008"/>
      <c r="BJ153" s="1008"/>
      <c r="BK153" s="1008"/>
      <c r="BL153" s="1008"/>
      <c r="BM153" s="1008"/>
    </row>
    <row r="154" s="1215" customFormat="1" ht="22.5" customHeight="1">
      <c r="A154" s="999" t="str">
        <f t="shared" si="301"/>
        <v xml:space="preserve">Дегтярева Е.И. Акилова С.В.</v>
      </c>
      <c r="B154" s="1202" t="s">
        <v>413</v>
      </c>
      <c r="C154" s="1217"/>
      <c r="D154" s="1217"/>
      <c r="E154" s="1164">
        <f t="shared" si="289"/>
        <v>709.21000000000004</v>
      </c>
      <c r="F154" s="1164">
        <f t="shared" si="290"/>
        <v>293797.19</v>
      </c>
      <c r="G154" s="1165">
        <f t="shared" si="372"/>
        <v>294506.40000000002</v>
      </c>
      <c r="H154" s="1166"/>
      <c r="I154" s="1167">
        <f t="shared" si="303"/>
        <v>709.21000000000004</v>
      </c>
      <c r="J154" s="1167">
        <f t="shared" si="304"/>
        <v>286287.15000000002</v>
      </c>
      <c r="K154" s="1168">
        <f t="shared" si="373"/>
        <v>286996.36000000004</v>
      </c>
      <c r="L154" s="1119"/>
      <c r="M154" s="1238"/>
      <c r="N154" s="1242"/>
      <c r="O154" s="1242"/>
      <c r="P154" s="1238">
        <v>709.21000000000004</v>
      </c>
      <c r="Q154" s="1169">
        <f t="shared" si="374"/>
        <v>709.21000000000004</v>
      </c>
      <c r="R154" s="1238">
        <v>286287.15000000002</v>
      </c>
      <c r="S154" s="1170"/>
      <c r="T154" s="1239"/>
      <c r="U154" s="1119"/>
      <c r="V154" s="1169"/>
      <c r="W154" s="1177"/>
      <c r="X154" s="1177"/>
      <c r="Y154" s="1169"/>
      <c r="Z154" s="1169">
        <f t="shared" si="375"/>
        <v>0</v>
      </c>
      <c r="AA154" s="1169">
        <v>7510.04</v>
      </c>
      <c r="AB154" s="1172">
        <f t="shared" si="308"/>
        <v>7510.04</v>
      </c>
      <c r="AC154" s="1240"/>
      <c r="AD154" s="1119"/>
      <c r="AE154" s="1169"/>
      <c r="AF154" s="1177"/>
      <c r="AG154" s="1177"/>
      <c r="AH154" s="1169"/>
      <c r="AI154" s="1169">
        <f t="shared" si="376"/>
        <v>0</v>
      </c>
      <c r="AJ154" s="1169"/>
      <c r="AK154" s="1173"/>
      <c r="AL154" s="1171"/>
      <c r="AM154" s="1128"/>
      <c r="AN154" s="1170"/>
      <c r="AO154" s="1175"/>
      <c r="AP154" s="1175"/>
      <c r="AQ154" s="1170"/>
      <c r="AR154" s="1170">
        <f t="shared" si="377"/>
        <v>0</v>
      </c>
      <c r="AS154" s="1170"/>
      <c r="AT154" s="1170"/>
      <c r="AU154" s="1174"/>
      <c r="AV154" s="1128"/>
      <c r="AW154" s="1169"/>
      <c r="AX154" s="1177"/>
      <c r="AY154" s="1177"/>
      <c r="AZ154" s="1169"/>
      <c r="BA154" s="1169">
        <f t="shared" si="378"/>
        <v>0</v>
      </c>
      <c r="BB154" s="1169"/>
      <c r="BC154" s="1175"/>
      <c r="BD154" s="1027"/>
      <c r="BE154" s="1024"/>
      <c r="BF154" s="1024"/>
      <c r="BG154" s="1008"/>
      <c r="BH154" s="1008"/>
      <c r="BI154" s="1008"/>
      <c r="BJ154" s="1008"/>
      <c r="BK154" s="1008"/>
      <c r="BL154" s="1008"/>
      <c r="BM154" s="1008"/>
    </row>
    <row r="155" s="1215" customFormat="1" ht="22.5" customHeight="1">
      <c r="A155" s="999">
        <f t="shared" si="301"/>
        <v>0</v>
      </c>
      <c r="B155" s="1202" t="s">
        <v>414</v>
      </c>
      <c r="C155" s="1202"/>
      <c r="D155" s="1202"/>
      <c r="E155" s="1164">
        <f t="shared" si="289"/>
        <v>0</v>
      </c>
      <c r="F155" s="1164">
        <f t="shared" si="290"/>
        <v>0</v>
      </c>
      <c r="G155" s="1165">
        <f t="shared" si="372"/>
        <v>0</v>
      </c>
      <c r="H155" s="1166"/>
      <c r="I155" s="1167">
        <f t="shared" si="303"/>
        <v>0</v>
      </c>
      <c r="J155" s="1167">
        <f t="shared" si="304"/>
        <v>0</v>
      </c>
      <c r="K155" s="1168">
        <f t="shared" si="373"/>
        <v>0</v>
      </c>
      <c r="L155" s="1119"/>
      <c r="M155" s="1238"/>
      <c r="N155" s="1242"/>
      <c r="O155" s="1242"/>
      <c r="P155" s="1238"/>
      <c r="Q155" s="1169">
        <f t="shared" si="374"/>
        <v>0</v>
      </c>
      <c r="R155" s="1238"/>
      <c r="S155" s="1170"/>
      <c r="T155" s="1239"/>
      <c r="U155" s="1119"/>
      <c r="V155" s="1169"/>
      <c r="W155" s="1177"/>
      <c r="X155" s="1177"/>
      <c r="Y155" s="1169"/>
      <c r="Z155" s="1169">
        <f t="shared" si="375"/>
        <v>0</v>
      </c>
      <c r="AA155" s="1169"/>
      <c r="AB155" s="1172">
        <f t="shared" si="308"/>
        <v>0</v>
      </c>
      <c r="AC155" s="1240"/>
      <c r="AD155" s="1119"/>
      <c r="AE155" s="1169"/>
      <c r="AF155" s="1177"/>
      <c r="AG155" s="1177"/>
      <c r="AH155" s="1169"/>
      <c r="AI155" s="1169">
        <f t="shared" si="376"/>
        <v>0</v>
      </c>
      <c r="AJ155" s="1169"/>
      <c r="AK155" s="1173"/>
      <c r="AL155" s="1171"/>
      <c r="AM155" s="1128"/>
      <c r="AN155" s="1170"/>
      <c r="AO155" s="1175"/>
      <c r="AP155" s="1175"/>
      <c r="AQ155" s="1170"/>
      <c r="AR155" s="1170">
        <f t="shared" si="377"/>
        <v>0</v>
      </c>
      <c r="AS155" s="1170"/>
      <c r="AT155" s="1170"/>
      <c r="AU155" s="1174"/>
      <c r="AV155" s="1128"/>
      <c r="AW155" s="1169"/>
      <c r="AX155" s="1177"/>
      <c r="AY155" s="1177"/>
      <c r="AZ155" s="1169"/>
      <c r="BA155" s="1169">
        <f t="shared" si="378"/>
        <v>0</v>
      </c>
      <c r="BB155" s="1169"/>
      <c r="BC155" s="1175"/>
      <c r="BD155" s="1027"/>
      <c r="BE155" s="1024"/>
      <c r="BF155" s="1024"/>
      <c r="BG155" s="1008"/>
      <c r="BH155" s="1008"/>
      <c r="BI155" s="1008"/>
      <c r="BJ155" s="1008"/>
      <c r="BK155" s="1008"/>
      <c r="BL155" s="1008"/>
      <c r="BM155" s="1008"/>
    </row>
    <row r="156" s="1215" customFormat="1" ht="22.5" customHeight="1">
      <c r="A156" s="999" t="str">
        <f t="shared" si="301"/>
        <v xml:space="preserve">Ковалевская О.А.</v>
      </c>
      <c r="B156" s="1202" t="s">
        <v>416</v>
      </c>
      <c r="C156" s="1202"/>
      <c r="D156" s="1202"/>
      <c r="E156" s="1164">
        <f t="shared" si="289"/>
        <v>89064.729999999996</v>
      </c>
      <c r="F156" s="1164">
        <f t="shared" si="290"/>
        <v>624725.48999999987</v>
      </c>
      <c r="G156" s="1165">
        <f t="shared" si="372"/>
        <v>713790.21999999986</v>
      </c>
      <c r="H156" s="1166"/>
      <c r="I156" s="1167">
        <f t="shared" si="303"/>
        <v>89064.729999999996</v>
      </c>
      <c r="J156" s="1167">
        <f t="shared" si="304"/>
        <v>609705.40999999992</v>
      </c>
      <c r="K156" s="1168">
        <f t="shared" si="373"/>
        <v>698770.1399999999</v>
      </c>
      <c r="L156" s="1119"/>
      <c r="M156" s="1238"/>
      <c r="N156" s="1242"/>
      <c r="O156" s="1242"/>
      <c r="P156" s="1238">
        <v>59028.93</v>
      </c>
      <c r="Q156" s="1169">
        <f t="shared" si="374"/>
        <v>59028.93</v>
      </c>
      <c r="R156" s="1238">
        <v>604152.20999999996</v>
      </c>
      <c r="S156" s="1170"/>
      <c r="T156" s="1239"/>
      <c r="U156" s="1119"/>
      <c r="V156" s="1169"/>
      <c r="W156" s="1177"/>
      <c r="X156" s="1177"/>
      <c r="Y156" s="1169"/>
      <c r="Z156" s="1169">
        <f t="shared" si="375"/>
        <v>0</v>
      </c>
      <c r="AA156" s="1169">
        <v>15020.08</v>
      </c>
      <c r="AB156" s="1172">
        <f t="shared" si="308"/>
        <v>15020.08</v>
      </c>
      <c r="AC156" s="1240"/>
      <c r="AD156" s="1119"/>
      <c r="AE156" s="1169"/>
      <c r="AF156" s="1177"/>
      <c r="AG156" s="1177"/>
      <c r="AH156" s="1169">
        <v>30035.799999999999</v>
      </c>
      <c r="AI156" s="1169">
        <f t="shared" si="376"/>
        <v>30035.799999999999</v>
      </c>
      <c r="AJ156" s="1169">
        <v>5553.1999999999998</v>
      </c>
      <c r="AK156" s="1173"/>
      <c r="AL156" s="1171"/>
      <c r="AM156" s="1128"/>
      <c r="AN156" s="1170"/>
      <c r="AO156" s="1175"/>
      <c r="AP156" s="1175"/>
      <c r="AQ156" s="1170"/>
      <c r="AR156" s="1170">
        <f t="shared" si="377"/>
        <v>0</v>
      </c>
      <c r="AS156" s="1170"/>
      <c r="AT156" s="1170"/>
      <c r="AU156" s="1174"/>
      <c r="AV156" s="1128"/>
      <c r="AW156" s="1169"/>
      <c r="AX156" s="1177"/>
      <c r="AY156" s="1177"/>
      <c r="AZ156" s="1169"/>
      <c r="BA156" s="1169">
        <f t="shared" si="378"/>
        <v>0</v>
      </c>
      <c r="BB156" s="1169"/>
      <c r="BC156" s="1175"/>
      <c r="BD156" s="1027"/>
      <c r="BE156" s="1024"/>
      <c r="BF156" s="1024"/>
      <c r="BG156" s="1008"/>
      <c r="BH156" s="1008"/>
      <c r="BI156" s="1008"/>
      <c r="BJ156" s="1008"/>
      <c r="BK156" s="1008"/>
      <c r="BL156" s="1008"/>
      <c r="BM156" s="1008"/>
    </row>
    <row r="157" s="1215" customFormat="1" ht="22.5" customHeight="1">
      <c r="A157" s="999" t="str">
        <f t="shared" si="301"/>
        <v xml:space="preserve">Никонова-Цыганова Н.А.</v>
      </c>
      <c r="B157" s="1202" t="s">
        <v>80</v>
      </c>
      <c r="C157" s="1217"/>
      <c r="D157" s="1217"/>
      <c r="E157" s="1164">
        <f t="shared" si="289"/>
        <v>143344.26000000001</v>
      </c>
      <c r="F157" s="1164">
        <f t="shared" si="290"/>
        <v>0</v>
      </c>
      <c r="G157" s="1165">
        <f t="shared" si="372"/>
        <v>143344.26000000001</v>
      </c>
      <c r="H157" s="1166"/>
      <c r="I157" s="1167">
        <f t="shared" si="303"/>
        <v>143344.26000000001</v>
      </c>
      <c r="J157" s="1167">
        <f t="shared" si="304"/>
        <v>0</v>
      </c>
      <c r="K157" s="1168">
        <f t="shared" si="373"/>
        <v>143344.26000000001</v>
      </c>
      <c r="L157" s="1119"/>
      <c r="M157" s="1238"/>
      <c r="N157" s="1246"/>
      <c r="O157" s="1242"/>
      <c r="P157" s="1238">
        <v>143344.26000000001</v>
      </c>
      <c r="Q157" s="1169">
        <f t="shared" si="374"/>
        <v>143344.26000000001</v>
      </c>
      <c r="R157" s="1238"/>
      <c r="S157" s="1170"/>
      <c r="T157" s="1239"/>
      <c r="U157" s="1119"/>
      <c r="V157" s="1169"/>
      <c r="W157" s="1199"/>
      <c r="X157" s="1177"/>
      <c r="Y157" s="1169"/>
      <c r="Z157" s="1169">
        <f t="shared" si="375"/>
        <v>0</v>
      </c>
      <c r="AA157" s="1169"/>
      <c r="AB157" s="1172">
        <f t="shared" si="308"/>
        <v>0</v>
      </c>
      <c r="AC157" s="1240"/>
      <c r="AD157" s="1119"/>
      <c r="AE157" s="1169"/>
      <c r="AF157" s="1199"/>
      <c r="AG157" s="1177"/>
      <c r="AH157" s="1169"/>
      <c r="AI157" s="1169">
        <f t="shared" si="376"/>
        <v>0</v>
      </c>
      <c r="AJ157" s="1169"/>
      <c r="AK157" s="1173"/>
      <c r="AL157" s="1171"/>
      <c r="AM157" s="1128"/>
      <c r="AN157" s="1170"/>
      <c r="AO157" s="1200"/>
      <c r="AP157" s="1175"/>
      <c r="AQ157" s="1170"/>
      <c r="AR157" s="1170">
        <f t="shared" si="377"/>
        <v>0</v>
      </c>
      <c r="AS157" s="1170"/>
      <c r="AT157" s="1170"/>
      <c r="AU157" s="1174"/>
      <c r="AV157" s="1128"/>
      <c r="AW157" s="1169"/>
      <c r="AX157" s="1199"/>
      <c r="AY157" s="1177"/>
      <c r="AZ157" s="1169"/>
      <c r="BA157" s="1169">
        <f t="shared" si="378"/>
        <v>0</v>
      </c>
      <c r="BB157" s="1169"/>
      <c r="BC157" s="1175"/>
      <c r="BD157" s="1027"/>
      <c r="BE157" s="1024"/>
      <c r="BF157" s="1024"/>
      <c r="BG157" s="1008"/>
      <c r="BH157" s="1008"/>
      <c r="BI157" s="1008"/>
      <c r="BJ157" s="1008"/>
      <c r="BK157" s="1008"/>
      <c r="BL157" s="1008"/>
      <c r="BM157" s="1008"/>
    </row>
    <row r="158" s="1215" customFormat="1" ht="22.5" customHeight="1">
      <c r="A158" s="999" t="str">
        <f t="shared" si="301"/>
        <v xml:space="preserve">Шевкунова СА</v>
      </c>
      <c r="B158" s="1202" t="s">
        <v>419</v>
      </c>
      <c r="C158" s="1202"/>
      <c r="D158" s="1202"/>
      <c r="E158" s="1164">
        <f t="shared" si="289"/>
        <v>573721.18000000005</v>
      </c>
      <c r="F158" s="1164">
        <f t="shared" si="290"/>
        <v>2902697.2999999998</v>
      </c>
      <c r="G158" s="1165">
        <f t="shared" si="372"/>
        <v>3476418.48</v>
      </c>
      <c r="H158" s="1166"/>
      <c r="I158" s="1167">
        <f t="shared" si="303"/>
        <v>573721.18000000005</v>
      </c>
      <c r="J158" s="1167">
        <f t="shared" si="304"/>
        <v>2902697.2999999998</v>
      </c>
      <c r="K158" s="1168">
        <f t="shared" si="373"/>
        <v>3476418.48</v>
      </c>
      <c r="L158" s="1119"/>
      <c r="M158" s="1238"/>
      <c r="N158" s="1242"/>
      <c r="O158" s="1242"/>
      <c r="P158" s="1238">
        <v>573721.18000000005</v>
      </c>
      <c r="Q158" s="1169">
        <f t="shared" si="374"/>
        <v>573721.18000000005</v>
      </c>
      <c r="R158" s="1238">
        <v>2850673.98</v>
      </c>
      <c r="S158" s="1170"/>
      <c r="T158" s="1239"/>
      <c r="U158" s="1119"/>
      <c r="V158" s="1169"/>
      <c r="W158" s="1177"/>
      <c r="X158" s="1177"/>
      <c r="Y158" s="1169"/>
      <c r="Z158" s="1169">
        <f t="shared" si="375"/>
        <v>0</v>
      </c>
      <c r="AA158" s="1169"/>
      <c r="AB158" s="1172">
        <f t="shared" si="308"/>
        <v>0</v>
      </c>
      <c r="AC158" s="1240"/>
      <c r="AD158" s="1119"/>
      <c r="AE158" s="1169"/>
      <c r="AF158" s="1177"/>
      <c r="AG158" s="1177"/>
      <c r="AH158" s="1169"/>
      <c r="AI158" s="1169">
        <f t="shared" si="376"/>
        <v>0</v>
      </c>
      <c r="AJ158" s="1169">
        <v>52023.32</v>
      </c>
      <c r="AK158" s="1173"/>
      <c r="AL158" s="1171"/>
      <c r="AM158" s="1128"/>
      <c r="AN158" s="1170"/>
      <c r="AO158" s="1175"/>
      <c r="AP158" s="1175"/>
      <c r="AQ158" s="1170"/>
      <c r="AR158" s="1170">
        <f t="shared" si="377"/>
        <v>0</v>
      </c>
      <c r="AS158" s="1170"/>
      <c r="AT158" s="1170"/>
      <c r="AU158" s="1174"/>
      <c r="AV158" s="1128"/>
      <c r="AW158" s="1169"/>
      <c r="AX158" s="1177"/>
      <c r="AY158" s="1177"/>
      <c r="AZ158" s="1169"/>
      <c r="BA158" s="1169">
        <f t="shared" si="378"/>
        <v>0</v>
      </c>
      <c r="BB158" s="1169"/>
      <c r="BC158" s="1175"/>
      <c r="BD158" s="1027"/>
      <c r="BE158" s="1024"/>
      <c r="BF158" s="1024"/>
      <c r="BG158" s="1008"/>
      <c r="BH158" s="1008"/>
      <c r="BI158" s="1008"/>
      <c r="BJ158" s="1008"/>
      <c r="BK158" s="1008"/>
      <c r="BL158" s="1008"/>
      <c r="BM158" s="1008"/>
    </row>
    <row r="159" s="1215" customFormat="1" ht="22.5" customHeight="1">
      <c r="A159" s="999">
        <f t="shared" si="301"/>
        <v>0</v>
      </c>
      <c r="B159" s="1205" t="s">
        <v>363</v>
      </c>
      <c r="C159" s="1205"/>
      <c r="D159" s="1205"/>
      <c r="E159" s="1183">
        <f t="shared" si="289"/>
        <v>1609154.97</v>
      </c>
      <c r="F159" s="1183">
        <f t="shared" si="290"/>
        <v>5552445.7399999993</v>
      </c>
      <c r="G159" s="1220">
        <f>SUM(G151:G158)</f>
        <v>7161600.709999999</v>
      </c>
      <c r="H159" s="1221"/>
      <c r="I159" s="1186">
        <f t="shared" si="303"/>
        <v>1608165.47</v>
      </c>
      <c r="J159" s="1186">
        <f t="shared" si="304"/>
        <v>5529915.6199999992</v>
      </c>
      <c r="K159" s="1222">
        <f>SUM(K151:K158)</f>
        <v>7138081.0899999999</v>
      </c>
      <c r="L159" s="1188"/>
      <c r="M159" s="1096">
        <f t="shared" ref="M159:R159" si="379">SUM(M151:M158)</f>
        <v>0</v>
      </c>
      <c r="N159" s="1096">
        <f t="shared" si="379"/>
        <v>0</v>
      </c>
      <c r="O159" s="1096">
        <f t="shared" si="379"/>
        <v>0</v>
      </c>
      <c r="P159" s="1096">
        <f t="shared" si="379"/>
        <v>1578129.6699999999</v>
      </c>
      <c r="Q159" s="1096">
        <f t="shared" si="379"/>
        <v>1578129.6699999999</v>
      </c>
      <c r="R159" s="1096">
        <f t="shared" si="379"/>
        <v>4944534.1899999995</v>
      </c>
      <c r="S159" s="1170"/>
      <c r="T159" s="1243"/>
      <c r="U159" s="1188"/>
      <c r="V159" s="1096">
        <f t="shared" ref="V159:AA159" si="380">SUM(V151:V158)</f>
        <v>0</v>
      </c>
      <c r="W159" s="1096">
        <f t="shared" si="380"/>
        <v>0</v>
      </c>
      <c r="X159" s="1096">
        <f t="shared" si="380"/>
        <v>0</v>
      </c>
      <c r="Y159" s="1096">
        <f t="shared" si="380"/>
        <v>989.5</v>
      </c>
      <c r="Z159" s="1096">
        <f t="shared" si="380"/>
        <v>989.5</v>
      </c>
      <c r="AA159" s="1096">
        <f t="shared" si="380"/>
        <v>22530.119999999999</v>
      </c>
      <c r="AB159" s="1172">
        <f t="shared" si="308"/>
        <v>23519.619999999999</v>
      </c>
      <c r="AC159" s="1243"/>
      <c r="AD159" s="1188"/>
      <c r="AE159" s="1096">
        <f t="shared" ref="AE159:AJ159" si="381">SUM(AE151:AE158)</f>
        <v>0</v>
      </c>
      <c r="AF159" s="1096">
        <f t="shared" si="381"/>
        <v>0</v>
      </c>
      <c r="AG159" s="1096">
        <f t="shared" si="381"/>
        <v>0</v>
      </c>
      <c r="AH159" s="1096">
        <f t="shared" si="381"/>
        <v>30035.799999999999</v>
      </c>
      <c r="AI159" s="1096">
        <f t="shared" si="381"/>
        <v>30035.799999999999</v>
      </c>
      <c r="AJ159" s="1096">
        <f t="shared" si="381"/>
        <v>585381.42999999982</v>
      </c>
      <c r="AK159" s="1173"/>
      <c r="AL159" s="1189"/>
      <c r="AM159" s="1197"/>
      <c r="AN159" s="1190">
        <f t="shared" ref="AN159:BB159" si="382">SUM(AN151:AN158)</f>
        <v>0</v>
      </c>
      <c r="AO159" s="1190">
        <f t="shared" si="382"/>
        <v>0</v>
      </c>
      <c r="AP159" s="1190">
        <f t="shared" si="382"/>
        <v>0</v>
      </c>
      <c r="AQ159" s="1190">
        <f t="shared" si="382"/>
        <v>0</v>
      </c>
      <c r="AR159" s="1190">
        <f t="shared" si="382"/>
        <v>0</v>
      </c>
      <c r="AS159" s="1190">
        <f t="shared" si="382"/>
        <v>0</v>
      </c>
      <c r="AT159" s="1170"/>
      <c r="AU159" s="1191"/>
      <c r="AV159" s="1197">
        <f t="shared" si="382"/>
        <v>0</v>
      </c>
      <c r="AW159" s="1096">
        <f t="shared" si="382"/>
        <v>0</v>
      </c>
      <c r="AX159" s="1096">
        <f t="shared" si="382"/>
        <v>0</v>
      </c>
      <c r="AY159" s="1096">
        <f t="shared" si="382"/>
        <v>0</v>
      </c>
      <c r="AZ159" s="1096">
        <f t="shared" si="382"/>
        <v>0</v>
      </c>
      <c r="BA159" s="1096">
        <f t="shared" si="382"/>
        <v>0</v>
      </c>
      <c r="BB159" s="1096">
        <f t="shared" si="382"/>
        <v>0</v>
      </c>
      <c r="BC159" s="1175"/>
      <c r="BD159" s="1027"/>
      <c r="BE159" s="1024"/>
      <c r="BF159" s="1024"/>
      <c r="BG159" s="1008"/>
      <c r="BH159" s="1008"/>
      <c r="BI159" s="1008"/>
      <c r="BJ159" s="1008"/>
      <c r="BK159" s="1008"/>
      <c r="BL159" s="1008"/>
      <c r="BM159" s="1008"/>
    </row>
    <row r="160" s="1215" customFormat="1" ht="22.5" customHeight="1">
      <c r="A160" s="999" t="str">
        <f t="shared" si="301"/>
        <v xml:space="preserve">Шеламкова Н.В.</v>
      </c>
      <c r="B160" s="1202" t="s">
        <v>421</v>
      </c>
      <c r="C160" s="1202"/>
      <c r="D160" s="1202"/>
      <c r="E160" s="1164">
        <f t="shared" si="289"/>
        <v>428224.71000000002</v>
      </c>
      <c r="F160" s="1164">
        <f t="shared" si="290"/>
        <v>333706.54999999999</v>
      </c>
      <c r="G160" s="1165">
        <f t="shared" ref="G160:G172" si="383">E160+F160</f>
        <v>761931.26000000001</v>
      </c>
      <c r="H160" s="1166"/>
      <c r="I160" s="1167">
        <f t="shared" si="303"/>
        <v>428224.71000000002</v>
      </c>
      <c r="J160" s="1167">
        <f t="shared" si="304"/>
        <v>333706.54999999999</v>
      </c>
      <c r="K160" s="1168">
        <f t="shared" ref="K160:K172" si="384">I160+J160</f>
        <v>761931.26000000001</v>
      </c>
      <c r="L160" s="1119"/>
      <c r="M160" s="1238"/>
      <c r="N160" s="1242"/>
      <c r="O160" s="1242"/>
      <c r="P160" s="1238">
        <v>354796.46000000002</v>
      </c>
      <c r="Q160" s="1169">
        <f t="shared" ref="Q160:Q172" si="385">SUM(M160:P160)</f>
        <v>354796.46000000002</v>
      </c>
      <c r="R160" s="1238">
        <v>333706.54999999999</v>
      </c>
      <c r="S160" s="1170"/>
      <c r="T160" s="1239"/>
      <c r="U160" s="1119"/>
      <c r="V160" s="1169"/>
      <c r="W160" s="1177"/>
      <c r="X160" s="1177"/>
      <c r="Y160" s="1169"/>
      <c r="Z160" s="1169">
        <f t="shared" ref="Z160:Z172" si="386">SUM(V160:Y160)</f>
        <v>0</v>
      </c>
      <c r="AA160" s="1169"/>
      <c r="AB160" s="1172">
        <f t="shared" si="308"/>
        <v>0</v>
      </c>
      <c r="AC160" s="1240"/>
      <c r="AD160" s="1119"/>
      <c r="AE160" s="1169"/>
      <c r="AF160" s="1177"/>
      <c r="AG160" s="1177"/>
      <c r="AH160" s="1169">
        <v>73428.25</v>
      </c>
      <c r="AI160" s="1169">
        <f t="shared" ref="AI160:AI172" si="387">SUM(AE160:AH160)</f>
        <v>73428.25</v>
      </c>
      <c r="AJ160" s="1169"/>
      <c r="AK160" s="1173"/>
      <c r="AL160" s="1171"/>
      <c r="AM160" s="1128"/>
      <c r="AN160" s="1170"/>
      <c r="AO160" s="1175"/>
      <c r="AP160" s="1175"/>
      <c r="AQ160" s="1170"/>
      <c r="AR160" s="1170">
        <f t="shared" ref="AR160:AR172" si="388">SUM(AN160:AQ160)</f>
        <v>0</v>
      </c>
      <c r="AS160" s="1170"/>
      <c r="AT160" s="1170"/>
      <c r="AU160" s="1174"/>
      <c r="AV160" s="1128"/>
      <c r="AW160" s="1169"/>
      <c r="AX160" s="1177"/>
      <c r="AY160" s="1177"/>
      <c r="AZ160" s="1169"/>
      <c r="BA160" s="1169">
        <f t="shared" ref="BA160:BA172" si="389">SUM(AW160:AZ160)</f>
        <v>0</v>
      </c>
      <c r="BB160" s="1169"/>
      <c r="BC160" s="1175"/>
      <c r="BD160" s="1027"/>
      <c r="BE160" s="1024"/>
      <c r="BF160" s="1024"/>
      <c r="BG160" s="1008"/>
      <c r="BH160" s="1008"/>
      <c r="BI160" s="1008"/>
      <c r="BJ160" s="1008"/>
      <c r="BK160" s="1008"/>
      <c r="BL160" s="1008"/>
      <c r="BM160" s="1008"/>
    </row>
    <row r="161" s="1215" customFormat="1" ht="22.5" customHeight="1">
      <c r="A161" s="999" t="str">
        <f t="shared" si="301"/>
        <v xml:space="preserve">Буланова О.Н. Сычева Ю.В.</v>
      </c>
      <c r="B161" s="1202" t="s">
        <v>68</v>
      </c>
      <c r="C161" s="1202"/>
      <c r="D161" s="1202"/>
      <c r="E161" s="1164">
        <f t="shared" si="289"/>
        <v>697878.51000000001</v>
      </c>
      <c r="F161" s="1164">
        <f t="shared" si="290"/>
        <v>10275948.029999999</v>
      </c>
      <c r="G161" s="1165">
        <f t="shared" si="383"/>
        <v>10973826.539999999</v>
      </c>
      <c r="H161" s="1166"/>
      <c r="I161" s="1167">
        <f t="shared" si="303"/>
        <v>697878.51000000001</v>
      </c>
      <c r="J161" s="1167">
        <f t="shared" si="304"/>
        <v>10268437.99</v>
      </c>
      <c r="K161" s="1168">
        <f t="shared" si="384"/>
        <v>10966316.5</v>
      </c>
      <c r="L161" s="1119"/>
      <c r="M161" s="1238"/>
      <c r="N161" s="1242"/>
      <c r="O161" s="1242"/>
      <c r="P161" s="1238">
        <v>697878.51000000001</v>
      </c>
      <c r="Q161" s="1169">
        <f t="shared" si="385"/>
        <v>697878.51000000001</v>
      </c>
      <c r="R161" s="1238">
        <v>10262705.310000001</v>
      </c>
      <c r="S161" s="1170"/>
      <c r="T161" s="1239"/>
      <c r="U161" s="1119"/>
      <c r="V161" s="1169"/>
      <c r="W161" s="1177"/>
      <c r="X161" s="1177"/>
      <c r="Y161" s="1169"/>
      <c r="Z161" s="1169">
        <f t="shared" si="386"/>
        <v>0</v>
      </c>
      <c r="AA161" s="1169">
        <v>7510.04</v>
      </c>
      <c r="AB161" s="1172">
        <f t="shared" si="308"/>
        <v>7510.04</v>
      </c>
      <c r="AC161" s="1240"/>
      <c r="AD161" s="1119"/>
      <c r="AE161" s="1169"/>
      <c r="AF161" s="1177"/>
      <c r="AG161" s="1177"/>
      <c r="AH161" s="1169"/>
      <c r="AI161" s="1169">
        <f t="shared" si="387"/>
        <v>0</v>
      </c>
      <c r="AJ161" s="1169">
        <v>5732.6800000000003</v>
      </c>
      <c r="AK161" s="1173"/>
      <c r="AL161" s="1171"/>
      <c r="AM161" s="1128"/>
      <c r="AN161" s="1170"/>
      <c r="AO161" s="1175"/>
      <c r="AP161" s="1175"/>
      <c r="AQ161" s="1170"/>
      <c r="AR161" s="1170">
        <f t="shared" si="388"/>
        <v>0</v>
      </c>
      <c r="AS161" s="1170"/>
      <c r="AT161" s="1170"/>
      <c r="AU161" s="1174"/>
      <c r="AV161" s="1128"/>
      <c r="AW161" s="1169"/>
      <c r="AX161" s="1177"/>
      <c r="AY161" s="1177"/>
      <c r="AZ161" s="1169"/>
      <c r="BA161" s="1169">
        <f t="shared" si="389"/>
        <v>0</v>
      </c>
      <c r="BB161" s="1169"/>
      <c r="BC161" s="1175"/>
      <c r="BD161" s="1027"/>
      <c r="BE161" s="1024"/>
      <c r="BF161" s="1024"/>
      <c r="BG161" s="1008"/>
      <c r="BH161" s="1008"/>
      <c r="BI161" s="1008"/>
      <c r="BJ161" s="1008"/>
      <c r="BK161" s="1008"/>
      <c r="BL161" s="1008"/>
      <c r="BM161" s="1008"/>
    </row>
    <row r="162" s="1215" customFormat="1" ht="22.5" customHeight="1">
      <c r="A162" s="999" t="str">
        <f t="shared" si="301"/>
        <v xml:space="preserve">Бояринцева Н.А.</v>
      </c>
      <c r="B162" s="1202" t="s">
        <v>289</v>
      </c>
      <c r="C162" s="1202"/>
      <c r="D162" s="1202"/>
      <c r="E162" s="1164">
        <f t="shared" si="289"/>
        <v>0</v>
      </c>
      <c r="F162" s="1164">
        <f t="shared" si="290"/>
        <v>4670050.1500000004</v>
      </c>
      <c r="G162" s="1165">
        <f t="shared" si="383"/>
        <v>4670050.1500000004</v>
      </c>
      <c r="H162" s="1166"/>
      <c r="I162" s="1167">
        <f t="shared" si="303"/>
        <v>0</v>
      </c>
      <c r="J162" s="1167">
        <f t="shared" si="304"/>
        <v>4452326.8600000003</v>
      </c>
      <c r="K162" s="1168">
        <f t="shared" si="384"/>
        <v>4452326.8600000003</v>
      </c>
      <c r="L162" s="1119"/>
      <c r="M162" s="1238"/>
      <c r="N162" s="1242"/>
      <c r="O162" s="1242"/>
      <c r="P162" s="1238"/>
      <c r="Q162" s="1169">
        <f t="shared" si="385"/>
        <v>0</v>
      </c>
      <c r="R162" s="1238">
        <v>4390000.3200000003</v>
      </c>
      <c r="S162" s="1170"/>
      <c r="T162" s="1239"/>
      <c r="U162" s="1119"/>
      <c r="V162" s="1169"/>
      <c r="W162" s="1177"/>
      <c r="X162" s="1177"/>
      <c r="Y162" s="1169"/>
      <c r="Z162" s="1169">
        <f t="shared" si="386"/>
        <v>0</v>
      </c>
      <c r="AA162" s="1169">
        <v>217723.29000000001</v>
      </c>
      <c r="AB162" s="1172">
        <f t="shared" si="308"/>
        <v>217723.29000000001</v>
      </c>
      <c r="AC162" s="1240"/>
      <c r="AD162" s="1119"/>
      <c r="AE162" s="1169"/>
      <c r="AF162" s="1177"/>
      <c r="AG162" s="1177"/>
      <c r="AH162" s="1169"/>
      <c r="AI162" s="1169">
        <f t="shared" si="387"/>
        <v>0</v>
      </c>
      <c r="AJ162" s="1169">
        <v>62326.540000000001</v>
      </c>
      <c r="AK162" s="1173"/>
      <c r="AL162" s="1171"/>
      <c r="AM162" s="1128"/>
      <c r="AN162" s="1170"/>
      <c r="AO162" s="1175"/>
      <c r="AP162" s="1175"/>
      <c r="AQ162" s="1170"/>
      <c r="AR162" s="1170">
        <f t="shared" si="388"/>
        <v>0</v>
      </c>
      <c r="AS162" s="1170"/>
      <c r="AT162" s="1170"/>
      <c r="AU162" s="1174"/>
      <c r="AV162" s="1128"/>
      <c r="AW162" s="1169"/>
      <c r="AX162" s="1177"/>
      <c r="AY162" s="1177"/>
      <c r="AZ162" s="1169"/>
      <c r="BA162" s="1169">
        <f t="shared" si="389"/>
        <v>0</v>
      </c>
      <c r="BB162" s="1169"/>
      <c r="BC162" s="1175"/>
      <c r="BD162" s="1027"/>
      <c r="BE162" s="1024"/>
      <c r="BF162" s="1024"/>
      <c r="BG162" s="1008"/>
      <c r="BH162" s="1008"/>
      <c r="BI162" s="1008"/>
      <c r="BJ162" s="1008"/>
      <c r="BK162" s="1008"/>
      <c r="BL162" s="1008"/>
      <c r="BM162" s="1008"/>
    </row>
    <row r="163" s="1215" customFormat="1" ht="22.5" customHeight="1">
      <c r="A163" s="999">
        <f t="shared" si="301"/>
        <v>0</v>
      </c>
      <c r="B163" s="1202" t="s">
        <v>424</v>
      </c>
      <c r="C163" s="1202"/>
      <c r="D163" s="1202"/>
      <c r="E163" s="1164">
        <f t="shared" si="289"/>
        <v>0</v>
      </c>
      <c r="F163" s="1164">
        <f t="shared" si="290"/>
        <v>0</v>
      </c>
      <c r="G163" s="1165">
        <f t="shared" si="383"/>
        <v>0</v>
      </c>
      <c r="H163" s="1166"/>
      <c r="I163" s="1167">
        <f t="shared" si="303"/>
        <v>0</v>
      </c>
      <c r="J163" s="1167">
        <f t="shared" si="304"/>
        <v>0</v>
      </c>
      <c r="K163" s="1168">
        <f t="shared" si="384"/>
        <v>0</v>
      </c>
      <c r="L163" s="1119"/>
      <c r="M163" s="1238"/>
      <c r="N163" s="1242"/>
      <c r="O163" s="1242"/>
      <c r="P163" s="1238"/>
      <c r="Q163" s="1169">
        <f t="shared" si="385"/>
        <v>0</v>
      </c>
      <c r="R163" s="1238"/>
      <c r="S163" s="1170"/>
      <c r="T163" s="1239"/>
      <c r="U163" s="1119"/>
      <c r="V163" s="1169"/>
      <c r="W163" s="1177"/>
      <c r="X163" s="1177"/>
      <c r="Y163" s="1169"/>
      <c r="Z163" s="1169">
        <f t="shared" si="386"/>
        <v>0</v>
      </c>
      <c r="AA163" s="1169"/>
      <c r="AB163" s="1172">
        <f t="shared" si="308"/>
        <v>0</v>
      </c>
      <c r="AC163" s="1240"/>
      <c r="AD163" s="1119"/>
      <c r="AE163" s="1169"/>
      <c r="AF163" s="1177"/>
      <c r="AG163" s="1177"/>
      <c r="AH163" s="1169"/>
      <c r="AI163" s="1169">
        <f t="shared" si="387"/>
        <v>0</v>
      </c>
      <c r="AJ163" s="1169"/>
      <c r="AK163" s="1173"/>
      <c r="AL163" s="1171"/>
      <c r="AM163" s="1128"/>
      <c r="AN163" s="1170"/>
      <c r="AO163" s="1175"/>
      <c r="AP163" s="1175"/>
      <c r="AQ163" s="1170"/>
      <c r="AR163" s="1170">
        <f t="shared" si="388"/>
        <v>0</v>
      </c>
      <c r="AS163" s="1170"/>
      <c r="AT163" s="1170"/>
      <c r="AU163" s="1174"/>
      <c r="AV163" s="1128"/>
      <c r="AW163" s="1169"/>
      <c r="AX163" s="1177"/>
      <c r="AY163" s="1177"/>
      <c r="AZ163" s="1169"/>
      <c r="BA163" s="1169">
        <f t="shared" si="389"/>
        <v>0</v>
      </c>
      <c r="BB163" s="1169"/>
      <c r="BC163" s="1175"/>
      <c r="BD163" s="1027"/>
      <c r="BE163" s="1024"/>
      <c r="BF163" s="1024"/>
      <c r="BG163" s="1008"/>
      <c r="BH163" s="1008"/>
      <c r="BI163" s="1008"/>
      <c r="BJ163" s="1008"/>
      <c r="BK163" s="1008"/>
      <c r="BL163" s="1008"/>
      <c r="BM163" s="1008"/>
    </row>
    <row r="164" s="1215" customFormat="1" ht="22.5" customHeight="1">
      <c r="A164" s="999" t="str">
        <f t="shared" si="301"/>
        <v xml:space="preserve">Соболева Т.Ю.</v>
      </c>
      <c r="B164" s="1202" t="s">
        <v>426</v>
      </c>
      <c r="C164" s="1202"/>
      <c r="D164" s="1202"/>
      <c r="E164" s="1164">
        <f t="shared" si="289"/>
        <v>12061.6</v>
      </c>
      <c r="F164" s="1164">
        <f t="shared" si="290"/>
        <v>164741.5</v>
      </c>
      <c r="G164" s="1165">
        <f t="shared" si="383"/>
        <v>176803.10000000001</v>
      </c>
      <c r="H164" s="1166"/>
      <c r="I164" s="1167">
        <f t="shared" si="303"/>
        <v>12061.6</v>
      </c>
      <c r="J164" s="1167">
        <f t="shared" si="304"/>
        <v>157231.45999999999</v>
      </c>
      <c r="K164" s="1168">
        <f t="shared" si="384"/>
        <v>169293.06</v>
      </c>
      <c r="L164" s="1119"/>
      <c r="M164" s="1238"/>
      <c r="N164" s="1242"/>
      <c r="O164" s="1242"/>
      <c r="P164" s="1238">
        <v>12061.6</v>
      </c>
      <c r="Q164" s="1169">
        <f t="shared" si="385"/>
        <v>12061.6</v>
      </c>
      <c r="R164" s="1238">
        <v>157231.45999999999</v>
      </c>
      <c r="S164" s="1170"/>
      <c r="T164" s="1239"/>
      <c r="U164" s="1119"/>
      <c r="V164" s="1169"/>
      <c r="W164" s="1177"/>
      <c r="X164" s="1177"/>
      <c r="Y164" s="1169"/>
      <c r="Z164" s="1169">
        <f t="shared" si="386"/>
        <v>0</v>
      </c>
      <c r="AA164" s="1169">
        <v>7510.04</v>
      </c>
      <c r="AB164" s="1172">
        <f t="shared" si="308"/>
        <v>7510.04</v>
      </c>
      <c r="AC164" s="1240"/>
      <c r="AD164" s="1119"/>
      <c r="AE164" s="1169"/>
      <c r="AF164" s="1177"/>
      <c r="AG164" s="1177"/>
      <c r="AH164" s="1169"/>
      <c r="AI164" s="1169">
        <f t="shared" si="387"/>
        <v>0</v>
      </c>
      <c r="AJ164" s="1169"/>
      <c r="AK164" s="1173"/>
      <c r="AL164" s="1171"/>
      <c r="AM164" s="1128"/>
      <c r="AN164" s="1170"/>
      <c r="AO164" s="1175"/>
      <c r="AP164" s="1175"/>
      <c r="AQ164" s="1170"/>
      <c r="AR164" s="1170">
        <f t="shared" si="388"/>
        <v>0</v>
      </c>
      <c r="AS164" s="1170"/>
      <c r="AT164" s="1170"/>
      <c r="AU164" s="1174"/>
      <c r="AV164" s="1128"/>
      <c r="AW164" s="1169"/>
      <c r="AX164" s="1177"/>
      <c r="AY164" s="1177"/>
      <c r="AZ164" s="1169"/>
      <c r="BA164" s="1169">
        <f t="shared" si="389"/>
        <v>0</v>
      </c>
      <c r="BB164" s="1169"/>
      <c r="BC164" s="1175"/>
      <c r="BD164" s="1027"/>
      <c r="BE164" s="1024"/>
      <c r="BF164" s="1024"/>
      <c r="BG164" s="1008"/>
      <c r="BH164" s="1008"/>
      <c r="BI164" s="1008"/>
      <c r="BJ164" s="1008"/>
      <c r="BK164" s="1008"/>
      <c r="BL164" s="1008"/>
      <c r="BM164" s="1008"/>
    </row>
    <row r="165" s="1215" customFormat="1" ht="22.5" customHeight="1">
      <c r="A165" s="999">
        <f t="shared" si="301"/>
        <v>0</v>
      </c>
      <c r="B165" s="1202" t="s">
        <v>427</v>
      </c>
      <c r="C165" s="1202"/>
      <c r="D165" s="1202"/>
      <c r="E165" s="1164">
        <f t="shared" si="289"/>
        <v>0</v>
      </c>
      <c r="F165" s="1164">
        <f t="shared" si="290"/>
        <v>0</v>
      </c>
      <c r="G165" s="1165">
        <f t="shared" si="383"/>
        <v>0</v>
      </c>
      <c r="H165" s="1166"/>
      <c r="I165" s="1167">
        <f t="shared" si="303"/>
        <v>0</v>
      </c>
      <c r="J165" s="1167">
        <f t="shared" si="304"/>
        <v>0</v>
      </c>
      <c r="K165" s="1168">
        <f t="shared" si="384"/>
        <v>0</v>
      </c>
      <c r="L165" s="1119"/>
      <c r="M165" s="1238"/>
      <c r="N165" s="1242"/>
      <c r="O165" s="1242"/>
      <c r="P165" s="1238"/>
      <c r="Q165" s="1169">
        <f t="shared" si="385"/>
        <v>0</v>
      </c>
      <c r="R165" s="1238"/>
      <c r="S165" s="1170"/>
      <c r="T165" s="1239"/>
      <c r="U165" s="1119"/>
      <c r="V165" s="1169"/>
      <c r="W165" s="1177"/>
      <c r="X165" s="1177"/>
      <c r="Y165" s="1169"/>
      <c r="Z165" s="1169">
        <f t="shared" si="386"/>
        <v>0</v>
      </c>
      <c r="AA165" s="1169"/>
      <c r="AB165" s="1172">
        <f t="shared" si="308"/>
        <v>0</v>
      </c>
      <c r="AC165" s="1240"/>
      <c r="AD165" s="1119"/>
      <c r="AE165" s="1169"/>
      <c r="AF165" s="1177"/>
      <c r="AG165" s="1177"/>
      <c r="AH165" s="1169"/>
      <c r="AI165" s="1169">
        <f t="shared" si="387"/>
        <v>0</v>
      </c>
      <c r="AJ165" s="1169"/>
      <c r="AK165" s="1173"/>
      <c r="AL165" s="1171"/>
      <c r="AM165" s="1128"/>
      <c r="AN165" s="1170"/>
      <c r="AO165" s="1175"/>
      <c r="AP165" s="1175"/>
      <c r="AQ165" s="1170"/>
      <c r="AR165" s="1170">
        <f t="shared" si="388"/>
        <v>0</v>
      </c>
      <c r="AS165" s="1170"/>
      <c r="AT165" s="1170"/>
      <c r="AU165" s="1174"/>
      <c r="AV165" s="1128"/>
      <c r="AW165" s="1169"/>
      <c r="AX165" s="1177"/>
      <c r="AY165" s="1177"/>
      <c r="AZ165" s="1169"/>
      <c r="BA165" s="1169">
        <f t="shared" si="389"/>
        <v>0</v>
      </c>
      <c r="BB165" s="1169"/>
      <c r="BC165" s="1175"/>
      <c r="BD165" s="1027"/>
      <c r="BE165" s="1024"/>
      <c r="BF165" s="1024"/>
      <c r="BG165" s="1008"/>
      <c r="BH165" s="1008"/>
      <c r="BI165" s="1008"/>
      <c r="BJ165" s="1008"/>
      <c r="BK165" s="1008"/>
      <c r="BL165" s="1008"/>
      <c r="BM165" s="1008"/>
    </row>
    <row r="166" s="1215" customFormat="1" ht="22.5" customHeight="1">
      <c r="A166" s="999" t="str">
        <f t="shared" si="301"/>
        <v xml:space="preserve">Астапова С.А.</v>
      </c>
      <c r="B166" s="1202" t="s">
        <v>73</v>
      </c>
      <c r="C166" s="1202"/>
      <c r="D166" s="1202"/>
      <c r="E166" s="1164">
        <f t="shared" ref="E166:F229" si="390">Q166+Z166+AI166+AR166+BA166</f>
        <v>1507.7</v>
      </c>
      <c r="F166" s="1164">
        <f t="shared" ref="F166:F229" si="391">R166+AA166+AJ166+AS166+BB166</f>
        <v>38938.349999999999</v>
      </c>
      <c r="G166" s="1165">
        <f t="shared" si="383"/>
        <v>40446.049999999996</v>
      </c>
      <c r="H166" s="1166"/>
      <c r="I166" s="1167">
        <f t="shared" si="303"/>
        <v>1507.7</v>
      </c>
      <c r="J166" s="1167">
        <f t="shared" si="304"/>
        <v>31428.309999999998</v>
      </c>
      <c r="K166" s="1168">
        <f t="shared" si="384"/>
        <v>32936.009999999995</v>
      </c>
      <c r="L166" s="1119"/>
      <c r="M166" s="1238"/>
      <c r="N166" s="1242"/>
      <c r="O166" s="1242"/>
      <c r="P166" s="1238">
        <v>1507.7</v>
      </c>
      <c r="Q166" s="1169">
        <f t="shared" si="385"/>
        <v>1507.7</v>
      </c>
      <c r="R166" s="1238">
        <v>28564.669999999998</v>
      </c>
      <c r="S166" s="1170"/>
      <c r="T166" s="1239"/>
      <c r="U166" s="1119"/>
      <c r="V166" s="1169"/>
      <c r="W166" s="1177"/>
      <c r="X166" s="1177"/>
      <c r="Y166" s="1169"/>
      <c r="Z166" s="1169">
        <f t="shared" si="386"/>
        <v>0</v>
      </c>
      <c r="AA166" s="1169">
        <v>7510.04</v>
      </c>
      <c r="AB166" s="1172">
        <f t="shared" si="308"/>
        <v>7510.04</v>
      </c>
      <c r="AC166" s="1240"/>
      <c r="AD166" s="1119"/>
      <c r="AE166" s="1169"/>
      <c r="AF166" s="1177"/>
      <c r="AG166" s="1177"/>
      <c r="AH166" s="1169"/>
      <c r="AI166" s="1169">
        <f t="shared" si="387"/>
        <v>0</v>
      </c>
      <c r="AJ166" s="1169">
        <v>2863.6399999999999</v>
      </c>
      <c r="AK166" s="1173"/>
      <c r="AL166" s="1171"/>
      <c r="AM166" s="1128"/>
      <c r="AN166" s="1170"/>
      <c r="AO166" s="1175"/>
      <c r="AP166" s="1175"/>
      <c r="AQ166" s="1170"/>
      <c r="AR166" s="1170">
        <f t="shared" si="388"/>
        <v>0</v>
      </c>
      <c r="AS166" s="1170"/>
      <c r="AT166" s="1170"/>
      <c r="AU166" s="1174"/>
      <c r="AV166" s="1128"/>
      <c r="AW166" s="1169"/>
      <c r="AX166" s="1177"/>
      <c r="AY166" s="1177"/>
      <c r="AZ166" s="1169"/>
      <c r="BA166" s="1169">
        <f t="shared" si="389"/>
        <v>0</v>
      </c>
      <c r="BB166" s="1169"/>
      <c r="BC166" s="1175"/>
      <c r="BD166" s="1027"/>
      <c r="BE166" s="1024"/>
      <c r="BF166" s="1024"/>
      <c r="BG166" s="1008"/>
      <c r="BH166" s="1008"/>
      <c r="BI166" s="1008"/>
      <c r="BJ166" s="1008"/>
      <c r="BK166" s="1008"/>
      <c r="BL166" s="1008"/>
      <c r="BM166" s="1008"/>
    </row>
    <row r="167" s="1215" customFormat="1" ht="22.5" customHeight="1">
      <c r="A167" s="999" t="str">
        <f t="shared" si="301"/>
        <v xml:space="preserve">Кирпа Е.Д.</v>
      </c>
      <c r="B167" s="1202" t="s">
        <v>75</v>
      </c>
      <c r="C167" s="1202"/>
      <c r="D167" s="1202"/>
      <c r="E167" s="1164">
        <f t="shared" si="390"/>
        <v>0</v>
      </c>
      <c r="F167" s="1164">
        <f t="shared" si="391"/>
        <v>8553</v>
      </c>
      <c r="G167" s="1165">
        <f t="shared" si="383"/>
        <v>8553</v>
      </c>
      <c r="H167" s="1166"/>
      <c r="I167" s="1167">
        <f t="shared" si="303"/>
        <v>0</v>
      </c>
      <c r="J167" s="1167">
        <f t="shared" si="304"/>
        <v>5473.8800000000001</v>
      </c>
      <c r="K167" s="1168">
        <f t="shared" si="384"/>
        <v>5473.8800000000001</v>
      </c>
      <c r="L167" s="1119"/>
      <c r="M167" s="1238"/>
      <c r="N167" s="1242"/>
      <c r="O167" s="1242"/>
      <c r="P167" s="1238"/>
      <c r="Q167" s="1169">
        <f t="shared" si="385"/>
        <v>0</v>
      </c>
      <c r="R167" s="1238">
        <v>4781.0900000000001</v>
      </c>
      <c r="S167" s="1170"/>
      <c r="T167" s="1239"/>
      <c r="U167" s="1119"/>
      <c r="V167" s="1169"/>
      <c r="W167" s="1177"/>
      <c r="X167" s="1177"/>
      <c r="Y167" s="1169"/>
      <c r="Z167" s="1169">
        <f t="shared" si="386"/>
        <v>0</v>
      </c>
      <c r="AA167" s="1169">
        <v>3079.1199999999999</v>
      </c>
      <c r="AB167" s="1172">
        <f t="shared" si="308"/>
        <v>3079.1199999999999</v>
      </c>
      <c r="AC167" s="1240"/>
      <c r="AD167" s="1119"/>
      <c r="AE167" s="1169"/>
      <c r="AF167" s="1177"/>
      <c r="AG167" s="1177"/>
      <c r="AH167" s="1169"/>
      <c r="AI167" s="1169">
        <f t="shared" si="387"/>
        <v>0</v>
      </c>
      <c r="AJ167" s="1169">
        <v>692.78999999999996</v>
      </c>
      <c r="AK167" s="1173"/>
      <c r="AL167" s="1171"/>
      <c r="AM167" s="1128"/>
      <c r="AN167" s="1170"/>
      <c r="AO167" s="1175"/>
      <c r="AP167" s="1175"/>
      <c r="AQ167" s="1170"/>
      <c r="AR167" s="1170">
        <f t="shared" si="388"/>
        <v>0</v>
      </c>
      <c r="AS167" s="1170"/>
      <c r="AT167" s="1170"/>
      <c r="AU167" s="1174"/>
      <c r="AV167" s="1128"/>
      <c r="AW167" s="1169"/>
      <c r="AX167" s="1177"/>
      <c r="AY167" s="1177"/>
      <c r="AZ167" s="1169"/>
      <c r="BA167" s="1169">
        <f t="shared" si="389"/>
        <v>0</v>
      </c>
      <c r="BB167" s="1169"/>
      <c r="BC167" s="1175"/>
      <c r="BD167" s="1027"/>
      <c r="BE167" s="1024"/>
      <c r="BF167" s="1024"/>
      <c r="BG167" s="1008"/>
      <c r="BH167" s="1008"/>
      <c r="BI167" s="1008"/>
      <c r="BJ167" s="1008"/>
      <c r="BK167" s="1008"/>
      <c r="BL167" s="1008"/>
      <c r="BM167" s="1008"/>
    </row>
    <row r="168" s="1215" customFormat="1" ht="22.5" customHeight="1">
      <c r="A168" s="999" t="str">
        <f t="shared" si="301"/>
        <v xml:space="preserve">Трофимкина Н.В.</v>
      </c>
      <c r="B168" s="1202" t="s">
        <v>431</v>
      </c>
      <c r="C168" s="1202"/>
      <c r="D168" s="1202"/>
      <c r="E168" s="1164">
        <f t="shared" si="390"/>
        <v>0</v>
      </c>
      <c r="F168" s="1164">
        <f t="shared" si="391"/>
        <v>46508.510000000002</v>
      </c>
      <c r="G168" s="1165">
        <f t="shared" si="383"/>
        <v>46508.510000000002</v>
      </c>
      <c r="H168" s="1166"/>
      <c r="I168" s="1167">
        <f t="shared" si="303"/>
        <v>0</v>
      </c>
      <c r="J168" s="1167">
        <f t="shared" si="304"/>
        <v>46508.510000000002</v>
      </c>
      <c r="K168" s="1168">
        <f t="shared" si="384"/>
        <v>46508.510000000002</v>
      </c>
      <c r="L168" s="1119"/>
      <c r="M168" s="1238"/>
      <c r="N168" s="1242"/>
      <c r="O168" s="1242"/>
      <c r="P168" s="1238"/>
      <c r="Q168" s="1169">
        <f t="shared" si="385"/>
        <v>0</v>
      </c>
      <c r="R168" s="1238">
        <v>46508.510000000002</v>
      </c>
      <c r="S168" s="1170"/>
      <c r="T168" s="1239"/>
      <c r="U168" s="1119"/>
      <c r="V168" s="1169"/>
      <c r="W168" s="1177"/>
      <c r="X168" s="1177"/>
      <c r="Y168" s="1169"/>
      <c r="Z168" s="1169">
        <f t="shared" si="386"/>
        <v>0</v>
      </c>
      <c r="AA168" s="1169"/>
      <c r="AB168" s="1172">
        <f t="shared" si="308"/>
        <v>0</v>
      </c>
      <c r="AC168" s="1240"/>
      <c r="AD168" s="1119"/>
      <c r="AE168" s="1169"/>
      <c r="AF168" s="1177"/>
      <c r="AG168" s="1177"/>
      <c r="AH168" s="1169"/>
      <c r="AI168" s="1169">
        <f t="shared" si="387"/>
        <v>0</v>
      </c>
      <c r="AJ168" s="1169"/>
      <c r="AK168" s="1173"/>
      <c r="AL168" s="1171"/>
      <c r="AM168" s="1128"/>
      <c r="AN168" s="1170"/>
      <c r="AO168" s="1175"/>
      <c r="AP168" s="1175"/>
      <c r="AQ168" s="1170"/>
      <c r="AR168" s="1170">
        <f t="shared" si="388"/>
        <v>0</v>
      </c>
      <c r="AS168" s="1170"/>
      <c r="AT168" s="1170"/>
      <c r="AU168" s="1174"/>
      <c r="AV168" s="1128"/>
      <c r="AW168" s="1169"/>
      <c r="AX168" s="1177"/>
      <c r="AY168" s="1177"/>
      <c r="AZ168" s="1169"/>
      <c r="BA168" s="1169">
        <f t="shared" si="389"/>
        <v>0</v>
      </c>
      <c r="BB168" s="1169"/>
      <c r="BC168" s="1175"/>
      <c r="BD168" s="1027"/>
      <c r="BE168" s="1024"/>
      <c r="BF168" s="1024"/>
      <c r="BG168" s="1008"/>
      <c r="BH168" s="1008"/>
      <c r="BI168" s="1008"/>
      <c r="BJ168" s="1008"/>
      <c r="BK168" s="1008"/>
      <c r="BL168" s="1008"/>
      <c r="BM168" s="1008"/>
    </row>
    <row r="169" s="1215" customFormat="1" ht="22.5" customHeight="1">
      <c r="A169" s="999" t="str">
        <f t="shared" si="301"/>
        <v xml:space="preserve">Жилкина В.В.</v>
      </c>
      <c r="B169" s="1202" t="s">
        <v>433</v>
      </c>
      <c r="C169" s="1217"/>
      <c r="D169" s="1217"/>
      <c r="E169" s="1164">
        <f t="shared" si="390"/>
        <v>0</v>
      </c>
      <c r="F169" s="1164">
        <f t="shared" si="391"/>
        <v>32353.34</v>
      </c>
      <c r="G169" s="1165">
        <f t="shared" si="383"/>
        <v>32353.34</v>
      </c>
      <c r="H169" s="1166"/>
      <c r="I169" s="1167">
        <f t="shared" si="303"/>
        <v>0</v>
      </c>
      <c r="J169" s="1167">
        <f t="shared" si="304"/>
        <v>24843.299999999999</v>
      </c>
      <c r="K169" s="1168">
        <f t="shared" si="384"/>
        <v>24843.299999999999</v>
      </c>
      <c r="L169" s="1119"/>
      <c r="M169" s="1238"/>
      <c r="N169" s="1242"/>
      <c r="O169" s="1242"/>
      <c r="P169" s="1238"/>
      <c r="Q169" s="1169">
        <f t="shared" si="385"/>
        <v>0</v>
      </c>
      <c r="R169" s="1238">
        <v>22860.549999999999</v>
      </c>
      <c r="S169" s="1170"/>
      <c r="T169" s="1239"/>
      <c r="U169" s="1119"/>
      <c r="V169" s="1169"/>
      <c r="W169" s="1177"/>
      <c r="X169" s="1177"/>
      <c r="Y169" s="1169"/>
      <c r="Z169" s="1169">
        <f t="shared" si="386"/>
        <v>0</v>
      </c>
      <c r="AA169" s="1169">
        <v>7510.04</v>
      </c>
      <c r="AB169" s="1172">
        <f t="shared" si="308"/>
        <v>7510.04</v>
      </c>
      <c r="AC169" s="1240"/>
      <c r="AD169" s="1119"/>
      <c r="AE169" s="1169"/>
      <c r="AF169" s="1177"/>
      <c r="AG169" s="1177"/>
      <c r="AH169" s="1169"/>
      <c r="AI169" s="1169">
        <f t="shared" si="387"/>
        <v>0</v>
      </c>
      <c r="AJ169" s="1169">
        <v>1982.75</v>
      </c>
      <c r="AK169" s="1173"/>
      <c r="AL169" s="1171"/>
      <c r="AM169" s="1128"/>
      <c r="AN169" s="1170"/>
      <c r="AO169" s="1175"/>
      <c r="AP169" s="1175"/>
      <c r="AQ169" s="1170"/>
      <c r="AR169" s="1170">
        <f t="shared" si="388"/>
        <v>0</v>
      </c>
      <c r="AS169" s="1170"/>
      <c r="AT169" s="1170"/>
      <c r="AU169" s="1174"/>
      <c r="AV169" s="1128"/>
      <c r="AW169" s="1169"/>
      <c r="AX169" s="1177"/>
      <c r="AY169" s="1177"/>
      <c r="AZ169" s="1169"/>
      <c r="BA169" s="1169">
        <f t="shared" si="389"/>
        <v>0</v>
      </c>
      <c r="BB169" s="1169"/>
      <c r="BC169" s="1175"/>
      <c r="BD169" s="1027"/>
      <c r="BE169" s="1024"/>
      <c r="BF169" s="1024"/>
      <c r="BG169" s="1008"/>
      <c r="BH169" s="1008"/>
      <c r="BI169" s="1008"/>
      <c r="BJ169" s="1008"/>
      <c r="BK169" s="1008"/>
      <c r="BL169" s="1008"/>
      <c r="BM169" s="1008"/>
    </row>
    <row r="170" s="1215" customFormat="1" ht="22.5" customHeight="1">
      <c r="A170" s="1216" t="str">
        <f t="shared" si="301"/>
        <v xml:space="preserve">Марушенко В.Н. Донцова Н.Г.</v>
      </c>
      <c r="B170" s="1202" t="s">
        <v>435</v>
      </c>
      <c r="C170" s="1202"/>
      <c r="D170" s="1202"/>
      <c r="E170" s="1164">
        <f t="shared" si="390"/>
        <v>8928.8600000000006</v>
      </c>
      <c r="F170" s="1164">
        <f t="shared" si="391"/>
        <v>159172.05000000002</v>
      </c>
      <c r="G170" s="1165">
        <f t="shared" si="383"/>
        <v>168100.91000000003</v>
      </c>
      <c r="H170" s="1166"/>
      <c r="I170" s="1167">
        <f t="shared" si="303"/>
        <v>8928.8600000000006</v>
      </c>
      <c r="J170" s="1167">
        <f t="shared" si="304"/>
        <v>151662.01000000001</v>
      </c>
      <c r="K170" s="1168">
        <f t="shared" si="384"/>
        <v>160590.87</v>
      </c>
      <c r="L170" s="1119"/>
      <c r="M170" s="1238"/>
      <c r="N170" s="1242"/>
      <c r="O170" s="1242"/>
      <c r="P170" s="1238">
        <v>8928.8600000000006</v>
      </c>
      <c r="Q170" s="1169">
        <f t="shared" si="385"/>
        <v>8928.8600000000006</v>
      </c>
      <c r="R170" s="1238">
        <v>151662.01000000001</v>
      </c>
      <c r="S170" s="1170"/>
      <c r="T170" s="1239"/>
      <c r="U170" s="1119"/>
      <c r="V170" s="1169"/>
      <c r="W170" s="1177"/>
      <c r="X170" s="1177"/>
      <c r="Y170" s="1169"/>
      <c r="Z170" s="1169">
        <f t="shared" si="386"/>
        <v>0</v>
      </c>
      <c r="AA170" s="1169">
        <v>7510.04</v>
      </c>
      <c r="AB170" s="1172">
        <f t="shared" si="308"/>
        <v>7510.04</v>
      </c>
      <c r="AC170" s="1240"/>
      <c r="AD170" s="1119"/>
      <c r="AE170" s="1169"/>
      <c r="AF170" s="1177"/>
      <c r="AG170" s="1177"/>
      <c r="AH170" s="1169"/>
      <c r="AI170" s="1169">
        <f t="shared" si="387"/>
        <v>0</v>
      </c>
      <c r="AJ170" s="1169"/>
      <c r="AK170" s="1173"/>
      <c r="AL170" s="1171"/>
      <c r="AM170" s="1128"/>
      <c r="AN170" s="1170"/>
      <c r="AO170" s="1175"/>
      <c r="AP170" s="1175"/>
      <c r="AQ170" s="1170"/>
      <c r="AR170" s="1170">
        <f t="shared" si="388"/>
        <v>0</v>
      </c>
      <c r="AS170" s="1170"/>
      <c r="AT170" s="1170"/>
      <c r="AU170" s="1174"/>
      <c r="AV170" s="1128"/>
      <c r="AW170" s="1169"/>
      <c r="AX170" s="1177"/>
      <c r="AY170" s="1177"/>
      <c r="AZ170" s="1169"/>
      <c r="BA170" s="1169">
        <f t="shared" si="389"/>
        <v>0</v>
      </c>
      <c r="BB170" s="1169"/>
      <c r="BC170" s="1175"/>
      <c r="BD170" s="1027"/>
      <c r="BE170" s="1024"/>
      <c r="BF170" s="1024"/>
      <c r="BG170" s="1008"/>
      <c r="BH170" s="1008"/>
      <c r="BI170" s="1008"/>
      <c r="BJ170" s="1008"/>
      <c r="BK170" s="1008"/>
      <c r="BL170" s="1008"/>
      <c r="BM170" s="1008"/>
    </row>
    <row r="171" s="1215" customFormat="1" ht="22.5" customHeight="1">
      <c r="A171" s="999">
        <f t="shared" si="301"/>
        <v>0</v>
      </c>
      <c r="B171" s="1202" t="s">
        <v>436</v>
      </c>
      <c r="C171" s="1202"/>
      <c r="D171" s="1202"/>
      <c r="E171" s="1164">
        <f t="shared" si="390"/>
        <v>0</v>
      </c>
      <c r="F171" s="1164">
        <f t="shared" si="391"/>
        <v>0</v>
      </c>
      <c r="G171" s="1165">
        <f t="shared" si="383"/>
        <v>0</v>
      </c>
      <c r="H171" s="1166"/>
      <c r="I171" s="1167">
        <f t="shared" si="303"/>
        <v>0</v>
      </c>
      <c r="J171" s="1167">
        <f t="shared" si="304"/>
        <v>0</v>
      </c>
      <c r="K171" s="1168">
        <f t="shared" si="384"/>
        <v>0</v>
      </c>
      <c r="L171" s="1119"/>
      <c r="M171" s="1238"/>
      <c r="N171" s="1242"/>
      <c r="O171" s="1242"/>
      <c r="P171" s="1238"/>
      <c r="Q171" s="1169">
        <f t="shared" si="385"/>
        <v>0</v>
      </c>
      <c r="R171" s="1238"/>
      <c r="S171" s="1170"/>
      <c r="T171" s="1239"/>
      <c r="U171" s="1119"/>
      <c r="V171" s="1169"/>
      <c r="W171" s="1177"/>
      <c r="X171" s="1177"/>
      <c r="Y171" s="1169"/>
      <c r="Z171" s="1169">
        <f t="shared" si="386"/>
        <v>0</v>
      </c>
      <c r="AA171" s="1169"/>
      <c r="AB171" s="1172">
        <f t="shared" si="308"/>
        <v>0</v>
      </c>
      <c r="AC171" s="1240"/>
      <c r="AD171" s="1119"/>
      <c r="AE171" s="1169"/>
      <c r="AF171" s="1177"/>
      <c r="AG171" s="1177"/>
      <c r="AH171" s="1169"/>
      <c r="AI171" s="1169">
        <f t="shared" si="387"/>
        <v>0</v>
      </c>
      <c r="AJ171" s="1169"/>
      <c r="AK171" s="1173"/>
      <c r="AL171" s="1171"/>
      <c r="AM171" s="1128"/>
      <c r="AN171" s="1170"/>
      <c r="AO171" s="1175"/>
      <c r="AP171" s="1175"/>
      <c r="AQ171" s="1170"/>
      <c r="AR171" s="1170">
        <f t="shared" si="388"/>
        <v>0</v>
      </c>
      <c r="AS171" s="1170"/>
      <c r="AT171" s="1170"/>
      <c r="AU171" s="1174"/>
      <c r="AV171" s="1128"/>
      <c r="AW171" s="1169"/>
      <c r="AX171" s="1177"/>
      <c r="AY171" s="1177"/>
      <c r="AZ171" s="1169"/>
      <c r="BA171" s="1169">
        <f t="shared" si="389"/>
        <v>0</v>
      </c>
      <c r="BB171" s="1169"/>
      <c r="BC171" s="1175"/>
      <c r="BD171" s="1027"/>
      <c r="BE171" s="1024"/>
      <c r="BF171" s="1024"/>
      <c r="BG171" s="1008"/>
      <c r="BH171" s="1008"/>
      <c r="BI171" s="1008"/>
      <c r="BJ171" s="1008"/>
      <c r="BK171" s="1008"/>
      <c r="BL171" s="1008"/>
      <c r="BM171" s="1008"/>
    </row>
    <row r="172" s="1215" customFormat="1" ht="22.5" customHeight="1">
      <c r="A172" s="999" t="str">
        <f t="shared" si="301"/>
        <v xml:space="preserve">Кузнецова Е.В.</v>
      </c>
      <c r="B172" s="1202" t="s">
        <v>78</v>
      </c>
      <c r="C172" s="1223"/>
      <c r="D172" s="1223"/>
      <c r="E172" s="1164">
        <f t="shared" si="390"/>
        <v>0</v>
      </c>
      <c r="F172" s="1164">
        <f t="shared" si="391"/>
        <v>0</v>
      </c>
      <c r="G172" s="1165">
        <f t="shared" si="383"/>
        <v>0</v>
      </c>
      <c r="H172" s="1166"/>
      <c r="I172" s="1167">
        <f t="shared" si="303"/>
        <v>0</v>
      </c>
      <c r="J172" s="1167">
        <f t="shared" si="304"/>
        <v>0</v>
      </c>
      <c r="K172" s="1168">
        <f t="shared" si="384"/>
        <v>0</v>
      </c>
      <c r="L172" s="1119"/>
      <c r="M172" s="1238"/>
      <c r="N172" s="1242"/>
      <c r="O172" s="1242"/>
      <c r="P172" s="1238"/>
      <c r="Q172" s="1169">
        <f t="shared" si="385"/>
        <v>0</v>
      </c>
      <c r="R172" s="1238"/>
      <c r="S172" s="1170"/>
      <c r="T172" s="1239"/>
      <c r="U172" s="1119"/>
      <c r="V172" s="1169"/>
      <c r="W172" s="1177"/>
      <c r="X172" s="1177"/>
      <c r="Y172" s="1169"/>
      <c r="Z172" s="1169">
        <f t="shared" si="386"/>
        <v>0</v>
      </c>
      <c r="AA172" s="1169"/>
      <c r="AB172" s="1172">
        <f t="shared" si="308"/>
        <v>0</v>
      </c>
      <c r="AC172" s="1240"/>
      <c r="AD172" s="1119"/>
      <c r="AE172" s="1169"/>
      <c r="AF172" s="1177"/>
      <c r="AG172" s="1177"/>
      <c r="AH172" s="1169"/>
      <c r="AI172" s="1169">
        <f t="shared" si="387"/>
        <v>0</v>
      </c>
      <c r="AJ172" s="1169"/>
      <c r="AK172" s="1173"/>
      <c r="AL172" s="1171"/>
      <c r="AM172" s="1128"/>
      <c r="AN172" s="1170"/>
      <c r="AO172" s="1175"/>
      <c r="AP172" s="1175"/>
      <c r="AQ172" s="1170"/>
      <c r="AR172" s="1170">
        <f t="shared" si="388"/>
        <v>0</v>
      </c>
      <c r="AS172" s="1170"/>
      <c r="AT172" s="1170"/>
      <c r="AU172" s="1174"/>
      <c r="AV172" s="1128"/>
      <c r="AW172" s="1169"/>
      <c r="AX172" s="1177"/>
      <c r="AY172" s="1177"/>
      <c r="AZ172" s="1169"/>
      <c r="BA172" s="1169">
        <f t="shared" si="389"/>
        <v>0</v>
      </c>
      <c r="BB172" s="1169"/>
      <c r="BC172" s="1175"/>
      <c r="BD172" s="1027"/>
      <c r="BE172" s="1024"/>
      <c r="BF172" s="1024"/>
      <c r="BG172" s="1008"/>
      <c r="BH172" s="1008"/>
      <c r="BI172" s="1008"/>
      <c r="BJ172" s="1008"/>
      <c r="BK172" s="1008"/>
      <c r="BL172" s="1008"/>
      <c r="BM172" s="1008"/>
    </row>
    <row r="173" s="1215" customFormat="1" ht="22.5" customHeight="1">
      <c r="A173" s="999">
        <f t="shared" ref="A173:A200" si="392">A75</f>
        <v>0</v>
      </c>
      <c r="B173" s="1205" t="s">
        <v>22</v>
      </c>
      <c r="C173" s="1205"/>
      <c r="D173" s="1205"/>
      <c r="E173" s="1183">
        <f t="shared" si="390"/>
        <v>1148601.3800000001</v>
      </c>
      <c r="F173" s="1183">
        <f t="shared" si="391"/>
        <v>15729971.480000002</v>
      </c>
      <c r="G173" s="1184">
        <f>SUM(G160:G172)</f>
        <v>16878572.859999999</v>
      </c>
      <c r="H173" s="1185"/>
      <c r="I173" s="1186">
        <f t="shared" ref="I173:J236" si="393">E173-Z173</f>
        <v>1148601.3800000001</v>
      </c>
      <c r="J173" s="1186">
        <f t="shared" ref="J173:J236" si="394">F173-AA173</f>
        <v>15471618.870000003</v>
      </c>
      <c r="K173" s="1187">
        <f>SUM(K160:K172)</f>
        <v>16620220.250000002</v>
      </c>
      <c r="L173" s="1119"/>
      <c r="M173" s="1096">
        <f t="shared" ref="M173:R173" si="395">SUM(M160:M172)</f>
        <v>0</v>
      </c>
      <c r="N173" s="1096">
        <f t="shared" si="395"/>
        <v>0</v>
      </c>
      <c r="O173" s="1096">
        <f t="shared" si="395"/>
        <v>0</v>
      </c>
      <c r="P173" s="1096">
        <f t="shared" si="395"/>
        <v>1075173.1300000001</v>
      </c>
      <c r="Q173" s="1096">
        <f t="shared" si="395"/>
        <v>1075173.1300000001</v>
      </c>
      <c r="R173" s="1096">
        <f t="shared" si="395"/>
        <v>15398020.470000003</v>
      </c>
      <c r="S173" s="1170"/>
      <c r="T173" s="1243"/>
      <c r="U173" s="1119"/>
      <c r="V173" s="1096">
        <f t="shared" ref="V173:AA173" si="396">SUM(V160:V172)</f>
        <v>0</v>
      </c>
      <c r="W173" s="1096">
        <f t="shared" si="396"/>
        <v>0</v>
      </c>
      <c r="X173" s="1096">
        <f t="shared" si="396"/>
        <v>0</v>
      </c>
      <c r="Y173" s="1096">
        <f t="shared" si="396"/>
        <v>0</v>
      </c>
      <c r="Z173" s="1096">
        <f t="shared" si="396"/>
        <v>0</v>
      </c>
      <c r="AA173" s="1096">
        <f t="shared" si="396"/>
        <v>258352.61000000004</v>
      </c>
      <c r="AB173" s="1172">
        <f t="shared" ref="AB173:AB201" si="397">Z173+AA173</f>
        <v>258352.61000000004</v>
      </c>
      <c r="AC173" s="1243"/>
      <c r="AD173" s="1119"/>
      <c r="AE173" s="1096">
        <f t="shared" ref="AE173:AJ173" si="398">SUM(AE160:AE172)</f>
        <v>0</v>
      </c>
      <c r="AF173" s="1096">
        <f t="shared" si="398"/>
        <v>0</v>
      </c>
      <c r="AG173" s="1096">
        <f t="shared" si="398"/>
        <v>0</v>
      </c>
      <c r="AH173" s="1096">
        <f t="shared" si="398"/>
        <v>73428.25</v>
      </c>
      <c r="AI173" s="1096">
        <f t="shared" si="398"/>
        <v>73428.25</v>
      </c>
      <c r="AJ173" s="1096">
        <f t="shared" si="398"/>
        <v>73598.399999999994</v>
      </c>
      <c r="AK173" s="1173"/>
      <c r="AL173" s="1189"/>
      <c r="AM173" s="1128"/>
      <c r="AN173" s="1190">
        <f t="shared" ref="AN173:AS173" si="399">SUM(AN160:AN172)</f>
        <v>0</v>
      </c>
      <c r="AO173" s="1190">
        <f t="shared" si="399"/>
        <v>0</v>
      </c>
      <c r="AP173" s="1190">
        <f t="shared" si="399"/>
        <v>0</v>
      </c>
      <c r="AQ173" s="1190">
        <f t="shared" si="399"/>
        <v>0</v>
      </c>
      <c r="AR173" s="1190">
        <f t="shared" si="399"/>
        <v>0</v>
      </c>
      <c r="AS173" s="1190">
        <f t="shared" si="399"/>
        <v>0</v>
      </c>
      <c r="AT173" s="1170"/>
      <c r="AU173" s="1191"/>
      <c r="AV173" s="1128"/>
      <c r="AW173" s="1096">
        <f t="shared" ref="AW173:BB173" si="400">SUM(AW160:AW172)</f>
        <v>0</v>
      </c>
      <c r="AX173" s="1096">
        <f t="shared" si="400"/>
        <v>0</v>
      </c>
      <c r="AY173" s="1096">
        <f t="shared" si="400"/>
        <v>0</v>
      </c>
      <c r="AZ173" s="1096">
        <f t="shared" si="400"/>
        <v>0</v>
      </c>
      <c r="BA173" s="1096">
        <f t="shared" si="400"/>
        <v>0</v>
      </c>
      <c r="BB173" s="1096">
        <f t="shared" si="400"/>
        <v>0</v>
      </c>
      <c r="BC173" s="1175"/>
      <c r="BD173" s="1027"/>
      <c r="BE173" s="1024"/>
      <c r="BF173" s="1024"/>
      <c r="BG173" s="1008"/>
      <c r="BH173" s="1008"/>
      <c r="BI173" s="1008"/>
      <c r="BJ173" s="1008"/>
      <c r="BK173" s="1008"/>
      <c r="BL173" s="1008"/>
      <c r="BM173" s="1008"/>
    </row>
    <row r="174" s="1215" customFormat="1" ht="22.5" customHeight="1">
      <c r="A174" s="999" t="str">
        <f t="shared" si="392"/>
        <v xml:space="preserve">Титякова Т.А.</v>
      </c>
      <c r="B174" s="1202" t="s">
        <v>26</v>
      </c>
      <c r="C174" s="1202"/>
      <c r="D174" s="1202"/>
      <c r="E174" s="1164">
        <f t="shared" si="390"/>
        <v>34063.779999999999</v>
      </c>
      <c r="F174" s="1164">
        <f t="shared" si="391"/>
        <v>84519.439999999988</v>
      </c>
      <c r="G174" s="1165">
        <f t="shared" ref="G174:G199" si="401">E174+F174</f>
        <v>118583.21999999999</v>
      </c>
      <c r="H174" s="1166"/>
      <c r="I174" s="1167">
        <f t="shared" si="393"/>
        <v>34063.779999999999</v>
      </c>
      <c r="J174" s="1167">
        <f t="shared" si="394"/>
        <v>77009.399999999994</v>
      </c>
      <c r="K174" s="1168">
        <f t="shared" ref="K174:K199" si="402">I174+J174</f>
        <v>111073.17999999999</v>
      </c>
      <c r="L174" s="1119"/>
      <c r="M174" s="1238"/>
      <c r="N174" s="1242"/>
      <c r="O174" s="1242"/>
      <c r="P174" s="1238">
        <v>34063.779999999999</v>
      </c>
      <c r="Q174" s="1169">
        <f t="shared" ref="Q174:Q199" si="403">SUM(M174:P174)</f>
        <v>34063.779999999999</v>
      </c>
      <c r="R174" s="1238">
        <v>77009.399999999994</v>
      </c>
      <c r="S174" s="1170"/>
      <c r="T174" s="1239"/>
      <c r="U174" s="1119"/>
      <c r="V174" s="1169"/>
      <c r="W174" s="1177"/>
      <c r="X174" s="1177"/>
      <c r="Y174" s="1169"/>
      <c r="Z174" s="1169">
        <f t="shared" ref="Z174:Z199" si="404">SUM(V174:Y174)</f>
        <v>0</v>
      </c>
      <c r="AA174" s="1169">
        <v>7510.04</v>
      </c>
      <c r="AB174" s="1172">
        <f t="shared" si="397"/>
        <v>7510.04</v>
      </c>
      <c r="AC174" s="1240"/>
      <c r="AD174" s="1119"/>
      <c r="AE174" s="1169"/>
      <c r="AF174" s="1177"/>
      <c r="AG174" s="1177"/>
      <c r="AH174" s="1169"/>
      <c r="AI174" s="1169">
        <f t="shared" ref="AI174:AI199" si="405">SUM(AE174:AH174)</f>
        <v>0</v>
      </c>
      <c r="AJ174" s="1169"/>
      <c r="AK174" s="1173"/>
      <c r="AL174" s="1171"/>
      <c r="AM174" s="1128"/>
      <c r="AN174" s="1170"/>
      <c r="AO174" s="1175"/>
      <c r="AP174" s="1175"/>
      <c r="AQ174" s="1170"/>
      <c r="AR174" s="1170">
        <f t="shared" ref="AR174:AR199" si="406">SUM(AN174:AQ174)</f>
        <v>0</v>
      </c>
      <c r="AS174" s="1170"/>
      <c r="AT174" s="1170"/>
      <c r="AU174" s="1174"/>
      <c r="AV174" s="1128"/>
      <c r="AW174" s="1169"/>
      <c r="AX174" s="1177"/>
      <c r="AY174" s="1177"/>
      <c r="AZ174" s="1169"/>
      <c r="BA174" s="1169">
        <f t="shared" ref="BA174:BA199" si="407">SUM(AW174:AZ174)</f>
        <v>0</v>
      </c>
      <c r="BB174" s="1169"/>
      <c r="BC174" s="1175"/>
      <c r="BD174" s="1027"/>
      <c r="BE174" s="1024"/>
      <c r="BF174" s="1024"/>
      <c r="BG174" s="1008"/>
      <c r="BH174" s="1008"/>
      <c r="BI174" s="1008"/>
      <c r="BJ174" s="1008"/>
      <c r="BK174" s="1008"/>
      <c r="BL174" s="1008"/>
      <c r="BM174" s="1008"/>
    </row>
    <row r="175" s="1215" customFormat="1" ht="22.5" customHeight="1">
      <c r="A175" s="999">
        <f t="shared" si="392"/>
        <v>0</v>
      </c>
      <c r="B175" s="1202" t="s">
        <v>439</v>
      </c>
      <c r="C175" s="1202"/>
      <c r="D175" s="1202"/>
      <c r="E175" s="1164">
        <f t="shared" si="390"/>
        <v>0</v>
      </c>
      <c r="F175" s="1164">
        <f t="shared" si="391"/>
        <v>0</v>
      </c>
      <c r="G175" s="1165">
        <f t="shared" si="401"/>
        <v>0</v>
      </c>
      <c r="H175" s="1166"/>
      <c r="I175" s="1167">
        <f t="shared" si="393"/>
        <v>0</v>
      </c>
      <c r="J175" s="1167">
        <f t="shared" si="394"/>
        <v>0</v>
      </c>
      <c r="K175" s="1168">
        <f t="shared" si="402"/>
        <v>0</v>
      </c>
      <c r="L175" s="1119"/>
      <c r="M175" s="1238"/>
      <c r="N175" s="1242"/>
      <c r="O175" s="1242"/>
      <c r="P175" s="1238"/>
      <c r="Q175" s="1169">
        <f t="shared" si="403"/>
        <v>0</v>
      </c>
      <c r="R175" s="1238"/>
      <c r="S175" s="1170"/>
      <c r="T175" s="1239"/>
      <c r="U175" s="1119"/>
      <c r="V175" s="1169"/>
      <c r="W175" s="1177"/>
      <c r="X175" s="1177"/>
      <c r="Y175" s="1169"/>
      <c r="Z175" s="1169">
        <f t="shared" si="404"/>
        <v>0</v>
      </c>
      <c r="AA175" s="1169"/>
      <c r="AB175" s="1172">
        <f t="shared" si="397"/>
        <v>0</v>
      </c>
      <c r="AC175" s="1240"/>
      <c r="AD175" s="1119"/>
      <c r="AE175" s="1169"/>
      <c r="AF175" s="1177"/>
      <c r="AG175" s="1177"/>
      <c r="AH175" s="1169"/>
      <c r="AI175" s="1169">
        <f t="shared" si="405"/>
        <v>0</v>
      </c>
      <c r="AJ175" s="1169"/>
      <c r="AK175" s="1173"/>
      <c r="AL175" s="1171"/>
      <c r="AM175" s="1128"/>
      <c r="AN175" s="1170"/>
      <c r="AO175" s="1175"/>
      <c r="AP175" s="1175"/>
      <c r="AQ175" s="1170"/>
      <c r="AR175" s="1170">
        <f t="shared" si="406"/>
        <v>0</v>
      </c>
      <c r="AS175" s="1170"/>
      <c r="AT175" s="1170"/>
      <c r="AU175" s="1174"/>
      <c r="AV175" s="1128"/>
      <c r="AW175" s="1169"/>
      <c r="AX175" s="1177"/>
      <c r="AY175" s="1177"/>
      <c r="AZ175" s="1169"/>
      <c r="BA175" s="1169">
        <f t="shared" si="407"/>
        <v>0</v>
      </c>
      <c r="BB175" s="1169"/>
      <c r="BC175" s="1175"/>
      <c r="BD175" s="1027"/>
      <c r="BE175" s="1024"/>
      <c r="BF175" s="1024"/>
      <c r="BG175" s="1008"/>
      <c r="BH175" s="1008"/>
      <c r="BI175" s="1008"/>
      <c r="BJ175" s="1008"/>
      <c r="BK175" s="1008"/>
      <c r="BL175" s="1008"/>
      <c r="BM175" s="1008"/>
    </row>
    <row r="176" s="1215" customFormat="1" ht="22.5" customHeight="1">
      <c r="A176" s="999" t="str">
        <f t="shared" si="392"/>
        <v xml:space="preserve">Стрельникова АГ, Липатова СН</v>
      </c>
      <c r="B176" s="1202" t="s">
        <v>441</v>
      </c>
      <c r="C176" s="1202"/>
      <c r="D176" s="1202"/>
      <c r="E176" s="1164">
        <f t="shared" si="390"/>
        <v>4002281.8800000004</v>
      </c>
      <c r="F176" s="1164">
        <f t="shared" si="391"/>
        <v>20825.560000000001</v>
      </c>
      <c r="G176" s="1165">
        <f t="shared" si="401"/>
        <v>4023107.4400000004</v>
      </c>
      <c r="H176" s="1166"/>
      <c r="I176" s="1167">
        <f t="shared" si="393"/>
        <v>43.740000000223517</v>
      </c>
      <c r="J176" s="1167">
        <f t="shared" si="394"/>
        <v>13315.52</v>
      </c>
      <c r="K176" s="1168">
        <f t="shared" si="402"/>
        <v>13359.260000000224</v>
      </c>
      <c r="L176" s="1119"/>
      <c r="M176" s="1238"/>
      <c r="N176" s="1242"/>
      <c r="O176" s="1242"/>
      <c r="P176" s="1238">
        <v>43.740000000000002</v>
      </c>
      <c r="Q176" s="1169">
        <f t="shared" si="403"/>
        <v>43.740000000000002</v>
      </c>
      <c r="R176" s="1238">
        <v>13315.52</v>
      </c>
      <c r="S176" s="1170"/>
      <c r="T176" s="1239"/>
      <c r="U176" s="1119"/>
      <c r="V176" s="1169"/>
      <c r="W176" s="1177"/>
      <c r="X176" s="1177"/>
      <c r="Y176" s="1169">
        <v>4002238.1400000001</v>
      </c>
      <c r="Z176" s="1169">
        <f t="shared" si="404"/>
        <v>4002238.1400000001</v>
      </c>
      <c r="AA176" s="1169">
        <v>7510.04</v>
      </c>
      <c r="AB176" s="1172">
        <f t="shared" si="397"/>
        <v>4009748.1800000002</v>
      </c>
      <c r="AC176" s="1240"/>
      <c r="AD176" s="1119"/>
      <c r="AE176" s="1169"/>
      <c r="AF176" s="1177"/>
      <c r="AG176" s="1177"/>
      <c r="AH176" s="1169"/>
      <c r="AI176" s="1169">
        <f t="shared" si="405"/>
        <v>0</v>
      </c>
      <c r="AJ176" s="1169"/>
      <c r="AK176" s="1173"/>
      <c r="AL176" s="1171"/>
      <c r="AM176" s="1128"/>
      <c r="AN176" s="1170"/>
      <c r="AO176" s="1175"/>
      <c r="AP176" s="1175"/>
      <c r="AQ176" s="1170"/>
      <c r="AR176" s="1170">
        <f t="shared" si="406"/>
        <v>0</v>
      </c>
      <c r="AS176" s="1170"/>
      <c r="AT176" s="1170"/>
      <c r="AU176" s="1174"/>
      <c r="AV176" s="1128"/>
      <c r="AW176" s="1169"/>
      <c r="AX176" s="1177"/>
      <c r="AY176" s="1177"/>
      <c r="AZ176" s="1169"/>
      <c r="BA176" s="1169">
        <f t="shared" si="407"/>
        <v>0</v>
      </c>
      <c r="BB176" s="1169"/>
      <c r="BC176" s="1175"/>
      <c r="BD176" s="1027"/>
      <c r="BE176" s="1024"/>
      <c r="BF176" s="1024"/>
      <c r="BG176" s="1008"/>
      <c r="BH176" s="1008"/>
      <c r="BI176" s="1008"/>
      <c r="BJ176" s="1008"/>
      <c r="BK176" s="1008"/>
      <c r="BL176" s="1008"/>
      <c r="BM176" s="1008"/>
    </row>
    <row r="177" s="1215" customFormat="1" ht="22.5" customHeight="1">
      <c r="A177" s="999" t="str">
        <f t="shared" si="392"/>
        <v xml:space="preserve">Куликова А.Г.</v>
      </c>
      <c r="B177" s="1202" t="s">
        <v>84</v>
      </c>
      <c r="C177" s="1202"/>
      <c r="D177" s="1202"/>
      <c r="E177" s="1164">
        <f t="shared" si="390"/>
        <v>109121.13</v>
      </c>
      <c r="F177" s="1164">
        <f t="shared" si="391"/>
        <v>137310.66</v>
      </c>
      <c r="G177" s="1165">
        <f t="shared" si="401"/>
        <v>246431.79000000001</v>
      </c>
      <c r="H177" s="1166"/>
      <c r="I177" s="1167">
        <f t="shared" si="393"/>
        <v>106745.16</v>
      </c>
      <c r="J177" s="1167">
        <f t="shared" si="394"/>
        <v>135736.32000000001</v>
      </c>
      <c r="K177" s="1168">
        <f t="shared" si="402"/>
        <v>242481.48000000001</v>
      </c>
      <c r="L177" s="1119"/>
      <c r="M177" s="1238"/>
      <c r="N177" s="1242"/>
      <c r="O177" s="1242"/>
      <c r="P177" s="1238">
        <v>106745.16</v>
      </c>
      <c r="Q177" s="1169">
        <f t="shared" si="403"/>
        <v>106745.16</v>
      </c>
      <c r="R177" s="1238">
        <v>75779.139999999999</v>
      </c>
      <c r="S177" s="1170"/>
      <c r="T177" s="1239"/>
      <c r="U177" s="1119"/>
      <c r="V177" s="1169"/>
      <c r="W177" s="1177"/>
      <c r="X177" s="1177"/>
      <c r="Y177" s="1169">
        <v>2375.9699999999998</v>
      </c>
      <c r="Z177" s="1169">
        <f t="shared" si="404"/>
        <v>2375.9699999999998</v>
      </c>
      <c r="AA177" s="1169">
        <v>1574.3399999999999</v>
      </c>
      <c r="AB177" s="1172">
        <f t="shared" si="397"/>
        <v>3950.3099999999995</v>
      </c>
      <c r="AC177" s="1240"/>
      <c r="AD177" s="1119"/>
      <c r="AE177" s="1169"/>
      <c r="AF177" s="1177"/>
      <c r="AG177" s="1177"/>
      <c r="AH177" s="1169"/>
      <c r="AI177" s="1169">
        <f t="shared" si="405"/>
        <v>0</v>
      </c>
      <c r="AJ177" s="1169">
        <v>59957.18</v>
      </c>
      <c r="AK177" s="1173"/>
      <c r="AL177" s="1171"/>
      <c r="AM177" s="1128"/>
      <c r="AN177" s="1170"/>
      <c r="AO177" s="1175"/>
      <c r="AP177" s="1175"/>
      <c r="AQ177" s="1170"/>
      <c r="AR177" s="1170">
        <f t="shared" si="406"/>
        <v>0</v>
      </c>
      <c r="AS177" s="1170"/>
      <c r="AT177" s="1170"/>
      <c r="AU177" s="1174"/>
      <c r="AV177" s="1128"/>
      <c r="AW177" s="1169"/>
      <c r="AX177" s="1177"/>
      <c r="AY177" s="1177"/>
      <c r="AZ177" s="1169"/>
      <c r="BA177" s="1169">
        <f t="shared" si="407"/>
        <v>0</v>
      </c>
      <c r="BB177" s="1169"/>
      <c r="BC177" s="1175"/>
      <c r="BD177" s="1027"/>
      <c r="BE177" s="1024"/>
      <c r="BF177" s="1024"/>
      <c r="BG177" s="1008"/>
      <c r="BH177" s="1008"/>
      <c r="BI177" s="1008"/>
      <c r="BJ177" s="1008"/>
      <c r="BK177" s="1008"/>
      <c r="BL177" s="1008"/>
      <c r="BM177" s="1008"/>
    </row>
    <row r="178" s="1215" customFormat="1" ht="22.5" customHeight="1">
      <c r="A178" s="999" t="str">
        <f t="shared" si="392"/>
        <v xml:space="preserve">Жандарова ИВ, Елина С.И.</v>
      </c>
      <c r="B178" s="1202" t="s">
        <v>288</v>
      </c>
      <c r="C178" s="1202"/>
      <c r="D178" s="1202"/>
      <c r="E178" s="1164">
        <f t="shared" si="390"/>
        <v>36576.349999999999</v>
      </c>
      <c r="F178" s="1164">
        <f t="shared" si="391"/>
        <v>3641424.4499999997</v>
      </c>
      <c r="G178" s="1165">
        <f t="shared" si="401"/>
        <v>3678000.7999999998</v>
      </c>
      <c r="H178" s="1166"/>
      <c r="I178" s="1167">
        <f t="shared" si="393"/>
        <v>30529.649999999998</v>
      </c>
      <c r="J178" s="1167">
        <f t="shared" si="394"/>
        <v>3634540.0899999999</v>
      </c>
      <c r="K178" s="1168">
        <f t="shared" si="402"/>
        <v>3665069.7399999998</v>
      </c>
      <c r="L178" s="1119"/>
      <c r="M178" s="1238"/>
      <c r="N178" s="1242"/>
      <c r="O178" s="1242"/>
      <c r="P178" s="1238">
        <v>30529.650000000001</v>
      </c>
      <c r="Q178" s="1169">
        <f t="shared" si="403"/>
        <v>30529.650000000001</v>
      </c>
      <c r="R178" s="1238">
        <v>3634540.0899999999</v>
      </c>
      <c r="S178" s="1170"/>
      <c r="T178" s="1239"/>
      <c r="U178" s="1119"/>
      <c r="V178" s="1169"/>
      <c r="W178" s="1177"/>
      <c r="X178" s="1177"/>
      <c r="Y178" s="1169">
        <v>6046.6999999999998</v>
      </c>
      <c r="Z178" s="1169">
        <f t="shared" si="404"/>
        <v>6046.6999999999998</v>
      </c>
      <c r="AA178" s="1169">
        <v>6884.3599999999997</v>
      </c>
      <c r="AB178" s="1172">
        <f t="shared" si="397"/>
        <v>12931.059999999999</v>
      </c>
      <c r="AC178" s="1240"/>
      <c r="AD178" s="1119"/>
      <c r="AE178" s="1169"/>
      <c r="AF178" s="1177"/>
      <c r="AG178" s="1177"/>
      <c r="AH178" s="1169"/>
      <c r="AI178" s="1169">
        <f t="shared" si="405"/>
        <v>0</v>
      </c>
      <c r="AJ178" s="1169"/>
      <c r="AK178" s="1173"/>
      <c r="AL178" s="1171"/>
      <c r="AM178" s="1128"/>
      <c r="AN178" s="1170"/>
      <c r="AO178" s="1175"/>
      <c r="AP178" s="1175"/>
      <c r="AQ178" s="1170"/>
      <c r="AR178" s="1170">
        <f t="shared" si="406"/>
        <v>0</v>
      </c>
      <c r="AS178" s="1170"/>
      <c r="AT178" s="1170"/>
      <c r="AU178" s="1174"/>
      <c r="AV178" s="1128"/>
      <c r="AW178" s="1169"/>
      <c r="AX178" s="1177"/>
      <c r="AY178" s="1177"/>
      <c r="AZ178" s="1169"/>
      <c r="BA178" s="1169">
        <f t="shared" si="407"/>
        <v>0</v>
      </c>
      <c r="BB178" s="1169"/>
      <c r="BC178" s="1175"/>
      <c r="BD178" s="1027"/>
      <c r="BE178" s="1024"/>
      <c r="BF178" s="1024"/>
      <c r="BG178" s="1008"/>
      <c r="BH178" s="1008"/>
      <c r="BI178" s="1008"/>
      <c r="BJ178" s="1008"/>
      <c r="BK178" s="1008"/>
      <c r="BL178" s="1008"/>
      <c r="BM178" s="1008"/>
    </row>
    <row r="179" s="1215" customFormat="1" ht="22.5" customHeight="1">
      <c r="A179" s="999" t="str">
        <f t="shared" si="392"/>
        <v xml:space="preserve">Бояркина Л.Е. Кондратьева АА</v>
      </c>
      <c r="B179" s="1176" t="s">
        <v>445</v>
      </c>
      <c r="C179" s="1176"/>
      <c r="D179" s="1176"/>
      <c r="E179" s="1164">
        <f t="shared" si="390"/>
        <v>77730.680000000008</v>
      </c>
      <c r="F179" s="1164">
        <f t="shared" si="391"/>
        <v>152137.28</v>
      </c>
      <c r="G179" s="1165">
        <f t="shared" si="401"/>
        <v>229867.96000000002</v>
      </c>
      <c r="H179" s="1166"/>
      <c r="I179" s="1167">
        <f t="shared" si="393"/>
        <v>63265.020000000004</v>
      </c>
      <c r="J179" s="1167">
        <f t="shared" si="394"/>
        <v>137117.20000000001</v>
      </c>
      <c r="K179" s="1168">
        <f t="shared" si="402"/>
        <v>200382.22000000003</v>
      </c>
      <c r="L179" s="1119"/>
      <c r="M179" s="1238"/>
      <c r="N179" s="1242"/>
      <c r="O179" s="1242"/>
      <c r="P179" s="1238">
        <f>53780.72+9484.3</f>
        <v>63265.020000000004</v>
      </c>
      <c r="Q179" s="1169">
        <f t="shared" si="403"/>
        <v>63265.020000000004</v>
      </c>
      <c r="R179" s="1238">
        <f>83531.34+32815.66</f>
        <v>116347</v>
      </c>
      <c r="S179" s="1170"/>
      <c r="T179" s="1239"/>
      <c r="U179" s="1119"/>
      <c r="V179" s="1169"/>
      <c r="W179" s="1177"/>
      <c r="X179" s="1177"/>
      <c r="Y179" s="1169">
        <v>14465.66</v>
      </c>
      <c r="Z179" s="1169">
        <f t="shared" si="404"/>
        <v>14465.66</v>
      </c>
      <c r="AA179" s="1169">
        <v>15020.08</v>
      </c>
      <c r="AB179" s="1172">
        <f t="shared" si="397"/>
        <v>29485.739999999998</v>
      </c>
      <c r="AC179" s="1240"/>
      <c r="AD179" s="1119"/>
      <c r="AE179" s="1169"/>
      <c r="AF179" s="1177"/>
      <c r="AG179" s="1177"/>
      <c r="AH179" s="1169"/>
      <c r="AI179" s="1169">
        <f t="shared" si="405"/>
        <v>0</v>
      </c>
      <c r="AJ179" s="1169">
        <v>20770.200000000001</v>
      </c>
      <c r="AK179" s="1173"/>
      <c r="AL179" s="1171"/>
      <c r="AM179" s="1128"/>
      <c r="AN179" s="1170"/>
      <c r="AO179" s="1175"/>
      <c r="AP179" s="1175"/>
      <c r="AQ179" s="1170"/>
      <c r="AR179" s="1170">
        <f t="shared" si="406"/>
        <v>0</v>
      </c>
      <c r="AS179" s="1170"/>
      <c r="AT179" s="1170"/>
      <c r="AU179" s="1174"/>
      <c r="AV179" s="1128"/>
      <c r="AW179" s="1169"/>
      <c r="AX179" s="1177"/>
      <c r="AY179" s="1177"/>
      <c r="AZ179" s="1169"/>
      <c r="BA179" s="1169">
        <f t="shared" si="407"/>
        <v>0</v>
      </c>
      <c r="BB179" s="1169"/>
      <c r="BC179" s="1175"/>
      <c r="BD179" s="1027"/>
      <c r="BE179" s="1024"/>
      <c r="BF179" s="1024"/>
      <c r="BG179" s="1008"/>
      <c r="BH179" s="1008"/>
      <c r="BI179" s="1008"/>
      <c r="BJ179" s="1008"/>
      <c r="BK179" s="1008"/>
      <c r="BL179" s="1008"/>
      <c r="BM179" s="1008"/>
    </row>
    <row r="180" s="1215" customFormat="1" ht="22.5" customHeight="1">
      <c r="A180" s="999" t="str">
        <f t="shared" si="392"/>
        <v xml:space="preserve">Трофимчук О.Е., Радченко Т.А.   Куция НЛ  Красносельская (усть-Ивановка)</v>
      </c>
      <c r="B180" s="1176" t="s">
        <v>447</v>
      </c>
      <c r="C180" s="1176"/>
      <c r="D180" s="1176"/>
      <c r="E180" s="1164">
        <f t="shared" si="390"/>
        <v>53890.830000000002</v>
      </c>
      <c r="F180" s="1164">
        <f t="shared" si="391"/>
        <v>57421.309999999998</v>
      </c>
      <c r="G180" s="1165">
        <f t="shared" si="401"/>
        <v>111312.14</v>
      </c>
      <c r="H180" s="1166"/>
      <c r="I180" s="1167">
        <f t="shared" si="393"/>
        <v>22773.260000000002</v>
      </c>
      <c r="J180" s="1167">
        <f t="shared" si="394"/>
        <v>19871.110000000001</v>
      </c>
      <c r="K180" s="1168">
        <f t="shared" si="402"/>
        <v>42644.370000000003</v>
      </c>
      <c r="L180" s="1119"/>
      <c r="M180" s="1238"/>
      <c r="N180" s="1242"/>
      <c r="O180" s="1242"/>
      <c r="P180" s="1238">
        <f>3255.49+19517.77</f>
        <v>22773.260000000002</v>
      </c>
      <c r="Q180" s="1169">
        <f t="shared" si="403"/>
        <v>22773.260000000002</v>
      </c>
      <c r="R180" s="1238">
        <f>6099.37+13771.74</f>
        <v>19871.110000000001</v>
      </c>
      <c r="S180" s="1170"/>
      <c r="T180" s="1239"/>
      <c r="U180" s="1119"/>
      <c r="V180" s="1169"/>
      <c r="W180" s="1177"/>
      <c r="X180" s="1177"/>
      <c r="Y180" s="1169">
        <v>31117.57</v>
      </c>
      <c r="Z180" s="1169">
        <f t="shared" si="404"/>
        <v>31117.57</v>
      </c>
      <c r="AA180" s="1169">
        <v>37550.199999999997</v>
      </c>
      <c r="AB180" s="1172">
        <f t="shared" si="397"/>
        <v>68667.76999999999</v>
      </c>
      <c r="AC180" s="1240"/>
      <c r="AD180" s="1119"/>
      <c r="AE180" s="1169"/>
      <c r="AF180" s="1177"/>
      <c r="AG180" s="1177"/>
      <c r="AH180" s="1169"/>
      <c r="AI180" s="1169">
        <f t="shared" si="405"/>
        <v>0</v>
      </c>
      <c r="AJ180" s="1169"/>
      <c r="AK180" s="1173"/>
      <c r="AL180" s="1171"/>
      <c r="AM180" s="1128"/>
      <c r="AN180" s="1170"/>
      <c r="AO180" s="1175"/>
      <c r="AP180" s="1175"/>
      <c r="AQ180" s="1170"/>
      <c r="AR180" s="1170">
        <f t="shared" si="406"/>
        <v>0</v>
      </c>
      <c r="AS180" s="1170"/>
      <c r="AT180" s="1170"/>
      <c r="AU180" s="1174"/>
      <c r="AV180" s="1128"/>
      <c r="AW180" s="1169"/>
      <c r="AX180" s="1177"/>
      <c r="AY180" s="1177"/>
      <c r="AZ180" s="1169"/>
      <c r="BA180" s="1169">
        <f t="shared" si="407"/>
        <v>0</v>
      </c>
      <c r="BB180" s="1169"/>
      <c r="BC180" s="1175"/>
      <c r="BD180" s="1027"/>
      <c r="BE180" s="1024"/>
      <c r="BF180" s="1024"/>
      <c r="BG180" s="1008"/>
      <c r="BH180" s="1008"/>
      <c r="BI180" s="1008"/>
      <c r="BJ180" s="1008"/>
      <c r="BK180" s="1008"/>
      <c r="BL180" s="1008"/>
      <c r="BM180" s="1008"/>
    </row>
    <row r="181" s="1215" customFormat="1" ht="22.5" customHeight="1">
      <c r="A181" s="999" t="str">
        <f t="shared" si="392"/>
        <v xml:space="preserve">Третьяк О.М.</v>
      </c>
      <c r="B181" s="1176" t="s">
        <v>449</v>
      </c>
      <c r="C181" s="1176"/>
      <c r="D181" s="1176"/>
      <c r="E181" s="1164">
        <f t="shared" si="390"/>
        <v>29301.23</v>
      </c>
      <c r="F181" s="1164">
        <f t="shared" si="391"/>
        <v>17884.049999999999</v>
      </c>
      <c r="G181" s="1165">
        <f t="shared" si="401"/>
        <v>47185.279999999999</v>
      </c>
      <c r="H181" s="1166"/>
      <c r="I181" s="1167">
        <f t="shared" si="393"/>
        <v>29301.23</v>
      </c>
      <c r="J181" s="1167">
        <f t="shared" si="394"/>
        <v>17884.049999999999</v>
      </c>
      <c r="K181" s="1168">
        <f t="shared" si="402"/>
        <v>47185.279999999999</v>
      </c>
      <c r="L181" s="1119"/>
      <c r="M181" s="1238"/>
      <c r="N181" s="1242"/>
      <c r="O181" s="1242"/>
      <c r="P181" s="1238">
        <v>29301.23</v>
      </c>
      <c r="Q181" s="1169">
        <f t="shared" si="403"/>
        <v>29301.23</v>
      </c>
      <c r="R181" s="1238">
        <v>17884.049999999999</v>
      </c>
      <c r="S181" s="1170"/>
      <c r="T181" s="1239"/>
      <c r="U181" s="1119"/>
      <c r="V181" s="1169"/>
      <c r="W181" s="1177"/>
      <c r="X181" s="1177"/>
      <c r="Y181" s="1169"/>
      <c r="Z181" s="1169">
        <f t="shared" si="404"/>
        <v>0</v>
      </c>
      <c r="AA181" s="1169"/>
      <c r="AB181" s="1172">
        <f t="shared" si="397"/>
        <v>0</v>
      </c>
      <c r="AC181" s="1240"/>
      <c r="AD181" s="1119"/>
      <c r="AE181" s="1169"/>
      <c r="AF181" s="1177"/>
      <c r="AG181" s="1177"/>
      <c r="AH181" s="1169"/>
      <c r="AI181" s="1169">
        <f t="shared" si="405"/>
        <v>0</v>
      </c>
      <c r="AJ181" s="1169"/>
      <c r="AK181" s="1173"/>
      <c r="AL181" s="1171"/>
      <c r="AM181" s="1128"/>
      <c r="AN181" s="1170"/>
      <c r="AO181" s="1175"/>
      <c r="AP181" s="1175"/>
      <c r="AQ181" s="1170"/>
      <c r="AR181" s="1170">
        <f t="shared" si="406"/>
        <v>0</v>
      </c>
      <c r="AS181" s="1170"/>
      <c r="AT181" s="1170"/>
      <c r="AU181" s="1174"/>
      <c r="AV181" s="1128"/>
      <c r="AW181" s="1169"/>
      <c r="AX181" s="1177"/>
      <c r="AY181" s="1177"/>
      <c r="AZ181" s="1169"/>
      <c r="BA181" s="1169">
        <f t="shared" si="407"/>
        <v>0</v>
      </c>
      <c r="BB181" s="1169"/>
      <c r="BC181" s="1175"/>
      <c r="BD181" s="1027"/>
      <c r="BE181" s="1024"/>
      <c r="BF181" s="1024"/>
      <c r="BG181" s="1008"/>
      <c r="BH181" s="1008"/>
      <c r="BI181" s="1008"/>
      <c r="BJ181" s="1008"/>
      <c r="BK181" s="1008"/>
      <c r="BL181" s="1008"/>
      <c r="BM181" s="1008"/>
    </row>
    <row r="182" s="1215" customFormat="1" ht="22.5" customHeight="1">
      <c r="A182" s="999">
        <f t="shared" si="392"/>
        <v>0</v>
      </c>
      <c r="B182" s="1176" t="s">
        <v>450</v>
      </c>
      <c r="C182" s="1176"/>
      <c r="D182" s="1176"/>
      <c r="E182" s="1164">
        <f t="shared" si="390"/>
        <v>0</v>
      </c>
      <c r="F182" s="1164">
        <f t="shared" si="391"/>
        <v>0</v>
      </c>
      <c r="G182" s="1165">
        <f t="shared" si="401"/>
        <v>0</v>
      </c>
      <c r="H182" s="1166"/>
      <c r="I182" s="1167">
        <f t="shared" si="393"/>
        <v>0</v>
      </c>
      <c r="J182" s="1167">
        <f t="shared" si="394"/>
        <v>0</v>
      </c>
      <c r="K182" s="1168">
        <f t="shared" si="402"/>
        <v>0</v>
      </c>
      <c r="L182" s="1119"/>
      <c r="M182" s="1238"/>
      <c r="N182" s="1242"/>
      <c r="O182" s="1242"/>
      <c r="P182" s="1238"/>
      <c r="Q182" s="1169">
        <f t="shared" si="403"/>
        <v>0</v>
      </c>
      <c r="R182" s="1238"/>
      <c r="S182" s="1170"/>
      <c r="T182" s="1239"/>
      <c r="U182" s="1119"/>
      <c r="V182" s="1169"/>
      <c r="W182" s="1177"/>
      <c r="X182" s="1177"/>
      <c r="Y182" s="1169"/>
      <c r="Z182" s="1169">
        <f t="shared" si="404"/>
        <v>0</v>
      </c>
      <c r="AA182" s="1169"/>
      <c r="AB182" s="1172">
        <f t="shared" si="397"/>
        <v>0</v>
      </c>
      <c r="AC182" s="1240"/>
      <c r="AD182" s="1119"/>
      <c r="AE182" s="1169"/>
      <c r="AF182" s="1177"/>
      <c r="AG182" s="1177"/>
      <c r="AH182" s="1169"/>
      <c r="AI182" s="1169">
        <f t="shared" si="405"/>
        <v>0</v>
      </c>
      <c r="AJ182" s="1169"/>
      <c r="AK182" s="1173"/>
      <c r="AL182" s="1171"/>
      <c r="AM182" s="1128"/>
      <c r="AN182" s="1170"/>
      <c r="AO182" s="1175"/>
      <c r="AP182" s="1175"/>
      <c r="AQ182" s="1170"/>
      <c r="AR182" s="1170">
        <f t="shared" si="406"/>
        <v>0</v>
      </c>
      <c r="AS182" s="1170"/>
      <c r="AT182" s="1170"/>
      <c r="AU182" s="1174"/>
      <c r="AV182" s="1128"/>
      <c r="AW182" s="1169"/>
      <c r="AX182" s="1177"/>
      <c r="AY182" s="1177"/>
      <c r="AZ182" s="1169"/>
      <c r="BA182" s="1169">
        <f t="shared" si="407"/>
        <v>0</v>
      </c>
      <c r="BB182" s="1169"/>
      <c r="BC182" s="1175"/>
      <c r="BD182" s="1027"/>
      <c r="BE182" s="1024"/>
      <c r="BF182" s="1024"/>
      <c r="BG182" s="1008"/>
      <c r="BH182" s="1008"/>
      <c r="BI182" s="1008"/>
      <c r="BJ182" s="1008"/>
      <c r="BK182" s="1008"/>
      <c r="BL182" s="1008"/>
      <c r="BM182" s="1008"/>
    </row>
    <row r="183" s="1215" customFormat="1" ht="22.5" customHeight="1">
      <c r="A183" s="999" t="str">
        <f t="shared" si="392"/>
        <v xml:space="preserve">Бедина и Позднякова</v>
      </c>
      <c r="B183" s="1202" t="s">
        <v>452</v>
      </c>
      <c r="C183" s="1202"/>
      <c r="D183" s="1202"/>
      <c r="E183" s="1164">
        <f t="shared" si="390"/>
        <v>0</v>
      </c>
      <c r="F183" s="1164">
        <f t="shared" si="391"/>
        <v>0</v>
      </c>
      <c r="G183" s="1165">
        <f t="shared" si="401"/>
        <v>0</v>
      </c>
      <c r="H183" s="1166"/>
      <c r="I183" s="1167">
        <f t="shared" si="393"/>
        <v>0</v>
      </c>
      <c r="J183" s="1167">
        <f t="shared" si="394"/>
        <v>0</v>
      </c>
      <c r="K183" s="1168">
        <f t="shared" si="402"/>
        <v>0</v>
      </c>
      <c r="L183" s="1119"/>
      <c r="M183" s="1238"/>
      <c r="N183" s="1242"/>
      <c r="O183" s="1242"/>
      <c r="P183" s="1238"/>
      <c r="Q183" s="1169">
        <f t="shared" si="403"/>
        <v>0</v>
      </c>
      <c r="R183" s="1238"/>
      <c r="S183" s="1170"/>
      <c r="T183" s="1239"/>
      <c r="U183" s="1119"/>
      <c r="V183" s="1169"/>
      <c r="W183" s="1177"/>
      <c r="X183" s="1177"/>
      <c r="Y183" s="1169"/>
      <c r="Z183" s="1169">
        <f t="shared" si="404"/>
        <v>0</v>
      </c>
      <c r="AA183" s="1169"/>
      <c r="AB183" s="1172">
        <f t="shared" si="397"/>
        <v>0</v>
      </c>
      <c r="AC183" s="1240"/>
      <c r="AD183" s="1119"/>
      <c r="AE183" s="1169"/>
      <c r="AF183" s="1177"/>
      <c r="AG183" s="1177"/>
      <c r="AH183" s="1169"/>
      <c r="AI183" s="1169">
        <f t="shared" si="405"/>
        <v>0</v>
      </c>
      <c r="AJ183" s="1169"/>
      <c r="AK183" s="1173"/>
      <c r="AL183" s="1171"/>
      <c r="AM183" s="1128"/>
      <c r="AN183" s="1170"/>
      <c r="AO183" s="1175"/>
      <c r="AP183" s="1175"/>
      <c r="AQ183" s="1170"/>
      <c r="AR183" s="1170">
        <f t="shared" si="406"/>
        <v>0</v>
      </c>
      <c r="AS183" s="1170"/>
      <c r="AT183" s="1170"/>
      <c r="AU183" s="1174"/>
      <c r="AV183" s="1128"/>
      <c r="AW183" s="1169"/>
      <c r="AX183" s="1177"/>
      <c r="AY183" s="1177"/>
      <c r="AZ183" s="1169"/>
      <c r="BA183" s="1169">
        <f t="shared" si="407"/>
        <v>0</v>
      </c>
      <c r="BB183" s="1169"/>
      <c r="BC183" s="1175"/>
      <c r="BD183" s="1027"/>
      <c r="BE183" s="1024"/>
      <c r="BF183" s="1024"/>
      <c r="BG183" s="1008"/>
      <c r="BH183" s="1008"/>
      <c r="BI183" s="1008"/>
      <c r="BJ183" s="1008"/>
      <c r="BK183" s="1008"/>
      <c r="BL183" s="1008"/>
      <c r="BM183" s="1008"/>
    </row>
    <row r="184" s="1215" customFormat="1" ht="22.5" customHeight="1">
      <c r="A184" s="999" t="str">
        <f t="shared" si="392"/>
        <v xml:space="preserve">Макарова Е.В.</v>
      </c>
      <c r="B184" s="1202" t="s">
        <v>454</v>
      </c>
      <c r="C184" s="1202"/>
      <c r="D184" s="1202"/>
      <c r="E184" s="1164">
        <f t="shared" si="390"/>
        <v>2910.4099999999999</v>
      </c>
      <c r="F184" s="1164">
        <f t="shared" si="391"/>
        <v>0</v>
      </c>
      <c r="G184" s="1165">
        <f t="shared" si="401"/>
        <v>2910.4099999999999</v>
      </c>
      <c r="H184" s="1166"/>
      <c r="I184" s="1167">
        <f t="shared" si="393"/>
        <v>0</v>
      </c>
      <c r="J184" s="1167">
        <f t="shared" si="394"/>
        <v>0</v>
      </c>
      <c r="K184" s="1168">
        <f t="shared" si="402"/>
        <v>0</v>
      </c>
      <c r="L184" s="1119"/>
      <c r="M184" s="1238"/>
      <c r="N184" s="1242"/>
      <c r="O184" s="1242"/>
      <c r="P184" s="1238"/>
      <c r="Q184" s="1169">
        <f t="shared" si="403"/>
        <v>0</v>
      </c>
      <c r="R184" s="1238"/>
      <c r="S184" s="1170"/>
      <c r="T184" s="1239"/>
      <c r="U184" s="1119"/>
      <c r="V184" s="1169"/>
      <c r="W184" s="1177"/>
      <c r="X184" s="1177"/>
      <c r="Y184" s="1169">
        <v>2910.4099999999999</v>
      </c>
      <c r="Z184" s="1169">
        <f t="shared" si="404"/>
        <v>2910.4099999999999</v>
      </c>
      <c r="AA184" s="1169"/>
      <c r="AB184" s="1172">
        <f t="shared" si="397"/>
        <v>2910.4099999999999</v>
      </c>
      <c r="AC184" s="1240"/>
      <c r="AD184" s="1119"/>
      <c r="AE184" s="1169"/>
      <c r="AF184" s="1177"/>
      <c r="AG184" s="1177"/>
      <c r="AH184" s="1169"/>
      <c r="AI184" s="1169">
        <f t="shared" si="405"/>
        <v>0</v>
      </c>
      <c r="AJ184" s="1169"/>
      <c r="AK184" s="1173"/>
      <c r="AL184" s="1171"/>
      <c r="AM184" s="1128"/>
      <c r="AN184" s="1170"/>
      <c r="AO184" s="1175"/>
      <c r="AP184" s="1175"/>
      <c r="AQ184" s="1170"/>
      <c r="AR184" s="1170">
        <f t="shared" si="406"/>
        <v>0</v>
      </c>
      <c r="AS184" s="1170"/>
      <c r="AT184" s="1170"/>
      <c r="AU184" s="1174"/>
      <c r="AV184" s="1128"/>
      <c r="AW184" s="1169"/>
      <c r="AX184" s="1177"/>
      <c r="AY184" s="1177"/>
      <c r="AZ184" s="1169"/>
      <c r="BA184" s="1169">
        <f t="shared" si="407"/>
        <v>0</v>
      </c>
      <c r="BB184" s="1169"/>
      <c r="BC184" s="1175"/>
      <c r="BD184" s="1027"/>
      <c r="BE184" s="1024"/>
      <c r="BF184" s="1024"/>
      <c r="BG184" s="1008"/>
      <c r="BH184" s="1008"/>
      <c r="BI184" s="1008"/>
      <c r="BJ184" s="1008"/>
      <c r="BK184" s="1008"/>
      <c r="BL184" s="1008"/>
      <c r="BM184" s="1008"/>
    </row>
    <row r="185" s="1215" customFormat="1" ht="22.5" customHeight="1">
      <c r="A185" s="999" t="str">
        <f t="shared" si="392"/>
        <v xml:space="preserve">Юшкова Н.Г.</v>
      </c>
      <c r="B185" s="1202" t="s">
        <v>311</v>
      </c>
      <c r="C185" s="1202"/>
      <c r="D185" s="1202"/>
      <c r="E185" s="1164">
        <f t="shared" si="390"/>
        <v>3623.1999999999998</v>
      </c>
      <c r="F185" s="1164">
        <f t="shared" si="391"/>
        <v>7119.79</v>
      </c>
      <c r="G185" s="1165">
        <f t="shared" si="401"/>
        <v>10742.99</v>
      </c>
      <c r="H185" s="1166"/>
      <c r="I185" s="1167">
        <f t="shared" si="393"/>
        <v>3623.1999999999998</v>
      </c>
      <c r="J185" s="1167">
        <f t="shared" si="394"/>
        <v>7119.79</v>
      </c>
      <c r="K185" s="1168">
        <f t="shared" si="402"/>
        <v>10742.99</v>
      </c>
      <c r="L185" s="1119"/>
      <c r="M185" s="1238"/>
      <c r="N185" s="1242"/>
      <c r="O185" s="1242"/>
      <c r="P185" s="1238"/>
      <c r="Q185" s="1169">
        <f t="shared" si="403"/>
        <v>0</v>
      </c>
      <c r="R185" s="1238"/>
      <c r="S185" s="1170"/>
      <c r="T185" s="1239"/>
      <c r="U185" s="1119"/>
      <c r="V185" s="1169"/>
      <c r="W185" s="1177"/>
      <c r="X185" s="1177"/>
      <c r="Y185" s="1169"/>
      <c r="Z185" s="1169">
        <f t="shared" si="404"/>
        <v>0</v>
      </c>
      <c r="AA185" s="1169"/>
      <c r="AB185" s="1172">
        <f t="shared" si="397"/>
        <v>0</v>
      </c>
      <c r="AC185" s="1240"/>
      <c r="AD185" s="1119"/>
      <c r="AE185" s="1169"/>
      <c r="AF185" s="1177"/>
      <c r="AG185" s="1177"/>
      <c r="AH185" s="1169">
        <v>3623.1999999999998</v>
      </c>
      <c r="AI185" s="1169">
        <f t="shared" si="405"/>
        <v>3623.1999999999998</v>
      </c>
      <c r="AJ185" s="1169">
        <v>7119.79</v>
      </c>
      <c r="AK185" s="1173"/>
      <c r="AL185" s="1171"/>
      <c r="AM185" s="1128"/>
      <c r="AN185" s="1170"/>
      <c r="AO185" s="1175"/>
      <c r="AP185" s="1175"/>
      <c r="AQ185" s="1170"/>
      <c r="AR185" s="1170">
        <f t="shared" si="406"/>
        <v>0</v>
      </c>
      <c r="AS185" s="1170"/>
      <c r="AT185" s="1170"/>
      <c r="AU185" s="1174"/>
      <c r="AV185" s="1128"/>
      <c r="AW185" s="1169"/>
      <c r="AX185" s="1177"/>
      <c r="AY185" s="1177"/>
      <c r="AZ185" s="1169"/>
      <c r="BA185" s="1169">
        <f t="shared" si="407"/>
        <v>0</v>
      </c>
      <c r="BB185" s="1169"/>
      <c r="BC185" s="1175"/>
      <c r="BD185" s="1027"/>
      <c r="BE185" s="1024"/>
      <c r="BF185" s="1024"/>
      <c r="BG185" s="1008"/>
      <c r="BH185" s="1008"/>
      <c r="BI185" s="1008"/>
      <c r="BJ185" s="1008"/>
      <c r="BK185" s="1008"/>
      <c r="BL185" s="1008"/>
      <c r="BM185" s="1008"/>
    </row>
    <row r="186" s="1215" customFormat="1" ht="22.5" customHeight="1">
      <c r="A186" s="999">
        <f t="shared" si="392"/>
        <v>0</v>
      </c>
      <c r="B186" s="1202" t="s">
        <v>456</v>
      </c>
      <c r="C186" s="1202"/>
      <c r="D186" s="1202"/>
      <c r="E186" s="1164">
        <f t="shared" si="390"/>
        <v>0</v>
      </c>
      <c r="F186" s="1164">
        <f t="shared" si="391"/>
        <v>0</v>
      </c>
      <c r="G186" s="1165">
        <f t="shared" si="401"/>
        <v>0</v>
      </c>
      <c r="H186" s="1166"/>
      <c r="I186" s="1167">
        <f t="shared" si="393"/>
        <v>0</v>
      </c>
      <c r="J186" s="1167">
        <f t="shared" si="394"/>
        <v>0</v>
      </c>
      <c r="K186" s="1168">
        <f t="shared" si="402"/>
        <v>0</v>
      </c>
      <c r="L186" s="1119"/>
      <c r="M186" s="1238"/>
      <c r="N186" s="1242"/>
      <c r="O186" s="1242"/>
      <c r="P186" s="1238"/>
      <c r="Q186" s="1169">
        <f t="shared" si="403"/>
        <v>0</v>
      </c>
      <c r="R186" s="1238"/>
      <c r="S186" s="1170"/>
      <c r="T186" s="1239"/>
      <c r="U186" s="1119"/>
      <c r="V186" s="1169"/>
      <c r="W186" s="1177"/>
      <c r="X186" s="1177"/>
      <c r="Y186" s="1169"/>
      <c r="Z186" s="1169">
        <f t="shared" si="404"/>
        <v>0</v>
      </c>
      <c r="AA186" s="1169"/>
      <c r="AB186" s="1172">
        <f t="shared" si="397"/>
        <v>0</v>
      </c>
      <c r="AC186" s="1240"/>
      <c r="AD186" s="1119"/>
      <c r="AE186" s="1169"/>
      <c r="AF186" s="1177"/>
      <c r="AG186" s="1177"/>
      <c r="AH186" s="1169"/>
      <c r="AI186" s="1169">
        <f t="shared" si="405"/>
        <v>0</v>
      </c>
      <c r="AJ186" s="1169"/>
      <c r="AK186" s="1173"/>
      <c r="AL186" s="1171"/>
      <c r="AM186" s="1128"/>
      <c r="AN186" s="1170"/>
      <c r="AO186" s="1175"/>
      <c r="AP186" s="1175"/>
      <c r="AQ186" s="1170"/>
      <c r="AR186" s="1170">
        <f t="shared" si="406"/>
        <v>0</v>
      </c>
      <c r="AS186" s="1170"/>
      <c r="AT186" s="1170"/>
      <c r="AU186" s="1174"/>
      <c r="AV186" s="1128"/>
      <c r="AW186" s="1169"/>
      <c r="AX186" s="1177"/>
      <c r="AY186" s="1177"/>
      <c r="AZ186" s="1169"/>
      <c r="BA186" s="1169">
        <f t="shared" si="407"/>
        <v>0</v>
      </c>
      <c r="BB186" s="1169"/>
      <c r="BC186" s="1175"/>
      <c r="BD186" s="1027"/>
      <c r="BE186" s="1024"/>
      <c r="BF186" s="1024"/>
      <c r="BG186" s="1008"/>
      <c r="BH186" s="1008"/>
      <c r="BI186" s="1008"/>
      <c r="BJ186" s="1008"/>
      <c r="BK186" s="1008"/>
      <c r="BL186" s="1008"/>
      <c r="BM186" s="1008"/>
    </row>
    <row r="187" ht="22.5" customHeight="1">
      <c r="A187" s="999">
        <f t="shared" si="392"/>
        <v>0</v>
      </c>
      <c r="B187" s="1202" t="s">
        <v>457</v>
      </c>
      <c r="C187" s="1202"/>
      <c r="D187" s="1202"/>
      <c r="E187" s="1164">
        <f t="shared" si="390"/>
        <v>0</v>
      </c>
      <c r="F187" s="1164">
        <f t="shared" si="391"/>
        <v>0</v>
      </c>
      <c r="G187" s="1165">
        <f t="shared" si="401"/>
        <v>0</v>
      </c>
      <c r="H187" s="1166"/>
      <c r="I187" s="1167">
        <f t="shared" si="393"/>
        <v>0</v>
      </c>
      <c r="J187" s="1167">
        <f t="shared" si="394"/>
        <v>0</v>
      </c>
      <c r="K187" s="1168">
        <f t="shared" si="402"/>
        <v>0</v>
      </c>
      <c r="L187" s="1119"/>
      <c r="M187" s="1238"/>
      <c r="N187" s="1242"/>
      <c r="O187" s="1242"/>
      <c r="P187" s="1238"/>
      <c r="Q187" s="1169">
        <f t="shared" si="403"/>
        <v>0</v>
      </c>
      <c r="R187" s="1238"/>
      <c r="S187" s="1170"/>
      <c r="T187" s="1239"/>
      <c r="U187" s="1119"/>
      <c r="V187" s="1169"/>
      <c r="W187" s="1177"/>
      <c r="X187" s="1177"/>
      <c r="Y187" s="1169"/>
      <c r="Z187" s="1169">
        <f t="shared" si="404"/>
        <v>0</v>
      </c>
      <c r="AA187" s="1169"/>
      <c r="AB187" s="1172">
        <f t="shared" si="397"/>
        <v>0</v>
      </c>
      <c r="AC187" s="1240"/>
      <c r="AD187" s="1119"/>
      <c r="AE187" s="1169"/>
      <c r="AF187" s="1177"/>
      <c r="AG187" s="1177"/>
      <c r="AH187" s="1169"/>
      <c r="AI187" s="1169">
        <f t="shared" si="405"/>
        <v>0</v>
      </c>
      <c r="AJ187" s="1169"/>
      <c r="AK187" s="1173"/>
      <c r="AL187" s="1171"/>
      <c r="AM187" s="1128"/>
      <c r="AN187" s="1170"/>
      <c r="AO187" s="1175"/>
      <c r="AP187" s="1175"/>
      <c r="AQ187" s="1170"/>
      <c r="AR187" s="1170">
        <f t="shared" si="406"/>
        <v>0</v>
      </c>
      <c r="AS187" s="1170"/>
      <c r="AT187" s="1170"/>
      <c r="AU187" s="1174"/>
      <c r="AV187" s="1128"/>
      <c r="AW187" s="1169"/>
      <c r="AX187" s="1177"/>
      <c r="AY187" s="1177"/>
      <c r="AZ187" s="1169"/>
      <c r="BA187" s="1169">
        <f t="shared" si="407"/>
        <v>0</v>
      </c>
      <c r="BB187" s="1169"/>
      <c r="BC187" s="1175"/>
      <c r="BD187" s="1027"/>
      <c r="BE187" s="1029"/>
      <c r="BF187" s="1029"/>
    </row>
    <row r="188" s="1215" customFormat="1" ht="22.5" customHeight="1">
      <c r="A188" s="999">
        <f t="shared" si="392"/>
        <v>0</v>
      </c>
      <c r="B188" s="1202" t="s">
        <v>458</v>
      </c>
      <c r="C188" s="1202"/>
      <c r="D188" s="1202"/>
      <c r="E188" s="1164">
        <f t="shared" si="390"/>
        <v>0</v>
      </c>
      <c r="F188" s="1164">
        <f t="shared" si="391"/>
        <v>0</v>
      </c>
      <c r="G188" s="1165">
        <f t="shared" si="401"/>
        <v>0</v>
      </c>
      <c r="H188" s="1166"/>
      <c r="I188" s="1167">
        <f t="shared" si="393"/>
        <v>0</v>
      </c>
      <c r="J188" s="1167">
        <f t="shared" si="394"/>
        <v>0</v>
      </c>
      <c r="K188" s="1168">
        <f t="shared" si="402"/>
        <v>0</v>
      </c>
      <c r="L188" s="1119"/>
      <c r="M188" s="1238"/>
      <c r="N188" s="1242"/>
      <c r="O188" s="1242"/>
      <c r="P188" s="1238"/>
      <c r="Q188" s="1169">
        <f t="shared" si="403"/>
        <v>0</v>
      </c>
      <c r="R188" s="1238"/>
      <c r="S188" s="1170"/>
      <c r="T188" s="1239"/>
      <c r="U188" s="1119"/>
      <c r="V188" s="1169"/>
      <c r="W188" s="1177"/>
      <c r="X188" s="1177"/>
      <c r="Y188" s="1169"/>
      <c r="Z188" s="1169">
        <f t="shared" si="404"/>
        <v>0</v>
      </c>
      <c r="AA188" s="1169"/>
      <c r="AB188" s="1172">
        <f t="shared" si="397"/>
        <v>0</v>
      </c>
      <c r="AC188" s="1240"/>
      <c r="AD188" s="1119"/>
      <c r="AE188" s="1169"/>
      <c r="AF188" s="1177"/>
      <c r="AG188" s="1177"/>
      <c r="AH188" s="1169"/>
      <c r="AI188" s="1169">
        <f t="shared" si="405"/>
        <v>0</v>
      </c>
      <c r="AJ188" s="1169"/>
      <c r="AK188" s="1173"/>
      <c r="AL188" s="1171"/>
      <c r="AM188" s="1128"/>
      <c r="AN188" s="1170"/>
      <c r="AO188" s="1175"/>
      <c r="AP188" s="1175"/>
      <c r="AQ188" s="1170"/>
      <c r="AR188" s="1170">
        <f t="shared" si="406"/>
        <v>0</v>
      </c>
      <c r="AS188" s="1170"/>
      <c r="AT188" s="1170"/>
      <c r="AU188" s="1174"/>
      <c r="AV188" s="1128"/>
      <c r="AW188" s="1169"/>
      <c r="AX188" s="1177"/>
      <c r="AY188" s="1177"/>
      <c r="AZ188" s="1169"/>
      <c r="BA188" s="1169">
        <f t="shared" si="407"/>
        <v>0</v>
      </c>
      <c r="BB188" s="1169"/>
      <c r="BC188" s="1175"/>
      <c r="BD188" s="1027"/>
      <c r="BE188" s="1024"/>
      <c r="BF188" s="1024"/>
      <c r="BG188" s="1008"/>
      <c r="BH188" s="1008"/>
      <c r="BI188" s="1008"/>
      <c r="BJ188" s="1008"/>
      <c r="BK188" s="1008"/>
      <c r="BL188" s="1008"/>
      <c r="BM188" s="1008"/>
    </row>
    <row r="189" s="1215" customFormat="1" ht="22.5" customHeight="1">
      <c r="A189" s="999">
        <f t="shared" si="392"/>
        <v>0</v>
      </c>
      <c r="B189" s="1202" t="s">
        <v>459</v>
      </c>
      <c r="C189" s="1202"/>
      <c r="D189" s="1202"/>
      <c r="E189" s="1164">
        <f t="shared" si="390"/>
        <v>0</v>
      </c>
      <c r="F189" s="1164">
        <f t="shared" si="391"/>
        <v>0</v>
      </c>
      <c r="G189" s="1165">
        <f t="shared" si="401"/>
        <v>0</v>
      </c>
      <c r="H189" s="1166"/>
      <c r="I189" s="1167">
        <f t="shared" si="393"/>
        <v>0</v>
      </c>
      <c r="J189" s="1167">
        <f t="shared" si="394"/>
        <v>0</v>
      </c>
      <c r="K189" s="1168">
        <f t="shared" si="402"/>
        <v>0</v>
      </c>
      <c r="L189" s="1119"/>
      <c r="M189" s="1238"/>
      <c r="N189" s="1242"/>
      <c r="O189" s="1242"/>
      <c r="P189" s="1238"/>
      <c r="Q189" s="1169">
        <f t="shared" si="403"/>
        <v>0</v>
      </c>
      <c r="R189" s="1238"/>
      <c r="S189" s="1170"/>
      <c r="T189" s="1239"/>
      <c r="U189" s="1119"/>
      <c r="V189" s="1169"/>
      <c r="W189" s="1177"/>
      <c r="X189" s="1177"/>
      <c r="Y189" s="1169"/>
      <c r="Z189" s="1169">
        <f t="shared" si="404"/>
        <v>0</v>
      </c>
      <c r="AA189" s="1169"/>
      <c r="AB189" s="1172">
        <f t="shared" si="397"/>
        <v>0</v>
      </c>
      <c r="AC189" s="1240"/>
      <c r="AD189" s="1119"/>
      <c r="AE189" s="1169"/>
      <c r="AF189" s="1177"/>
      <c r="AG189" s="1177"/>
      <c r="AH189" s="1169"/>
      <c r="AI189" s="1169">
        <f t="shared" si="405"/>
        <v>0</v>
      </c>
      <c r="AJ189" s="1169"/>
      <c r="AK189" s="1173"/>
      <c r="AL189" s="1171"/>
      <c r="AM189" s="1128"/>
      <c r="AN189" s="1170"/>
      <c r="AO189" s="1175"/>
      <c r="AP189" s="1175"/>
      <c r="AQ189" s="1170"/>
      <c r="AR189" s="1170">
        <f t="shared" si="406"/>
        <v>0</v>
      </c>
      <c r="AS189" s="1170"/>
      <c r="AT189" s="1170"/>
      <c r="AU189" s="1174"/>
      <c r="AV189" s="1128"/>
      <c r="AW189" s="1169"/>
      <c r="AX189" s="1177"/>
      <c r="AY189" s="1177"/>
      <c r="AZ189" s="1169"/>
      <c r="BA189" s="1169">
        <f t="shared" si="407"/>
        <v>0</v>
      </c>
      <c r="BB189" s="1169"/>
      <c r="BC189" s="1175"/>
      <c r="BD189" s="1027"/>
      <c r="BE189" s="1024"/>
      <c r="BF189" s="1024"/>
      <c r="BG189" s="1008"/>
      <c r="BH189" s="1008"/>
      <c r="BI189" s="1008"/>
      <c r="BJ189" s="1008"/>
      <c r="BK189" s="1008"/>
      <c r="BL189" s="1008"/>
      <c r="BM189" s="1008"/>
    </row>
    <row r="190" s="1215" customFormat="1" ht="22.5" customHeight="1">
      <c r="A190" s="999">
        <f t="shared" si="392"/>
        <v>0</v>
      </c>
      <c r="B190" s="1202" t="s">
        <v>460</v>
      </c>
      <c r="C190" s="1202"/>
      <c r="D190" s="1202"/>
      <c r="E190" s="1164">
        <f t="shared" si="390"/>
        <v>0</v>
      </c>
      <c r="F190" s="1164">
        <f t="shared" si="391"/>
        <v>0</v>
      </c>
      <c r="G190" s="1165">
        <f t="shared" si="401"/>
        <v>0</v>
      </c>
      <c r="H190" s="1166"/>
      <c r="I190" s="1167">
        <f t="shared" si="393"/>
        <v>0</v>
      </c>
      <c r="J190" s="1167">
        <f t="shared" si="394"/>
        <v>0</v>
      </c>
      <c r="K190" s="1168">
        <f t="shared" si="402"/>
        <v>0</v>
      </c>
      <c r="L190" s="1119"/>
      <c r="M190" s="1238"/>
      <c r="N190" s="1242"/>
      <c r="O190" s="1242"/>
      <c r="P190" s="1238"/>
      <c r="Q190" s="1169">
        <f t="shared" si="403"/>
        <v>0</v>
      </c>
      <c r="R190" s="1238"/>
      <c r="S190" s="1170"/>
      <c r="T190" s="1239"/>
      <c r="U190" s="1119"/>
      <c r="V190" s="1169"/>
      <c r="W190" s="1177"/>
      <c r="X190" s="1177"/>
      <c r="Y190" s="1169"/>
      <c r="Z190" s="1169">
        <f t="shared" si="404"/>
        <v>0</v>
      </c>
      <c r="AA190" s="1169"/>
      <c r="AB190" s="1172">
        <f t="shared" si="397"/>
        <v>0</v>
      </c>
      <c r="AC190" s="1240"/>
      <c r="AD190" s="1119"/>
      <c r="AE190" s="1169"/>
      <c r="AF190" s="1177"/>
      <c r="AG190" s="1177"/>
      <c r="AH190" s="1169"/>
      <c r="AI190" s="1169">
        <f t="shared" si="405"/>
        <v>0</v>
      </c>
      <c r="AJ190" s="1169"/>
      <c r="AK190" s="1173"/>
      <c r="AL190" s="1171"/>
      <c r="AM190" s="1128"/>
      <c r="AN190" s="1170"/>
      <c r="AO190" s="1175"/>
      <c r="AP190" s="1175"/>
      <c r="AQ190" s="1170"/>
      <c r="AR190" s="1170">
        <f t="shared" si="406"/>
        <v>0</v>
      </c>
      <c r="AS190" s="1170"/>
      <c r="AT190" s="1170"/>
      <c r="AU190" s="1174"/>
      <c r="AV190" s="1128"/>
      <c r="AW190" s="1169"/>
      <c r="AX190" s="1177"/>
      <c r="AY190" s="1177"/>
      <c r="AZ190" s="1169"/>
      <c r="BA190" s="1169">
        <f t="shared" si="407"/>
        <v>0</v>
      </c>
      <c r="BB190" s="1169"/>
      <c r="BC190" s="1175"/>
      <c r="BD190" s="1027"/>
      <c r="BE190" s="1024"/>
      <c r="BF190" s="1024"/>
      <c r="BG190" s="1008"/>
      <c r="BH190" s="1008"/>
      <c r="BI190" s="1008"/>
      <c r="BJ190" s="1008"/>
      <c r="BK190" s="1008"/>
      <c r="BL190" s="1008"/>
      <c r="BM190" s="1008"/>
    </row>
    <row r="191" ht="22.5" customHeight="1">
      <c r="A191" s="999" t="s">
        <v>472</v>
      </c>
      <c r="B191" s="1202" t="s">
        <v>461</v>
      </c>
      <c r="C191" s="1202"/>
      <c r="D191" s="1202"/>
      <c r="E191" s="1164">
        <f t="shared" si="390"/>
        <v>0</v>
      </c>
      <c r="F191" s="1164">
        <f t="shared" si="391"/>
        <v>0</v>
      </c>
      <c r="G191" s="1165">
        <f t="shared" si="401"/>
        <v>0</v>
      </c>
      <c r="H191" s="1166"/>
      <c r="I191" s="1167">
        <f t="shared" si="393"/>
        <v>0</v>
      </c>
      <c r="J191" s="1167">
        <f t="shared" si="394"/>
        <v>0</v>
      </c>
      <c r="K191" s="1168">
        <f t="shared" si="402"/>
        <v>0</v>
      </c>
      <c r="L191" s="1119"/>
      <c r="M191" s="1238"/>
      <c r="N191" s="1242"/>
      <c r="O191" s="1242"/>
      <c r="P191" s="1238"/>
      <c r="Q191" s="1169">
        <f t="shared" si="403"/>
        <v>0</v>
      </c>
      <c r="R191" s="1238"/>
      <c r="S191" s="1170"/>
      <c r="T191" s="1239"/>
      <c r="U191" s="1119"/>
      <c r="V191" s="1169"/>
      <c r="W191" s="1177"/>
      <c r="X191" s="1177"/>
      <c r="Y191" s="1169"/>
      <c r="Z191" s="1169">
        <f t="shared" si="404"/>
        <v>0</v>
      </c>
      <c r="AA191" s="1169"/>
      <c r="AB191" s="1172">
        <f t="shared" si="397"/>
        <v>0</v>
      </c>
      <c r="AC191" s="1240"/>
      <c r="AD191" s="1119"/>
      <c r="AE191" s="1169"/>
      <c r="AF191" s="1177"/>
      <c r="AG191" s="1177"/>
      <c r="AH191" s="1169"/>
      <c r="AI191" s="1169">
        <f t="shared" si="405"/>
        <v>0</v>
      </c>
      <c r="AJ191" s="1169"/>
      <c r="AK191" s="1173"/>
      <c r="AL191" s="1171"/>
      <c r="AM191" s="1128"/>
      <c r="AN191" s="1170"/>
      <c r="AO191" s="1175"/>
      <c r="AP191" s="1175"/>
      <c r="AQ191" s="1170"/>
      <c r="AR191" s="1170">
        <f t="shared" si="406"/>
        <v>0</v>
      </c>
      <c r="AS191" s="1170"/>
      <c r="AT191" s="1170"/>
      <c r="AU191" s="1174"/>
      <c r="AV191" s="1128"/>
      <c r="AW191" s="1169"/>
      <c r="AX191" s="1177"/>
      <c r="AY191" s="1177"/>
      <c r="AZ191" s="1169"/>
      <c r="BA191" s="1169">
        <f t="shared" si="407"/>
        <v>0</v>
      </c>
      <c r="BB191" s="1169"/>
      <c r="BC191" s="1175"/>
      <c r="BD191" s="1027"/>
      <c r="BE191" s="1029"/>
      <c r="BF191" s="1029"/>
    </row>
    <row r="192" ht="22.5" customHeight="1">
      <c r="A192" s="999">
        <f t="shared" si="392"/>
        <v>0</v>
      </c>
      <c r="B192" s="1202" t="s">
        <v>462</v>
      </c>
      <c r="C192" s="1202"/>
      <c r="D192" s="1202"/>
      <c r="E192" s="1164">
        <f t="shared" si="390"/>
        <v>0</v>
      </c>
      <c r="F192" s="1164">
        <f t="shared" si="391"/>
        <v>0</v>
      </c>
      <c r="G192" s="1165">
        <f t="shared" si="401"/>
        <v>0</v>
      </c>
      <c r="H192" s="1166"/>
      <c r="I192" s="1167">
        <f t="shared" si="393"/>
        <v>0</v>
      </c>
      <c r="J192" s="1167">
        <f t="shared" si="394"/>
        <v>0</v>
      </c>
      <c r="K192" s="1168">
        <f t="shared" si="402"/>
        <v>0</v>
      </c>
      <c r="L192" s="1119"/>
      <c r="M192" s="1238"/>
      <c r="N192" s="1242"/>
      <c r="O192" s="1242"/>
      <c r="P192" s="1238"/>
      <c r="Q192" s="1169">
        <f t="shared" si="403"/>
        <v>0</v>
      </c>
      <c r="R192" s="1238"/>
      <c r="S192" s="1170"/>
      <c r="T192" s="1239"/>
      <c r="U192" s="1119"/>
      <c r="V192" s="1169"/>
      <c r="W192" s="1177"/>
      <c r="X192" s="1177"/>
      <c r="Y192" s="1169"/>
      <c r="Z192" s="1169">
        <f t="shared" si="404"/>
        <v>0</v>
      </c>
      <c r="AA192" s="1169"/>
      <c r="AB192" s="1172">
        <f t="shared" si="397"/>
        <v>0</v>
      </c>
      <c r="AC192" s="1240"/>
      <c r="AD192" s="1119"/>
      <c r="AE192" s="1169"/>
      <c r="AF192" s="1177"/>
      <c r="AG192" s="1177"/>
      <c r="AH192" s="1169"/>
      <c r="AI192" s="1169">
        <f t="shared" si="405"/>
        <v>0</v>
      </c>
      <c r="AJ192" s="1169"/>
      <c r="AK192" s="1173"/>
      <c r="AL192" s="1171"/>
      <c r="AM192" s="1128"/>
      <c r="AN192" s="1170"/>
      <c r="AO192" s="1175"/>
      <c r="AP192" s="1175"/>
      <c r="AQ192" s="1170"/>
      <c r="AR192" s="1170">
        <f t="shared" si="406"/>
        <v>0</v>
      </c>
      <c r="AS192" s="1170"/>
      <c r="AT192" s="1170"/>
      <c r="AU192" s="1174"/>
      <c r="AV192" s="1128"/>
      <c r="AW192" s="1169"/>
      <c r="AX192" s="1177"/>
      <c r="AY192" s="1177"/>
      <c r="AZ192" s="1169"/>
      <c r="BA192" s="1169">
        <f t="shared" si="407"/>
        <v>0</v>
      </c>
      <c r="BB192" s="1169"/>
      <c r="BC192" s="1175"/>
      <c r="BD192" s="1027"/>
      <c r="BE192" s="1029"/>
      <c r="BF192" s="1029"/>
    </row>
    <row r="193" ht="22.5" customHeight="1">
      <c r="A193" s="999">
        <f t="shared" si="392"/>
        <v>0</v>
      </c>
      <c r="B193" s="1202" t="s">
        <v>463</v>
      </c>
      <c r="C193" s="1202"/>
      <c r="D193" s="1202"/>
      <c r="E193" s="1164">
        <f t="shared" si="390"/>
        <v>0</v>
      </c>
      <c r="F193" s="1164">
        <f t="shared" si="391"/>
        <v>0</v>
      </c>
      <c r="G193" s="1165">
        <f t="shared" si="401"/>
        <v>0</v>
      </c>
      <c r="H193" s="1166"/>
      <c r="I193" s="1167">
        <f t="shared" si="393"/>
        <v>0</v>
      </c>
      <c r="J193" s="1167">
        <f t="shared" si="394"/>
        <v>0</v>
      </c>
      <c r="K193" s="1168">
        <f t="shared" si="402"/>
        <v>0</v>
      </c>
      <c r="L193" s="1119"/>
      <c r="M193" s="1238"/>
      <c r="N193" s="1242"/>
      <c r="O193" s="1242"/>
      <c r="P193" s="1238"/>
      <c r="Q193" s="1169">
        <f t="shared" si="403"/>
        <v>0</v>
      </c>
      <c r="R193" s="1238"/>
      <c r="S193" s="1170"/>
      <c r="T193" s="1239"/>
      <c r="U193" s="1119"/>
      <c r="V193" s="1169"/>
      <c r="W193" s="1177"/>
      <c r="X193" s="1177"/>
      <c r="Y193" s="1169"/>
      <c r="Z193" s="1169">
        <f t="shared" si="404"/>
        <v>0</v>
      </c>
      <c r="AA193" s="1169"/>
      <c r="AB193" s="1172">
        <f t="shared" si="397"/>
        <v>0</v>
      </c>
      <c r="AC193" s="1240"/>
      <c r="AD193" s="1119"/>
      <c r="AE193" s="1169"/>
      <c r="AF193" s="1177"/>
      <c r="AG193" s="1177"/>
      <c r="AH193" s="1169"/>
      <c r="AI193" s="1169">
        <f t="shared" si="405"/>
        <v>0</v>
      </c>
      <c r="AJ193" s="1169"/>
      <c r="AK193" s="1173"/>
      <c r="AL193" s="1171"/>
      <c r="AM193" s="1128"/>
      <c r="AN193" s="1170"/>
      <c r="AO193" s="1175"/>
      <c r="AP193" s="1175"/>
      <c r="AQ193" s="1170"/>
      <c r="AR193" s="1170">
        <f t="shared" si="406"/>
        <v>0</v>
      </c>
      <c r="AS193" s="1170"/>
      <c r="AT193" s="1170"/>
      <c r="AU193" s="1174"/>
      <c r="AV193" s="1128"/>
      <c r="AW193" s="1169"/>
      <c r="AX193" s="1177"/>
      <c r="AY193" s="1177"/>
      <c r="AZ193" s="1169"/>
      <c r="BA193" s="1169">
        <f t="shared" si="407"/>
        <v>0</v>
      </c>
      <c r="BB193" s="1169"/>
      <c r="BC193" s="1175"/>
      <c r="BD193" s="1027"/>
      <c r="BE193" s="1029"/>
      <c r="BF193" s="1029"/>
    </row>
    <row r="194" ht="22.5" customHeight="1">
      <c r="A194" s="999">
        <f t="shared" si="392"/>
        <v>0</v>
      </c>
      <c r="B194" s="1202" t="s">
        <v>464</v>
      </c>
      <c r="C194" s="1202"/>
      <c r="D194" s="1202"/>
      <c r="E194" s="1164">
        <f t="shared" si="390"/>
        <v>0</v>
      </c>
      <c r="F194" s="1164">
        <f t="shared" si="391"/>
        <v>0</v>
      </c>
      <c r="G194" s="1165">
        <f t="shared" si="401"/>
        <v>0</v>
      </c>
      <c r="H194" s="1166"/>
      <c r="I194" s="1167">
        <f t="shared" si="393"/>
        <v>0</v>
      </c>
      <c r="J194" s="1167">
        <f t="shared" si="394"/>
        <v>0</v>
      </c>
      <c r="K194" s="1168">
        <f t="shared" si="402"/>
        <v>0</v>
      </c>
      <c r="L194" s="1119"/>
      <c r="M194" s="1238"/>
      <c r="N194" s="1242"/>
      <c r="O194" s="1242"/>
      <c r="P194" s="1238"/>
      <c r="Q194" s="1169">
        <f t="shared" si="403"/>
        <v>0</v>
      </c>
      <c r="R194" s="1238"/>
      <c r="S194" s="1170"/>
      <c r="T194" s="1239"/>
      <c r="U194" s="1119"/>
      <c r="V194" s="1169"/>
      <c r="W194" s="1177"/>
      <c r="X194" s="1177"/>
      <c r="Y194" s="1169"/>
      <c r="Z194" s="1169">
        <f t="shared" si="404"/>
        <v>0</v>
      </c>
      <c r="AA194" s="1169"/>
      <c r="AB194" s="1172">
        <f t="shared" si="397"/>
        <v>0</v>
      </c>
      <c r="AC194" s="1240"/>
      <c r="AD194" s="1119"/>
      <c r="AE194" s="1169"/>
      <c r="AF194" s="1177"/>
      <c r="AG194" s="1177"/>
      <c r="AH194" s="1169"/>
      <c r="AI194" s="1169">
        <f t="shared" si="405"/>
        <v>0</v>
      </c>
      <c r="AJ194" s="1169"/>
      <c r="AK194" s="1173"/>
      <c r="AL194" s="1171"/>
      <c r="AM194" s="1128"/>
      <c r="AN194" s="1170"/>
      <c r="AO194" s="1175"/>
      <c r="AP194" s="1175"/>
      <c r="AQ194" s="1170"/>
      <c r="AR194" s="1170">
        <f t="shared" si="406"/>
        <v>0</v>
      </c>
      <c r="AS194" s="1170"/>
      <c r="AT194" s="1170"/>
      <c r="AU194" s="1174"/>
      <c r="AV194" s="1241"/>
      <c r="AW194" s="1169"/>
      <c r="AX194" s="1177"/>
      <c r="AY194" s="1177"/>
      <c r="AZ194" s="1169"/>
      <c r="BA194" s="1169">
        <f t="shared" si="407"/>
        <v>0</v>
      </c>
      <c r="BB194" s="1169"/>
      <c r="BC194" s="1175"/>
      <c r="BD194" s="1027"/>
      <c r="BE194" s="1029"/>
      <c r="BF194" s="1029"/>
    </row>
    <row r="195" ht="22.5" customHeight="1">
      <c r="A195" s="999">
        <f t="shared" si="392"/>
        <v>0</v>
      </c>
      <c r="B195" s="1202" t="s">
        <v>465</v>
      </c>
      <c r="C195" s="1202"/>
      <c r="D195" s="1202"/>
      <c r="E195" s="1164">
        <f t="shared" si="390"/>
        <v>0</v>
      </c>
      <c r="F195" s="1164">
        <f t="shared" si="391"/>
        <v>0</v>
      </c>
      <c r="G195" s="1165">
        <f t="shared" si="401"/>
        <v>0</v>
      </c>
      <c r="H195" s="1166"/>
      <c r="I195" s="1167">
        <f t="shared" si="393"/>
        <v>0</v>
      </c>
      <c r="J195" s="1167">
        <f t="shared" si="394"/>
        <v>0</v>
      </c>
      <c r="K195" s="1168">
        <f t="shared" si="402"/>
        <v>0</v>
      </c>
      <c r="L195" s="1119"/>
      <c r="M195" s="1238"/>
      <c r="N195" s="1242"/>
      <c r="O195" s="1242"/>
      <c r="P195" s="1238"/>
      <c r="Q195" s="1169">
        <f t="shared" si="403"/>
        <v>0</v>
      </c>
      <c r="R195" s="1238"/>
      <c r="S195" s="1170"/>
      <c r="T195" s="1239"/>
      <c r="U195" s="1119"/>
      <c r="V195" s="1169"/>
      <c r="W195" s="1177"/>
      <c r="X195" s="1177"/>
      <c r="Y195" s="1169"/>
      <c r="Z195" s="1169">
        <f t="shared" si="404"/>
        <v>0</v>
      </c>
      <c r="AA195" s="1169"/>
      <c r="AB195" s="1172">
        <f t="shared" si="397"/>
        <v>0</v>
      </c>
      <c r="AC195" s="1240"/>
      <c r="AD195" s="1119"/>
      <c r="AE195" s="1169"/>
      <c r="AF195" s="1177"/>
      <c r="AG195" s="1177"/>
      <c r="AH195" s="1169"/>
      <c r="AI195" s="1169">
        <f t="shared" si="405"/>
        <v>0</v>
      </c>
      <c r="AJ195" s="1169"/>
      <c r="AK195" s="1173"/>
      <c r="AL195" s="1171"/>
      <c r="AM195" s="1128"/>
      <c r="AN195" s="1170"/>
      <c r="AO195" s="1175"/>
      <c r="AP195" s="1175"/>
      <c r="AQ195" s="1170"/>
      <c r="AR195" s="1170">
        <f t="shared" si="406"/>
        <v>0</v>
      </c>
      <c r="AS195" s="1170"/>
      <c r="AT195" s="1170"/>
      <c r="AU195" s="1174"/>
      <c r="AV195" s="1241"/>
      <c r="AW195" s="1169"/>
      <c r="AX195" s="1177"/>
      <c r="AY195" s="1177"/>
      <c r="AZ195" s="1169"/>
      <c r="BA195" s="1169">
        <f t="shared" si="407"/>
        <v>0</v>
      </c>
      <c r="BB195" s="1169"/>
      <c r="BC195" s="1175"/>
      <c r="BD195" s="1027"/>
      <c r="BE195" s="1029"/>
      <c r="BF195" s="1029"/>
    </row>
    <row r="196" ht="22.5" customHeight="1">
      <c r="A196" s="999">
        <f t="shared" si="392"/>
        <v>0</v>
      </c>
      <c r="B196" s="1202" t="s">
        <v>303</v>
      </c>
      <c r="C196" s="1202"/>
      <c r="D196" s="1202"/>
      <c r="E196" s="1164">
        <f t="shared" si="390"/>
        <v>0</v>
      </c>
      <c r="F196" s="1164">
        <f t="shared" si="391"/>
        <v>0</v>
      </c>
      <c r="G196" s="1165">
        <f t="shared" si="401"/>
        <v>0</v>
      </c>
      <c r="H196" s="1166"/>
      <c r="I196" s="1167">
        <f t="shared" si="393"/>
        <v>0</v>
      </c>
      <c r="J196" s="1167">
        <f t="shared" si="394"/>
        <v>0</v>
      </c>
      <c r="K196" s="1168">
        <f t="shared" si="402"/>
        <v>0</v>
      </c>
      <c r="L196" s="1119"/>
      <c r="M196" s="1238"/>
      <c r="N196" s="1242"/>
      <c r="O196" s="1242"/>
      <c r="P196" s="1238"/>
      <c r="Q196" s="1169">
        <f t="shared" si="403"/>
        <v>0</v>
      </c>
      <c r="R196" s="1238"/>
      <c r="S196" s="1170"/>
      <c r="T196" s="1239"/>
      <c r="U196" s="1119"/>
      <c r="V196" s="1169"/>
      <c r="W196" s="1177"/>
      <c r="X196" s="1177"/>
      <c r="Y196" s="1169"/>
      <c r="Z196" s="1169">
        <f t="shared" si="404"/>
        <v>0</v>
      </c>
      <c r="AA196" s="1169"/>
      <c r="AB196" s="1172">
        <f t="shared" si="397"/>
        <v>0</v>
      </c>
      <c r="AC196" s="1240"/>
      <c r="AD196" s="1119"/>
      <c r="AE196" s="1169"/>
      <c r="AF196" s="1177"/>
      <c r="AG196" s="1177"/>
      <c r="AH196" s="1169"/>
      <c r="AI196" s="1169">
        <f t="shared" si="405"/>
        <v>0</v>
      </c>
      <c r="AJ196" s="1169"/>
      <c r="AK196" s="1173"/>
      <c r="AL196" s="1171"/>
      <c r="AM196" s="1128"/>
      <c r="AN196" s="1170"/>
      <c r="AO196" s="1175"/>
      <c r="AP196" s="1175"/>
      <c r="AQ196" s="1170"/>
      <c r="AR196" s="1170">
        <f t="shared" si="406"/>
        <v>0</v>
      </c>
      <c r="AS196" s="1170"/>
      <c r="AT196" s="1170"/>
      <c r="AU196" s="1174"/>
      <c r="AV196" s="1241"/>
      <c r="AW196" s="1169"/>
      <c r="AX196" s="1177"/>
      <c r="AY196" s="1177"/>
      <c r="AZ196" s="1169"/>
      <c r="BA196" s="1169">
        <f t="shared" si="407"/>
        <v>0</v>
      </c>
      <c r="BB196" s="1169"/>
      <c r="BC196" s="1175"/>
      <c r="BD196" s="1027"/>
      <c r="BE196" s="1029"/>
      <c r="BF196" s="1029"/>
    </row>
    <row r="197" ht="22.5" customHeight="1">
      <c r="A197" s="999">
        <f t="shared" si="392"/>
        <v>0</v>
      </c>
      <c r="B197" s="1202" t="s">
        <v>304</v>
      </c>
      <c r="C197" s="1202"/>
      <c r="D197" s="1202"/>
      <c r="E197" s="1164">
        <f t="shared" si="390"/>
        <v>0</v>
      </c>
      <c r="F197" s="1164">
        <f t="shared" si="391"/>
        <v>0</v>
      </c>
      <c r="G197" s="1165">
        <f t="shared" si="401"/>
        <v>0</v>
      </c>
      <c r="H197" s="1166"/>
      <c r="I197" s="1167">
        <f t="shared" si="393"/>
        <v>0</v>
      </c>
      <c r="J197" s="1167">
        <f t="shared" si="394"/>
        <v>0</v>
      </c>
      <c r="K197" s="1168">
        <f t="shared" si="402"/>
        <v>0</v>
      </c>
      <c r="L197" s="1119"/>
      <c r="M197" s="1238"/>
      <c r="N197" s="1242"/>
      <c r="O197" s="1242"/>
      <c r="P197" s="1238"/>
      <c r="Q197" s="1169">
        <f t="shared" si="403"/>
        <v>0</v>
      </c>
      <c r="R197" s="1238"/>
      <c r="S197" s="1170"/>
      <c r="T197" s="1239"/>
      <c r="U197" s="1119"/>
      <c r="V197" s="1169"/>
      <c r="W197" s="1177"/>
      <c r="X197" s="1177"/>
      <c r="Y197" s="1169"/>
      <c r="Z197" s="1169">
        <f t="shared" si="404"/>
        <v>0</v>
      </c>
      <c r="AA197" s="1169"/>
      <c r="AB197" s="1172">
        <f t="shared" si="397"/>
        <v>0</v>
      </c>
      <c r="AC197" s="1240"/>
      <c r="AD197" s="1119"/>
      <c r="AE197" s="1169"/>
      <c r="AF197" s="1177"/>
      <c r="AG197" s="1177"/>
      <c r="AH197" s="1169"/>
      <c r="AI197" s="1169">
        <f t="shared" si="405"/>
        <v>0</v>
      </c>
      <c r="AJ197" s="1169"/>
      <c r="AK197" s="1173"/>
      <c r="AL197" s="1171"/>
      <c r="AM197" s="1128"/>
      <c r="AN197" s="1170"/>
      <c r="AO197" s="1175"/>
      <c r="AP197" s="1175"/>
      <c r="AQ197" s="1170"/>
      <c r="AR197" s="1170">
        <f t="shared" si="406"/>
        <v>0</v>
      </c>
      <c r="AS197" s="1170"/>
      <c r="AT197" s="1170"/>
      <c r="AU197" s="1174"/>
      <c r="AV197" s="1241"/>
      <c r="AW197" s="1169"/>
      <c r="AX197" s="1177"/>
      <c r="AY197" s="1177"/>
      <c r="AZ197" s="1169"/>
      <c r="BA197" s="1169">
        <f t="shared" si="407"/>
        <v>0</v>
      </c>
      <c r="BB197" s="1169"/>
      <c r="BC197" s="1175"/>
      <c r="BD197" s="1027"/>
      <c r="BE197" s="1029"/>
      <c r="BF197" s="1029"/>
    </row>
    <row r="198" ht="22.5" customHeight="1">
      <c r="A198" s="999" t="str">
        <f t="shared" si="392"/>
        <v xml:space="preserve">Радченко Т.А.</v>
      </c>
      <c r="B198" s="1202" t="s">
        <v>467</v>
      </c>
      <c r="C198" s="1202"/>
      <c r="D198" s="1202"/>
      <c r="E198" s="1164">
        <f t="shared" si="390"/>
        <v>564638.06999999995</v>
      </c>
      <c r="F198" s="1164">
        <f t="shared" si="391"/>
        <v>123391.77</v>
      </c>
      <c r="G198" s="1165">
        <f t="shared" si="401"/>
        <v>688029.83999999997</v>
      </c>
      <c r="H198" s="1166"/>
      <c r="I198" s="1167">
        <f t="shared" si="393"/>
        <v>0</v>
      </c>
      <c r="J198" s="1167">
        <f t="shared" si="394"/>
        <v>0</v>
      </c>
      <c r="K198" s="1168">
        <f t="shared" si="402"/>
        <v>0</v>
      </c>
      <c r="L198" s="1119"/>
      <c r="M198" s="1238"/>
      <c r="N198" s="1242"/>
      <c r="O198" s="1242"/>
      <c r="P198" s="1238"/>
      <c r="Q198" s="1169">
        <f t="shared" si="403"/>
        <v>0</v>
      </c>
      <c r="R198" s="1238"/>
      <c r="S198" s="1170"/>
      <c r="T198" s="1239"/>
      <c r="U198" s="1119"/>
      <c r="V198" s="1169"/>
      <c r="W198" s="1177"/>
      <c r="X198" s="1177"/>
      <c r="Y198" s="1169">
        <v>564638.06999999995</v>
      </c>
      <c r="Z198" s="1169">
        <f t="shared" si="404"/>
        <v>564638.06999999995</v>
      </c>
      <c r="AA198" s="1169">
        <v>123391.77</v>
      </c>
      <c r="AB198" s="1172">
        <f t="shared" si="397"/>
        <v>688029.83999999997</v>
      </c>
      <c r="AC198" s="1240"/>
      <c r="AD198" s="1119"/>
      <c r="AE198" s="1169"/>
      <c r="AF198" s="1177"/>
      <c r="AG198" s="1177"/>
      <c r="AH198" s="1169"/>
      <c r="AI198" s="1169">
        <f t="shared" si="405"/>
        <v>0</v>
      </c>
      <c r="AJ198" s="1169"/>
      <c r="AK198" s="1173"/>
      <c r="AL198" s="1171"/>
      <c r="AM198" s="1128"/>
      <c r="AN198" s="1170"/>
      <c r="AO198" s="1175"/>
      <c r="AP198" s="1175"/>
      <c r="AQ198" s="1170"/>
      <c r="AR198" s="1170">
        <f t="shared" si="406"/>
        <v>0</v>
      </c>
      <c r="AS198" s="1170"/>
      <c r="AT198" s="1170"/>
      <c r="AU198" s="1174"/>
      <c r="AV198" s="1241"/>
      <c r="AW198" s="1169"/>
      <c r="AX198" s="1177"/>
      <c r="AY198" s="1177"/>
      <c r="AZ198" s="1169"/>
      <c r="BA198" s="1169">
        <f t="shared" si="407"/>
        <v>0</v>
      </c>
      <c r="BB198" s="1169"/>
      <c r="BC198" s="1175"/>
      <c r="BD198" s="1027"/>
      <c r="BE198" s="1029"/>
      <c r="BF198" s="1029"/>
    </row>
    <row r="199" s="1249" customFormat="1" ht="22.5" customHeight="1">
      <c r="A199" s="999" t="str">
        <f t="shared" si="392"/>
        <v xml:space="preserve">Старшие м.- АОКБ (кислород)</v>
      </c>
      <c r="B199" s="1202" t="s">
        <v>469</v>
      </c>
      <c r="C199" s="1202"/>
      <c r="D199" s="1202"/>
      <c r="E199" s="1164">
        <f t="shared" si="390"/>
        <v>0</v>
      </c>
      <c r="F199" s="1164">
        <f t="shared" si="391"/>
        <v>0</v>
      </c>
      <c r="G199" s="1165">
        <f t="shared" si="401"/>
        <v>0</v>
      </c>
      <c r="H199" s="1166"/>
      <c r="I199" s="1167">
        <f t="shared" si="393"/>
        <v>0</v>
      </c>
      <c r="J199" s="1167">
        <f t="shared" si="394"/>
        <v>0</v>
      </c>
      <c r="K199" s="1168">
        <f t="shared" si="402"/>
        <v>0</v>
      </c>
      <c r="L199" s="1119"/>
      <c r="M199" s="1238"/>
      <c r="N199" s="1242"/>
      <c r="O199" s="1242"/>
      <c r="P199" s="1238"/>
      <c r="Q199" s="1169">
        <f t="shared" si="403"/>
        <v>0</v>
      </c>
      <c r="R199" s="1238"/>
      <c r="S199" s="1170"/>
      <c r="T199" s="1239"/>
      <c r="U199" s="1119"/>
      <c r="V199" s="1169"/>
      <c r="W199" s="1177"/>
      <c r="X199" s="1177"/>
      <c r="Y199" s="1169"/>
      <c r="Z199" s="1169">
        <f t="shared" si="404"/>
        <v>0</v>
      </c>
      <c r="AA199" s="1169"/>
      <c r="AB199" s="1172">
        <f t="shared" si="397"/>
        <v>0</v>
      </c>
      <c r="AC199" s="1240"/>
      <c r="AD199" s="1119"/>
      <c r="AE199" s="1169"/>
      <c r="AF199" s="1177"/>
      <c r="AG199" s="1177"/>
      <c r="AH199" s="1169"/>
      <c r="AI199" s="1169">
        <f t="shared" si="405"/>
        <v>0</v>
      </c>
      <c r="AJ199" s="1169"/>
      <c r="AK199" s="1173"/>
      <c r="AL199" s="1171"/>
      <c r="AM199" s="1128"/>
      <c r="AN199" s="1170"/>
      <c r="AO199" s="1175"/>
      <c r="AP199" s="1175"/>
      <c r="AQ199" s="1170"/>
      <c r="AR199" s="1170">
        <f t="shared" si="406"/>
        <v>0</v>
      </c>
      <c r="AS199" s="1170"/>
      <c r="AT199" s="1170"/>
      <c r="AU199" s="1174"/>
      <c r="AV199" s="1241"/>
      <c r="AW199" s="1169"/>
      <c r="AX199" s="1177"/>
      <c r="AY199" s="1177"/>
      <c r="AZ199" s="1169"/>
      <c r="BA199" s="1169">
        <f t="shared" si="407"/>
        <v>0</v>
      </c>
      <c r="BB199" s="1169"/>
      <c r="BC199" s="1175"/>
      <c r="BD199" s="1250"/>
      <c r="BE199" s="1251"/>
      <c r="BF199" s="1251"/>
      <c r="BG199" s="1252"/>
      <c r="BH199" s="1252"/>
      <c r="BI199" s="1252"/>
      <c r="BJ199" s="1252"/>
      <c r="BK199" s="1252"/>
      <c r="BL199" s="1252"/>
      <c r="BM199" s="1252"/>
    </row>
    <row r="200" s="1253" customFormat="1" ht="22.5" customHeight="1">
      <c r="A200" s="999">
        <f t="shared" si="392"/>
        <v>0</v>
      </c>
      <c r="B200" s="1205" t="s">
        <v>27</v>
      </c>
      <c r="C200" s="1205"/>
      <c r="D200" s="1205"/>
      <c r="E200" s="1183">
        <f t="shared" si="390"/>
        <v>4914137.5600000005</v>
      </c>
      <c r="F200" s="1183">
        <f t="shared" si="391"/>
        <v>4242034.3099999996</v>
      </c>
      <c r="G200" s="1184">
        <f>SUM(G174:G199)</f>
        <v>9156171.8699999992</v>
      </c>
      <c r="H200" s="1185"/>
      <c r="I200" s="1186">
        <f t="shared" si="393"/>
        <v>290345.04000000004</v>
      </c>
      <c r="J200" s="1186">
        <f t="shared" si="394"/>
        <v>4042593.4799999995</v>
      </c>
      <c r="K200" s="1187">
        <f>SUM(K174:K199)</f>
        <v>4332938.5200000005</v>
      </c>
      <c r="L200" s="1206"/>
      <c r="M200" s="1213">
        <f t="shared" ref="M200:AJ200" si="408">SUM(M174:M199)</f>
        <v>0</v>
      </c>
      <c r="N200" s="1213">
        <f t="shared" si="408"/>
        <v>0</v>
      </c>
      <c r="O200" s="1213">
        <f t="shared" si="408"/>
        <v>0</v>
      </c>
      <c r="P200" s="1213">
        <f t="shared" si="408"/>
        <v>286721.83999999997</v>
      </c>
      <c r="Q200" s="1213">
        <f t="shared" si="408"/>
        <v>286721.83999999997</v>
      </c>
      <c r="R200" s="1213">
        <f t="shared" si="408"/>
        <v>3954746.3099999996</v>
      </c>
      <c r="S200" s="1170"/>
      <c r="T200" s="1248"/>
      <c r="U200" s="1206">
        <f t="shared" si="408"/>
        <v>0</v>
      </c>
      <c r="V200" s="1209">
        <f t="shared" si="408"/>
        <v>0</v>
      </c>
      <c r="W200" s="1209">
        <f t="shared" si="408"/>
        <v>0</v>
      </c>
      <c r="X200" s="1209">
        <f t="shared" si="408"/>
        <v>0</v>
      </c>
      <c r="Y200" s="1209">
        <f t="shared" si="408"/>
        <v>4623792.5200000005</v>
      </c>
      <c r="Z200" s="1209">
        <f t="shared" si="408"/>
        <v>4623792.5200000005</v>
      </c>
      <c r="AA200" s="1209">
        <f t="shared" si="408"/>
        <v>199440.83000000002</v>
      </c>
      <c r="AB200" s="1172">
        <f t="shared" si="397"/>
        <v>4823233.3500000006</v>
      </c>
      <c r="AC200" s="1247"/>
      <c r="AD200" s="1206">
        <f t="shared" si="408"/>
        <v>0</v>
      </c>
      <c r="AE200" s="1209">
        <f t="shared" si="408"/>
        <v>0</v>
      </c>
      <c r="AF200" s="1209">
        <f t="shared" si="408"/>
        <v>0</v>
      </c>
      <c r="AG200" s="1209">
        <f t="shared" si="408"/>
        <v>0</v>
      </c>
      <c r="AH200" s="1209">
        <f t="shared" si="408"/>
        <v>3623.1999999999998</v>
      </c>
      <c r="AI200" s="1209">
        <f t="shared" si="408"/>
        <v>3623.1999999999998</v>
      </c>
      <c r="AJ200" s="1209">
        <f t="shared" si="408"/>
        <v>87847.169999999998</v>
      </c>
      <c r="AK200" s="1173"/>
      <c r="AL200" s="1208"/>
      <c r="AM200" s="1128"/>
      <c r="AN200" s="1190">
        <f t="shared" ref="AN200:AS200" si="409">SUM(AN174:AN199)</f>
        <v>0</v>
      </c>
      <c r="AO200" s="1190">
        <f t="shared" si="409"/>
        <v>0</v>
      </c>
      <c r="AP200" s="1190">
        <f t="shared" si="409"/>
        <v>0</v>
      </c>
      <c r="AQ200" s="1190">
        <f t="shared" si="409"/>
        <v>0</v>
      </c>
      <c r="AR200" s="1190">
        <f t="shared" si="409"/>
        <v>0</v>
      </c>
      <c r="AS200" s="1190">
        <f t="shared" si="409"/>
        <v>0</v>
      </c>
      <c r="AT200" s="1170"/>
      <c r="AU200" s="1191"/>
      <c r="AV200" s="1241"/>
      <c r="AW200" s="1096">
        <f t="shared" ref="AW200:BB200" si="410">SUM(AW174:AW199)</f>
        <v>0</v>
      </c>
      <c r="AX200" s="1096">
        <f t="shared" si="410"/>
        <v>0</v>
      </c>
      <c r="AY200" s="1096">
        <f t="shared" si="410"/>
        <v>0</v>
      </c>
      <c r="AZ200" s="1096">
        <f t="shared" si="410"/>
        <v>0</v>
      </c>
      <c r="BA200" s="1096">
        <f t="shared" si="410"/>
        <v>0</v>
      </c>
      <c r="BB200" s="1096">
        <f t="shared" si="410"/>
        <v>0</v>
      </c>
      <c r="BC200" s="1175"/>
      <c r="BD200" s="1250"/>
      <c r="BE200" s="1251"/>
      <c r="BF200" s="1251"/>
      <c r="BG200" s="1254"/>
      <c r="BH200" s="1254"/>
      <c r="BI200" s="1254"/>
      <c r="BJ200" s="1254"/>
      <c r="BK200" s="1254"/>
      <c r="BL200" s="1254"/>
      <c r="BM200" s="1254"/>
    </row>
    <row r="201" s="1253" customFormat="1" ht="22.5" customHeight="1">
      <c r="A201" s="1255"/>
      <c r="B201" s="1205" t="s">
        <v>473</v>
      </c>
      <c r="C201" s="1205"/>
      <c r="D201" s="1205"/>
      <c r="E201" s="1183">
        <f t="shared" si="390"/>
        <v>20265486.050000001</v>
      </c>
      <c r="F201" s="1183">
        <f t="shared" si="391"/>
        <v>31683507.07</v>
      </c>
      <c r="G201" s="1220">
        <f>G200+G173+G159+G150</f>
        <v>51948993.119999997</v>
      </c>
      <c r="H201" s="1221"/>
      <c r="I201" s="1186">
        <f t="shared" si="393"/>
        <v>15627206.260000002</v>
      </c>
      <c r="J201" s="1186">
        <f t="shared" si="394"/>
        <v>30892423.240000002</v>
      </c>
      <c r="K201" s="1222">
        <f>K200+K173+K159+K150</f>
        <v>46519629.5</v>
      </c>
      <c r="L201" s="1188"/>
      <c r="M201" s="1096">
        <f t="shared" ref="M201:BB201" si="411">M200+M173+M159+M150</f>
        <v>0</v>
      </c>
      <c r="N201" s="1096">
        <f t="shared" si="411"/>
        <v>0</v>
      </c>
      <c r="O201" s="1096">
        <f t="shared" si="411"/>
        <v>0</v>
      </c>
      <c r="P201" s="1096">
        <f t="shared" si="411"/>
        <v>14811911.420000002</v>
      </c>
      <c r="Q201" s="1096">
        <f t="shared" si="411"/>
        <v>14811911.420000002</v>
      </c>
      <c r="R201" s="1096">
        <f t="shared" si="411"/>
        <v>29949643.059999999</v>
      </c>
      <c r="S201" s="1170"/>
      <c r="T201" s="1243"/>
      <c r="U201" s="1096">
        <f t="shared" si="411"/>
        <v>0</v>
      </c>
      <c r="V201" s="1096">
        <f t="shared" si="411"/>
        <v>0</v>
      </c>
      <c r="W201" s="1096">
        <f t="shared" si="411"/>
        <v>0</v>
      </c>
      <c r="X201" s="1096">
        <f t="shared" si="411"/>
        <v>0</v>
      </c>
      <c r="Y201" s="1096">
        <f t="shared" si="411"/>
        <v>4638279.79</v>
      </c>
      <c r="Z201" s="1096">
        <f t="shared" si="411"/>
        <v>4638279.79</v>
      </c>
      <c r="AA201" s="1096">
        <f t="shared" si="411"/>
        <v>791083.83000000007</v>
      </c>
      <c r="AB201" s="1172">
        <f t="shared" si="397"/>
        <v>5429363.6200000001</v>
      </c>
      <c r="AC201" s="1243"/>
      <c r="AD201" s="1188">
        <f t="shared" si="411"/>
        <v>0</v>
      </c>
      <c r="AE201" s="1096">
        <f t="shared" si="411"/>
        <v>0</v>
      </c>
      <c r="AF201" s="1096">
        <f t="shared" si="411"/>
        <v>0</v>
      </c>
      <c r="AG201" s="1096">
        <f t="shared" si="411"/>
        <v>0</v>
      </c>
      <c r="AH201" s="1096">
        <f t="shared" si="411"/>
        <v>811595.71999999997</v>
      </c>
      <c r="AI201" s="1096">
        <f t="shared" si="411"/>
        <v>811595.71999999997</v>
      </c>
      <c r="AJ201" s="1096">
        <f t="shared" si="411"/>
        <v>845858.7899999998</v>
      </c>
      <c r="AK201" s="1173"/>
      <c r="AL201" s="1189"/>
      <c r="AM201" s="1197">
        <f t="shared" si="411"/>
        <v>0</v>
      </c>
      <c r="AN201" s="1190">
        <f t="shared" si="411"/>
        <v>0</v>
      </c>
      <c r="AO201" s="1190">
        <f t="shared" si="411"/>
        <v>0</v>
      </c>
      <c r="AP201" s="1190">
        <f t="shared" si="411"/>
        <v>0</v>
      </c>
      <c r="AQ201" s="1190">
        <f t="shared" si="411"/>
        <v>0</v>
      </c>
      <c r="AR201" s="1190">
        <f t="shared" si="411"/>
        <v>0</v>
      </c>
      <c r="AS201" s="1190">
        <f t="shared" si="411"/>
        <v>0</v>
      </c>
      <c r="AT201" s="1170"/>
      <c r="AU201" s="1191"/>
      <c r="AV201" s="1190">
        <f t="shared" si="411"/>
        <v>0</v>
      </c>
      <c r="AW201" s="1096">
        <f t="shared" si="411"/>
        <v>0</v>
      </c>
      <c r="AX201" s="1096">
        <f t="shared" si="411"/>
        <v>0</v>
      </c>
      <c r="AY201" s="1096">
        <f t="shared" si="411"/>
        <v>0</v>
      </c>
      <c r="AZ201" s="1096">
        <f t="shared" si="411"/>
        <v>3699.1199999999999</v>
      </c>
      <c r="BA201" s="1096">
        <f t="shared" si="411"/>
        <v>3699.1199999999999</v>
      </c>
      <c r="BB201" s="1096">
        <f t="shared" si="411"/>
        <v>96921.389999999999</v>
      </c>
      <c r="BC201" s="1175"/>
      <c r="BD201" s="1250"/>
      <c r="BE201" s="1251"/>
      <c r="BF201" s="1251"/>
      <c r="BG201" s="1254"/>
      <c r="BH201" s="1254"/>
      <c r="BI201" s="1254"/>
      <c r="BJ201" s="1254"/>
      <c r="BK201" s="1254"/>
      <c r="BL201" s="1254"/>
      <c r="BM201" s="1254"/>
    </row>
    <row r="202" s="1253" customFormat="1" ht="18.75" customHeight="1">
      <c r="A202" s="1255"/>
      <c r="B202" s="1256"/>
      <c r="C202" s="1256"/>
      <c r="D202" s="1256"/>
      <c r="E202" s="1257"/>
      <c r="F202" s="1257"/>
      <c r="G202" s="1257"/>
      <c r="H202" s="1250"/>
      <c r="I202" s="1258"/>
      <c r="J202" s="1258"/>
      <c r="K202" s="1167"/>
      <c r="L202" s="1251"/>
      <c r="M202" s="1251"/>
      <c r="N202" s="1251"/>
      <c r="O202" s="1251"/>
      <c r="P202" s="1251"/>
      <c r="Q202" s="1251"/>
      <c r="R202" s="1251"/>
      <c r="S202" s="1170"/>
      <c r="T202" s="1259"/>
      <c r="U202" s="1251"/>
      <c r="V202" s="1251"/>
      <c r="W202" s="1251"/>
      <c r="X202" s="1251"/>
      <c r="Y202" s="1251"/>
      <c r="Z202" s="1251"/>
      <c r="AA202" s="1251"/>
      <c r="AB202" s="1170"/>
      <c r="AC202" s="1260"/>
      <c r="AD202" s="1261"/>
      <c r="AE202" s="1261"/>
      <c r="AF202" s="1261"/>
      <c r="AG202" s="1261"/>
      <c r="AH202" s="1261"/>
      <c r="AI202" s="1261"/>
      <c r="AJ202" s="1261"/>
      <c r="AK202" s="1173"/>
      <c r="AL202" s="1259"/>
      <c r="AM202" s="1251"/>
      <c r="AN202" s="1251"/>
      <c r="AO202" s="1251"/>
      <c r="AP202" s="1251"/>
      <c r="AQ202" s="1251"/>
      <c r="AR202" s="1251"/>
      <c r="AS202" s="1251"/>
      <c r="AT202" s="1170"/>
      <c r="AU202" s="1250"/>
      <c r="AV202" s="1251"/>
      <c r="AW202" s="1261"/>
      <c r="AX202" s="1261"/>
      <c r="AY202" s="1261"/>
      <c r="AZ202" s="1261"/>
      <c r="BA202" s="1261"/>
      <c r="BB202" s="1261"/>
      <c r="BC202" s="1175"/>
      <c r="BD202" s="1250"/>
      <c r="BE202" s="1251"/>
      <c r="BF202" s="1251"/>
      <c r="BG202" s="1254"/>
      <c r="BH202" s="1254"/>
      <c r="BI202" s="1254"/>
      <c r="BJ202" s="1254"/>
      <c r="BK202" s="1254"/>
      <c r="BL202" s="1254"/>
      <c r="BM202" s="1254"/>
    </row>
    <row r="203" ht="18.75" customHeight="1">
      <c r="B203" s="1029"/>
      <c r="C203" s="1029"/>
      <c r="D203" s="1029"/>
      <c r="E203" s="1017"/>
      <c r="F203" s="1017"/>
      <c r="G203" s="1099"/>
      <c r="H203" s="1100"/>
      <c r="I203" s="1020"/>
      <c r="J203" s="1020"/>
      <c r="K203" s="1167"/>
      <c r="L203" s="1024"/>
      <c r="M203" s="1023"/>
      <c r="N203" s="1023"/>
      <c r="O203" s="1023"/>
      <c r="P203" s="1023"/>
      <c r="Q203" s="1023"/>
      <c r="R203" s="1023"/>
      <c r="S203" s="1170"/>
      <c r="T203" s="1262"/>
      <c r="U203" s="1024"/>
      <c r="V203" s="1023"/>
      <c r="W203" s="1023"/>
      <c r="X203" s="1023"/>
      <c r="Y203" s="1023"/>
      <c r="Z203" s="1023"/>
      <c r="AA203" s="1023"/>
      <c r="AB203" s="1170"/>
      <c r="AC203" s="1262"/>
      <c r="AD203" s="1024"/>
      <c r="AE203" s="1023"/>
      <c r="AF203" s="1023"/>
      <c r="AG203" s="1023"/>
      <c r="AH203" s="1023"/>
      <c r="AI203" s="1023"/>
      <c r="AJ203" s="1023"/>
      <c r="AK203" s="1173"/>
      <c r="AL203" s="1262"/>
      <c r="AM203" s="1024"/>
      <c r="AN203" s="1023"/>
      <c r="AO203" s="1023"/>
      <c r="AP203" s="1023"/>
      <c r="AQ203" s="1023"/>
      <c r="AR203" s="1023"/>
      <c r="AS203" s="1023"/>
      <c r="AT203" s="1170"/>
      <c r="AU203" s="1263"/>
      <c r="AV203" s="1029"/>
      <c r="AW203" s="1023"/>
      <c r="AX203" s="1023"/>
      <c r="AY203" s="1023"/>
      <c r="AZ203" s="1023"/>
      <c r="BA203" s="1023"/>
      <c r="BB203" s="1023"/>
      <c r="BC203" s="1175"/>
      <c r="BD203" s="1027"/>
      <c r="BE203" s="1029"/>
      <c r="BF203" s="1029"/>
    </row>
    <row r="204" ht="36" customHeight="1">
      <c r="B204" s="1264" t="s">
        <v>474</v>
      </c>
      <c r="C204" s="1265"/>
      <c r="D204" s="1265"/>
      <c r="E204" s="1113" t="s">
        <v>347</v>
      </c>
      <c r="F204" s="1114"/>
      <c r="G204" s="1114"/>
      <c r="H204" s="1115"/>
      <c r="I204" s="1235" t="s">
        <v>335</v>
      </c>
      <c r="J204" s="1236"/>
      <c r="K204" s="1237"/>
      <c r="L204" s="1119"/>
      <c r="M204" s="1120" t="s">
        <v>127</v>
      </c>
      <c r="N204" s="1121"/>
      <c r="O204" s="1121"/>
      <c r="P204" s="1121"/>
      <c r="Q204" s="1121"/>
      <c r="R204" s="1122"/>
      <c r="S204" s="1123"/>
      <c r="T204" s="1124"/>
      <c r="U204" s="1125"/>
      <c r="V204" s="1120" t="s">
        <v>325</v>
      </c>
      <c r="W204" s="1121"/>
      <c r="X204" s="1121"/>
      <c r="Y204" s="1121"/>
      <c r="Z204" s="1121"/>
      <c r="AA204" s="1122"/>
      <c r="AB204" s="1115"/>
      <c r="AC204" s="1126"/>
      <c r="AD204" s="1125"/>
      <c r="AE204" s="1120" t="s">
        <v>311</v>
      </c>
      <c r="AF204" s="1121"/>
      <c r="AG204" s="1121"/>
      <c r="AH204" s="1121"/>
      <c r="AI204" s="1121"/>
      <c r="AJ204" s="1122"/>
      <c r="AK204" s="1127"/>
      <c r="AL204" s="1126"/>
      <c r="AM204" s="1128"/>
      <c r="AN204" s="1043" t="s">
        <v>327</v>
      </c>
      <c r="AO204" s="1044"/>
      <c r="AP204" s="1044"/>
      <c r="AQ204" s="1044"/>
      <c r="AR204" s="1044"/>
      <c r="AS204" s="1045"/>
      <c r="AT204" s="1129"/>
      <c r="AU204" s="1130"/>
      <c r="AV204" s="1131"/>
      <c r="AW204" s="1043" t="s">
        <v>349</v>
      </c>
      <c r="AX204" s="1044"/>
      <c r="AY204" s="1044"/>
      <c r="AZ204" s="1044"/>
      <c r="BA204" s="1044"/>
      <c r="BB204" s="1045"/>
      <c r="BC204" s="1029"/>
      <c r="BD204" s="1132"/>
      <c r="BE204" s="1133"/>
      <c r="BF204" s="1133"/>
    </row>
    <row r="205" ht="18.75" customHeight="1">
      <c r="A205" s="1110"/>
      <c r="B205" s="1134" t="s">
        <v>350</v>
      </c>
      <c r="C205" s="1134"/>
      <c r="D205" s="1134"/>
      <c r="E205" s="1135" t="s">
        <v>332</v>
      </c>
      <c r="F205" s="1135" t="s">
        <v>333</v>
      </c>
      <c r="G205" s="1136" t="s">
        <v>334</v>
      </c>
      <c r="H205" s="1137" t="s">
        <v>341</v>
      </c>
      <c r="I205" s="1138"/>
      <c r="J205" s="1138"/>
      <c r="K205" s="1139"/>
      <c r="L205" s="1119"/>
      <c r="M205" s="1073" t="s">
        <v>336</v>
      </c>
      <c r="N205" s="1073" t="s">
        <v>337</v>
      </c>
      <c r="O205" s="1073" t="s">
        <v>338</v>
      </c>
      <c r="P205" s="1073" t="s">
        <v>344</v>
      </c>
      <c r="Q205" s="1073" t="s">
        <v>351</v>
      </c>
      <c r="R205" s="1140" t="s">
        <v>339</v>
      </c>
      <c r="S205" s="1141" t="s">
        <v>340</v>
      </c>
      <c r="T205" s="1142"/>
      <c r="U205" s="1128"/>
      <c r="V205" s="1073" t="s">
        <v>336</v>
      </c>
      <c r="W205" s="1073" t="s">
        <v>337</v>
      </c>
      <c r="X205" s="1073" t="s">
        <v>338</v>
      </c>
      <c r="Y205" s="1073" t="s">
        <v>344</v>
      </c>
      <c r="Z205" s="1073" t="s">
        <v>351</v>
      </c>
      <c r="AA205" s="1140" t="s">
        <v>339</v>
      </c>
      <c r="AB205" s="1143" t="str">
        <f>S205</f>
        <v xml:space="preserve">Итого (спирт+наркотики+растворы+перевязка)</v>
      </c>
      <c r="AC205" s="1142"/>
      <c r="AD205" s="1128"/>
      <c r="AE205" s="1073" t="s">
        <v>336</v>
      </c>
      <c r="AF205" s="1073" t="s">
        <v>337</v>
      </c>
      <c r="AG205" s="1073" t="s">
        <v>338</v>
      </c>
      <c r="AH205" s="1073" t="s">
        <v>344</v>
      </c>
      <c r="AI205" s="1073" t="s">
        <v>351</v>
      </c>
      <c r="AJ205" s="1140" t="s">
        <v>339</v>
      </c>
      <c r="AK205" s="1141" t="s">
        <v>340</v>
      </c>
      <c r="AL205" s="1142"/>
      <c r="AM205" s="1128"/>
      <c r="AN205" s="1144" t="s">
        <v>336</v>
      </c>
      <c r="AO205" s="1144" t="s">
        <v>337</v>
      </c>
      <c r="AP205" s="1144" t="s">
        <v>338</v>
      </c>
      <c r="AQ205" s="1073" t="s">
        <v>344</v>
      </c>
      <c r="AR205" s="1073" t="s">
        <v>351</v>
      </c>
      <c r="AS205" s="1140" t="s">
        <v>339</v>
      </c>
      <c r="AT205" s="1145"/>
      <c r="AU205" s="1146"/>
      <c r="AV205" s="1131"/>
      <c r="AW205" s="1144" t="s">
        <v>336</v>
      </c>
      <c r="AX205" s="1144" t="s">
        <v>337</v>
      </c>
      <c r="AY205" s="1144" t="s">
        <v>338</v>
      </c>
      <c r="AZ205" s="1073" t="s">
        <v>344</v>
      </c>
      <c r="BA205" s="1073" t="s">
        <v>351</v>
      </c>
      <c r="BB205" s="1140" t="s">
        <v>339</v>
      </c>
      <c r="BC205" s="1147"/>
      <c r="BD205" s="1132"/>
      <c r="BE205" s="1133"/>
      <c r="BF205" s="1133"/>
    </row>
    <row r="206" ht="39.75" customHeight="1">
      <c r="A206" s="1110"/>
      <c r="B206" s="1149"/>
      <c r="C206" s="1149"/>
      <c r="D206" s="1149"/>
      <c r="E206" s="1150"/>
      <c r="F206" s="1150"/>
      <c r="G206" s="1151"/>
      <c r="H206" s="1152"/>
      <c r="I206" s="1153" t="s">
        <v>342</v>
      </c>
      <c r="J206" s="1154" t="s">
        <v>339</v>
      </c>
      <c r="K206" s="1155" t="s">
        <v>335</v>
      </c>
      <c r="L206" s="1119"/>
      <c r="M206" s="1095"/>
      <c r="N206" s="1095"/>
      <c r="O206" s="1095"/>
      <c r="P206" s="1095"/>
      <c r="Q206" s="1095"/>
      <c r="R206" s="1123"/>
      <c r="S206" s="1156"/>
      <c r="T206" s="1124"/>
      <c r="U206" s="1128"/>
      <c r="V206" s="1095"/>
      <c r="W206" s="1095"/>
      <c r="X206" s="1095"/>
      <c r="Y206" s="1095"/>
      <c r="Z206" s="1095"/>
      <c r="AA206" s="1123"/>
      <c r="AB206" s="1157"/>
      <c r="AC206" s="1124"/>
      <c r="AD206" s="1128"/>
      <c r="AE206" s="1095"/>
      <c r="AF206" s="1095"/>
      <c r="AG206" s="1095"/>
      <c r="AH206" s="1095"/>
      <c r="AI206" s="1095"/>
      <c r="AJ206" s="1123"/>
      <c r="AK206" s="1156"/>
      <c r="AL206" s="1124"/>
      <c r="AM206" s="1128"/>
      <c r="AN206" s="1158"/>
      <c r="AO206" s="1158"/>
      <c r="AP206" s="1158"/>
      <c r="AQ206" s="1095"/>
      <c r="AR206" s="1095"/>
      <c r="AS206" s="1123"/>
      <c r="AT206" s="1159"/>
      <c r="AU206" s="1160"/>
      <c r="AV206" s="1131"/>
      <c r="AW206" s="1158"/>
      <c r="AX206" s="1158"/>
      <c r="AY206" s="1158"/>
      <c r="AZ206" s="1095"/>
      <c r="BA206" s="1095"/>
      <c r="BB206" s="1123"/>
      <c r="BC206" s="1161"/>
      <c r="BD206" s="1132"/>
      <c r="BE206" s="1133"/>
      <c r="BF206" s="1133"/>
    </row>
    <row r="207" ht="23.25" customHeight="1">
      <c r="A207" s="999" t="str">
        <f t="shared" ref="A207:A270" si="412">A109</f>
        <v xml:space="preserve">Павельева Л.Г.</v>
      </c>
      <c r="B207" s="1162" t="s">
        <v>178</v>
      </c>
      <c r="C207" s="1162"/>
      <c r="D207" s="1163"/>
      <c r="E207" s="1164">
        <f t="shared" si="390"/>
        <v>0</v>
      </c>
      <c r="F207" s="1164">
        <f t="shared" si="391"/>
        <v>0</v>
      </c>
      <c r="G207" s="1165">
        <f t="shared" ref="G207:G214" si="413">E207+F207</f>
        <v>0</v>
      </c>
      <c r="H207" s="1266" t="e">
        <f t="shared" ref="H207:H270" si="414">G207/$G$299</f>
        <v>#DIV/0!</v>
      </c>
      <c r="I207" s="1167">
        <f t="shared" si="393"/>
        <v>0</v>
      </c>
      <c r="J207" s="1167">
        <f t="shared" si="394"/>
        <v>0</v>
      </c>
      <c r="K207" s="1168">
        <f t="shared" ref="K207:K214" si="415">I207+J207</f>
        <v>0</v>
      </c>
      <c r="L207" s="1128"/>
      <c r="M207" s="1169"/>
      <c r="N207" s="1169"/>
      <c r="O207" s="1169"/>
      <c r="P207" s="1169"/>
      <c r="Q207" s="1169">
        <f t="shared" ref="Q207:Q242" si="416">SUM(M207:P207)</f>
        <v>0</v>
      </c>
      <c r="R207" s="1169"/>
      <c r="S207" s="1170"/>
      <c r="T207" s="1171"/>
      <c r="U207" s="1128"/>
      <c r="V207" s="1169"/>
      <c r="W207" s="1169"/>
      <c r="X207" s="1169"/>
      <c r="Y207" s="1169"/>
      <c r="Z207" s="1169">
        <f t="shared" ref="Z207:Z214" si="417">SUM(V207:Y207)</f>
        <v>0</v>
      </c>
      <c r="AA207" s="1169"/>
      <c r="AB207" s="1172">
        <f t="shared" ref="AB207:AB270" si="418">Z207+AA207</f>
        <v>0</v>
      </c>
      <c r="AC207" s="1171"/>
      <c r="AD207" s="1128"/>
      <c r="AE207" s="1169"/>
      <c r="AF207" s="1169"/>
      <c r="AG207" s="1169"/>
      <c r="AH207" s="1169"/>
      <c r="AI207" s="1169">
        <f t="shared" ref="AI207:AI214" si="419">SUM(AE207:AH207)</f>
        <v>0</v>
      </c>
      <c r="AJ207" s="1169"/>
      <c r="AK207" s="1173"/>
      <c r="AL207" s="1171"/>
      <c r="AM207" s="1128"/>
      <c r="AN207" s="1170"/>
      <c r="AO207" s="1170"/>
      <c r="AP207" s="1170"/>
      <c r="AQ207" s="1170"/>
      <c r="AR207" s="1170">
        <f t="shared" ref="AR207:AR214" si="420">SUM(AN207:AQ207)</f>
        <v>0</v>
      </c>
      <c r="AS207" s="1170"/>
      <c r="AT207" s="1170">
        <f t="shared" ref="AT207:AT270" si="421">AR207+AS207</f>
        <v>0</v>
      </c>
      <c r="AU207" s="1174"/>
      <c r="AV207" s="1241"/>
      <c r="AW207" s="1170"/>
      <c r="AX207" s="1170"/>
      <c r="AY207" s="1170"/>
      <c r="AZ207" s="1170"/>
      <c r="BA207" s="1170">
        <f t="shared" ref="BA207:BA214" si="422">SUM(AW207:AZ207)</f>
        <v>0</v>
      </c>
      <c r="BB207" s="1170"/>
      <c r="BC207" s="1175">
        <f t="shared" ref="BC207:BC270" si="423">BA207+BB207</f>
        <v>0</v>
      </c>
      <c r="BD207" s="1027"/>
      <c r="BE207" s="1029"/>
      <c r="BF207" s="1029"/>
    </row>
    <row r="208" ht="23.25" customHeight="1">
      <c r="A208" s="999" t="str">
        <f t="shared" si="412"/>
        <v xml:space="preserve">Губаренко О.Н.</v>
      </c>
      <c r="B208" s="1176" t="s">
        <v>354</v>
      </c>
      <c r="C208" s="1176"/>
      <c r="D208" s="1163"/>
      <c r="E208" s="1164">
        <f t="shared" si="390"/>
        <v>0</v>
      </c>
      <c r="F208" s="1164">
        <f t="shared" si="391"/>
        <v>0</v>
      </c>
      <c r="G208" s="1165">
        <f t="shared" si="413"/>
        <v>0</v>
      </c>
      <c r="H208" s="1266" t="e">
        <f t="shared" si="414"/>
        <v>#DIV/0!</v>
      </c>
      <c r="I208" s="1167">
        <f t="shared" si="393"/>
        <v>0</v>
      </c>
      <c r="J208" s="1167">
        <f t="shared" si="394"/>
        <v>0</v>
      </c>
      <c r="K208" s="1168">
        <f t="shared" si="415"/>
        <v>0</v>
      </c>
      <c r="L208" s="1128"/>
      <c r="M208" s="1169"/>
      <c r="N208" s="1177"/>
      <c r="O208" s="1169"/>
      <c r="P208" s="1169"/>
      <c r="Q208" s="1169">
        <f t="shared" si="416"/>
        <v>0</v>
      </c>
      <c r="R208" s="1169"/>
      <c r="S208" s="1170"/>
      <c r="T208" s="1171"/>
      <c r="U208" s="1128"/>
      <c r="V208" s="1169"/>
      <c r="W208" s="1177"/>
      <c r="X208" s="1177"/>
      <c r="Y208" s="1169"/>
      <c r="Z208" s="1169">
        <f t="shared" si="417"/>
        <v>0</v>
      </c>
      <c r="AA208" s="1169"/>
      <c r="AB208" s="1172">
        <f t="shared" si="418"/>
        <v>0</v>
      </c>
      <c r="AC208" s="1171"/>
      <c r="AD208" s="1128"/>
      <c r="AE208" s="1169"/>
      <c r="AF208" s="1177"/>
      <c r="AG208" s="1177"/>
      <c r="AH208" s="1169"/>
      <c r="AI208" s="1169">
        <f t="shared" si="419"/>
        <v>0</v>
      </c>
      <c r="AJ208" s="1169"/>
      <c r="AK208" s="1173"/>
      <c r="AL208" s="1171"/>
      <c r="AM208" s="1128"/>
      <c r="AN208" s="1170"/>
      <c r="AO208" s="1175"/>
      <c r="AP208" s="1175"/>
      <c r="AQ208" s="1170"/>
      <c r="AR208" s="1170">
        <f t="shared" si="420"/>
        <v>0</v>
      </c>
      <c r="AS208" s="1170"/>
      <c r="AT208" s="1170">
        <f t="shared" si="421"/>
        <v>0</v>
      </c>
      <c r="AU208" s="1174"/>
      <c r="AV208" s="1241"/>
      <c r="AW208" s="1170"/>
      <c r="AX208" s="1175"/>
      <c r="AY208" s="1175"/>
      <c r="AZ208" s="1170"/>
      <c r="BA208" s="1170">
        <f t="shared" si="422"/>
        <v>0</v>
      </c>
      <c r="BB208" s="1170"/>
      <c r="BC208" s="1175">
        <f t="shared" si="423"/>
        <v>0</v>
      </c>
      <c r="BD208" s="1027"/>
      <c r="BE208" s="1029"/>
      <c r="BF208" s="1029"/>
    </row>
    <row r="209" ht="23.25" customHeight="1">
      <c r="A209" s="999" t="str">
        <f t="shared" si="412"/>
        <v xml:space="preserve">Петрюк Е.В.</v>
      </c>
      <c r="B209" s="1176" t="s">
        <v>181</v>
      </c>
      <c r="C209" s="1176"/>
      <c r="D209" s="1163"/>
      <c r="E209" s="1164">
        <f t="shared" si="390"/>
        <v>0</v>
      </c>
      <c r="F209" s="1164">
        <f t="shared" si="391"/>
        <v>0</v>
      </c>
      <c r="G209" s="1165">
        <f t="shared" si="413"/>
        <v>0</v>
      </c>
      <c r="H209" s="1266" t="e">
        <f t="shared" si="414"/>
        <v>#DIV/0!</v>
      </c>
      <c r="I209" s="1167">
        <f t="shared" si="393"/>
        <v>0</v>
      </c>
      <c r="J209" s="1167">
        <f t="shared" si="394"/>
        <v>0</v>
      </c>
      <c r="K209" s="1168">
        <f t="shared" si="415"/>
        <v>0</v>
      </c>
      <c r="L209" s="1128"/>
      <c r="M209" s="1169"/>
      <c r="N209" s="1177"/>
      <c r="O209" s="1169"/>
      <c r="P209" s="1169"/>
      <c r="Q209" s="1169">
        <f t="shared" si="416"/>
        <v>0</v>
      </c>
      <c r="R209" s="1169"/>
      <c r="S209" s="1170"/>
      <c r="T209" s="1171"/>
      <c r="U209" s="1128"/>
      <c r="V209" s="1169"/>
      <c r="W209" s="1177"/>
      <c r="X209" s="1177"/>
      <c r="Y209" s="1169"/>
      <c r="Z209" s="1169">
        <f t="shared" si="417"/>
        <v>0</v>
      </c>
      <c r="AA209" s="1169"/>
      <c r="AB209" s="1172">
        <f t="shared" si="418"/>
        <v>0</v>
      </c>
      <c r="AC209" s="1171"/>
      <c r="AD209" s="1128"/>
      <c r="AE209" s="1169"/>
      <c r="AF209" s="1177"/>
      <c r="AG209" s="1177"/>
      <c r="AH209" s="1169"/>
      <c r="AI209" s="1169">
        <f t="shared" si="419"/>
        <v>0</v>
      </c>
      <c r="AJ209" s="1169"/>
      <c r="AK209" s="1173"/>
      <c r="AL209" s="1171"/>
      <c r="AM209" s="1128"/>
      <c r="AN209" s="1170"/>
      <c r="AO209" s="1175"/>
      <c r="AP209" s="1175"/>
      <c r="AQ209" s="1170"/>
      <c r="AR209" s="1170">
        <f t="shared" si="420"/>
        <v>0</v>
      </c>
      <c r="AS209" s="1170"/>
      <c r="AT209" s="1170">
        <f t="shared" si="421"/>
        <v>0</v>
      </c>
      <c r="AU209" s="1174"/>
      <c r="AV209" s="1241"/>
      <c r="AW209" s="1170"/>
      <c r="AX209" s="1175"/>
      <c r="AY209" s="1175"/>
      <c r="AZ209" s="1170"/>
      <c r="BA209" s="1170">
        <f t="shared" si="422"/>
        <v>0</v>
      </c>
      <c r="BB209" s="1170"/>
      <c r="BC209" s="1175">
        <f t="shared" si="423"/>
        <v>0</v>
      </c>
      <c r="BD209" s="1027"/>
      <c r="BE209" s="1029"/>
      <c r="BF209" s="1029"/>
    </row>
    <row r="210" ht="23.25" customHeight="1">
      <c r="A210" s="999" t="str">
        <f t="shared" si="412"/>
        <v xml:space="preserve">Кутько И.Г.</v>
      </c>
      <c r="B210" s="1176" t="s">
        <v>357</v>
      </c>
      <c r="C210" s="1176"/>
      <c r="D210" s="1163"/>
      <c r="E210" s="1164">
        <f t="shared" si="390"/>
        <v>0</v>
      </c>
      <c r="F210" s="1164">
        <f t="shared" si="391"/>
        <v>0</v>
      </c>
      <c r="G210" s="1165">
        <f t="shared" si="413"/>
        <v>0</v>
      </c>
      <c r="H210" s="1266" t="e">
        <f t="shared" si="414"/>
        <v>#DIV/0!</v>
      </c>
      <c r="I210" s="1167">
        <f t="shared" si="393"/>
        <v>0</v>
      </c>
      <c r="J210" s="1167">
        <f t="shared" si="394"/>
        <v>0</v>
      </c>
      <c r="K210" s="1168">
        <f t="shared" si="415"/>
        <v>0</v>
      </c>
      <c r="L210" s="1128"/>
      <c r="M210" s="1169"/>
      <c r="N210" s="1177"/>
      <c r="O210" s="1169"/>
      <c r="P210" s="1169"/>
      <c r="Q210" s="1169">
        <f t="shared" si="416"/>
        <v>0</v>
      </c>
      <c r="R210" s="1169"/>
      <c r="S210" s="1170"/>
      <c r="T210" s="1171"/>
      <c r="U210" s="1128"/>
      <c r="V210" s="1169"/>
      <c r="W210" s="1177"/>
      <c r="X210" s="1177"/>
      <c r="Y210" s="1169"/>
      <c r="Z210" s="1169">
        <f t="shared" si="417"/>
        <v>0</v>
      </c>
      <c r="AA210" s="1169"/>
      <c r="AB210" s="1172">
        <f t="shared" si="418"/>
        <v>0</v>
      </c>
      <c r="AC210" s="1171"/>
      <c r="AD210" s="1128"/>
      <c r="AE210" s="1169"/>
      <c r="AF210" s="1177"/>
      <c r="AG210" s="1177"/>
      <c r="AH210" s="1169"/>
      <c r="AI210" s="1169">
        <f t="shared" si="419"/>
        <v>0</v>
      </c>
      <c r="AJ210" s="1169"/>
      <c r="AK210" s="1173"/>
      <c r="AL210" s="1171"/>
      <c r="AM210" s="1128"/>
      <c r="AN210" s="1170"/>
      <c r="AO210" s="1175"/>
      <c r="AP210" s="1175"/>
      <c r="AQ210" s="1170"/>
      <c r="AR210" s="1170">
        <f t="shared" si="420"/>
        <v>0</v>
      </c>
      <c r="AS210" s="1170"/>
      <c r="AT210" s="1170">
        <f t="shared" si="421"/>
        <v>0</v>
      </c>
      <c r="AU210" s="1174"/>
      <c r="AV210" s="1241"/>
      <c r="AW210" s="1170"/>
      <c r="AX210" s="1175"/>
      <c r="AY210" s="1175"/>
      <c r="AZ210" s="1170"/>
      <c r="BA210" s="1170">
        <f t="shared" si="422"/>
        <v>0</v>
      </c>
      <c r="BB210" s="1170"/>
      <c r="BC210" s="1175">
        <f t="shared" si="423"/>
        <v>0</v>
      </c>
      <c r="BD210" s="1027"/>
      <c r="BE210" s="1029"/>
      <c r="BF210" s="1029"/>
    </row>
    <row r="211" ht="23.25" customHeight="1">
      <c r="A211" s="999" t="str">
        <f t="shared" si="412"/>
        <v xml:space="preserve">Елина С.И.</v>
      </c>
      <c r="B211" s="1176" t="s">
        <v>183</v>
      </c>
      <c r="C211" s="1176"/>
      <c r="D211" s="1163"/>
      <c r="E211" s="1164">
        <f t="shared" si="390"/>
        <v>0</v>
      </c>
      <c r="F211" s="1164">
        <f t="shared" si="391"/>
        <v>0</v>
      </c>
      <c r="G211" s="1165">
        <f t="shared" si="413"/>
        <v>0</v>
      </c>
      <c r="H211" s="1266" t="e">
        <f t="shared" si="414"/>
        <v>#DIV/0!</v>
      </c>
      <c r="I211" s="1167">
        <f t="shared" si="393"/>
        <v>0</v>
      </c>
      <c r="J211" s="1167">
        <f t="shared" si="394"/>
        <v>0</v>
      </c>
      <c r="K211" s="1168">
        <f t="shared" si="415"/>
        <v>0</v>
      </c>
      <c r="L211" s="1128"/>
      <c r="M211" s="1169"/>
      <c r="N211" s="1177"/>
      <c r="O211" s="1169"/>
      <c r="P211" s="1169"/>
      <c r="Q211" s="1169">
        <f t="shared" si="416"/>
        <v>0</v>
      </c>
      <c r="R211" s="1169"/>
      <c r="S211" s="1170"/>
      <c r="T211" s="1171"/>
      <c r="U211" s="1128"/>
      <c r="V211" s="1169"/>
      <c r="W211" s="1177"/>
      <c r="X211" s="1177"/>
      <c r="Y211" s="1169"/>
      <c r="Z211" s="1169">
        <f t="shared" si="417"/>
        <v>0</v>
      </c>
      <c r="AA211" s="1169"/>
      <c r="AB211" s="1172">
        <f t="shared" si="418"/>
        <v>0</v>
      </c>
      <c r="AC211" s="1171"/>
      <c r="AD211" s="1128"/>
      <c r="AE211" s="1169"/>
      <c r="AF211" s="1177"/>
      <c r="AG211" s="1177"/>
      <c r="AH211" s="1169"/>
      <c r="AI211" s="1169">
        <f t="shared" si="419"/>
        <v>0</v>
      </c>
      <c r="AJ211" s="1169"/>
      <c r="AK211" s="1173"/>
      <c r="AL211" s="1171"/>
      <c r="AM211" s="1128"/>
      <c r="AN211" s="1170"/>
      <c r="AO211" s="1175"/>
      <c r="AP211" s="1175"/>
      <c r="AQ211" s="1170"/>
      <c r="AR211" s="1170">
        <f t="shared" si="420"/>
        <v>0</v>
      </c>
      <c r="AS211" s="1170"/>
      <c r="AT211" s="1170">
        <f t="shared" si="421"/>
        <v>0</v>
      </c>
      <c r="AU211" s="1174"/>
      <c r="AV211" s="1241"/>
      <c r="AW211" s="1170"/>
      <c r="AX211" s="1175"/>
      <c r="AY211" s="1175"/>
      <c r="AZ211" s="1170"/>
      <c r="BA211" s="1170">
        <f t="shared" si="422"/>
        <v>0</v>
      </c>
      <c r="BB211" s="1170"/>
      <c r="BC211" s="1175">
        <f t="shared" si="423"/>
        <v>0</v>
      </c>
      <c r="BD211" s="1027"/>
      <c r="BE211" s="1029"/>
      <c r="BF211" s="1029"/>
    </row>
    <row r="212" ht="23.25" customHeight="1">
      <c r="A212" s="999" t="str">
        <f t="shared" si="412"/>
        <v xml:space="preserve">Никитина О.Г.</v>
      </c>
      <c r="B212" s="1176" t="s">
        <v>184</v>
      </c>
      <c r="C212" s="1176"/>
      <c r="D212" s="1163"/>
      <c r="E212" s="1164">
        <f t="shared" si="390"/>
        <v>0</v>
      </c>
      <c r="F212" s="1164">
        <f t="shared" si="391"/>
        <v>0</v>
      </c>
      <c r="G212" s="1165">
        <f t="shared" si="413"/>
        <v>0</v>
      </c>
      <c r="H212" s="1266" t="e">
        <f t="shared" si="414"/>
        <v>#DIV/0!</v>
      </c>
      <c r="I212" s="1167">
        <f t="shared" si="393"/>
        <v>0</v>
      </c>
      <c r="J212" s="1167">
        <f t="shared" si="394"/>
        <v>0</v>
      </c>
      <c r="K212" s="1168">
        <f t="shared" si="415"/>
        <v>0</v>
      </c>
      <c r="L212" s="1128"/>
      <c r="M212" s="1169"/>
      <c r="N212" s="1177"/>
      <c r="O212" s="1169"/>
      <c r="P212" s="1169"/>
      <c r="Q212" s="1169">
        <f t="shared" si="416"/>
        <v>0</v>
      </c>
      <c r="R212" s="1169"/>
      <c r="S212" s="1170"/>
      <c r="T212" s="1171"/>
      <c r="U212" s="1128"/>
      <c r="V212" s="1169"/>
      <c r="W212" s="1177"/>
      <c r="X212" s="1177"/>
      <c r="Y212" s="1169"/>
      <c r="Z212" s="1169">
        <f t="shared" si="417"/>
        <v>0</v>
      </c>
      <c r="AA212" s="1169"/>
      <c r="AB212" s="1172">
        <f t="shared" si="418"/>
        <v>0</v>
      </c>
      <c r="AC212" s="1171"/>
      <c r="AD212" s="1128"/>
      <c r="AE212" s="1169"/>
      <c r="AF212" s="1177"/>
      <c r="AG212" s="1177"/>
      <c r="AH212" s="1169"/>
      <c r="AI212" s="1169">
        <f t="shared" si="419"/>
        <v>0</v>
      </c>
      <c r="AJ212" s="1169"/>
      <c r="AK212" s="1173"/>
      <c r="AL212" s="1171"/>
      <c r="AM212" s="1128"/>
      <c r="AN212" s="1170"/>
      <c r="AO212" s="1175"/>
      <c r="AP212" s="1175"/>
      <c r="AQ212" s="1170"/>
      <c r="AR212" s="1170">
        <f t="shared" si="420"/>
        <v>0</v>
      </c>
      <c r="AS212" s="1170"/>
      <c r="AT212" s="1170">
        <f t="shared" si="421"/>
        <v>0</v>
      </c>
      <c r="AU212" s="1174"/>
      <c r="AV212" s="1241"/>
      <c r="AW212" s="1170"/>
      <c r="AX212" s="1175"/>
      <c r="AY212" s="1175"/>
      <c r="AZ212" s="1170"/>
      <c r="BA212" s="1170">
        <f t="shared" si="422"/>
        <v>0</v>
      </c>
      <c r="BB212" s="1170"/>
      <c r="BC212" s="1175">
        <f t="shared" si="423"/>
        <v>0</v>
      </c>
      <c r="BD212" s="1027"/>
      <c r="BE212" s="1029"/>
      <c r="BF212" s="1029"/>
    </row>
    <row r="213" ht="23.25" customHeight="1">
      <c r="A213" s="999" t="str">
        <f t="shared" si="412"/>
        <v xml:space="preserve">Судакова Е.С.</v>
      </c>
      <c r="B213" s="1178" t="s">
        <v>361</v>
      </c>
      <c r="C213" s="1179"/>
      <c r="D213" s="1163"/>
      <c r="E213" s="1164">
        <f t="shared" si="390"/>
        <v>0</v>
      </c>
      <c r="F213" s="1164">
        <f t="shared" si="391"/>
        <v>0</v>
      </c>
      <c r="G213" s="1165">
        <f t="shared" si="413"/>
        <v>0</v>
      </c>
      <c r="H213" s="1266"/>
      <c r="I213" s="1167">
        <f t="shared" si="393"/>
        <v>0</v>
      </c>
      <c r="J213" s="1167">
        <f t="shared" si="394"/>
        <v>0</v>
      </c>
      <c r="K213" s="1168">
        <f t="shared" si="415"/>
        <v>0</v>
      </c>
      <c r="L213" s="1128"/>
      <c r="M213" s="1169"/>
      <c r="N213" s="1177"/>
      <c r="O213" s="1169"/>
      <c r="P213" s="1169"/>
      <c r="Q213" s="1169">
        <f t="shared" si="416"/>
        <v>0</v>
      </c>
      <c r="R213" s="1169"/>
      <c r="S213" s="1170"/>
      <c r="T213" s="1171"/>
      <c r="U213" s="1128"/>
      <c r="V213" s="1169"/>
      <c r="W213" s="1177"/>
      <c r="X213" s="1177"/>
      <c r="Y213" s="1169"/>
      <c r="Z213" s="1169">
        <f t="shared" si="417"/>
        <v>0</v>
      </c>
      <c r="AA213" s="1169"/>
      <c r="AB213" s="1172">
        <f t="shared" si="418"/>
        <v>0</v>
      </c>
      <c r="AC213" s="1171"/>
      <c r="AD213" s="1128"/>
      <c r="AE213" s="1169"/>
      <c r="AF213" s="1177"/>
      <c r="AG213" s="1177"/>
      <c r="AH213" s="1169"/>
      <c r="AI213" s="1169">
        <f t="shared" si="419"/>
        <v>0</v>
      </c>
      <c r="AJ213" s="1169"/>
      <c r="AK213" s="1173"/>
      <c r="AL213" s="1171"/>
      <c r="AM213" s="1128"/>
      <c r="AN213" s="1170"/>
      <c r="AO213" s="1175"/>
      <c r="AP213" s="1175"/>
      <c r="AQ213" s="1170"/>
      <c r="AR213" s="1170">
        <f t="shared" si="420"/>
        <v>0</v>
      </c>
      <c r="AS213" s="1170"/>
      <c r="AT213" s="1170">
        <f t="shared" si="421"/>
        <v>0</v>
      </c>
      <c r="AU213" s="1174"/>
      <c r="AV213" s="1241"/>
      <c r="AW213" s="1170"/>
      <c r="AX213" s="1175"/>
      <c r="AY213" s="1175"/>
      <c r="AZ213" s="1170"/>
      <c r="BA213" s="1170">
        <f t="shared" si="422"/>
        <v>0</v>
      </c>
      <c r="BB213" s="1170"/>
      <c r="BC213" s="1175">
        <f t="shared" si="423"/>
        <v>0</v>
      </c>
      <c r="BD213" s="1027"/>
      <c r="BE213" s="1029"/>
      <c r="BF213" s="1029"/>
    </row>
    <row r="214" ht="23.25" customHeight="1">
      <c r="A214" s="999" t="str">
        <f t="shared" si="412"/>
        <v xml:space="preserve">Осипова А.А.</v>
      </c>
      <c r="B214" s="1176" t="s">
        <v>185</v>
      </c>
      <c r="C214" s="1176"/>
      <c r="D214" s="1163"/>
      <c r="E214" s="1164">
        <f t="shared" si="390"/>
        <v>0</v>
      </c>
      <c r="F214" s="1164">
        <f t="shared" si="391"/>
        <v>0</v>
      </c>
      <c r="G214" s="1165">
        <f t="shared" si="413"/>
        <v>0</v>
      </c>
      <c r="H214" s="1266" t="e">
        <f t="shared" si="414"/>
        <v>#DIV/0!</v>
      </c>
      <c r="I214" s="1167">
        <f t="shared" si="393"/>
        <v>0</v>
      </c>
      <c r="J214" s="1167">
        <f t="shared" si="394"/>
        <v>0</v>
      </c>
      <c r="K214" s="1168">
        <f t="shared" si="415"/>
        <v>0</v>
      </c>
      <c r="L214" s="1128"/>
      <c r="M214" s="1169"/>
      <c r="N214" s="1177"/>
      <c r="O214" s="1169"/>
      <c r="P214" s="1169"/>
      <c r="Q214" s="1169">
        <f t="shared" si="416"/>
        <v>0</v>
      </c>
      <c r="R214" s="1169"/>
      <c r="S214" s="1170"/>
      <c r="T214" s="1171"/>
      <c r="U214" s="1128"/>
      <c r="V214" s="1169"/>
      <c r="W214" s="1177"/>
      <c r="X214" s="1177"/>
      <c r="Y214" s="1169"/>
      <c r="Z214" s="1169">
        <f t="shared" si="417"/>
        <v>0</v>
      </c>
      <c r="AA214" s="1169"/>
      <c r="AB214" s="1172">
        <f t="shared" si="418"/>
        <v>0</v>
      </c>
      <c r="AC214" s="1171"/>
      <c r="AD214" s="1128"/>
      <c r="AE214" s="1169"/>
      <c r="AF214" s="1177"/>
      <c r="AG214" s="1177"/>
      <c r="AH214" s="1169"/>
      <c r="AI214" s="1169">
        <f t="shared" si="419"/>
        <v>0</v>
      </c>
      <c r="AJ214" s="1169"/>
      <c r="AK214" s="1173"/>
      <c r="AL214" s="1171"/>
      <c r="AM214" s="1128"/>
      <c r="AN214" s="1170"/>
      <c r="AO214" s="1175"/>
      <c r="AP214" s="1175"/>
      <c r="AQ214" s="1170"/>
      <c r="AR214" s="1170">
        <f t="shared" si="420"/>
        <v>0</v>
      </c>
      <c r="AS214" s="1170"/>
      <c r="AT214" s="1170">
        <f t="shared" si="421"/>
        <v>0</v>
      </c>
      <c r="AU214" s="1174"/>
      <c r="AV214" s="1241"/>
      <c r="AW214" s="1170"/>
      <c r="AX214" s="1175"/>
      <c r="AY214" s="1175"/>
      <c r="AZ214" s="1170"/>
      <c r="BA214" s="1170">
        <f t="shared" si="422"/>
        <v>0</v>
      </c>
      <c r="BB214" s="1170"/>
      <c r="BC214" s="1175">
        <f t="shared" si="423"/>
        <v>0</v>
      </c>
      <c r="BD214" s="1027"/>
      <c r="BE214" s="1029"/>
      <c r="BF214" s="1029"/>
    </row>
    <row r="215" s="1180" customFormat="1" ht="23.25" customHeight="1">
      <c r="A215" s="999">
        <f t="shared" si="412"/>
        <v>0</v>
      </c>
      <c r="B215" s="1182" t="s">
        <v>363</v>
      </c>
      <c r="C215" s="1182"/>
      <c r="D215" s="1182"/>
      <c r="E215" s="1183">
        <f t="shared" si="390"/>
        <v>0</v>
      </c>
      <c r="F215" s="1183">
        <f t="shared" si="391"/>
        <v>0</v>
      </c>
      <c r="G215" s="1184">
        <f>SUM(G207:G214)</f>
        <v>0</v>
      </c>
      <c r="H215" s="1267" t="e">
        <f t="shared" si="414"/>
        <v>#DIV/0!</v>
      </c>
      <c r="I215" s="1186">
        <f t="shared" si="393"/>
        <v>0</v>
      </c>
      <c r="J215" s="1186">
        <f t="shared" si="394"/>
        <v>0</v>
      </c>
      <c r="K215" s="1187">
        <f>SUM(K207:K214)</f>
        <v>0</v>
      </c>
      <c r="L215" s="1197"/>
      <c r="M215" s="1096">
        <f t="shared" ref="M215:R215" si="424">SUM(M207:M214)</f>
        <v>0</v>
      </c>
      <c r="N215" s="1096">
        <f t="shared" si="424"/>
        <v>0</v>
      </c>
      <c r="O215" s="1096">
        <f t="shared" si="424"/>
        <v>0</v>
      </c>
      <c r="P215" s="1096">
        <f t="shared" si="424"/>
        <v>0</v>
      </c>
      <c r="Q215" s="1096">
        <f t="shared" si="424"/>
        <v>0</v>
      </c>
      <c r="R215" s="1096">
        <f t="shared" si="424"/>
        <v>0</v>
      </c>
      <c r="S215" s="1170"/>
      <c r="T215" s="1189"/>
      <c r="U215" s="1128"/>
      <c r="V215" s="1096">
        <f t="shared" ref="V215:AA215" si="425">SUM(V207:V214)</f>
        <v>0</v>
      </c>
      <c r="W215" s="1096">
        <f t="shared" si="425"/>
        <v>0</v>
      </c>
      <c r="X215" s="1096">
        <f t="shared" si="425"/>
        <v>0</v>
      </c>
      <c r="Y215" s="1096">
        <f t="shared" si="425"/>
        <v>0</v>
      </c>
      <c r="Z215" s="1096">
        <f t="shared" si="425"/>
        <v>0</v>
      </c>
      <c r="AA215" s="1096">
        <f t="shared" si="425"/>
        <v>0</v>
      </c>
      <c r="AB215" s="1172">
        <f t="shared" si="418"/>
        <v>0</v>
      </c>
      <c r="AC215" s="1189"/>
      <c r="AD215" s="1125"/>
      <c r="AE215" s="1096">
        <f t="shared" ref="AE215:AJ215" si="426">SUM(AE207:AE214)</f>
        <v>0</v>
      </c>
      <c r="AF215" s="1096">
        <f t="shared" si="426"/>
        <v>0</v>
      </c>
      <c r="AG215" s="1096">
        <f t="shared" si="426"/>
        <v>0</v>
      </c>
      <c r="AH215" s="1096">
        <f t="shared" si="426"/>
        <v>0</v>
      </c>
      <c r="AI215" s="1096">
        <f t="shared" si="426"/>
        <v>0</v>
      </c>
      <c r="AJ215" s="1096">
        <f t="shared" si="426"/>
        <v>0</v>
      </c>
      <c r="AK215" s="1173"/>
      <c r="AL215" s="1189"/>
      <c r="AM215" s="1125"/>
      <c r="AN215" s="1190">
        <f t="shared" ref="AN215:AS215" si="427">SUM(AN207:AN214)</f>
        <v>0</v>
      </c>
      <c r="AO215" s="1190">
        <f t="shared" si="427"/>
        <v>0</v>
      </c>
      <c r="AP215" s="1190">
        <f t="shared" si="427"/>
        <v>0</v>
      </c>
      <c r="AQ215" s="1190">
        <f t="shared" si="427"/>
        <v>0</v>
      </c>
      <c r="AR215" s="1190">
        <f t="shared" si="427"/>
        <v>0</v>
      </c>
      <c r="AS215" s="1190">
        <f t="shared" si="427"/>
        <v>0</v>
      </c>
      <c r="AT215" s="1190">
        <f t="shared" si="421"/>
        <v>0</v>
      </c>
      <c r="AU215" s="1191"/>
      <c r="AV215" s="1245"/>
      <c r="AW215" s="1190">
        <f t="shared" ref="AW215:BB215" si="428">SUM(AW207:AW214)</f>
        <v>0</v>
      </c>
      <c r="AX215" s="1190">
        <f t="shared" si="428"/>
        <v>0</v>
      </c>
      <c r="AY215" s="1190">
        <f t="shared" si="428"/>
        <v>0</v>
      </c>
      <c r="AZ215" s="1190">
        <f t="shared" si="428"/>
        <v>0</v>
      </c>
      <c r="BA215" s="1190">
        <f t="shared" si="428"/>
        <v>0</v>
      </c>
      <c r="BB215" s="1190">
        <f t="shared" si="428"/>
        <v>0</v>
      </c>
      <c r="BC215" s="1268">
        <f t="shared" si="423"/>
        <v>0</v>
      </c>
      <c r="BD215" s="1052"/>
      <c r="BE215" s="1051"/>
      <c r="BF215" s="1051"/>
      <c r="BG215" s="1106"/>
      <c r="BH215" s="1106"/>
      <c r="BI215" s="1106"/>
      <c r="BJ215" s="1106"/>
      <c r="BK215" s="1106"/>
      <c r="BL215" s="1106"/>
      <c r="BM215" s="1106"/>
    </row>
    <row r="216" ht="23.25" customHeight="1">
      <c r="A216" s="999">
        <f t="shared" si="412"/>
        <v>0</v>
      </c>
      <c r="B216" s="1176" t="s">
        <v>364</v>
      </c>
      <c r="C216" s="1176"/>
      <c r="D216" s="1176"/>
      <c r="E216" s="1164">
        <f t="shared" si="390"/>
        <v>0</v>
      </c>
      <c r="F216" s="1164">
        <f t="shared" si="391"/>
        <v>0</v>
      </c>
      <c r="G216" s="1165">
        <f t="shared" ref="G216:G228" si="429">E216+F216</f>
        <v>0</v>
      </c>
      <c r="H216" s="1266" t="e">
        <f t="shared" si="414"/>
        <v>#DIV/0!</v>
      </c>
      <c r="I216" s="1167">
        <f t="shared" si="393"/>
        <v>0</v>
      </c>
      <c r="J216" s="1167">
        <f t="shared" si="394"/>
        <v>0</v>
      </c>
      <c r="K216" s="1168">
        <f t="shared" ref="K216:K228" si="430">I216+J216</f>
        <v>0</v>
      </c>
      <c r="L216" s="1128"/>
      <c r="M216" s="1169"/>
      <c r="N216" s="1177"/>
      <c r="O216" s="1169"/>
      <c r="P216" s="1169"/>
      <c r="Q216" s="1169">
        <f t="shared" si="416"/>
        <v>0</v>
      </c>
      <c r="R216" s="1177"/>
      <c r="S216" s="1170"/>
      <c r="T216" s="1171"/>
      <c r="U216" s="1128"/>
      <c r="V216" s="1169"/>
      <c r="W216" s="1177"/>
      <c r="X216" s="1177"/>
      <c r="Y216" s="1169"/>
      <c r="Z216" s="1169">
        <f t="shared" ref="Z216:Z228" si="431">SUM(V216:Y216)</f>
        <v>0</v>
      </c>
      <c r="AA216" s="1169"/>
      <c r="AB216" s="1172">
        <f t="shared" si="418"/>
        <v>0</v>
      </c>
      <c r="AC216" s="1171"/>
      <c r="AD216" s="1128"/>
      <c r="AE216" s="1169"/>
      <c r="AF216" s="1177"/>
      <c r="AG216" s="1177"/>
      <c r="AH216" s="1169"/>
      <c r="AI216" s="1169">
        <f t="shared" ref="AI216:AI228" si="432">SUM(AE216:AH216)</f>
        <v>0</v>
      </c>
      <c r="AJ216" s="1169"/>
      <c r="AK216" s="1173"/>
      <c r="AL216" s="1171"/>
      <c r="AM216" s="1128"/>
      <c r="AN216" s="1170"/>
      <c r="AO216" s="1175"/>
      <c r="AP216" s="1175"/>
      <c r="AQ216" s="1170"/>
      <c r="AR216" s="1170">
        <f t="shared" ref="AR216:AR228" si="433">SUM(AN216:AQ216)</f>
        <v>0</v>
      </c>
      <c r="AS216" s="1170"/>
      <c r="AT216" s="1170">
        <f t="shared" si="421"/>
        <v>0</v>
      </c>
      <c r="AU216" s="1174"/>
      <c r="AV216" s="1241"/>
      <c r="AW216" s="1170"/>
      <c r="AX216" s="1175"/>
      <c r="AY216" s="1175"/>
      <c r="AZ216" s="1170"/>
      <c r="BA216" s="1170">
        <f t="shared" ref="BA216:BA228" si="434">SUM(AW216:AZ216)</f>
        <v>0</v>
      </c>
      <c r="BB216" s="1170"/>
      <c r="BC216" s="1175">
        <f t="shared" si="423"/>
        <v>0</v>
      </c>
      <c r="BD216" s="1027"/>
      <c r="BE216" s="1029"/>
      <c r="BF216" s="1029"/>
    </row>
    <row r="217" ht="23.25" customHeight="1">
      <c r="A217" s="999" t="str">
        <f t="shared" si="412"/>
        <v xml:space="preserve">Сметанина О.В.</v>
      </c>
      <c r="B217" s="1176" t="s">
        <v>195</v>
      </c>
      <c r="C217" s="1176"/>
      <c r="D217" s="1163"/>
      <c r="E217" s="1164">
        <f t="shared" si="390"/>
        <v>0</v>
      </c>
      <c r="F217" s="1164">
        <f t="shared" si="391"/>
        <v>0</v>
      </c>
      <c r="G217" s="1165">
        <f t="shared" si="429"/>
        <v>0</v>
      </c>
      <c r="H217" s="1266" t="e">
        <f t="shared" si="414"/>
        <v>#DIV/0!</v>
      </c>
      <c r="I217" s="1167">
        <f t="shared" si="393"/>
        <v>0</v>
      </c>
      <c r="J217" s="1167">
        <f t="shared" si="394"/>
        <v>0</v>
      </c>
      <c r="K217" s="1168">
        <f t="shared" si="430"/>
        <v>0</v>
      </c>
      <c r="L217" s="1128"/>
      <c r="M217" s="1169"/>
      <c r="N217" s="1177"/>
      <c r="O217" s="1169"/>
      <c r="P217" s="1169"/>
      <c r="Q217" s="1169">
        <f t="shared" si="416"/>
        <v>0</v>
      </c>
      <c r="R217" s="1169"/>
      <c r="S217" s="1170"/>
      <c r="T217" s="1171"/>
      <c r="U217" s="1128"/>
      <c r="V217" s="1169"/>
      <c r="W217" s="1177"/>
      <c r="X217" s="1177"/>
      <c r="Y217" s="1169"/>
      <c r="Z217" s="1169">
        <f t="shared" si="431"/>
        <v>0</v>
      </c>
      <c r="AA217" s="1169"/>
      <c r="AB217" s="1172">
        <f t="shared" si="418"/>
        <v>0</v>
      </c>
      <c r="AC217" s="1171"/>
      <c r="AD217" s="1128"/>
      <c r="AE217" s="1169"/>
      <c r="AF217" s="1177"/>
      <c r="AG217" s="1177"/>
      <c r="AH217" s="1169"/>
      <c r="AI217" s="1169">
        <f t="shared" si="432"/>
        <v>0</v>
      </c>
      <c r="AJ217" s="1169"/>
      <c r="AK217" s="1173"/>
      <c r="AL217" s="1171"/>
      <c r="AM217" s="1128"/>
      <c r="AN217" s="1170"/>
      <c r="AO217" s="1175"/>
      <c r="AP217" s="1175"/>
      <c r="AQ217" s="1170"/>
      <c r="AR217" s="1170">
        <f t="shared" si="433"/>
        <v>0</v>
      </c>
      <c r="AS217" s="1170"/>
      <c r="AT217" s="1170">
        <f t="shared" si="421"/>
        <v>0</v>
      </c>
      <c r="AU217" s="1174"/>
      <c r="AV217" s="1241"/>
      <c r="AW217" s="1170"/>
      <c r="AX217" s="1175"/>
      <c r="AY217" s="1175"/>
      <c r="AZ217" s="1170"/>
      <c r="BA217" s="1170">
        <f t="shared" si="434"/>
        <v>0</v>
      </c>
      <c r="BB217" s="1170"/>
      <c r="BC217" s="1175">
        <f t="shared" si="423"/>
        <v>0</v>
      </c>
      <c r="BD217" s="1027"/>
      <c r="BE217" s="1029"/>
      <c r="BF217" s="1029"/>
    </row>
    <row r="218" ht="23.25" customHeight="1">
      <c r="A218" s="999" t="str">
        <f t="shared" si="412"/>
        <v xml:space="preserve">Козенко С.С.</v>
      </c>
      <c r="B218" s="1176" t="s">
        <v>196</v>
      </c>
      <c r="C218" s="1176"/>
      <c r="D218" s="1163"/>
      <c r="E218" s="1164">
        <f t="shared" si="390"/>
        <v>0</v>
      </c>
      <c r="F218" s="1164">
        <f t="shared" si="391"/>
        <v>0</v>
      </c>
      <c r="G218" s="1165">
        <f t="shared" si="429"/>
        <v>0</v>
      </c>
      <c r="H218" s="1266" t="e">
        <f t="shared" si="414"/>
        <v>#DIV/0!</v>
      </c>
      <c r="I218" s="1167">
        <f t="shared" si="393"/>
        <v>0</v>
      </c>
      <c r="J218" s="1167">
        <f t="shared" si="394"/>
        <v>0</v>
      </c>
      <c r="K218" s="1168">
        <f t="shared" si="430"/>
        <v>0</v>
      </c>
      <c r="L218" s="1128"/>
      <c r="M218" s="1169"/>
      <c r="N218" s="1177"/>
      <c r="O218" s="1169"/>
      <c r="P218" s="1169"/>
      <c r="Q218" s="1169">
        <f t="shared" si="416"/>
        <v>0</v>
      </c>
      <c r="R218" s="1169"/>
      <c r="S218" s="1170"/>
      <c r="T218" s="1171"/>
      <c r="U218" s="1128"/>
      <c r="V218" s="1169"/>
      <c r="W218" s="1177"/>
      <c r="X218" s="1177"/>
      <c r="Y218" s="1169"/>
      <c r="Z218" s="1169">
        <f t="shared" si="431"/>
        <v>0</v>
      </c>
      <c r="AA218" s="1169"/>
      <c r="AB218" s="1172">
        <f t="shared" si="418"/>
        <v>0</v>
      </c>
      <c r="AC218" s="1171"/>
      <c r="AD218" s="1128"/>
      <c r="AE218" s="1169"/>
      <c r="AF218" s="1177"/>
      <c r="AG218" s="1177"/>
      <c r="AH218" s="1169"/>
      <c r="AI218" s="1169">
        <f t="shared" si="432"/>
        <v>0</v>
      </c>
      <c r="AJ218" s="1169"/>
      <c r="AK218" s="1173"/>
      <c r="AL218" s="1171"/>
      <c r="AM218" s="1128"/>
      <c r="AN218" s="1170"/>
      <c r="AO218" s="1175"/>
      <c r="AP218" s="1175"/>
      <c r="AQ218" s="1170"/>
      <c r="AR218" s="1170">
        <f t="shared" si="433"/>
        <v>0</v>
      </c>
      <c r="AS218" s="1170"/>
      <c r="AT218" s="1170">
        <f t="shared" si="421"/>
        <v>0</v>
      </c>
      <c r="AU218" s="1174"/>
      <c r="AV218" s="1241"/>
      <c r="AW218" s="1170"/>
      <c r="AX218" s="1175"/>
      <c r="AY218" s="1175"/>
      <c r="AZ218" s="1170"/>
      <c r="BA218" s="1170">
        <f t="shared" si="434"/>
        <v>0</v>
      </c>
      <c r="BB218" s="1170"/>
      <c r="BC218" s="1175">
        <f t="shared" si="423"/>
        <v>0</v>
      </c>
      <c r="BD218" s="1027"/>
      <c r="BE218" s="1029"/>
      <c r="BF218" s="1029"/>
    </row>
    <row r="219" ht="23.25" customHeight="1">
      <c r="A219" s="999">
        <f t="shared" si="412"/>
        <v>0</v>
      </c>
      <c r="B219" s="1193" t="s">
        <v>367</v>
      </c>
      <c r="C219" s="1193"/>
      <c r="D219" s="1193"/>
      <c r="E219" s="1164">
        <f t="shared" si="390"/>
        <v>0</v>
      </c>
      <c r="F219" s="1164">
        <f t="shared" si="391"/>
        <v>0</v>
      </c>
      <c r="G219" s="1165">
        <f t="shared" si="429"/>
        <v>0</v>
      </c>
      <c r="H219" s="1266" t="e">
        <f t="shared" si="414"/>
        <v>#DIV/0!</v>
      </c>
      <c r="I219" s="1167">
        <f t="shared" si="393"/>
        <v>0</v>
      </c>
      <c r="J219" s="1167">
        <f t="shared" si="394"/>
        <v>0</v>
      </c>
      <c r="K219" s="1168">
        <f t="shared" si="430"/>
        <v>0</v>
      </c>
      <c r="L219" s="1128"/>
      <c r="M219" s="1169"/>
      <c r="N219" s="1177"/>
      <c r="O219" s="1169"/>
      <c r="P219" s="1169"/>
      <c r="Q219" s="1169">
        <f t="shared" si="416"/>
        <v>0</v>
      </c>
      <c r="R219" s="1169"/>
      <c r="S219" s="1170"/>
      <c r="T219" s="1171"/>
      <c r="U219" s="1128"/>
      <c r="V219" s="1169"/>
      <c r="W219" s="1177"/>
      <c r="X219" s="1177"/>
      <c r="Y219" s="1169"/>
      <c r="Z219" s="1169">
        <f t="shared" si="431"/>
        <v>0</v>
      </c>
      <c r="AA219" s="1169"/>
      <c r="AB219" s="1172">
        <f t="shared" si="418"/>
        <v>0</v>
      </c>
      <c r="AC219" s="1171"/>
      <c r="AD219" s="1128"/>
      <c r="AE219" s="1169"/>
      <c r="AF219" s="1177"/>
      <c r="AG219" s="1177"/>
      <c r="AH219" s="1169"/>
      <c r="AI219" s="1169">
        <f t="shared" si="432"/>
        <v>0</v>
      </c>
      <c r="AJ219" s="1169"/>
      <c r="AK219" s="1173"/>
      <c r="AL219" s="1171"/>
      <c r="AM219" s="1128"/>
      <c r="AN219" s="1170"/>
      <c r="AO219" s="1175"/>
      <c r="AP219" s="1175"/>
      <c r="AQ219" s="1170"/>
      <c r="AR219" s="1170">
        <f t="shared" si="433"/>
        <v>0</v>
      </c>
      <c r="AS219" s="1170"/>
      <c r="AT219" s="1170">
        <f t="shared" si="421"/>
        <v>0</v>
      </c>
      <c r="AU219" s="1174"/>
      <c r="AV219" s="1241"/>
      <c r="AW219" s="1170"/>
      <c r="AX219" s="1175"/>
      <c r="AY219" s="1175"/>
      <c r="AZ219" s="1170"/>
      <c r="BA219" s="1170">
        <f t="shared" si="434"/>
        <v>0</v>
      </c>
      <c r="BB219" s="1170"/>
      <c r="BC219" s="1175">
        <f t="shared" si="423"/>
        <v>0</v>
      </c>
      <c r="BD219" s="1027"/>
      <c r="BE219" s="1029"/>
      <c r="BF219" s="1029"/>
    </row>
    <row r="220" ht="23.25" customHeight="1">
      <c r="A220" s="999" t="str">
        <f t="shared" si="412"/>
        <v xml:space="preserve">Разумец Е.Г.</v>
      </c>
      <c r="B220" s="1176" t="s">
        <v>201</v>
      </c>
      <c r="C220" s="1176"/>
      <c r="D220" s="1163"/>
      <c r="E220" s="1164">
        <f t="shared" si="390"/>
        <v>0</v>
      </c>
      <c r="F220" s="1164">
        <f t="shared" si="391"/>
        <v>0</v>
      </c>
      <c r="G220" s="1165">
        <f t="shared" si="429"/>
        <v>0</v>
      </c>
      <c r="H220" s="1266" t="e">
        <f t="shared" si="414"/>
        <v>#DIV/0!</v>
      </c>
      <c r="I220" s="1167">
        <f t="shared" si="393"/>
        <v>0</v>
      </c>
      <c r="J220" s="1167">
        <f t="shared" si="394"/>
        <v>0</v>
      </c>
      <c r="K220" s="1168">
        <f t="shared" si="430"/>
        <v>0</v>
      </c>
      <c r="L220" s="1128"/>
      <c r="M220" s="1169"/>
      <c r="N220" s="1177"/>
      <c r="O220" s="1169"/>
      <c r="P220" s="1169"/>
      <c r="Q220" s="1169">
        <f t="shared" si="416"/>
        <v>0</v>
      </c>
      <c r="R220" s="1169"/>
      <c r="S220" s="1170"/>
      <c r="T220" s="1171"/>
      <c r="U220" s="1128"/>
      <c r="V220" s="1169"/>
      <c r="W220" s="1177"/>
      <c r="X220" s="1177"/>
      <c r="Y220" s="1169"/>
      <c r="Z220" s="1169">
        <f t="shared" si="431"/>
        <v>0</v>
      </c>
      <c r="AA220" s="1169"/>
      <c r="AB220" s="1172">
        <f t="shared" si="418"/>
        <v>0</v>
      </c>
      <c r="AC220" s="1171"/>
      <c r="AD220" s="1128"/>
      <c r="AE220" s="1169"/>
      <c r="AF220" s="1177"/>
      <c r="AG220" s="1177"/>
      <c r="AH220" s="1169"/>
      <c r="AI220" s="1169">
        <f t="shared" si="432"/>
        <v>0</v>
      </c>
      <c r="AJ220" s="1169"/>
      <c r="AK220" s="1173"/>
      <c r="AL220" s="1171"/>
      <c r="AM220" s="1128"/>
      <c r="AN220" s="1170"/>
      <c r="AO220" s="1175"/>
      <c r="AP220" s="1175"/>
      <c r="AQ220" s="1170"/>
      <c r="AR220" s="1170">
        <f t="shared" si="433"/>
        <v>0</v>
      </c>
      <c r="AS220" s="1170"/>
      <c r="AT220" s="1170">
        <f t="shared" si="421"/>
        <v>0</v>
      </c>
      <c r="AU220" s="1174"/>
      <c r="AV220" s="1241"/>
      <c r="AW220" s="1170"/>
      <c r="AX220" s="1175"/>
      <c r="AY220" s="1175"/>
      <c r="AZ220" s="1170"/>
      <c r="BA220" s="1170"/>
      <c r="BB220" s="1170"/>
      <c r="BC220" s="1175">
        <f t="shared" si="423"/>
        <v>0</v>
      </c>
      <c r="BD220" s="1027"/>
      <c r="BE220" s="1029"/>
      <c r="BF220" s="1029"/>
    </row>
    <row r="221" ht="23.25" customHeight="1">
      <c r="A221" s="999" t="str">
        <f t="shared" si="412"/>
        <v xml:space="preserve">Шарова Т.М.</v>
      </c>
      <c r="B221" s="1176" t="s">
        <v>203</v>
      </c>
      <c r="C221" s="1176"/>
      <c r="D221" s="1163"/>
      <c r="E221" s="1164">
        <f t="shared" si="390"/>
        <v>0</v>
      </c>
      <c r="F221" s="1164">
        <f t="shared" si="391"/>
        <v>0</v>
      </c>
      <c r="G221" s="1165">
        <f t="shared" si="429"/>
        <v>0</v>
      </c>
      <c r="H221" s="1266" t="e">
        <f t="shared" si="414"/>
        <v>#DIV/0!</v>
      </c>
      <c r="I221" s="1167">
        <f t="shared" si="393"/>
        <v>0</v>
      </c>
      <c r="J221" s="1167">
        <f t="shared" si="394"/>
        <v>0</v>
      </c>
      <c r="K221" s="1168">
        <f t="shared" si="430"/>
        <v>0</v>
      </c>
      <c r="L221" s="1128"/>
      <c r="M221" s="1169"/>
      <c r="N221" s="1177"/>
      <c r="O221" s="1169"/>
      <c r="P221" s="1169"/>
      <c r="Q221" s="1169">
        <f t="shared" si="416"/>
        <v>0</v>
      </c>
      <c r="R221" s="1169"/>
      <c r="S221" s="1170"/>
      <c r="T221" s="1171"/>
      <c r="U221" s="1128"/>
      <c r="V221" s="1169"/>
      <c r="W221" s="1177"/>
      <c r="X221" s="1177"/>
      <c r="Y221" s="1169"/>
      <c r="Z221" s="1169">
        <f t="shared" si="431"/>
        <v>0</v>
      </c>
      <c r="AA221" s="1169"/>
      <c r="AB221" s="1172">
        <f t="shared" si="418"/>
        <v>0</v>
      </c>
      <c r="AC221" s="1171"/>
      <c r="AD221" s="1128"/>
      <c r="AE221" s="1169"/>
      <c r="AF221" s="1177"/>
      <c r="AG221" s="1177"/>
      <c r="AH221" s="1169"/>
      <c r="AI221" s="1169">
        <f t="shared" si="432"/>
        <v>0</v>
      </c>
      <c r="AJ221" s="1169"/>
      <c r="AK221" s="1173"/>
      <c r="AL221" s="1171"/>
      <c r="AM221" s="1128"/>
      <c r="AN221" s="1170"/>
      <c r="AO221" s="1175"/>
      <c r="AP221" s="1175"/>
      <c r="AQ221" s="1170"/>
      <c r="AR221" s="1170">
        <f t="shared" si="433"/>
        <v>0</v>
      </c>
      <c r="AS221" s="1170"/>
      <c r="AT221" s="1170">
        <f t="shared" si="421"/>
        <v>0</v>
      </c>
      <c r="AU221" s="1174"/>
      <c r="AV221" s="1241"/>
      <c r="AW221" s="1170"/>
      <c r="AX221" s="1175"/>
      <c r="AY221" s="1175"/>
      <c r="AZ221" s="1170"/>
      <c r="BA221" s="1170">
        <f t="shared" si="434"/>
        <v>0</v>
      </c>
      <c r="BB221" s="1170"/>
      <c r="BC221" s="1175">
        <f t="shared" si="423"/>
        <v>0</v>
      </c>
      <c r="BD221" s="1027"/>
      <c r="BE221" s="1029"/>
      <c r="BF221" s="1029"/>
    </row>
    <row r="222" ht="23.25" customHeight="1">
      <c r="A222" s="999" t="str">
        <f t="shared" si="412"/>
        <v xml:space="preserve">Крошка С.С.</v>
      </c>
      <c r="B222" s="1176" t="s">
        <v>204</v>
      </c>
      <c r="C222" s="1194"/>
      <c r="D222" s="1163"/>
      <c r="E222" s="1164">
        <f t="shared" si="390"/>
        <v>0</v>
      </c>
      <c r="F222" s="1164">
        <f t="shared" si="391"/>
        <v>0</v>
      </c>
      <c r="G222" s="1165">
        <f t="shared" si="429"/>
        <v>0</v>
      </c>
      <c r="H222" s="1266" t="e">
        <f t="shared" si="414"/>
        <v>#DIV/0!</v>
      </c>
      <c r="I222" s="1167">
        <f t="shared" si="393"/>
        <v>0</v>
      </c>
      <c r="J222" s="1167">
        <f t="shared" si="394"/>
        <v>0</v>
      </c>
      <c r="K222" s="1168">
        <f t="shared" si="430"/>
        <v>0</v>
      </c>
      <c r="L222" s="1128"/>
      <c r="M222" s="1169"/>
      <c r="N222" s="1177"/>
      <c r="O222" s="1169"/>
      <c r="P222" s="1169"/>
      <c r="Q222" s="1169">
        <f t="shared" si="416"/>
        <v>0</v>
      </c>
      <c r="R222" s="1169"/>
      <c r="S222" s="1170"/>
      <c r="T222" s="1171"/>
      <c r="U222" s="1128"/>
      <c r="V222" s="1169"/>
      <c r="W222" s="1177"/>
      <c r="X222" s="1177"/>
      <c r="Y222" s="1169"/>
      <c r="Z222" s="1169">
        <f t="shared" si="431"/>
        <v>0</v>
      </c>
      <c r="AA222" s="1169"/>
      <c r="AB222" s="1172">
        <f t="shared" si="418"/>
        <v>0</v>
      </c>
      <c r="AC222" s="1171"/>
      <c r="AD222" s="1128"/>
      <c r="AE222" s="1169"/>
      <c r="AF222" s="1177"/>
      <c r="AG222" s="1177"/>
      <c r="AH222" s="1169"/>
      <c r="AI222" s="1169">
        <f t="shared" si="432"/>
        <v>0</v>
      </c>
      <c r="AJ222" s="1169"/>
      <c r="AK222" s="1173"/>
      <c r="AL222" s="1171"/>
      <c r="AM222" s="1128"/>
      <c r="AN222" s="1170"/>
      <c r="AO222" s="1175"/>
      <c r="AP222" s="1175"/>
      <c r="AQ222" s="1170"/>
      <c r="AR222" s="1170">
        <f t="shared" si="433"/>
        <v>0</v>
      </c>
      <c r="AS222" s="1170"/>
      <c r="AT222" s="1170">
        <f t="shared" si="421"/>
        <v>0</v>
      </c>
      <c r="AU222" s="1174"/>
      <c r="AV222" s="1241"/>
      <c r="AW222" s="1170"/>
      <c r="AX222" s="1175"/>
      <c r="AY222" s="1175"/>
      <c r="AZ222" s="1170"/>
      <c r="BA222" s="1170">
        <f t="shared" si="434"/>
        <v>0</v>
      </c>
      <c r="BB222" s="1170"/>
      <c r="BC222" s="1175">
        <f t="shared" si="423"/>
        <v>0</v>
      </c>
      <c r="BD222" s="1027"/>
      <c r="BE222" s="1029"/>
      <c r="BF222" s="1029"/>
    </row>
    <row r="223" ht="23.25" customHeight="1">
      <c r="A223" s="999" t="str">
        <f t="shared" si="412"/>
        <v xml:space="preserve">Козлитина Н.В.</v>
      </c>
      <c r="B223" s="1176" t="s">
        <v>205</v>
      </c>
      <c r="C223" s="1176"/>
      <c r="D223" s="1163"/>
      <c r="E223" s="1164">
        <f t="shared" si="390"/>
        <v>0</v>
      </c>
      <c r="F223" s="1164">
        <f t="shared" si="391"/>
        <v>0</v>
      </c>
      <c r="G223" s="1165">
        <f t="shared" si="429"/>
        <v>0</v>
      </c>
      <c r="H223" s="1266" t="e">
        <f t="shared" si="414"/>
        <v>#DIV/0!</v>
      </c>
      <c r="I223" s="1167">
        <f t="shared" si="393"/>
        <v>0</v>
      </c>
      <c r="J223" s="1167">
        <f t="shared" si="394"/>
        <v>0</v>
      </c>
      <c r="K223" s="1168">
        <f t="shared" si="430"/>
        <v>0</v>
      </c>
      <c r="L223" s="1128"/>
      <c r="M223" s="1169"/>
      <c r="N223" s="1177"/>
      <c r="O223" s="1169"/>
      <c r="P223" s="1169"/>
      <c r="Q223" s="1169">
        <f t="shared" si="416"/>
        <v>0</v>
      </c>
      <c r="R223" s="1169"/>
      <c r="S223" s="1170"/>
      <c r="T223" s="1171"/>
      <c r="U223" s="1128"/>
      <c r="V223" s="1169"/>
      <c r="W223" s="1177"/>
      <c r="X223" s="1177"/>
      <c r="Y223" s="1169"/>
      <c r="Z223" s="1169">
        <f t="shared" si="431"/>
        <v>0</v>
      </c>
      <c r="AA223" s="1169"/>
      <c r="AB223" s="1172">
        <f t="shared" si="418"/>
        <v>0</v>
      </c>
      <c r="AC223" s="1171"/>
      <c r="AD223" s="1128"/>
      <c r="AE223" s="1169"/>
      <c r="AF223" s="1177"/>
      <c r="AG223" s="1177"/>
      <c r="AH223" s="1169"/>
      <c r="AI223" s="1169">
        <f t="shared" si="432"/>
        <v>0</v>
      </c>
      <c r="AJ223" s="1169"/>
      <c r="AK223" s="1173"/>
      <c r="AL223" s="1171"/>
      <c r="AM223" s="1128"/>
      <c r="AN223" s="1170"/>
      <c r="AO223" s="1175"/>
      <c r="AP223" s="1175"/>
      <c r="AQ223" s="1170"/>
      <c r="AR223" s="1170">
        <f t="shared" si="433"/>
        <v>0</v>
      </c>
      <c r="AS223" s="1170"/>
      <c r="AT223" s="1170">
        <f t="shared" si="421"/>
        <v>0</v>
      </c>
      <c r="AU223" s="1174"/>
      <c r="AV223" s="1241"/>
      <c r="AW223" s="1170"/>
      <c r="AX223" s="1175"/>
      <c r="AY223" s="1175"/>
      <c r="AZ223" s="1170"/>
      <c r="BA223" s="1170">
        <f t="shared" si="434"/>
        <v>0</v>
      </c>
      <c r="BB223" s="1170"/>
      <c r="BC223" s="1175">
        <f t="shared" si="423"/>
        <v>0</v>
      </c>
      <c r="BD223" s="1027"/>
      <c r="BE223" s="1029"/>
      <c r="BF223" s="1029"/>
    </row>
    <row r="224" ht="23.25" customHeight="1">
      <c r="A224" s="999" t="str">
        <f t="shared" si="412"/>
        <v xml:space="preserve">Баженова И.В.</v>
      </c>
      <c r="B224" s="1176" t="s">
        <v>206</v>
      </c>
      <c r="C224" s="1176"/>
      <c r="D224" s="1163"/>
      <c r="E224" s="1164">
        <f t="shared" si="390"/>
        <v>0</v>
      </c>
      <c r="F224" s="1164">
        <f t="shared" si="391"/>
        <v>0</v>
      </c>
      <c r="G224" s="1165">
        <f t="shared" si="429"/>
        <v>0</v>
      </c>
      <c r="H224" s="1266" t="e">
        <f t="shared" si="414"/>
        <v>#DIV/0!</v>
      </c>
      <c r="I224" s="1167">
        <f t="shared" si="393"/>
        <v>0</v>
      </c>
      <c r="J224" s="1167">
        <f t="shared" si="394"/>
        <v>0</v>
      </c>
      <c r="K224" s="1168">
        <f t="shared" si="430"/>
        <v>0</v>
      </c>
      <c r="L224" s="1128"/>
      <c r="M224" s="1169"/>
      <c r="N224" s="1177"/>
      <c r="O224" s="1169"/>
      <c r="P224" s="1169"/>
      <c r="Q224" s="1169">
        <f t="shared" si="416"/>
        <v>0</v>
      </c>
      <c r="R224" s="1169"/>
      <c r="S224" s="1170"/>
      <c r="T224" s="1171"/>
      <c r="U224" s="1128"/>
      <c r="V224" s="1169"/>
      <c r="W224" s="1177"/>
      <c r="X224" s="1177"/>
      <c r="Y224" s="1169"/>
      <c r="Z224" s="1169">
        <f t="shared" si="431"/>
        <v>0</v>
      </c>
      <c r="AA224" s="1169"/>
      <c r="AB224" s="1172">
        <f t="shared" si="418"/>
        <v>0</v>
      </c>
      <c r="AC224" s="1171"/>
      <c r="AD224" s="1128"/>
      <c r="AE224" s="1169"/>
      <c r="AF224" s="1177"/>
      <c r="AG224" s="1177"/>
      <c r="AH224" s="1169"/>
      <c r="AI224" s="1169">
        <f t="shared" si="432"/>
        <v>0</v>
      </c>
      <c r="AJ224" s="1169"/>
      <c r="AK224" s="1173"/>
      <c r="AL224" s="1171"/>
      <c r="AM224" s="1128"/>
      <c r="AN224" s="1170"/>
      <c r="AO224" s="1175"/>
      <c r="AP224" s="1175"/>
      <c r="AQ224" s="1170"/>
      <c r="AR224" s="1170">
        <f t="shared" si="433"/>
        <v>0</v>
      </c>
      <c r="AS224" s="1170"/>
      <c r="AT224" s="1170">
        <f t="shared" si="421"/>
        <v>0</v>
      </c>
      <c r="AU224" s="1174"/>
      <c r="AV224" s="1241"/>
      <c r="AW224" s="1170"/>
      <c r="AX224" s="1175"/>
      <c r="AY224" s="1175"/>
      <c r="AZ224" s="1170"/>
      <c r="BA224" s="1170">
        <f t="shared" si="434"/>
        <v>0</v>
      </c>
      <c r="BB224" s="1170"/>
      <c r="BC224" s="1175">
        <f t="shared" si="423"/>
        <v>0</v>
      </c>
      <c r="BD224" s="1027"/>
      <c r="BE224" s="1029"/>
      <c r="BF224" s="1029"/>
    </row>
    <row r="225" ht="23.25" customHeight="1">
      <c r="A225" s="999" t="str">
        <f t="shared" si="412"/>
        <v xml:space="preserve">Герингер О.А.</v>
      </c>
      <c r="B225" s="1176" t="s">
        <v>207</v>
      </c>
      <c r="C225" s="1194"/>
      <c r="D225" s="1163"/>
      <c r="E225" s="1164">
        <f t="shared" si="390"/>
        <v>0</v>
      </c>
      <c r="F225" s="1164">
        <f t="shared" si="391"/>
        <v>0</v>
      </c>
      <c r="G225" s="1165">
        <f t="shared" si="429"/>
        <v>0</v>
      </c>
      <c r="H225" s="1266" t="e">
        <f t="shared" si="414"/>
        <v>#DIV/0!</v>
      </c>
      <c r="I225" s="1167">
        <f t="shared" si="393"/>
        <v>0</v>
      </c>
      <c r="J225" s="1167">
        <f t="shared" si="394"/>
        <v>0</v>
      </c>
      <c r="K225" s="1168">
        <f t="shared" si="430"/>
        <v>0</v>
      </c>
      <c r="L225" s="1128"/>
      <c r="M225" s="1169"/>
      <c r="N225" s="1177"/>
      <c r="O225" s="1169"/>
      <c r="P225" s="1169"/>
      <c r="Q225" s="1169">
        <f t="shared" si="416"/>
        <v>0</v>
      </c>
      <c r="R225" s="1169"/>
      <c r="S225" s="1170"/>
      <c r="T225" s="1171"/>
      <c r="U225" s="1128"/>
      <c r="V225" s="1169"/>
      <c r="W225" s="1177"/>
      <c r="X225" s="1177"/>
      <c r="Y225" s="1169"/>
      <c r="Z225" s="1169">
        <f t="shared" si="431"/>
        <v>0</v>
      </c>
      <c r="AA225" s="1169"/>
      <c r="AB225" s="1172">
        <f t="shared" si="418"/>
        <v>0</v>
      </c>
      <c r="AC225" s="1171"/>
      <c r="AD225" s="1128"/>
      <c r="AE225" s="1169"/>
      <c r="AF225" s="1177"/>
      <c r="AG225" s="1177"/>
      <c r="AH225" s="1169"/>
      <c r="AI225" s="1169">
        <f t="shared" si="432"/>
        <v>0</v>
      </c>
      <c r="AJ225" s="1169"/>
      <c r="AK225" s="1173"/>
      <c r="AL225" s="1171"/>
      <c r="AM225" s="1128"/>
      <c r="AN225" s="1170"/>
      <c r="AO225" s="1175"/>
      <c r="AP225" s="1175"/>
      <c r="AQ225" s="1170"/>
      <c r="AR225" s="1170">
        <f t="shared" si="433"/>
        <v>0</v>
      </c>
      <c r="AS225" s="1170"/>
      <c r="AT225" s="1170">
        <f t="shared" si="421"/>
        <v>0</v>
      </c>
      <c r="AU225" s="1174"/>
      <c r="AV225" s="1241"/>
      <c r="AW225" s="1170"/>
      <c r="AX225" s="1175"/>
      <c r="AY225" s="1175"/>
      <c r="AZ225" s="1170"/>
      <c r="BA225" s="1170">
        <f t="shared" si="434"/>
        <v>0</v>
      </c>
      <c r="BB225" s="1170"/>
      <c r="BC225" s="1175">
        <f t="shared" si="423"/>
        <v>0</v>
      </c>
      <c r="BD225" s="1027"/>
      <c r="BE225" s="1029"/>
      <c r="BF225" s="1029"/>
    </row>
    <row r="226" ht="23.25" customHeight="1">
      <c r="A226" s="999" t="str">
        <f t="shared" si="412"/>
        <v xml:space="preserve">Ничипуренко И.А.</v>
      </c>
      <c r="B226" s="1176" t="s">
        <v>375</v>
      </c>
      <c r="C226" s="1176"/>
      <c r="D226" s="1163"/>
      <c r="E226" s="1164">
        <f t="shared" si="390"/>
        <v>0</v>
      </c>
      <c r="F226" s="1164">
        <f t="shared" si="391"/>
        <v>0</v>
      </c>
      <c r="G226" s="1165">
        <f t="shared" si="429"/>
        <v>0</v>
      </c>
      <c r="H226" s="1266" t="e">
        <f t="shared" si="414"/>
        <v>#DIV/0!</v>
      </c>
      <c r="I226" s="1167">
        <f t="shared" si="393"/>
        <v>0</v>
      </c>
      <c r="J226" s="1167">
        <f t="shared" si="394"/>
        <v>0</v>
      </c>
      <c r="K226" s="1168">
        <f t="shared" si="430"/>
        <v>0</v>
      </c>
      <c r="L226" s="1128"/>
      <c r="M226" s="1169"/>
      <c r="N226" s="1177"/>
      <c r="O226" s="1169"/>
      <c r="P226" s="1169"/>
      <c r="Q226" s="1169">
        <f t="shared" si="416"/>
        <v>0</v>
      </c>
      <c r="R226" s="1169"/>
      <c r="S226" s="1170"/>
      <c r="T226" s="1171"/>
      <c r="U226" s="1128"/>
      <c r="V226" s="1169"/>
      <c r="W226" s="1177"/>
      <c r="X226" s="1177"/>
      <c r="Y226" s="1169"/>
      <c r="Z226" s="1169">
        <f t="shared" si="431"/>
        <v>0</v>
      </c>
      <c r="AA226" s="1169"/>
      <c r="AB226" s="1172">
        <f t="shared" si="418"/>
        <v>0</v>
      </c>
      <c r="AC226" s="1171"/>
      <c r="AD226" s="1128"/>
      <c r="AE226" s="1169"/>
      <c r="AF226" s="1177"/>
      <c r="AG226" s="1177"/>
      <c r="AH226" s="1169"/>
      <c r="AI226" s="1169">
        <f t="shared" si="432"/>
        <v>0</v>
      </c>
      <c r="AJ226" s="1169"/>
      <c r="AK226" s="1173"/>
      <c r="AL226" s="1171"/>
      <c r="AM226" s="1128"/>
      <c r="AN226" s="1170"/>
      <c r="AO226" s="1175"/>
      <c r="AP226" s="1175"/>
      <c r="AQ226" s="1170"/>
      <c r="AR226" s="1170">
        <f t="shared" si="433"/>
        <v>0</v>
      </c>
      <c r="AS226" s="1170"/>
      <c r="AT226" s="1170">
        <f t="shared" si="421"/>
        <v>0</v>
      </c>
      <c r="AU226" s="1174"/>
      <c r="AV226" s="1241"/>
      <c r="AW226" s="1170"/>
      <c r="AX226" s="1175"/>
      <c r="AY226" s="1175"/>
      <c r="AZ226" s="1170"/>
      <c r="BA226" s="1170">
        <f t="shared" si="434"/>
        <v>0</v>
      </c>
      <c r="BB226" s="1170"/>
      <c r="BC226" s="1175">
        <f t="shared" si="423"/>
        <v>0</v>
      </c>
      <c r="BD226" s="1027"/>
      <c r="BE226" s="1029"/>
      <c r="BF226" s="1029"/>
    </row>
    <row r="227" ht="23.25" customHeight="1">
      <c r="A227" s="999" t="str">
        <f t="shared" si="412"/>
        <v xml:space="preserve">Дылыкова А.А. Закусова О.А. Бондаренко НФ</v>
      </c>
      <c r="B227" s="1176" t="s">
        <v>210</v>
      </c>
      <c r="C227" s="1176"/>
      <c r="D227" s="1163"/>
      <c r="E227" s="1164">
        <f t="shared" si="390"/>
        <v>0</v>
      </c>
      <c r="F227" s="1164">
        <f t="shared" si="391"/>
        <v>0</v>
      </c>
      <c r="G227" s="1165">
        <f t="shared" si="429"/>
        <v>0</v>
      </c>
      <c r="H227" s="1266" t="e">
        <f t="shared" si="414"/>
        <v>#DIV/0!</v>
      </c>
      <c r="I227" s="1167">
        <f t="shared" si="393"/>
        <v>0</v>
      </c>
      <c r="J227" s="1167">
        <f t="shared" si="394"/>
        <v>0</v>
      </c>
      <c r="K227" s="1168">
        <f t="shared" si="430"/>
        <v>0</v>
      </c>
      <c r="L227" s="1128"/>
      <c r="M227" s="1169"/>
      <c r="N227" s="1177"/>
      <c r="O227" s="1169"/>
      <c r="P227" s="1169"/>
      <c r="Q227" s="1169">
        <f t="shared" si="416"/>
        <v>0</v>
      </c>
      <c r="R227" s="1169"/>
      <c r="S227" s="1170"/>
      <c r="T227" s="1171"/>
      <c r="U227" s="1128"/>
      <c r="V227" s="1169"/>
      <c r="W227" s="1177"/>
      <c r="X227" s="1177"/>
      <c r="Y227" s="1169"/>
      <c r="Z227" s="1169">
        <f t="shared" si="431"/>
        <v>0</v>
      </c>
      <c r="AA227" s="1169"/>
      <c r="AB227" s="1172">
        <f t="shared" si="418"/>
        <v>0</v>
      </c>
      <c r="AC227" s="1171"/>
      <c r="AD227" s="1128"/>
      <c r="AE227" s="1169"/>
      <c r="AF227" s="1177"/>
      <c r="AG227" s="1177"/>
      <c r="AH227" s="1169"/>
      <c r="AI227" s="1169">
        <f t="shared" si="432"/>
        <v>0</v>
      </c>
      <c r="AJ227" s="1169"/>
      <c r="AK227" s="1173"/>
      <c r="AL227" s="1171"/>
      <c r="AM227" s="1128"/>
      <c r="AN227" s="1170"/>
      <c r="AO227" s="1175"/>
      <c r="AP227" s="1175"/>
      <c r="AQ227" s="1170"/>
      <c r="AR227" s="1170">
        <f t="shared" si="433"/>
        <v>0</v>
      </c>
      <c r="AS227" s="1170"/>
      <c r="AT227" s="1170">
        <f t="shared" si="421"/>
        <v>0</v>
      </c>
      <c r="AU227" s="1174"/>
      <c r="AV227" s="1241"/>
      <c r="AW227" s="1170"/>
      <c r="AX227" s="1175"/>
      <c r="AY227" s="1175"/>
      <c r="AZ227" s="1170"/>
      <c r="BA227" s="1170">
        <f t="shared" si="434"/>
        <v>0</v>
      </c>
      <c r="BB227" s="1170"/>
      <c r="BC227" s="1175">
        <f t="shared" si="423"/>
        <v>0</v>
      </c>
      <c r="BD227" s="1027"/>
      <c r="BE227" s="1029"/>
      <c r="BF227" s="1029"/>
    </row>
    <row r="228" ht="23.25" customHeight="1">
      <c r="A228" s="999" t="str">
        <f t="shared" si="412"/>
        <v xml:space="preserve">Мазуренко А.Н.</v>
      </c>
      <c r="B228" s="1176" t="s">
        <v>211</v>
      </c>
      <c r="C228" s="1176"/>
      <c r="D228" s="1163"/>
      <c r="E228" s="1164">
        <f t="shared" si="390"/>
        <v>0</v>
      </c>
      <c r="F228" s="1164">
        <f t="shared" si="391"/>
        <v>0</v>
      </c>
      <c r="G228" s="1165">
        <f t="shared" si="429"/>
        <v>0</v>
      </c>
      <c r="H228" s="1266" t="e">
        <f t="shared" si="414"/>
        <v>#DIV/0!</v>
      </c>
      <c r="I228" s="1167">
        <f t="shared" si="393"/>
        <v>0</v>
      </c>
      <c r="J228" s="1167">
        <f t="shared" si="394"/>
        <v>0</v>
      </c>
      <c r="K228" s="1168">
        <f t="shared" si="430"/>
        <v>0</v>
      </c>
      <c r="L228" s="1128"/>
      <c r="M228" s="1169"/>
      <c r="N228" s="1177"/>
      <c r="O228" s="1169"/>
      <c r="P228" s="1169"/>
      <c r="Q228" s="1169">
        <f t="shared" si="416"/>
        <v>0</v>
      </c>
      <c r="R228" s="1169"/>
      <c r="S228" s="1170"/>
      <c r="T228" s="1171"/>
      <c r="U228" s="1128"/>
      <c r="V228" s="1169"/>
      <c r="W228" s="1177"/>
      <c r="X228" s="1177"/>
      <c r="Y228" s="1169"/>
      <c r="Z228" s="1169">
        <f t="shared" si="431"/>
        <v>0</v>
      </c>
      <c r="AA228" s="1169"/>
      <c r="AB228" s="1172">
        <f t="shared" si="418"/>
        <v>0</v>
      </c>
      <c r="AC228" s="1171"/>
      <c r="AD228" s="1128"/>
      <c r="AE228" s="1169"/>
      <c r="AF228" s="1177"/>
      <c r="AG228" s="1177"/>
      <c r="AH228" s="1169"/>
      <c r="AI228" s="1169">
        <f t="shared" si="432"/>
        <v>0</v>
      </c>
      <c r="AJ228" s="1169"/>
      <c r="AK228" s="1173"/>
      <c r="AL228" s="1171"/>
      <c r="AM228" s="1128"/>
      <c r="AN228" s="1170"/>
      <c r="AO228" s="1175"/>
      <c r="AP228" s="1175"/>
      <c r="AQ228" s="1170"/>
      <c r="AR228" s="1170">
        <f t="shared" si="433"/>
        <v>0</v>
      </c>
      <c r="AS228" s="1170"/>
      <c r="AT228" s="1170">
        <f t="shared" si="421"/>
        <v>0</v>
      </c>
      <c r="AU228" s="1174"/>
      <c r="AV228" s="1241"/>
      <c r="AW228" s="1170"/>
      <c r="AX228" s="1175"/>
      <c r="AY228" s="1175"/>
      <c r="AZ228" s="1170"/>
      <c r="BA228" s="1170">
        <f t="shared" si="434"/>
        <v>0</v>
      </c>
      <c r="BB228" s="1170"/>
      <c r="BC228" s="1175">
        <f t="shared" si="423"/>
        <v>0</v>
      </c>
      <c r="BD228" s="1027"/>
      <c r="BE228" s="1029"/>
      <c r="BF228" s="1029"/>
    </row>
    <row r="229" s="1180" customFormat="1" ht="23.25" customHeight="1">
      <c r="A229" s="999">
        <f t="shared" si="412"/>
        <v>0</v>
      </c>
      <c r="B229" s="1182" t="s">
        <v>363</v>
      </c>
      <c r="C229" s="1182"/>
      <c r="D229" s="1182"/>
      <c r="E229" s="1183">
        <f t="shared" si="390"/>
        <v>0</v>
      </c>
      <c r="F229" s="1183">
        <f t="shared" si="391"/>
        <v>0</v>
      </c>
      <c r="G229" s="1184">
        <f>SUM(G216:G228)</f>
        <v>0</v>
      </c>
      <c r="H229" s="1267" t="e">
        <f t="shared" si="414"/>
        <v>#DIV/0!</v>
      </c>
      <c r="I229" s="1186">
        <f t="shared" si="393"/>
        <v>0</v>
      </c>
      <c r="J229" s="1186">
        <f t="shared" si="394"/>
        <v>0</v>
      </c>
      <c r="K229" s="1187">
        <f>SUM(K216:K228)</f>
        <v>0</v>
      </c>
      <c r="L229" s="1197"/>
      <c r="M229" s="1096">
        <f>SUM(M216:M228)</f>
        <v>0</v>
      </c>
      <c r="N229" s="1096">
        <f>SUM(N216:N228)</f>
        <v>0</v>
      </c>
      <c r="O229" s="1096">
        <f>SUM(O217:O228)</f>
        <v>0</v>
      </c>
      <c r="P229" s="1096">
        <f>SUM(P217:P228)</f>
        <v>0</v>
      </c>
      <c r="Q229" s="1096">
        <f>SUM(Q216:Q228)</f>
        <v>0</v>
      </c>
      <c r="R229" s="1096">
        <f>SUM(R217:R228)</f>
        <v>0</v>
      </c>
      <c r="S229" s="1170"/>
      <c r="T229" s="1189"/>
      <c r="U229" s="1128"/>
      <c r="V229" s="1096">
        <f t="shared" ref="V229:AA229" si="435">SUM(V216:V228)</f>
        <v>0</v>
      </c>
      <c r="W229" s="1096">
        <f t="shared" si="435"/>
        <v>0</v>
      </c>
      <c r="X229" s="1096">
        <f t="shared" si="435"/>
        <v>0</v>
      </c>
      <c r="Y229" s="1096">
        <f t="shared" si="435"/>
        <v>0</v>
      </c>
      <c r="Z229" s="1096">
        <f t="shared" si="435"/>
        <v>0</v>
      </c>
      <c r="AA229" s="1096">
        <f t="shared" si="435"/>
        <v>0</v>
      </c>
      <c r="AB229" s="1172">
        <f t="shared" si="418"/>
        <v>0</v>
      </c>
      <c r="AC229" s="1189"/>
      <c r="AD229" s="1125"/>
      <c r="AE229" s="1096">
        <f t="shared" ref="AE229:AJ229" si="436">SUM(AE216:AE228)</f>
        <v>0</v>
      </c>
      <c r="AF229" s="1096">
        <f t="shared" si="436"/>
        <v>0</v>
      </c>
      <c r="AG229" s="1096">
        <f t="shared" si="436"/>
        <v>0</v>
      </c>
      <c r="AH229" s="1096">
        <f t="shared" si="436"/>
        <v>0</v>
      </c>
      <c r="AI229" s="1096">
        <f t="shared" si="436"/>
        <v>0</v>
      </c>
      <c r="AJ229" s="1096">
        <f t="shared" si="436"/>
        <v>0</v>
      </c>
      <c r="AK229" s="1173"/>
      <c r="AL229" s="1189"/>
      <c r="AM229" s="1125"/>
      <c r="AN229" s="1190">
        <f t="shared" ref="AN229:AS229" si="437">SUM(AN216:AN228)</f>
        <v>0</v>
      </c>
      <c r="AO229" s="1190">
        <f t="shared" si="437"/>
        <v>0</v>
      </c>
      <c r="AP229" s="1190">
        <f t="shared" si="437"/>
        <v>0</v>
      </c>
      <c r="AQ229" s="1190">
        <f t="shared" si="437"/>
        <v>0</v>
      </c>
      <c r="AR229" s="1190">
        <f t="shared" si="437"/>
        <v>0</v>
      </c>
      <c r="AS229" s="1190">
        <f t="shared" si="437"/>
        <v>0</v>
      </c>
      <c r="AT229" s="1190">
        <f t="shared" si="421"/>
        <v>0</v>
      </c>
      <c r="AU229" s="1191"/>
      <c r="AV229" s="1245"/>
      <c r="AW229" s="1190">
        <f t="shared" ref="AW229:BB229" si="438">SUM(AW216:AW228)</f>
        <v>0</v>
      </c>
      <c r="AX229" s="1190">
        <f t="shared" si="438"/>
        <v>0</v>
      </c>
      <c r="AY229" s="1190">
        <f t="shared" si="438"/>
        <v>0</v>
      </c>
      <c r="AZ229" s="1190">
        <f t="shared" si="438"/>
        <v>0</v>
      </c>
      <c r="BA229" s="1190">
        <f t="shared" si="438"/>
        <v>0</v>
      </c>
      <c r="BB229" s="1190">
        <f t="shared" si="438"/>
        <v>0</v>
      </c>
      <c r="BC229" s="1268">
        <f t="shared" si="423"/>
        <v>0</v>
      </c>
      <c r="BD229" s="1052"/>
      <c r="BE229" s="1051"/>
      <c r="BF229" s="1051"/>
      <c r="BG229" s="1106"/>
      <c r="BH229" s="1106"/>
      <c r="BI229" s="1106"/>
      <c r="BJ229" s="1106"/>
      <c r="BK229" s="1106"/>
      <c r="BL229" s="1106"/>
      <c r="BM229" s="1106"/>
    </row>
    <row r="230" ht="23.25" customHeight="1">
      <c r="A230" s="999" t="str">
        <f t="shared" si="412"/>
        <v xml:space="preserve">Румак В.Н, Стоянова ЕП</v>
      </c>
      <c r="B230" s="1176" t="s">
        <v>379</v>
      </c>
      <c r="C230" s="1176"/>
      <c r="D230" s="1163"/>
      <c r="E230" s="1164">
        <f t="shared" ref="E230:F293" si="439">Q230+Z230+AI230+AR230+BA230</f>
        <v>0</v>
      </c>
      <c r="F230" s="1164">
        <f t="shared" ref="F230:F293" si="440">R230+AA230+AJ230+AS230+BB230</f>
        <v>0</v>
      </c>
      <c r="G230" s="1165">
        <f t="shared" ref="G230:G234" si="441">E230+F230</f>
        <v>0</v>
      </c>
      <c r="H230" s="1266" t="e">
        <f t="shared" si="414"/>
        <v>#DIV/0!</v>
      </c>
      <c r="I230" s="1167">
        <f t="shared" si="393"/>
        <v>0</v>
      </c>
      <c r="J230" s="1167">
        <f t="shared" si="394"/>
        <v>0</v>
      </c>
      <c r="K230" s="1168">
        <f t="shared" ref="K230:K234" si="442">I230+J230</f>
        <v>0</v>
      </c>
      <c r="L230" s="1128"/>
      <c r="M230" s="1169"/>
      <c r="N230" s="1177"/>
      <c r="O230" s="1169"/>
      <c r="P230" s="1169"/>
      <c r="Q230" s="1169">
        <f t="shared" si="416"/>
        <v>0</v>
      </c>
      <c r="R230" s="1169"/>
      <c r="S230" s="1170"/>
      <c r="T230" s="1171"/>
      <c r="U230" s="1128"/>
      <c r="V230" s="1169"/>
      <c r="W230" s="1177"/>
      <c r="X230" s="1177"/>
      <c r="Y230" s="1169"/>
      <c r="Z230" s="1169">
        <f t="shared" ref="Z230:Z234" si="443">SUM(V230:Y230)</f>
        <v>0</v>
      </c>
      <c r="AA230" s="1169"/>
      <c r="AB230" s="1172">
        <f t="shared" si="418"/>
        <v>0</v>
      </c>
      <c r="AC230" s="1171"/>
      <c r="AD230" s="1128"/>
      <c r="AE230" s="1169"/>
      <c r="AF230" s="1177"/>
      <c r="AG230" s="1177"/>
      <c r="AH230" s="1169"/>
      <c r="AI230" s="1169">
        <f t="shared" ref="AI230:AI234" si="444">SUM(AE230:AH230)</f>
        <v>0</v>
      </c>
      <c r="AJ230" s="1169"/>
      <c r="AK230" s="1173"/>
      <c r="AL230" s="1171"/>
      <c r="AM230" s="1128"/>
      <c r="AN230" s="1170"/>
      <c r="AO230" s="1175"/>
      <c r="AP230" s="1175"/>
      <c r="AQ230" s="1170"/>
      <c r="AR230" s="1170">
        <f t="shared" ref="AR230:AR234" si="445">SUM(AN230:AQ230)</f>
        <v>0</v>
      </c>
      <c r="AS230" s="1170"/>
      <c r="AT230" s="1170">
        <f t="shared" si="421"/>
        <v>0</v>
      </c>
      <c r="AU230" s="1174"/>
      <c r="AV230" s="1241"/>
      <c r="AW230" s="1170"/>
      <c r="AX230" s="1175"/>
      <c r="AY230" s="1175"/>
      <c r="AZ230" s="1170"/>
      <c r="BA230" s="1170">
        <f t="shared" ref="BA230:BA234" si="446">SUM(AW230:AZ230)</f>
        <v>0</v>
      </c>
      <c r="BB230" s="1170"/>
      <c r="BC230" s="1175">
        <f t="shared" si="423"/>
        <v>0</v>
      </c>
      <c r="BD230" s="1027"/>
      <c r="BE230" s="1029"/>
      <c r="BF230" s="1029"/>
    </row>
    <row r="231" ht="23.25" customHeight="1">
      <c r="A231" s="999" t="str">
        <f t="shared" si="412"/>
        <v xml:space="preserve">Голубцова О.В.</v>
      </c>
      <c r="B231" s="1176" t="s">
        <v>381</v>
      </c>
      <c r="C231" s="1176"/>
      <c r="D231" s="1176"/>
      <c r="E231" s="1164">
        <f t="shared" si="439"/>
        <v>0</v>
      </c>
      <c r="F231" s="1164">
        <f t="shared" si="440"/>
        <v>0</v>
      </c>
      <c r="G231" s="1165">
        <f t="shared" si="441"/>
        <v>0</v>
      </c>
      <c r="H231" s="1266" t="e">
        <f t="shared" si="414"/>
        <v>#DIV/0!</v>
      </c>
      <c r="I231" s="1167">
        <f t="shared" si="393"/>
        <v>0</v>
      </c>
      <c r="J231" s="1167">
        <f t="shared" si="394"/>
        <v>0</v>
      </c>
      <c r="K231" s="1168">
        <f t="shared" si="442"/>
        <v>0</v>
      </c>
      <c r="L231" s="1128"/>
      <c r="M231" s="1169"/>
      <c r="N231" s="1177"/>
      <c r="O231" s="1169"/>
      <c r="P231" s="1169"/>
      <c r="Q231" s="1169">
        <f t="shared" si="416"/>
        <v>0</v>
      </c>
      <c r="R231" s="1169"/>
      <c r="S231" s="1170"/>
      <c r="T231" s="1171"/>
      <c r="U231" s="1128"/>
      <c r="V231" s="1169"/>
      <c r="W231" s="1177"/>
      <c r="X231" s="1177"/>
      <c r="Y231" s="1169"/>
      <c r="Z231" s="1169">
        <f t="shared" si="443"/>
        <v>0</v>
      </c>
      <c r="AA231" s="1169"/>
      <c r="AB231" s="1172">
        <f t="shared" si="418"/>
        <v>0</v>
      </c>
      <c r="AC231" s="1171"/>
      <c r="AD231" s="1128"/>
      <c r="AE231" s="1169"/>
      <c r="AF231" s="1177"/>
      <c r="AG231" s="1177"/>
      <c r="AH231" s="1169"/>
      <c r="AI231" s="1169">
        <f t="shared" si="444"/>
        <v>0</v>
      </c>
      <c r="AJ231" s="1169"/>
      <c r="AK231" s="1173"/>
      <c r="AL231" s="1171"/>
      <c r="AM231" s="1128"/>
      <c r="AN231" s="1170"/>
      <c r="AO231" s="1175"/>
      <c r="AP231" s="1175"/>
      <c r="AQ231" s="1170"/>
      <c r="AR231" s="1170">
        <f t="shared" si="445"/>
        <v>0</v>
      </c>
      <c r="AS231" s="1170"/>
      <c r="AT231" s="1170">
        <f t="shared" si="421"/>
        <v>0</v>
      </c>
      <c r="AU231" s="1174"/>
      <c r="AV231" s="1241"/>
      <c r="AW231" s="1170"/>
      <c r="AX231" s="1175"/>
      <c r="AY231" s="1175"/>
      <c r="AZ231" s="1170"/>
      <c r="BA231" s="1170">
        <f t="shared" si="446"/>
        <v>0</v>
      </c>
      <c r="BB231" s="1170"/>
      <c r="BC231" s="1175">
        <f t="shared" si="423"/>
        <v>0</v>
      </c>
      <c r="BD231" s="1027"/>
      <c r="BE231" s="1029"/>
      <c r="BF231" s="1029"/>
    </row>
    <row r="232" ht="23.25" customHeight="1">
      <c r="A232" s="999" t="str">
        <f t="shared" si="412"/>
        <v xml:space="preserve">Бородулина М.П.</v>
      </c>
      <c r="B232" s="1176" t="s">
        <v>383</v>
      </c>
      <c r="C232" s="1176"/>
      <c r="D232" s="1163"/>
      <c r="E232" s="1164">
        <f t="shared" si="439"/>
        <v>0</v>
      </c>
      <c r="F232" s="1164">
        <f t="shared" si="440"/>
        <v>0</v>
      </c>
      <c r="G232" s="1165">
        <f t="shared" si="441"/>
        <v>0</v>
      </c>
      <c r="H232" s="1266" t="e">
        <f t="shared" si="414"/>
        <v>#DIV/0!</v>
      </c>
      <c r="I232" s="1167">
        <f t="shared" si="393"/>
        <v>0</v>
      </c>
      <c r="J232" s="1167">
        <f t="shared" si="394"/>
        <v>0</v>
      </c>
      <c r="K232" s="1168">
        <f t="shared" si="442"/>
        <v>0</v>
      </c>
      <c r="L232" s="1128"/>
      <c r="M232" s="1169"/>
      <c r="N232" s="1177"/>
      <c r="O232" s="1169"/>
      <c r="P232" s="1169"/>
      <c r="Q232" s="1169">
        <f t="shared" si="416"/>
        <v>0</v>
      </c>
      <c r="R232" s="1169"/>
      <c r="S232" s="1170"/>
      <c r="T232" s="1171"/>
      <c r="U232" s="1128"/>
      <c r="V232" s="1169"/>
      <c r="W232" s="1177"/>
      <c r="X232" s="1177"/>
      <c r="Y232" s="1169"/>
      <c r="Z232" s="1169">
        <f t="shared" si="443"/>
        <v>0</v>
      </c>
      <c r="AA232" s="1169"/>
      <c r="AB232" s="1172">
        <f t="shared" si="418"/>
        <v>0</v>
      </c>
      <c r="AC232" s="1171"/>
      <c r="AD232" s="1128"/>
      <c r="AE232" s="1169"/>
      <c r="AF232" s="1177"/>
      <c r="AG232" s="1177"/>
      <c r="AH232" s="1169"/>
      <c r="AI232" s="1169">
        <f t="shared" si="444"/>
        <v>0</v>
      </c>
      <c r="AJ232" s="1169"/>
      <c r="AK232" s="1173"/>
      <c r="AL232" s="1171"/>
      <c r="AM232" s="1128"/>
      <c r="AN232" s="1170"/>
      <c r="AO232" s="1175"/>
      <c r="AP232" s="1175"/>
      <c r="AQ232" s="1170"/>
      <c r="AR232" s="1170">
        <f t="shared" si="445"/>
        <v>0</v>
      </c>
      <c r="AS232" s="1170"/>
      <c r="AT232" s="1170">
        <f t="shared" si="421"/>
        <v>0</v>
      </c>
      <c r="AU232" s="1174"/>
      <c r="AV232" s="1241"/>
      <c r="AW232" s="1170"/>
      <c r="AX232" s="1175"/>
      <c r="AY232" s="1175"/>
      <c r="AZ232" s="1170"/>
      <c r="BA232" s="1170">
        <f t="shared" si="446"/>
        <v>0</v>
      </c>
      <c r="BB232" s="1170"/>
      <c r="BC232" s="1175">
        <f t="shared" si="423"/>
        <v>0</v>
      </c>
      <c r="BD232" s="1027"/>
      <c r="BE232" s="1029"/>
      <c r="BF232" s="1029"/>
    </row>
    <row r="233" s="1180" customFormat="1" ht="23.25" customHeight="1">
      <c r="A233" s="999" t="str">
        <f t="shared" si="412"/>
        <v xml:space="preserve">Буханова Т.И. Мансурова А.Г.</v>
      </c>
      <c r="B233" s="1176" t="s">
        <v>385</v>
      </c>
      <c r="C233" s="1196"/>
      <c r="D233" s="1196"/>
      <c r="E233" s="1164">
        <f t="shared" si="439"/>
        <v>0</v>
      </c>
      <c r="F233" s="1164">
        <f t="shared" si="440"/>
        <v>0</v>
      </c>
      <c r="G233" s="1165">
        <f t="shared" si="441"/>
        <v>0</v>
      </c>
      <c r="H233" s="1266" t="e">
        <f t="shared" si="414"/>
        <v>#DIV/0!</v>
      </c>
      <c r="I233" s="1167">
        <f t="shared" si="393"/>
        <v>0</v>
      </c>
      <c r="J233" s="1167">
        <f t="shared" si="394"/>
        <v>0</v>
      </c>
      <c r="K233" s="1168">
        <f t="shared" si="442"/>
        <v>0</v>
      </c>
      <c r="L233" s="1128"/>
      <c r="M233" s="1169"/>
      <c r="N233" s="1177"/>
      <c r="O233" s="1169"/>
      <c r="P233" s="1169"/>
      <c r="Q233" s="1169">
        <f t="shared" si="416"/>
        <v>0</v>
      </c>
      <c r="R233" s="1169"/>
      <c r="S233" s="1170"/>
      <c r="T233" s="1171"/>
      <c r="U233" s="1128"/>
      <c r="V233" s="1169"/>
      <c r="W233" s="1177"/>
      <c r="X233" s="1177"/>
      <c r="Y233" s="1169"/>
      <c r="Z233" s="1169">
        <f t="shared" si="443"/>
        <v>0</v>
      </c>
      <c r="AA233" s="1169"/>
      <c r="AB233" s="1172">
        <f t="shared" si="418"/>
        <v>0</v>
      </c>
      <c r="AC233" s="1171"/>
      <c r="AD233" s="1128"/>
      <c r="AE233" s="1169"/>
      <c r="AF233" s="1177"/>
      <c r="AG233" s="1177"/>
      <c r="AH233" s="1169"/>
      <c r="AI233" s="1169">
        <f t="shared" si="444"/>
        <v>0</v>
      </c>
      <c r="AJ233" s="1169"/>
      <c r="AK233" s="1173"/>
      <c r="AL233" s="1171"/>
      <c r="AM233" s="1128"/>
      <c r="AN233" s="1170"/>
      <c r="AO233" s="1175"/>
      <c r="AP233" s="1175"/>
      <c r="AQ233" s="1170"/>
      <c r="AR233" s="1170">
        <f t="shared" si="445"/>
        <v>0</v>
      </c>
      <c r="AS233" s="1170"/>
      <c r="AT233" s="1170">
        <f t="shared" si="421"/>
        <v>0</v>
      </c>
      <c r="AU233" s="1174"/>
      <c r="AV233" s="1241"/>
      <c r="AW233" s="1170"/>
      <c r="AX233" s="1175"/>
      <c r="AY233" s="1175"/>
      <c r="AZ233" s="1170"/>
      <c r="BA233" s="1170">
        <f t="shared" si="446"/>
        <v>0</v>
      </c>
      <c r="BB233" s="1170"/>
      <c r="BC233" s="1175">
        <f t="shared" si="423"/>
        <v>0</v>
      </c>
      <c r="BD233" s="1052"/>
      <c r="BE233" s="1051"/>
      <c r="BF233" s="1051"/>
      <c r="BG233" s="1106"/>
      <c r="BH233" s="1106"/>
      <c r="BI233" s="1106"/>
      <c r="BJ233" s="1106"/>
      <c r="BK233" s="1106"/>
      <c r="BL233" s="1106"/>
      <c r="BM233" s="1106"/>
    </row>
    <row r="234" ht="23.25" customHeight="1">
      <c r="A234" s="999" t="str">
        <f t="shared" si="412"/>
        <v xml:space="preserve">Мирошник Е.В.</v>
      </c>
      <c r="B234" s="1176" t="s">
        <v>387</v>
      </c>
      <c r="C234" s="1176"/>
      <c r="D234" s="1176"/>
      <c r="E234" s="1164">
        <f t="shared" si="439"/>
        <v>0</v>
      </c>
      <c r="F234" s="1164">
        <f t="shared" si="440"/>
        <v>0</v>
      </c>
      <c r="G234" s="1165">
        <f t="shared" si="441"/>
        <v>0</v>
      </c>
      <c r="H234" s="1266" t="e">
        <f t="shared" si="414"/>
        <v>#DIV/0!</v>
      </c>
      <c r="I234" s="1167">
        <f t="shared" si="393"/>
        <v>0</v>
      </c>
      <c r="J234" s="1167">
        <f t="shared" si="394"/>
        <v>0</v>
      </c>
      <c r="K234" s="1168">
        <f t="shared" si="442"/>
        <v>0</v>
      </c>
      <c r="L234" s="1128"/>
      <c r="M234" s="1169"/>
      <c r="N234" s="1177"/>
      <c r="O234" s="1169"/>
      <c r="P234" s="1169"/>
      <c r="Q234" s="1169">
        <f t="shared" si="416"/>
        <v>0</v>
      </c>
      <c r="R234" s="1169"/>
      <c r="S234" s="1170"/>
      <c r="T234" s="1171"/>
      <c r="U234" s="1128"/>
      <c r="V234" s="1169"/>
      <c r="W234" s="1177"/>
      <c r="X234" s="1177"/>
      <c r="Y234" s="1169"/>
      <c r="Z234" s="1169">
        <f t="shared" si="443"/>
        <v>0</v>
      </c>
      <c r="AA234" s="1169"/>
      <c r="AB234" s="1172">
        <f t="shared" si="418"/>
        <v>0</v>
      </c>
      <c r="AC234" s="1171"/>
      <c r="AD234" s="1128"/>
      <c r="AE234" s="1169"/>
      <c r="AF234" s="1177"/>
      <c r="AG234" s="1177"/>
      <c r="AH234" s="1169"/>
      <c r="AI234" s="1169">
        <f t="shared" si="444"/>
        <v>0</v>
      </c>
      <c r="AJ234" s="1169"/>
      <c r="AK234" s="1173"/>
      <c r="AL234" s="1171"/>
      <c r="AM234" s="1128"/>
      <c r="AN234" s="1170"/>
      <c r="AO234" s="1175"/>
      <c r="AP234" s="1175"/>
      <c r="AQ234" s="1170"/>
      <c r="AR234" s="1170">
        <f t="shared" si="445"/>
        <v>0</v>
      </c>
      <c r="AS234" s="1170"/>
      <c r="AT234" s="1170">
        <f t="shared" si="421"/>
        <v>0</v>
      </c>
      <c r="AU234" s="1174"/>
      <c r="AV234" s="1241"/>
      <c r="AW234" s="1170"/>
      <c r="AX234" s="1175"/>
      <c r="AY234" s="1175"/>
      <c r="AZ234" s="1170"/>
      <c r="BA234" s="1170">
        <f t="shared" si="446"/>
        <v>0</v>
      </c>
      <c r="BB234" s="1170"/>
      <c r="BC234" s="1175">
        <f t="shared" si="423"/>
        <v>0</v>
      </c>
      <c r="BD234" s="1027"/>
      <c r="BE234" s="1029"/>
      <c r="BF234" s="1029"/>
    </row>
    <row r="235" ht="23.25" customHeight="1">
      <c r="A235" s="999">
        <f t="shared" si="412"/>
        <v>0</v>
      </c>
      <c r="B235" s="1182" t="s">
        <v>388</v>
      </c>
      <c r="C235" s="1182"/>
      <c r="D235" s="1182"/>
      <c r="E235" s="1183">
        <f t="shared" si="439"/>
        <v>0</v>
      </c>
      <c r="F235" s="1183">
        <f t="shared" si="440"/>
        <v>0</v>
      </c>
      <c r="G235" s="1184">
        <f>SUM(G230:G234)</f>
        <v>0</v>
      </c>
      <c r="H235" s="1267" t="e">
        <f t="shared" si="414"/>
        <v>#DIV/0!</v>
      </c>
      <c r="I235" s="1186">
        <f t="shared" si="393"/>
        <v>0</v>
      </c>
      <c r="J235" s="1186">
        <f t="shared" si="394"/>
        <v>0</v>
      </c>
      <c r="K235" s="1187">
        <f>SUM(K230:K234)</f>
        <v>0</v>
      </c>
      <c r="L235" s="1197"/>
      <c r="M235" s="1096">
        <f t="shared" ref="M235:R235" si="447">SUM(M230:M234)</f>
        <v>0</v>
      </c>
      <c r="N235" s="1096">
        <f t="shared" si="447"/>
        <v>0</v>
      </c>
      <c r="O235" s="1096">
        <f t="shared" si="447"/>
        <v>0</v>
      </c>
      <c r="P235" s="1096">
        <f t="shared" si="447"/>
        <v>0</v>
      </c>
      <c r="Q235" s="1096">
        <f t="shared" si="447"/>
        <v>0</v>
      </c>
      <c r="R235" s="1096">
        <f t="shared" si="447"/>
        <v>0</v>
      </c>
      <c r="S235" s="1170"/>
      <c r="T235" s="1189"/>
      <c r="U235" s="1197"/>
      <c r="V235" s="1096">
        <f t="shared" ref="V235:AA235" si="448">SUM(V230:V234)</f>
        <v>0</v>
      </c>
      <c r="W235" s="1096">
        <f t="shared" si="448"/>
        <v>0</v>
      </c>
      <c r="X235" s="1096">
        <f t="shared" si="448"/>
        <v>0</v>
      </c>
      <c r="Y235" s="1096">
        <f t="shared" si="448"/>
        <v>0</v>
      </c>
      <c r="Z235" s="1096">
        <f t="shared" si="448"/>
        <v>0</v>
      </c>
      <c r="AA235" s="1096">
        <f t="shared" si="448"/>
        <v>0</v>
      </c>
      <c r="AB235" s="1172">
        <f t="shared" si="418"/>
        <v>0</v>
      </c>
      <c r="AC235" s="1189"/>
      <c r="AD235" s="1197"/>
      <c r="AE235" s="1096">
        <f t="shared" ref="AE235:AJ235" si="449">SUM(AE230:AE234)</f>
        <v>0</v>
      </c>
      <c r="AF235" s="1096">
        <f t="shared" si="449"/>
        <v>0</v>
      </c>
      <c r="AG235" s="1096">
        <f t="shared" si="449"/>
        <v>0</v>
      </c>
      <c r="AH235" s="1096">
        <f t="shared" si="449"/>
        <v>0</v>
      </c>
      <c r="AI235" s="1096">
        <f t="shared" si="449"/>
        <v>0</v>
      </c>
      <c r="AJ235" s="1096">
        <f t="shared" si="449"/>
        <v>0</v>
      </c>
      <c r="AK235" s="1173"/>
      <c r="AL235" s="1189"/>
      <c r="AM235" s="1197"/>
      <c r="AN235" s="1190">
        <f t="shared" ref="AN235:BB235" si="450">SUM(AN230:AN234)</f>
        <v>0</v>
      </c>
      <c r="AO235" s="1190">
        <f t="shared" si="450"/>
        <v>0</v>
      </c>
      <c r="AP235" s="1190">
        <f t="shared" si="450"/>
        <v>0</v>
      </c>
      <c r="AQ235" s="1190">
        <f t="shared" si="450"/>
        <v>0</v>
      </c>
      <c r="AR235" s="1190">
        <f t="shared" si="450"/>
        <v>0</v>
      </c>
      <c r="AS235" s="1190">
        <f t="shared" si="450"/>
        <v>0</v>
      </c>
      <c r="AT235" s="1190">
        <f t="shared" si="421"/>
        <v>0</v>
      </c>
      <c r="AU235" s="1191"/>
      <c r="AV235" s="1197">
        <f t="shared" si="450"/>
        <v>0</v>
      </c>
      <c r="AW235" s="1190">
        <f t="shared" si="450"/>
        <v>0</v>
      </c>
      <c r="AX235" s="1190">
        <f t="shared" si="450"/>
        <v>0</v>
      </c>
      <c r="AY235" s="1190">
        <f t="shared" si="450"/>
        <v>0</v>
      </c>
      <c r="AZ235" s="1190">
        <f t="shared" si="450"/>
        <v>0</v>
      </c>
      <c r="BA235" s="1190">
        <f t="shared" si="450"/>
        <v>0</v>
      </c>
      <c r="BB235" s="1190">
        <f t="shared" si="450"/>
        <v>0</v>
      </c>
      <c r="BC235" s="1268">
        <f t="shared" si="423"/>
        <v>0</v>
      </c>
      <c r="BD235" s="1027"/>
      <c r="BE235" s="1029"/>
      <c r="BF235" s="1029"/>
    </row>
    <row r="236" ht="23.25" customHeight="1">
      <c r="A236" s="999" t="str">
        <f t="shared" si="412"/>
        <v xml:space="preserve">Зиненко Ю.А. Шаповалова Т.Ю.</v>
      </c>
      <c r="B236" s="1176" t="s">
        <v>390</v>
      </c>
      <c r="C236" s="1198"/>
      <c r="D236" s="1163"/>
      <c r="E236" s="1164">
        <f t="shared" si="439"/>
        <v>0</v>
      </c>
      <c r="F236" s="1164">
        <f t="shared" si="440"/>
        <v>0</v>
      </c>
      <c r="G236" s="1165">
        <f t="shared" ref="G236:G238" si="451">E236+F236</f>
        <v>0</v>
      </c>
      <c r="H236" s="1266" t="e">
        <f t="shared" si="414"/>
        <v>#DIV/0!</v>
      </c>
      <c r="I236" s="1167">
        <f t="shared" si="393"/>
        <v>0</v>
      </c>
      <c r="J236" s="1167">
        <f t="shared" si="394"/>
        <v>0</v>
      </c>
      <c r="K236" s="1168">
        <f t="shared" ref="K236:K238" si="452">I236+J236</f>
        <v>0</v>
      </c>
      <c r="L236" s="1197"/>
      <c r="M236" s="1169"/>
      <c r="N236" s="1199"/>
      <c r="O236" s="1169"/>
      <c r="P236" s="1169"/>
      <c r="Q236" s="1169">
        <f t="shared" si="416"/>
        <v>0</v>
      </c>
      <c r="R236" s="1169"/>
      <c r="S236" s="1170"/>
      <c r="T236" s="1171"/>
      <c r="U236" s="1128"/>
      <c r="V236" s="1169"/>
      <c r="W236" s="1199"/>
      <c r="X236" s="1199"/>
      <c r="Y236" s="1169"/>
      <c r="Z236" s="1169">
        <f t="shared" ref="Z236:Z238" si="453">SUM(V236:Y236)</f>
        <v>0</v>
      </c>
      <c r="AA236" s="1169"/>
      <c r="AB236" s="1172">
        <f t="shared" si="418"/>
        <v>0</v>
      </c>
      <c r="AC236" s="1171"/>
      <c r="AD236" s="1128"/>
      <c r="AE236" s="1169"/>
      <c r="AF236" s="1199"/>
      <c r="AG236" s="1199"/>
      <c r="AH236" s="1169"/>
      <c r="AI236" s="1169">
        <f t="shared" ref="AI236:AI238" si="454">SUM(AE236:AH236)</f>
        <v>0</v>
      </c>
      <c r="AJ236" s="1169"/>
      <c r="AK236" s="1173"/>
      <c r="AL236" s="1171"/>
      <c r="AM236" s="1128"/>
      <c r="AN236" s="1170"/>
      <c r="AO236" s="1200"/>
      <c r="AP236" s="1200"/>
      <c r="AQ236" s="1170"/>
      <c r="AR236" s="1170">
        <f t="shared" ref="AR236:AR238" si="455">SUM(AN236:AQ236)</f>
        <v>0</v>
      </c>
      <c r="AS236" s="1170"/>
      <c r="AT236" s="1170">
        <f t="shared" si="421"/>
        <v>0</v>
      </c>
      <c r="AU236" s="1174"/>
      <c r="AV236" s="1241"/>
      <c r="AW236" s="1170"/>
      <c r="AX236" s="1200"/>
      <c r="AY236" s="1200"/>
      <c r="AZ236" s="1170"/>
      <c r="BA236" s="1170">
        <f t="shared" ref="BA236:BA238" si="456">SUM(AW236:AZ236)</f>
        <v>0</v>
      </c>
      <c r="BB236" s="1170"/>
      <c r="BC236" s="1175">
        <f t="shared" si="423"/>
        <v>0</v>
      </c>
      <c r="BD236" s="1027"/>
      <c r="BE236" s="1029"/>
      <c r="BF236" s="1029"/>
    </row>
    <row r="237" s="1180" customFormat="1" ht="23.25" customHeight="1">
      <c r="A237" s="999" t="str">
        <f t="shared" si="412"/>
        <v xml:space="preserve">Майорова И.В.</v>
      </c>
      <c r="B237" s="1176" t="s">
        <v>392</v>
      </c>
      <c r="C237" s="1198"/>
      <c r="D237" s="1163"/>
      <c r="E237" s="1164">
        <f t="shared" si="439"/>
        <v>0</v>
      </c>
      <c r="F237" s="1164">
        <f t="shared" si="440"/>
        <v>0</v>
      </c>
      <c r="G237" s="1165">
        <f t="shared" si="451"/>
        <v>0</v>
      </c>
      <c r="H237" s="1266" t="e">
        <f t="shared" si="414"/>
        <v>#DIV/0!</v>
      </c>
      <c r="I237" s="1167">
        <f t="shared" ref="I237:J300" si="457">E237-Z237</f>
        <v>0</v>
      </c>
      <c r="J237" s="1167">
        <f t="shared" ref="J237:J300" si="458">F237-AA237</f>
        <v>0</v>
      </c>
      <c r="K237" s="1168">
        <f t="shared" si="452"/>
        <v>0</v>
      </c>
      <c r="L237" s="1197"/>
      <c r="M237" s="1169"/>
      <c r="N237" s="1177"/>
      <c r="O237" s="1169"/>
      <c r="P237" s="1169"/>
      <c r="Q237" s="1169">
        <f t="shared" si="416"/>
        <v>0</v>
      </c>
      <c r="R237" s="1169"/>
      <c r="S237" s="1170"/>
      <c r="T237" s="1171"/>
      <c r="U237" s="1128"/>
      <c r="V237" s="1169"/>
      <c r="W237" s="1177"/>
      <c r="X237" s="1177"/>
      <c r="Y237" s="1169"/>
      <c r="Z237" s="1169">
        <f t="shared" si="453"/>
        <v>0</v>
      </c>
      <c r="AA237" s="1169"/>
      <c r="AB237" s="1172">
        <f t="shared" si="418"/>
        <v>0</v>
      </c>
      <c r="AC237" s="1171"/>
      <c r="AD237" s="1128"/>
      <c r="AE237" s="1169"/>
      <c r="AF237" s="1177"/>
      <c r="AG237" s="1177"/>
      <c r="AH237" s="1169"/>
      <c r="AI237" s="1169">
        <f t="shared" si="454"/>
        <v>0</v>
      </c>
      <c r="AJ237" s="1169"/>
      <c r="AK237" s="1173"/>
      <c r="AL237" s="1171"/>
      <c r="AM237" s="1128"/>
      <c r="AN237" s="1170"/>
      <c r="AO237" s="1175"/>
      <c r="AP237" s="1175"/>
      <c r="AQ237" s="1170"/>
      <c r="AR237" s="1170">
        <f t="shared" si="455"/>
        <v>0</v>
      </c>
      <c r="AS237" s="1170"/>
      <c r="AT237" s="1170">
        <f t="shared" si="421"/>
        <v>0</v>
      </c>
      <c r="AU237" s="1174"/>
      <c r="AV237" s="1241"/>
      <c r="AW237" s="1170"/>
      <c r="AX237" s="1175"/>
      <c r="AY237" s="1175"/>
      <c r="AZ237" s="1170"/>
      <c r="BA237" s="1170">
        <f t="shared" si="456"/>
        <v>0</v>
      </c>
      <c r="BB237" s="1170"/>
      <c r="BC237" s="1175">
        <f t="shared" si="423"/>
        <v>0</v>
      </c>
      <c r="BD237" s="1052"/>
      <c r="BE237" s="1051"/>
      <c r="BF237" s="1051"/>
      <c r="BG237" s="1106"/>
      <c r="BH237" s="1106"/>
      <c r="BI237" s="1106"/>
      <c r="BJ237" s="1106"/>
      <c r="BK237" s="1106"/>
      <c r="BL237" s="1106"/>
      <c r="BM237" s="1106"/>
    </row>
    <row r="238" s="1180" customFormat="1" ht="23.25" customHeight="1">
      <c r="A238" s="999" t="s">
        <v>475</v>
      </c>
      <c r="B238" s="1176" t="s">
        <v>265</v>
      </c>
      <c r="C238" s="1131"/>
      <c r="D238" s="1201"/>
      <c r="E238" s="1164">
        <f t="shared" si="439"/>
        <v>0</v>
      </c>
      <c r="F238" s="1164">
        <f t="shared" si="440"/>
        <v>0</v>
      </c>
      <c r="G238" s="1165">
        <f t="shared" si="451"/>
        <v>0</v>
      </c>
      <c r="H238" s="1266" t="e">
        <f t="shared" si="414"/>
        <v>#DIV/0!</v>
      </c>
      <c r="I238" s="1167">
        <f t="shared" si="457"/>
        <v>0</v>
      </c>
      <c r="J238" s="1167">
        <f t="shared" si="458"/>
        <v>0</v>
      </c>
      <c r="K238" s="1168">
        <f t="shared" si="452"/>
        <v>0</v>
      </c>
      <c r="L238" s="1128"/>
      <c r="M238" s="1169"/>
      <c r="N238" s="1177"/>
      <c r="O238" s="1169"/>
      <c r="P238" s="1169"/>
      <c r="Q238" s="1169">
        <f t="shared" si="416"/>
        <v>0</v>
      </c>
      <c r="R238" s="1169"/>
      <c r="S238" s="1170"/>
      <c r="T238" s="1171"/>
      <c r="U238" s="1128"/>
      <c r="V238" s="1169"/>
      <c r="W238" s="1177"/>
      <c r="X238" s="1177"/>
      <c r="Y238" s="1169"/>
      <c r="Z238" s="1169">
        <f t="shared" si="453"/>
        <v>0</v>
      </c>
      <c r="AA238" s="1169"/>
      <c r="AB238" s="1172">
        <f t="shared" si="418"/>
        <v>0</v>
      </c>
      <c r="AC238" s="1171"/>
      <c r="AD238" s="1128"/>
      <c r="AE238" s="1169"/>
      <c r="AF238" s="1177"/>
      <c r="AG238" s="1177"/>
      <c r="AH238" s="1169"/>
      <c r="AI238" s="1169">
        <f t="shared" si="454"/>
        <v>0</v>
      </c>
      <c r="AJ238" s="1169"/>
      <c r="AK238" s="1173"/>
      <c r="AL238" s="1171"/>
      <c r="AM238" s="1128"/>
      <c r="AN238" s="1170"/>
      <c r="AO238" s="1175"/>
      <c r="AP238" s="1175"/>
      <c r="AQ238" s="1170"/>
      <c r="AR238" s="1170">
        <f t="shared" si="455"/>
        <v>0</v>
      </c>
      <c r="AS238" s="1170"/>
      <c r="AT238" s="1170">
        <f t="shared" si="421"/>
        <v>0</v>
      </c>
      <c r="AU238" s="1174"/>
      <c r="AV238" s="1241"/>
      <c r="AW238" s="1170"/>
      <c r="AX238" s="1175"/>
      <c r="AY238" s="1175"/>
      <c r="AZ238" s="1170"/>
      <c r="BA238" s="1170">
        <f t="shared" si="456"/>
        <v>0</v>
      </c>
      <c r="BB238" s="1170"/>
      <c r="BC238" s="1175">
        <f t="shared" si="423"/>
        <v>0</v>
      </c>
      <c r="BD238" s="1052"/>
      <c r="BE238" s="1051"/>
      <c r="BF238" s="1051"/>
      <c r="BG238" s="1106"/>
      <c r="BH238" s="1106"/>
      <c r="BI238" s="1106"/>
      <c r="BJ238" s="1106"/>
      <c r="BK238" s="1106"/>
      <c r="BL238" s="1106"/>
      <c r="BM238" s="1106"/>
    </row>
    <row r="239" ht="23.25" customHeight="1">
      <c r="B239" s="1182" t="s">
        <v>394</v>
      </c>
      <c r="C239" s="1182"/>
      <c r="D239" s="1182"/>
      <c r="E239" s="1183">
        <f t="shared" si="439"/>
        <v>0</v>
      </c>
      <c r="F239" s="1183">
        <f t="shared" si="440"/>
        <v>0</v>
      </c>
      <c r="G239" s="1184">
        <f>SUM(G236:G238)</f>
        <v>0</v>
      </c>
      <c r="H239" s="1267" t="e">
        <f t="shared" si="414"/>
        <v>#DIV/0!</v>
      </c>
      <c r="I239" s="1186">
        <f t="shared" si="457"/>
        <v>0</v>
      </c>
      <c r="J239" s="1186">
        <f t="shared" si="458"/>
        <v>0</v>
      </c>
      <c r="K239" s="1187">
        <f>SUM(K236:K238)</f>
        <v>0</v>
      </c>
      <c r="L239" s="1197"/>
      <c r="M239" s="1096">
        <f t="shared" ref="M239:R243" si="459">SUM(M236:M238)</f>
        <v>0</v>
      </c>
      <c r="N239" s="1096">
        <f t="shared" si="459"/>
        <v>0</v>
      </c>
      <c r="O239" s="1096">
        <f t="shared" si="459"/>
        <v>0</v>
      </c>
      <c r="P239" s="1096">
        <f t="shared" si="459"/>
        <v>0</v>
      </c>
      <c r="Q239" s="1096">
        <f t="shared" si="459"/>
        <v>0</v>
      </c>
      <c r="R239" s="1096">
        <f t="shared" si="459"/>
        <v>0</v>
      </c>
      <c r="S239" s="1170"/>
      <c r="T239" s="1189"/>
      <c r="U239" s="1128"/>
      <c r="V239" s="1096">
        <f t="shared" ref="V239:AA243" si="460">SUM(V236:V238)</f>
        <v>0</v>
      </c>
      <c r="W239" s="1096">
        <f t="shared" si="460"/>
        <v>0</v>
      </c>
      <c r="X239" s="1096">
        <f t="shared" si="460"/>
        <v>0</v>
      </c>
      <c r="Y239" s="1096">
        <f t="shared" si="460"/>
        <v>0</v>
      </c>
      <c r="Z239" s="1096">
        <f t="shared" si="460"/>
        <v>0</v>
      </c>
      <c r="AA239" s="1096">
        <f t="shared" si="460"/>
        <v>0</v>
      </c>
      <c r="AB239" s="1172">
        <f t="shared" si="418"/>
        <v>0</v>
      </c>
      <c r="AC239" s="1189"/>
      <c r="AD239" s="1125"/>
      <c r="AE239" s="1096">
        <f t="shared" ref="AE239:AJ243" si="461">SUM(AE236:AE238)</f>
        <v>0</v>
      </c>
      <c r="AF239" s="1096">
        <f t="shared" si="461"/>
        <v>0</v>
      </c>
      <c r="AG239" s="1096">
        <f t="shared" si="461"/>
        <v>0</v>
      </c>
      <c r="AH239" s="1096">
        <f t="shared" si="461"/>
        <v>0</v>
      </c>
      <c r="AI239" s="1096">
        <f t="shared" si="461"/>
        <v>0</v>
      </c>
      <c r="AJ239" s="1096">
        <f t="shared" si="461"/>
        <v>0</v>
      </c>
      <c r="AK239" s="1173"/>
      <c r="AL239" s="1189"/>
      <c r="AM239" s="1125"/>
      <c r="AN239" s="1190">
        <f t="shared" ref="AN239:AS243" si="462">SUM(AN236:AN238)</f>
        <v>0</v>
      </c>
      <c r="AO239" s="1190">
        <f t="shared" si="462"/>
        <v>0</v>
      </c>
      <c r="AP239" s="1190">
        <f t="shared" si="462"/>
        <v>0</v>
      </c>
      <c r="AQ239" s="1190">
        <f t="shared" si="462"/>
        <v>0</v>
      </c>
      <c r="AR239" s="1190">
        <f t="shared" si="462"/>
        <v>0</v>
      </c>
      <c r="AS239" s="1190">
        <f t="shared" si="462"/>
        <v>0</v>
      </c>
      <c r="AT239" s="1190">
        <f t="shared" si="421"/>
        <v>0</v>
      </c>
      <c r="AU239" s="1191"/>
      <c r="AV239" s="1245"/>
      <c r="AW239" s="1190">
        <f t="shared" ref="AW239:BB243" si="463">SUM(AW236:AW238)</f>
        <v>0</v>
      </c>
      <c r="AX239" s="1190">
        <f t="shared" si="463"/>
        <v>0</v>
      </c>
      <c r="AY239" s="1190">
        <f t="shared" si="463"/>
        <v>0</v>
      </c>
      <c r="AZ239" s="1190">
        <f t="shared" si="463"/>
        <v>0</v>
      </c>
      <c r="BA239" s="1190">
        <f t="shared" si="463"/>
        <v>0</v>
      </c>
      <c r="BB239" s="1190">
        <f t="shared" si="463"/>
        <v>0</v>
      </c>
      <c r="BC239" s="1268">
        <f t="shared" si="423"/>
        <v>0</v>
      </c>
      <c r="BD239" s="1027"/>
      <c r="BE239" s="1029"/>
      <c r="BF239" s="1029"/>
    </row>
    <row r="240" ht="23.25" customHeight="1">
      <c r="A240" s="999" t="s">
        <v>476</v>
      </c>
      <c r="B240" s="1202" t="s">
        <v>50</v>
      </c>
      <c r="C240" s="1203"/>
      <c r="D240" s="1201"/>
      <c r="E240" s="1164">
        <f t="shared" si="439"/>
        <v>0</v>
      </c>
      <c r="F240" s="1164">
        <f t="shared" si="440"/>
        <v>0</v>
      </c>
      <c r="G240" s="1165">
        <f t="shared" ref="G240:G242" si="464">E240+F240</f>
        <v>0</v>
      </c>
      <c r="H240" s="1266" t="e">
        <f t="shared" si="414"/>
        <v>#DIV/0!</v>
      </c>
      <c r="I240" s="1167">
        <f t="shared" si="457"/>
        <v>0</v>
      </c>
      <c r="J240" s="1167">
        <f t="shared" si="458"/>
        <v>0</v>
      </c>
      <c r="K240" s="1168">
        <f t="shared" ref="K240:K242" si="465">I240+J240</f>
        <v>0</v>
      </c>
      <c r="L240" s="1128"/>
      <c r="M240" s="1169"/>
      <c r="N240" s="1177"/>
      <c r="O240" s="1169"/>
      <c r="P240" s="1169"/>
      <c r="Q240" s="1169">
        <f t="shared" si="416"/>
        <v>0</v>
      </c>
      <c r="R240" s="1169"/>
      <c r="S240" s="1170"/>
      <c r="T240" s="1171"/>
      <c r="U240" s="1128"/>
      <c r="V240" s="1169"/>
      <c r="W240" s="1177"/>
      <c r="X240" s="1177"/>
      <c r="Y240" s="1169"/>
      <c r="Z240" s="1169">
        <f t="shared" ref="Z240:Z242" si="466">SUM(V240:Y240)</f>
        <v>0</v>
      </c>
      <c r="AA240" s="1169"/>
      <c r="AB240" s="1172">
        <f t="shared" si="418"/>
        <v>0</v>
      </c>
      <c r="AC240" s="1171"/>
      <c r="AD240" s="1128"/>
      <c r="AE240" s="1169"/>
      <c r="AF240" s="1177"/>
      <c r="AG240" s="1177"/>
      <c r="AH240" s="1169"/>
      <c r="AI240" s="1169">
        <f t="shared" ref="AI240:AI242" si="467">SUM(AE240:AH240)</f>
        <v>0</v>
      </c>
      <c r="AJ240" s="1169"/>
      <c r="AK240" s="1173"/>
      <c r="AL240" s="1171"/>
      <c r="AM240" s="1128"/>
      <c r="AN240" s="1170"/>
      <c r="AO240" s="1175"/>
      <c r="AP240" s="1175"/>
      <c r="AQ240" s="1170"/>
      <c r="AR240" s="1170">
        <f t="shared" ref="AR240:AR242" si="468">SUM(AN240:AQ240)</f>
        <v>0</v>
      </c>
      <c r="AS240" s="1170"/>
      <c r="AT240" s="1170">
        <f t="shared" si="421"/>
        <v>0</v>
      </c>
      <c r="AU240" s="1174"/>
      <c r="AV240" s="1241"/>
      <c r="AW240" s="1170"/>
      <c r="AX240" s="1175"/>
      <c r="AY240" s="1175"/>
      <c r="AZ240" s="1170"/>
      <c r="BA240" s="1170"/>
      <c r="BB240" s="1170"/>
      <c r="BC240" s="1175">
        <f t="shared" si="423"/>
        <v>0</v>
      </c>
      <c r="BD240" s="1027"/>
      <c r="BE240" s="1029"/>
      <c r="BF240" s="1029"/>
    </row>
    <row r="241" ht="23.25" customHeight="1">
      <c r="A241" s="999" t="str">
        <f t="shared" si="412"/>
        <v xml:space="preserve">Лещенко О.А.</v>
      </c>
      <c r="B241" s="1202" t="s">
        <v>397</v>
      </c>
      <c r="C241" s="1203"/>
      <c r="D241" s="1201"/>
      <c r="E241" s="1164">
        <f t="shared" si="439"/>
        <v>0</v>
      </c>
      <c r="F241" s="1164">
        <f t="shared" si="440"/>
        <v>0</v>
      </c>
      <c r="G241" s="1165">
        <f t="shared" si="464"/>
        <v>0</v>
      </c>
      <c r="H241" s="1266" t="e">
        <f t="shared" si="414"/>
        <v>#DIV/0!</v>
      </c>
      <c r="I241" s="1167">
        <f t="shared" si="457"/>
        <v>0</v>
      </c>
      <c r="J241" s="1167">
        <f t="shared" si="458"/>
        <v>0</v>
      </c>
      <c r="K241" s="1168">
        <f t="shared" si="465"/>
        <v>0</v>
      </c>
      <c r="L241" s="1128"/>
      <c r="M241" s="1169"/>
      <c r="N241" s="1177"/>
      <c r="O241" s="1169"/>
      <c r="P241" s="1169"/>
      <c r="Q241" s="1169">
        <f t="shared" si="416"/>
        <v>0</v>
      </c>
      <c r="R241" s="1169"/>
      <c r="S241" s="1170"/>
      <c r="T241" s="1171"/>
      <c r="U241" s="1128"/>
      <c r="V241" s="1169"/>
      <c r="W241" s="1177"/>
      <c r="X241" s="1177"/>
      <c r="Y241" s="1169"/>
      <c r="Z241" s="1169">
        <f t="shared" si="466"/>
        <v>0</v>
      </c>
      <c r="AA241" s="1169"/>
      <c r="AB241" s="1172">
        <f t="shared" si="418"/>
        <v>0</v>
      </c>
      <c r="AC241" s="1171"/>
      <c r="AD241" s="1128"/>
      <c r="AE241" s="1169"/>
      <c r="AF241" s="1177"/>
      <c r="AG241" s="1177"/>
      <c r="AH241" s="1169"/>
      <c r="AI241" s="1169">
        <f t="shared" si="467"/>
        <v>0</v>
      </c>
      <c r="AJ241" s="1169"/>
      <c r="AK241" s="1173"/>
      <c r="AL241" s="1171"/>
      <c r="AM241" s="1128"/>
      <c r="AN241" s="1170"/>
      <c r="AO241" s="1175"/>
      <c r="AP241" s="1175"/>
      <c r="AQ241" s="1170"/>
      <c r="AR241" s="1170">
        <f t="shared" si="468"/>
        <v>0</v>
      </c>
      <c r="AS241" s="1170"/>
      <c r="AT241" s="1170">
        <f t="shared" si="421"/>
        <v>0</v>
      </c>
      <c r="AU241" s="1174"/>
      <c r="AV241" s="1241"/>
      <c r="AW241" s="1170"/>
      <c r="AX241" s="1175"/>
      <c r="AY241" s="1175"/>
      <c r="AZ241" s="1170"/>
      <c r="BA241" s="1170"/>
      <c r="BB241" s="1170"/>
      <c r="BC241" s="1175">
        <f t="shared" si="423"/>
        <v>0</v>
      </c>
      <c r="BD241" s="1027"/>
      <c r="BE241" s="1029"/>
      <c r="BF241" s="1029"/>
    </row>
    <row r="242" ht="23.25" customHeight="1">
      <c r="A242" s="999" t="str">
        <f t="shared" si="412"/>
        <v xml:space="preserve">Павленко И.В.</v>
      </c>
      <c r="B242" s="1202" t="s">
        <v>399</v>
      </c>
      <c r="C242" s="1204"/>
      <c r="D242" s="1201"/>
      <c r="E242" s="1164">
        <f t="shared" si="439"/>
        <v>0</v>
      </c>
      <c r="F242" s="1164">
        <f t="shared" si="440"/>
        <v>0</v>
      </c>
      <c r="G242" s="1165">
        <f t="shared" si="464"/>
        <v>0</v>
      </c>
      <c r="H242" s="1266" t="e">
        <f t="shared" si="414"/>
        <v>#DIV/0!</v>
      </c>
      <c r="I242" s="1167">
        <f t="shared" si="457"/>
        <v>0</v>
      </c>
      <c r="J242" s="1167">
        <f t="shared" si="458"/>
        <v>0</v>
      </c>
      <c r="K242" s="1168">
        <f t="shared" si="465"/>
        <v>0</v>
      </c>
      <c r="L242" s="1128"/>
      <c r="M242" s="1169"/>
      <c r="N242" s="1177"/>
      <c r="O242" s="1169"/>
      <c r="P242" s="1169"/>
      <c r="Q242" s="1169">
        <f t="shared" si="416"/>
        <v>0</v>
      </c>
      <c r="R242" s="1169"/>
      <c r="S242" s="1170"/>
      <c r="T242" s="1171"/>
      <c r="U242" s="1128"/>
      <c r="V242" s="1169"/>
      <c r="W242" s="1177"/>
      <c r="X242" s="1177"/>
      <c r="Y242" s="1169"/>
      <c r="Z242" s="1169">
        <f t="shared" si="466"/>
        <v>0</v>
      </c>
      <c r="AA242" s="1169"/>
      <c r="AB242" s="1172">
        <f t="shared" si="418"/>
        <v>0</v>
      </c>
      <c r="AC242" s="1171"/>
      <c r="AD242" s="1128"/>
      <c r="AE242" s="1169"/>
      <c r="AF242" s="1177"/>
      <c r="AG242" s="1177"/>
      <c r="AH242" s="1169"/>
      <c r="AI242" s="1169">
        <f t="shared" si="467"/>
        <v>0</v>
      </c>
      <c r="AJ242" s="1169"/>
      <c r="AK242" s="1173"/>
      <c r="AL242" s="1171"/>
      <c r="AM242" s="1128"/>
      <c r="AN242" s="1170"/>
      <c r="AO242" s="1175"/>
      <c r="AP242" s="1175"/>
      <c r="AQ242" s="1170"/>
      <c r="AR242" s="1170">
        <f t="shared" si="468"/>
        <v>0</v>
      </c>
      <c r="AS242" s="1170"/>
      <c r="AT242" s="1170">
        <f t="shared" si="421"/>
        <v>0</v>
      </c>
      <c r="AU242" s="1174"/>
      <c r="AV242" s="1241"/>
      <c r="AW242" s="1170"/>
      <c r="AX242" s="1175"/>
      <c r="AY242" s="1175"/>
      <c r="AZ242" s="1170"/>
      <c r="BA242" s="1170">
        <f>SUM(AW242:AZ242)</f>
        <v>0</v>
      </c>
      <c r="BB242" s="1170"/>
      <c r="BC242" s="1175">
        <f t="shared" si="423"/>
        <v>0</v>
      </c>
      <c r="BD242" s="1027"/>
      <c r="BE242" s="1029"/>
      <c r="BF242" s="1029"/>
    </row>
    <row r="243" s="1215" customFormat="1" ht="23.25" customHeight="1">
      <c r="A243" s="999">
        <f t="shared" si="412"/>
        <v>0</v>
      </c>
      <c r="B243" s="1205" t="s">
        <v>363</v>
      </c>
      <c r="C243" s="1205"/>
      <c r="D243" s="1205"/>
      <c r="E243" s="1183">
        <f t="shared" si="439"/>
        <v>0</v>
      </c>
      <c r="F243" s="1183">
        <f t="shared" si="440"/>
        <v>0</v>
      </c>
      <c r="G243" s="1184">
        <f>SUM(G240:G242)</f>
        <v>0</v>
      </c>
      <c r="H243" s="1267" t="e">
        <f t="shared" si="414"/>
        <v>#DIV/0!</v>
      </c>
      <c r="I243" s="1186">
        <f t="shared" si="457"/>
        <v>0</v>
      </c>
      <c r="J243" s="1186">
        <f t="shared" si="458"/>
        <v>0</v>
      </c>
      <c r="K243" s="1187">
        <f>SUM(K240:K242)</f>
        <v>0</v>
      </c>
      <c r="L243" s="1197"/>
      <c r="M243" s="1096">
        <f t="shared" si="459"/>
        <v>0</v>
      </c>
      <c r="N243" s="1096">
        <f t="shared" si="459"/>
        <v>0</v>
      </c>
      <c r="O243" s="1096">
        <f t="shared" si="459"/>
        <v>0</v>
      </c>
      <c r="P243" s="1096">
        <f t="shared" si="459"/>
        <v>0</v>
      </c>
      <c r="Q243" s="1096">
        <f t="shared" si="459"/>
        <v>0</v>
      </c>
      <c r="R243" s="1096">
        <f t="shared" si="459"/>
        <v>0</v>
      </c>
      <c r="S243" s="1170"/>
      <c r="T243" s="1189"/>
      <c r="U243" s="1128"/>
      <c r="V243" s="1096">
        <f t="shared" si="460"/>
        <v>0</v>
      </c>
      <c r="W243" s="1096">
        <f t="shared" si="460"/>
        <v>0</v>
      </c>
      <c r="X243" s="1096">
        <f t="shared" si="460"/>
        <v>0</v>
      </c>
      <c r="Y243" s="1096">
        <f t="shared" si="460"/>
        <v>0</v>
      </c>
      <c r="Z243" s="1096">
        <f t="shared" si="460"/>
        <v>0</v>
      </c>
      <c r="AA243" s="1096">
        <f t="shared" si="460"/>
        <v>0</v>
      </c>
      <c r="AB243" s="1172">
        <f t="shared" si="418"/>
        <v>0</v>
      </c>
      <c r="AC243" s="1189"/>
      <c r="AD243" s="1125"/>
      <c r="AE243" s="1096">
        <f t="shared" si="461"/>
        <v>0</v>
      </c>
      <c r="AF243" s="1096">
        <f t="shared" si="461"/>
        <v>0</v>
      </c>
      <c r="AG243" s="1096">
        <f t="shared" si="461"/>
        <v>0</v>
      </c>
      <c r="AH243" s="1096">
        <f t="shared" si="461"/>
        <v>0</v>
      </c>
      <c r="AI243" s="1096">
        <f t="shared" si="461"/>
        <v>0</v>
      </c>
      <c r="AJ243" s="1096">
        <f t="shared" si="461"/>
        <v>0</v>
      </c>
      <c r="AK243" s="1173"/>
      <c r="AL243" s="1189"/>
      <c r="AM243" s="1125"/>
      <c r="AN243" s="1190">
        <f t="shared" si="462"/>
        <v>0</v>
      </c>
      <c r="AO243" s="1190">
        <f t="shared" si="462"/>
        <v>0</v>
      </c>
      <c r="AP243" s="1190">
        <f t="shared" si="462"/>
        <v>0</v>
      </c>
      <c r="AQ243" s="1190">
        <f t="shared" si="462"/>
        <v>0</v>
      </c>
      <c r="AR243" s="1190">
        <f t="shared" si="462"/>
        <v>0</v>
      </c>
      <c r="AS243" s="1190">
        <f t="shared" si="462"/>
        <v>0</v>
      </c>
      <c r="AT243" s="1190">
        <f t="shared" si="421"/>
        <v>0</v>
      </c>
      <c r="AU243" s="1191"/>
      <c r="AV243" s="1245"/>
      <c r="AW243" s="1190">
        <f t="shared" si="463"/>
        <v>0</v>
      </c>
      <c r="AX243" s="1190">
        <f t="shared" si="463"/>
        <v>0</v>
      </c>
      <c r="AY243" s="1190">
        <f t="shared" si="463"/>
        <v>0</v>
      </c>
      <c r="AZ243" s="1190">
        <f t="shared" si="463"/>
        <v>0</v>
      </c>
      <c r="BA243" s="1190">
        <f t="shared" si="463"/>
        <v>0</v>
      </c>
      <c r="BB243" s="1190">
        <f t="shared" si="463"/>
        <v>0</v>
      </c>
      <c r="BC243" s="1268">
        <f t="shared" si="423"/>
        <v>0</v>
      </c>
      <c r="BD243" s="1027"/>
      <c r="BE243" s="1024"/>
      <c r="BF243" s="1024"/>
      <c r="BG243" s="1008"/>
      <c r="BH243" s="1008"/>
      <c r="BI243" s="1008"/>
      <c r="BJ243" s="1008"/>
      <c r="BK243" s="1008"/>
      <c r="BL243" s="1008"/>
      <c r="BM243" s="1008"/>
    </row>
    <row r="244" s="1215" customFormat="1" ht="23.25" customHeight="1">
      <c r="A244" s="999">
        <f t="shared" si="412"/>
        <v>0</v>
      </c>
      <c r="B244" s="1205" t="s">
        <v>400</v>
      </c>
      <c r="C244" s="1205"/>
      <c r="D244" s="1205"/>
      <c r="E244" s="1183">
        <f t="shared" si="439"/>
        <v>0</v>
      </c>
      <c r="F244" s="1183">
        <f t="shared" si="440"/>
        <v>0</v>
      </c>
      <c r="G244" s="1184">
        <f>G243+G239+G235+G229+G215</f>
        <v>0</v>
      </c>
      <c r="H244" s="1267" t="e">
        <f t="shared" si="414"/>
        <v>#DIV/0!</v>
      </c>
      <c r="I244" s="1186">
        <f t="shared" si="457"/>
        <v>0</v>
      </c>
      <c r="J244" s="1186">
        <f t="shared" si="458"/>
        <v>0</v>
      </c>
      <c r="K244" s="1187">
        <f>K243+K239+K235+K229+K215</f>
        <v>0</v>
      </c>
      <c r="L244" s="1210"/>
      <c r="M244" s="1209">
        <f t="shared" ref="M244:BB244" si="469">M243+M239+M235+M229+M215</f>
        <v>0</v>
      </c>
      <c r="N244" s="1209">
        <f t="shared" si="469"/>
        <v>0</v>
      </c>
      <c r="O244" s="1209">
        <f>O243+O239+O235+O229+O215</f>
        <v>0</v>
      </c>
      <c r="P244" s="1209">
        <f t="shared" si="469"/>
        <v>0</v>
      </c>
      <c r="Q244" s="1209">
        <f t="shared" si="469"/>
        <v>0</v>
      </c>
      <c r="R244" s="1209">
        <f t="shared" si="469"/>
        <v>0</v>
      </c>
      <c r="S244" s="1170"/>
      <c r="T244" s="1208"/>
      <c r="U244" s="1211">
        <f t="shared" si="469"/>
        <v>0</v>
      </c>
      <c r="V244" s="1209">
        <f t="shared" si="469"/>
        <v>0</v>
      </c>
      <c r="W244" s="1209">
        <f t="shared" si="469"/>
        <v>0</v>
      </c>
      <c r="X244" s="1209">
        <f t="shared" si="469"/>
        <v>0</v>
      </c>
      <c r="Y244" s="1209">
        <f t="shared" si="469"/>
        <v>0</v>
      </c>
      <c r="Z244" s="1209">
        <f t="shared" si="469"/>
        <v>0</v>
      </c>
      <c r="AA244" s="1209">
        <f t="shared" si="469"/>
        <v>0</v>
      </c>
      <c r="AB244" s="1172">
        <f t="shared" si="418"/>
        <v>0</v>
      </c>
      <c r="AC244" s="1208"/>
      <c r="AD244" s="1210">
        <f t="shared" si="469"/>
        <v>0</v>
      </c>
      <c r="AE244" s="1209">
        <f t="shared" si="469"/>
        <v>0</v>
      </c>
      <c r="AF244" s="1209">
        <f t="shared" si="469"/>
        <v>0</v>
      </c>
      <c r="AG244" s="1209">
        <f t="shared" si="469"/>
        <v>0</v>
      </c>
      <c r="AH244" s="1209">
        <f t="shared" si="469"/>
        <v>0</v>
      </c>
      <c r="AI244" s="1209">
        <f t="shared" si="469"/>
        <v>0</v>
      </c>
      <c r="AJ244" s="1209">
        <f t="shared" si="469"/>
        <v>0</v>
      </c>
      <c r="AK244" s="1173"/>
      <c r="AL244" s="1208"/>
      <c r="AM244" s="1210">
        <f t="shared" si="469"/>
        <v>0</v>
      </c>
      <c r="AN244" s="1211">
        <f t="shared" si="469"/>
        <v>0</v>
      </c>
      <c r="AO244" s="1211">
        <f t="shared" si="469"/>
        <v>0</v>
      </c>
      <c r="AP244" s="1211">
        <f t="shared" si="469"/>
        <v>0</v>
      </c>
      <c r="AQ244" s="1211">
        <f t="shared" si="469"/>
        <v>0</v>
      </c>
      <c r="AR244" s="1211">
        <f t="shared" si="469"/>
        <v>0</v>
      </c>
      <c r="AS244" s="1211">
        <f t="shared" si="469"/>
        <v>0</v>
      </c>
      <c r="AT244" s="1190">
        <f t="shared" si="421"/>
        <v>0</v>
      </c>
      <c r="AU244" s="1212"/>
      <c r="AV244" s="1211">
        <f t="shared" si="469"/>
        <v>0</v>
      </c>
      <c r="AW244" s="1211">
        <f t="shared" si="469"/>
        <v>0</v>
      </c>
      <c r="AX244" s="1211">
        <f t="shared" si="469"/>
        <v>0</v>
      </c>
      <c r="AY244" s="1211">
        <f t="shared" si="469"/>
        <v>0</v>
      </c>
      <c r="AZ244" s="1211">
        <f t="shared" si="469"/>
        <v>0</v>
      </c>
      <c r="BA244" s="1211">
        <f t="shared" si="469"/>
        <v>0</v>
      </c>
      <c r="BB244" s="1211">
        <f t="shared" si="469"/>
        <v>0</v>
      </c>
      <c r="BC244" s="1268">
        <f t="shared" si="423"/>
        <v>0</v>
      </c>
      <c r="BD244" s="1027"/>
      <c r="BE244" s="1024"/>
      <c r="BF244" s="1024"/>
      <c r="BG244" s="1008"/>
      <c r="BH244" s="1008"/>
      <c r="BI244" s="1008"/>
      <c r="BJ244" s="1008"/>
      <c r="BK244" s="1008"/>
      <c r="BL244" s="1008"/>
      <c r="BM244" s="1008"/>
    </row>
    <row r="245" ht="23.25" customHeight="1">
      <c r="A245" s="999" t="str">
        <f t="shared" si="412"/>
        <v xml:space="preserve">Куприянова А.В.</v>
      </c>
      <c r="B245" s="1202" t="s">
        <v>402</v>
      </c>
      <c r="C245" s="1202"/>
      <c r="D245" s="1202"/>
      <c r="E245" s="1164">
        <f t="shared" si="439"/>
        <v>0</v>
      </c>
      <c r="F245" s="1164">
        <f t="shared" si="440"/>
        <v>0</v>
      </c>
      <c r="G245" s="1165">
        <f t="shared" ref="G245:G246" si="470">E245+F245</f>
        <v>0</v>
      </c>
      <c r="H245" s="1266" t="e">
        <f t="shared" si="414"/>
        <v>#DIV/0!</v>
      </c>
      <c r="I245" s="1167">
        <f t="shared" si="457"/>
        <v>0</v>
      </c>
      <c r="J245" s="1167">
        <f t="shared" si="458"/>
        <v>0</v>
      </c>
      <c r="K245" s="1168">
        <f t="shared" ref="K245:K246" si="471">I245+J245</f>
        <v>0</v>
      </c>
      <c r="L245" s="1128"/>
      <c r="M245" s="1169"/>
      <c r="N245" s="1177"/>
      <c r="O245" s="1169"/>
      <c r="P245" s="1169"/>
      <c r="Q245" s="1169">
        <f t="shared" ref="Q245:Q246" si="472">SUM(M245:P245)</f>
        <v>0</v>
      </c>
      <c r="R245" s="1169"/>
      <c r="S245" s="1170"/>
      <c r="T245" s="1171"/>
      <c r="U245" s="1128"/>
      <c r="V245" s="1169"/>
      <c r="W245" s="1177"/>
      <c r="X245" s="1177"/>
      <c r="Y245" s="1169"/>
      <c r="Z245" s="1169">
        <f t="shared" ref="Z245:Z246" si="473">SUM(V245:Y245)</f>
        <v>0</v>
      </c>
      <c r="AA245" s="1169"/>
      <c r="AB245" s="1172">
        <f t="shared" si="418"/>
        <v>0</v>
      </c>
      <c r="AC245" s="1171"/>
      <c r="AD245" s="1128"/>
      <c r="AE245" s="1169"/>
      <c r="AF245" s="1177"/>
      <c r="AG245" s="1177"/>
      <c r="AH245" s="1169"/>
      <c r="AI245" s="1169">
        <f t="shared" ref="AI245:AI246" si="474">SUM(AE245:AH245)</f>
        <v>0</v>
      </c>
      <c r="AJ245" s="1169"/>
      <c r="AK245" s="1173"/>
      <c r="AL245" s="1171"/>
      <c r="AM245" s="1128"/>
      <c r="AN245" s="1170"/>
      <c r="AO245" s="1175"/>
      <c r="AP245" s="1175"/>
      <c r="AQ245" s="1170"/>
      <c r="AR245" s="1170">
        <f t="shared" ref="AR245:AR246" si="475">SUM(AN245:AQ245)</f>
        <v>0</v>
      </c>
      <c r="AS245" s="1170"/>
      <c r="AT245" s="1170">
        <f t="shared" si="421"/>
        <v>0</v>
      </c>
      <c r="AU245" s="1174"/>
      <c r="AV245" s="1241"/>
      <c r="AW245" s="1170"/>
      <c r="AX245" s="1175"/>
      <c r="AY245" s="1175"/>
      <c r="AZ245" s="1170"/>
      <c r="BA245" s="1170">
        <f t="shared" ref="BA245:BA246" si="476">SUM(AW245:AZ245)</f>
        <v>0</v>
      </c>
      <c r="BB245" s="1170"/>
      <c r="BC245" s="1175">
        <f t="shared" si="423"/>
        <v>0</v>
      </c>
      <c r="BD245" s="1027"/>
      <c r="BE245" s="1029"/>
      <c r="BF245" s="1029"/>
    </row>
    <row r="246" ht="23.25" customHeight="1">
      <c r="A246" s="999" t="str">
        <f t="shared" si="412"/>
        <v xml:space="preserve">Попова И.Ю.</v>
      </c>
      <c r="B246" s="1202" t="s">
        <v>404</v>
      </c>
      <c r="C246" s="1202"/>
      <c r="D246" s="1202"/>
      <c r="E246" s="1164">
        <f t="shared" si="439"/>
        <v>0</v>
      </c>
      <c r="F246" s="1164">
        <f t="shared" si="440"/>
        <v>0</v>
      </c>
      <c r="G246" s="1165">
        <f t="shared" si="470"/>
        <v>0</v>
      </c>
      <c r="H246" s="1266" t="e">
        <f t="shared" si="414"/>
        <v>#DIV/0!</v>
      </c>
      <c r="I246" s="1167">
        <f t="shared" si="457"/>
        <v>0</v>
      </c>
      <c r="J246" s="1167">
        <f t="shared" si="458"/>
        <v>0</v>
      </c>
      <c r="K246" s="1168">
        <f t="shared" si="471"/>
        <v>0</v>
      </c>
      <c r="L246" s="1128"/>
      <c r="M246" s="1169"/>
      <c r="N246" s="1177"/>
      <c r="O246" s="1169"/>
      <c r="P246" s="1169"/>
      <c r="Q246" s="1169">
        <f t="shared" si="472"/>
        <v>0</v>
      </c>
      <c r="R246" s="1169"/>
      <c r="S246" s="1170"/>
      <c r="T246" s="1171"/>
      <c r="U246" s="1128"/>
      <c r="V246" s="1169"/>
      <c r="W246" s="1177"/>
      <c r="X246" s="1177"/>
      <c r="Y246" s="1169"/>
      <c r="Z246" s="1169">
        <f t="shared" si="473"/>
        <v>0</v>
      </c>
      <c r="AA246" s="1169"/>
      <c r="AB246" s="1172">
        <f t="shared" si="418"/>
        <v>0</v>
      </c>
      <c r="AC246" s="1171"/>
      <c r="AD246" s="1128"/>
      <c r="AE246" s="1169"/>
      <c r="AF246" s="1177"/>
      <c r="AG246" s="1177"/>
      <c r="AH246" s="1169"/>
      <c r="AI246" s="1169">
        <f t="shared" si="474"/>
        <v>0</v>
      </c>
      <c r="AJ246" s="1169"/>
      <c r="AK246" s="1173"/>
      <c r="AL246" s="1171"/>
      <c r="AM246" s="1128"/>
      <c r="AN246" s="1170"/>
      <c r="AO246" s="1175"/>
      <c r="AP246" s="1175"/>
      <c r="AQ246" s="1170"/>
      <c r="AR246" s="1170">
        <f t="shared" si="475"/>
        <v>0</v>
      </c>
      <c r="AS246" s="1170"/>
      <c r="AT246" s="1170">
        <f t="shared" si="421"/>
        <v>0</v>
      </c>
      <c r="AU246" s="1174"/>
      <c r="AV246" s="1241"/>
      <c r="AW246" s="1170"/>
      <c r="AX246" s="1175"/>
      <c r="AY246" s="1175"/>
      <c r="AZ246" s="1170"/>
      <c r="BA246" s="1170">
        <f t="shared" si="476"/>
        <v>0</v>
      </c>
      <c r="BB246" s="1170"/>
      <c r="BC246" s="1175">
        <f t="shared" si="423"/>
        <v>0</v>
      </c>
      <c r="BD246" s="1027"/>
      <c r="BE246" s="1029"/>
      <c r="BF246" s="1029"/>
    </row>
    <row r="247" s="1180" customFormat="1" ht="23.25" customHeight="1">
      <c r="A247" s="999">
        <f t="shared" si="412"/>
        <v>0</v>
      </c>
      <c r="B247" s="1205" t="s">
        <v>405</v>
      </c>
      <c r="C247" s="1205"/>
      <c r="D247" s="1205"/>
      <c r="E247" s="1183">
        <f t="shared" si="439"/>
        <v>0</v>
      </c>
      <c r="F247" s="1183">
        <f t="shared" si="440"/>
        <v>0</v>
      </c>
      <c r="G247" s="1184">
        <f>G245+G246</f>
        <v>0</v>
      </c>
      <c r="H247" s="1267" t="e">
        <f t="shared" si="414"/>
        <v>#DIV/0!</v>
      </c>
      <c r="I247" s="1186">
        <f t="shared" si="457"/>
        <v>0</v>
      </c>
      <c r="J247" s="1186">
        <f t="shared" si="458"/>
        <v>0</v>
      </c>
      <c r="K247" s="1187">
        <f>K245+K246</f>
        <v>0</v>
      </c>
      <c r="L247" s="1210"/>
      <c r="M247" s="1213">
        <f t="shared" ref="M247:R247" si="477">M245+M246</f>
        <v>0</v>
      </c>
      <c r="N247" s="1213">
        <f t="shared" si="477"/>
        <v>0</v>
      </c>
      <c r="O247" s="1213">
        <f t="shared" si="477"/>
        <v>0</v>
      </c>
      <c r="P247" s="1213">
        <f t="shared" si="477"/>
        <v>0</v>
      </c>
      <c r="Q247" s="1213">
        <f t="shared" si="477"/>
        <v>0</v>
      </c>
      <c r="R247" s="1213">
        <f t="shared" si="477"/>
        <v>0</v>
      </c>
      <c r="S247" s="1170"/>
      <c r="T247" s="1214"/>
      <c r="U247" s="1210"/>
      <c r="V247" s="1209">
        <f t="shared" ref="V247:AA247" si="478">V245+V246</f>
        <v>0</v>
      </c>
      <c r="W247" s="1209">
        <f t="shared" si="478"/>
        <v>0</v>
      </c>
      <c r="X247" s="1209">
        <f t="shared" si="478"/>
        <v>0</v>
      </c>
      <c r="Y247" s="1209">
        <f t="shared" si="478"/>
        <v>0</v>
      </c>
      <c r="Z247" s="1209">
        <f t="shared" si="478"/>
        <v>0</v>
      </c>
      <c r="AA247" s="1209">
        <f t="shared" si="478"/>
        <v>0</v>
      </c>
      <c r="AB247" s="1172">
        <f t="shared" si="418"/>
        <v>0</v>
      </c>
      <c r="AC247" s="1208"/>
      <c r="AD247" s="1210"/>
      <c r="AE247" s="1209">
        <f t="shared" ref="AE247:AJ247" si="479">AE245+AE246</f>
        <v>0</v>
      </c>
      <c r="AF247" s="1209">
        <f t="shared" si="479"/>
        <v>0</v>
      </c>
      <c r="AG247" s="1209">
        <f t="shared" si="479"/>
        <v>0</v>
      </c>
      <c r="AH247" s="1209">
        <f t="shared" si="479"/>
        <v>0</v>
      </c>
      <c r="AI247" s="1209">
        <f t="shared" si="479"/>
        <v>0</v>
      </c>
      <c r="AJ247" s="1209">
        <f t="shared" si="479"/>
        <v>0</v>
      </c>
      <c r="AK247" s="1173"/>
      <c r="AL247" s="1208"/>
      <c r="AM247" s="1210"/>
      <c r="AN247" s="1211">
        <f t="shared" ref="AN247:BB247" si="480">AN245+AN246</f>
        <v>0</v>
      </c>
      <c r="AO247" s="1211">
        <f t="shared" si="480"/>
        <v>0</v>
      </c>
      <c r="AP247" s="1211">
        <f t="shared" si="480"/>
        <v>0</v>
      </c>
      <c r="AQ247" s="1211">
        <f t="shared" si="480"/>
        <v>0</v>
      </c>
      <c r="AR247" s="1211">
        <f t="shared" si="480"/>
        <v>0</v>
      </c>
      <c r="AS247" s="1211">
        <f t="shared" si="480"/>
        <v>0</v>
      </c>
      <c r="AT247" s="1190">
        <f t="shared" si="421"/>
        <v>0</v>
      </c>
      <c r="AU247" s="1212"/>
      <c r="AV247" s="1210">
        <f t="shared" si="480"/>
        <v>0</v>
      </c>
      <c r="AW247" s="1211">
        <f t="shared" si="480"/>
        <v>0</v>
      </c>
      <c r="AX247" s="1211">
        <f t="shared" si="480"/>
        <v>0</v>
      </c>
      <c r="AY247" s="1211">
        <f t="shared" si="480"/>
        <v>0</v>
      </c>
      <c r="AZ247" s="1211">
        <f t="shared" si="480"/>
        <v>0</v>
      </c>
      <c r="BA247" s="1211">
        <f t="shared" si="480"/>
        <v>0</v>
      </c>
      <c r="BB247" s="1211">
        <f t="shared" si="480"/>
        <v>0</v>
      </c>
      <c r="BC247" s="1268">
        <f t="shared" si="423"/>
        <v>0</v>
      </c>
      <c r="BD247" s="1052"/>
      <c r="BE247" s="1051"/>
      <c r="BF247" s="1051"/>
      <c r="BG247" s="1106"/>
      <c r="BH247" s="1106"/>
      <c r="BI247" s="1106"/>
      <c r="BJ247" s="1106"/>
      <c r="BK247" s="1106"/>
      <c r="BL247" s="1106"/>
      <c r="BM247" s="1106"/>
    </row>
    <row r="248" ht="23.25" customHeight="1">
      <c r="A248" s="999">
        <f t="shared" si="412"/>
        <v>0</v>
      </c>
      <c r="B248" s="1205" t="s">
        <v>406</v>
      </c>
      <c r="C248" s="1205"/>
      <c r="D248" s="1205"/>
      <c r="E248" s="1183">
        <f t="shared" si="439"/>
        <v>0</v>
      </c>
      <c r="F248" s="1183">
        <f t="shared" si="440"/>
        <v>0</v>
      </c>
      <c r="G248" s="1184">
        <f>G244+G247</f>
        <v>0</v>
      </c>
      <c r="H248" s="1267" t="e">
        <f t="shared" si="414"/>
        <v>#DIV/0!</v>
      </c>
      <c r="I248" s="1186">
        <f t="shared" si="457"/>
        <v>0</v>
      </c>
      <c r="J248" s="1186">
        <f t="shared" si="458"/>
        <v>0</v>
      </c>
      <c r="K248" s="1187">
        <f>K244+K247</f>
        <v>0</v>
      </c>
      <c r="L248" s="1210"/>
      <c r="M248" s="1209">
        <f t="shared" ref="M248:BB248" si="481">M244+M247</f>
        <v>0</v>
      </c>
      <c r="N248" s="1209">
        <f t="shared" si="481"/>
        <v>0</v>
      </c>
      <c r="O248" s="1209">
        <f t="shared" si="481"/>
        <v>0</v>
      </c>
      <c r="P248" s="1209">
        <f t="shared" si="481"/>
        <v>0</v>
      </c>
      <c r="Q248" s="1209">
        <f t="shared" si="481"/>
        <v>0</v>
      </c>
      <c r="R248" s="1209">
        <f t="shared" si="481"/>
        <v>0</v>
      </c>
      <c r="S248" s="1170"/>
      <c r="T248" s="1208"/>
      <c r="U248" s="1211">
        <f t="shared" si="481"/>
        <v>0</v>
      </c>
      <c r="V248" s="1209">
        <f t="shared" si="481"/>
        <v>0</v>
      </c>
      <c r="W248" s="1209">
        <f t="shared" si="481"/>
        <v>0</v>
      </c>
      <c r="X248" s="1209">
        <f t="shared" si="481"/>
        <v>0</v>
      </c>
      <c r="Y248" s="1209">
        <f t="shared" si="481"/>
        <v>0</v>
      </c>
      <c r="Z248" s="1209">
        <f t="shared" si="481"/>
        <v>0</v>
      </c>
      <c r="AA248" s="1209">
        <f t="shared" si="481"/>
        <v>0</v>
      </c>
      <c r="AB248" s="1172">
        <f t="shared" si="418"/>
        <v>0</v>
      </c>
      <c r="AC248" s="1208"/>
      <c r="AD248" s="1210">
        <f t="shared" si="481"/>
        <v>0</v>
      </c>
      <c r="AE248" s="1209">
        <f t="shared" si="481"/>
        <v>0</v>
      </c>
      <c r="AF248" s="1209">
        <f t="shared" si="481"/>
        <v>0</v>
      </c>
      <c r="AG248" s="1209">
        <f t="shared" si="481"/>
        <v>0</v>
      </c>
      <c r="AH248" s="1209">
        <f t="shared" si="481"/>
        <v>0</v>
      </c>
      <c r="AI248" s="1209">
        <f t="shared" si="481"/>
        <v>0</v>
      </c>
      <c r="AJ248" s="1209">
        <f t="shared" si="481"/>
        <v>0</v>
      </c>
      <c r="AK248" s="1173"/>
      <c r="AL248" s="1208"/>
      <c r="AM248" s="1210">
        <f t="shared" si="481"/>
        <v>0</v>
      </c>
      <c r="AN248" s="1211">
        <f t="shared" si="481"/>
        <v>0</v>
      </c>
      <c r="AO248" s="1211">
        <f t="shared" si="481"/>
        <v>0</v>
      </c>
      <c r="AP248" s="1211">
        <f t="shared" si="481"/>
        <v>0</v>
      </c>
      <c r="AQ248" s="1211">
        <f t="shared" si="481"/>
        <v>0</v>
      </c>
      <c r="AR248" s="1211">
        <f t="shared" si="481"/>
        <v>0</v>
      </c>
      <c r="AS248" s="1211">
        <f t="shared" si="481"/>
        <v>0</v>
      </c>
      <c r="AT248" s="1190">
        <f t="shared" si="421"/>
        <v>0</v>
      </c>
      <c r="AU248" s="1212"/>
      <c r="AV248" s="1211">
        <f t="shared" si="481"/>
        <v>0</v>
      </c>
      <c r="AW248" s="1211">
        <f t="shared" si="481"/>
        <v>0</v>
      </c>
      <c r="AX248" s="1211">
        <f t="shared" si="481"/>
        <v>0</v>
      </c>
      <c r="AY248" s="1211">
        <f t="shared" si="481"/>
        <v>0</v>
      </c>
      <c r="AZ248" s="1211">
        <f t="shared" si="481"/>
        <v>0</v>
      </c>
      <c r="BA248" s="1211">
        <f t="shared" si="481"/>
        <v>0</v>
      </c>
      <c r="BB248" s="1211">
        <f t="shared" si="481"/>
        <v>0</v>
      </c>
      <c r="BC248" s="1268">
        <f t="shared" si="423"/>
        <v>0</v>
      </c>
      <c r="BD248" s="1027"/>
      <c r="BE248" s="1029"/>
      <c r="BF248" s="1029"/>
    </row>
    <row r="249" s="1215" customFormat="1" ht="23.25" customHeight="1">
      <c r="A249" s="999">
        <f t="shared" si="412"/>
        <v>0</v>
      </c>
      <c r="B249" s="1202" t="s">
        <v>407</v>
      </c>
      <c r="C249" s="1202"/>
      <c r="D249" s="1202"/>
      <c r="E249" s="1164">
        <f t="shared" si="439"/>
        <v>0</v>
      </c>
      <c r="F249" s="1164">
        <f t="shared" si="440"/>
        <v>0</v>
      </c>
      <c r="G249" s="1165">
        <f t="shared" ref="G249:G256" si="482">E249+F249</f>
        <v>0</v>
      </c>
      <c r="H249" s="1266" t="e">
        <f t="shared" si="414"/>
        <v>#DIV/0!</v>
      </c>
      <c r="I249" s="1167">
        <f t="shared" si="457"/>
        <v>0</v>
      </c>
      <c r="J249" s="1167">
        <f t="shared" si="458"/>
        <v>0</v>
      </c>
      <c r="K249" s="1168">
        <f t="shared" ref="K249:K256" si="483">I249+J249</f>
        <v>0</v>
      </c>
      <c r="L249" s="1128"/>
      <c r="M249" s="1169"/>
      <c r="N249" s="1177"/>
      <c r="O249" s="1169"/>
      <c r="P249" s="1169"/>
      <c r="Q249" s="1169">
        <f t="shared" ref="Q249:Q297" si="484">SUM(M249:P249)</f>
        <v>0</v>
      </c>
      <c r="R249" s="1169"/>
      <c r="S249" s="1170"/>
      <c r="T249" s="1171"/>
      <c r="U249" s="1128"/>
      <c r="V249" s="1169"/>
      <c r="W249" s="1177"/>
      <c r="X249" s="1177"/>
      <c r="Y249" s="1169"/>
      <c r="Z249" s="1169">
        <f t="shared" ref="Z249:Z256" si="485">SUM(V249:Y249)</f>
        <v>0</v>
      </c>
      <c r="AA249" s="1169"/>
      <c r="AB249" s="1172">
        <f t="shared" si="418"/>
        <v>0</v>
      </c>
      <c r="AC249" s="1171"/>
      <c r="AD249" s="1128"/>
      <c r="AE249" s="1169"/>
      <c r="AF249" s="1177"/>
      <c r="AG249" s="1177"/>
      <c r="AH249" s="1169"/>
      <c r="AI249" s="1169">
        <f t="shared" ref="AI249:AI256" si="486">SUM(AE249:AH249)</f>
        <v>0</v>
      </c>
      <c r="AJ249" s="1169"/>
      <c r="AK249" s="1173"/>
      <c r="AL249" s="1171"/>
      <c r="AM249" s="1128"/>
      <c r="AN249" s="1170"/>
      <c r="AO249" s="1175"/>
      <c r="AP249" s="1175"/>
      <c r="AQ249" s="1170"/>
      <c r="AR249" s="1170">
        <f t="shared" ref="AR249:AR256" si="487">SUM(AN249:AQ249)</f>
        <v>0</v>
      </c>
      <c r="AS249" s="1170"/>
      <c r="AT249" s="1170">
        <f t="shared" si="421"/>
        <v>0</v>
      </c>
      <c r="AU249" s="1174"/>
      <c r="AV249" s="1241"/>
      <c r="AW249" s="1170"/>
      <c r="AX249" s="1175"/>
      <c r="AY249" s="1175"/>
      <c r="AZ249" s="1170"/>
      <c r="BA249" s="1170">
        <f t="shared" ref="BA249:BA256" si="488">SUM(AW249:AZ249)</f>
        <v>0</v>
      </c>
      <c r="BB249" s="1170"/>
      <c r="BC249" s="1175">
        <f t="shared" si="423"/>
        <v>0</v>
      </c>
      <c r="BD249" s="1027"/>
      <c r="BE249" s="1024"/>
      <c r="BF249" s="1024"/>
      <c r="BG249" s="1008"/>
      <c r="BH249" s="1008"/>
      <c r="BI249" s="1008"/>
      <c r="BJ249" s="1008"/>
      <c r="BK249" s="1008"/>
      <c r="BL249" s="1008"/>
      <c r="BM249" s="1008"/>
    </row>
    <row r="250" s="1215" customFormat="1" ht="23.25" customHeight="1">
      <c r="A250" s="999" t="str">
        <f t="shared" si="412"/>
        <v xml:space="preserve">Леоненко Г.Н</v>
      </c>
      <c r="B250" s="1202" t="s">
        <v>409</v>
      </c>
      <c r="C250" s="1202"/>
      <c r="D250" s="1202"/>
      <c r="E250" s="1164">
        <f t="shared" si="439"/>
        <v>0</v>
      </c>
      <c r="F250" s="1164">
        <f t="shared" si="440"/>
        <v>0</v>
      </c>
      <c r="G250" s="1165">
        <f t="shared" si="482"/>
        <v>0</v>
      </c>
      <c r="H250" s="1266" t="e">
        <f t="shared" si="414"/>
        <v>#DIV/0!</v>
      </c>
      <c r="I250" s="1167">
        <f t="shared" si="457"/>
        <v>0</v>
      </c>
      <c r="J250" s="1167">
        <f t="shared" si="458"/>
        <v>0</v>
      </c>
      <c r="K250" s="1168">
        <f t="shared" si="483"/>
        <v>0</v>
      </c>
      <c r="L250" s="1128"/>
      <c r="M250" s="1169"/>
      <c r="N250" s="1177"/>
      <c r="O250" s="1169"/>
      <c r="P250" s="1169"/>
      <c r="Q250" s="1169">
        <f t="shared" si="484"/>
        <v>0</v>
      </c>
      <c r="R250" s="1169"/>
      <c r="S250" s="1170"/>
      <c r="T250" s="1171"/>
      <c r="U250" s="1128"/>
      <c r="V250" s="1169"/>
      <c r="W250" s="1177"/>
      <c r="X250" s="1177"/>
      <c r="Y250" s="1169"/>
      <c r="Z250" s="1169">
        <f t="shared" si="485"/>
        <v>0</v>
      </c>
      <c r="AA250" s="1169"/>
      <c r="AB250" s="1172">
        <f t="shared" si="418"/>
        <v>0</v>
      </c>
      <c r="AC250" s="1171"/>
      <c r="AD250" s="1128"/>
      <c r="AE250" s="1169"/>
      <c r="AF250" s="1177"/>
      <c r="AG250" s="1177"/>
      <c r="AH250" s="1169"/>
      <c r="AI250" s="1169">
        <f t="shared" si="486"/>
        <v>0</v>
      </c>
      <c r="AJ250" s="1169"/>
      <c r="AK250" s="1173"/>
      <c r="AL250" s="1171"/>
      <c r="AM250" s="1128"/>
      <c r="AN250" s="1170"/>
      <c r="AO250" s="1175"/>
      <c r="AP250" s="1175"/>
      <c r="AQ250" s="1170"/>
      <c r="AR250" s="1170">
        <f t="shared" si="487"/>
        <v>0</v>
      </c>
      <c r="AS250" s="1170"/>
      <c r="AT250" s="1170">
        <f t="shared" si="421"/>
        <v>0</v>
      </c>
      <c r="AU250" s="1174"/>
      <c r="AV250" s="1241"/>
      <c r="AW250" s="1170"/>
      <c r="AX250" s="1175"/>
      <c r="AY250" s="1175"/>
      <c r="AZ250" s="1170"/>
      <c r="BA250" s="1170">
        <f t="shared" si="488"/>
        <v>0</v>
      </c>
      <c r="BB250" s="1170"/>
      <c r="BC250" s="1175">
        <f t="shared" si="423"/>
        <v>0</v>
      </c>
      <c r="BD250" s="1027"/>
      <c r="BE250" s="1024"/>
      <c r="BF250" s="1024"/>
      <c r="BG250" s="1008"/>
      <c r="BH250" s="1008"/>
      <c r="BI250" s="1008"/>
      <c r="BJ250" s="1008"/>
      <c r="BK250" s="1008"/>
      <c r="BL250" s="1008"/>
      <c r="BM250" s="1008"/>
    </row>
    <row r="251" s="1215" customFormat="1" ht="23.25" customHeight="1">
      <c r="A251" s="999" t="str">
        <f t="shared" si="412"/>
        <v xml:space="preserve">Саяпина О.А.</v>
      </c>
      <c r="B251" s="1202" t="s">
        <v>411</v>
      </c>
      <c r="C251" s="1217"/>
      <c r="D251" s="1217"/>
      <c r="E251" s="1164">
        <f t="shared" si="439"/>
        <v>0</v>
      </c>
      <c r="F251" s="1164">
        <f t="shared" si="440"/>
        <v>0</v>
      </c>
      <c r="G251" s="1165">
        <f t="shared" si="482"/>
        <v>0</v>
      </c>
      <c r="H251" s="1266" t="e">
        <f t="shared" si="414"/>
        <v>#DIV/0!</v>
      </c>
      <c r="I251" s="1167">
        <f t="shared" si="457"/>
        <v>0</v>
      </c>
      <c r="J251" s="1167">
        <f t="shared" si="458"/>
        <v>0</v>
      </c>
      <c r="K251" s="1168">
        <f t="shared" si="483"/>
        <v>0</v>
      </c>
      <c r="L251" s="1128"/>
      <c r="M251" s="1169"/>
      <c r="N251" s="1177"/>
      <c r="O251" s="1169"/>
      <c r="P251" s="1169"/>
      <c r="Q251" s="1169">
        <f t="shared" si="484"/>
        <v>0</v>
      </c>
      <c r="R251" s="1169"/>
      <c r="S251" s="1170"/>
      <c r="T251" s="1171"/>
      <c r="U251" s="1128"/>
      <c r="V251" s="1169"/>
      <c r="W251" s="1177"/>
      <c r="X251" s="1177"/>
      <c r="Y251" s="1169"/>
      <c r="Z251" s="1169">
        <f t="shared" si="485"/>
        <v>0</v>
      </c>
      <c r="AA251" s="1169"/>
      <c r="AB251" s="1172">
        <f t="shared" si="418"/>
        <v>0</v>
      </c>
      <c r="AC251" s="1171"/>
      <c r="AD251" s="1128"/>
      <c r="AE251" s="1169"/>
      <c r="AF251" s="1177"/>
      <c r="AG251" s="1177"/>
      <c r="AH251" s="1169"/>
      <c r="AI251" s="1169">
        <f t="shared" si="486"/>
        <v>0</v>
      </c>
      <c r="AJ251" s="1169"/>
      <c r="AK251" s="1173"/>
      <c r="AL251" s="1171"/>
      <c r="AM251" s="1128"/>
      <c r="AN251" s="1170"/>
      <c r="AO251" s="1175"/>
      <c r="AP251" s="1175"/>
      <c r="AQ251" s="1170"/>
      <c r="AR251" s="1170">
        <f t="shared" si="487"/>
        <v>0</v>
      </c>
      <c r="AS251" s="1170"/>
      <c r="AT251" s="1170">
        <f t="shared" si="421"/>
        <v>0</v>
      </c>
      <c r="AU251" s="1174"/>
      <c r="AV251" s="1128"/>
      <c r="AW251" s="1170"/>
      <c r="AX251" s="1175"/>
      <c r="AY251" s="1175"/>
      <c r="AZ251" s="1170"/>
      <c r="BA251" s="1170">
        <f t="shared" si="488"/>
        <v>0</v>
      </c>
      <c r="BB251" s="1170"/>
      <c r="BC251" s="1175">
        <f t="shared" si="423"/>
        <v>0</v>
      </c>
      <c r="BD251" s="1027"/>
      <c r="BE251" s="1024"/>
      <c r="BF251" s="1024"/>
      <c r="BG251" s="1008"/>
      <c r="BH251" s="1008"/>
      <c r="BI251" s="1008"/>
      <c r="BJ251" s="1008"/>
      <c r="BK251" s="1008"/>
      <c r="BL251" s="1008"/>
      <c r="BM251" s="1008"/>
    </row>
    <row r="252" s="1215" customFormat="1" ht="23.25" customHeight="1">
      <c r="A252" s="999" t="str">
        <f t="shared" si="412"/>
        <v xml:space="preserve">Дегтярева Е.И. Акилова С.В.</v>
      </c>
      <c r="B252" s="1202" t="s">
        <v>413</v>
      </c>
      <c r="C252" s="1217"/>
      <c r="D252" s="1217"/>
      <c r="E252" s="1164">
        <f t="shared" si="439"/>
        <v>0</v>
      </c>
      <c r="F252" s="1164">
        <f t="shared" si="440"/>
        <v>0</v>
      </c>
      <c r="G252" s="1165">
        <f t="shared" si="482"/>
        <v>0</v>
      </c>
      <c r="H252" s="1266" t="e">
        <f t="shared" si="414"/>
        <v>#DIV/0!</v>
      </c>
      <c r="I252" s="1167">
        <f t="shared" si="457"/>
        <v>0</v>
      </c>
      <c r="J252" s="1167">
        <f t="shared" si="458"/>
        <v>0</v>
      </c>
      <c r="K252" s="1168">
        <f t="shared" si="483"/>
        <v>0</v>
      </c>
      <c r="L252" s="1128"/>
      <c r="M252" s="1169"/>
      <c r="N252" s="1177"/>
      <c r="O252" s="1169"/>
      <c r="P252" s="1169"/>
      <c r="Q252" s="1169">
        <f t="shared" si="484"/>
        <v>0</v>
      </c>
      <c r="R252" s="1169"/>
      <c r="S252" s="1170"/>
      <c r="T252" s="1171"/>
      <c r="U252" s="1128"/>
      <c r="V252" s="1169"/>
      <c r="W252" s="1177"/>
      <c r="X252" s="1177"/>
      <c r="Y252" s="1169"/>
      <c r="Z252" s="1169">
        <f t="shared" si="485"/>
        <v>0</v>
      </c>
      <c r="AA252" s="1169"/>
      <c r="AB252" s="1172">
        <f t="shared" si="418"/>
        <v>0</v>
      </c>
      <c r="AC252" s="1171"/>
      <c r="AD252" s="1128"/>
      <c r="AE252" s="1169"/>
      <c r="AF252" s="1177"/>
      <c r="AG252" s="1177"/>
      <c r="AH252" s="1169"/>
      <c r="AI252" s="1169">
        <f t="shared" si="486"/>
        <v>0</v>
      </c>
      <c r="AJ252" s="1169"/>
      <c r="AK252" s="1173"/>
      <c r="AL252" s="1171"/>
      <c r="AM252" s="1128"/>
      <c r="AN252" s="1170"/>
      <c r="AO252" s="1175"/>
      <c r="AP252" s="1175"/>
      <c r="AQ252" s="1170"/>
      <c r="AR252" s="1170">
        <f t="shared" si="487"/>
        <v>0</v>
      </c>
      <c r="AS252" s="1170"/>
      <c r="AT252" s="1170">
        <f t="shared" si="421"/>
        <v>0</v>
      </c>
      <c r="AU252" s="1174"/>
      <c r="AV252" s="1128"/>
      <c r="AW252" s="1170"/>
      <c r="AX252" s="1175"/>
      <c r="AY252" s="1175"/>
      <c r="AZ252" s="1170"/>
      <c r="BA252" s="1170">
        <f t="shared" si="488"/>
        <v>0</v>
      </c>
      <c r="BB252" s="1170"/>
      <c r="BC252" s="1175">
        <f t="shared" si="423"/>
        <v>0</v>
      </c>
      <c r="BD252" s="1027"/>
      <c r="BE252" s="1024"/>
      <c r="BF252" s="1024"/>
      <c r="BG252" s="1008"/>
      <c r="BH252" s="1008"/>
      <c r="BI252" s="1008"/>
      <c r="BJ252" s="1008"/>
      <c r="BK252" s="1008"/>
      <c r="BL252" s="1008"/>
      <c r="BM252" s="1008"/>
    </row>
    <row r="253" s="1215" customFormat="1" ht="23.25" customHeight="1">
      <c r="A253" s="999">
        <f t="shared" si="412"/>
        <v>0</v>
      </c>
      <c r="B253" s="1202" t="s">
        <v>414</v>
      </c>
      <c r="C253" s="1202"/>
      <c r="D253" s="1202"/>
      <c r="E253" s="1164">
        <f t="shared" si="439"/>
        <v>0</v>
      </c>
      <c r="F253" s="1164">
        <f t="shared" si="440"/>
        <v>0</v>
      </c>
      <c r="G253" s="1165">
        <f t="shared" si="482"/>
        <v>0</v>
      </c>
      <c r="H253" s="1266" t="e">
        <f t="shared" si="414"/>
        <v>#DIV/0!</v>
      </c>
      <c r="I253" s="1167">
        <f t="shared" si="457"/>
        <v>0</v>
      </c>
      <c r="J253" s="1167">
        <f t="shared" si="458"/>
        <v>0</v>
      </c>
      <c r="K253" s="1168">
        <f t="shared" si="483"/>
        <v>0</v>
      </c>
      <c r="L253" s="1128"/>
      <c r="M253" s="1169"/>
      <c r="N253" s="1177"/>
      <c r="O253" s="1169"/>
      <c r="P253" s="1169"/>
      <c r="Q253" s="1169">
        <f t="shared" si="484"/>
        <v>0</v>
      </c>
      <c r="R253" s="1169"/>
      <c r="S253" s="1170"/>
      <c r="T253" s="1171"/>
      <c r="U253" s="1128"/>
      <c r="V253" s="1169"/>
      <c r="W253" s="1177"/>
      <c r="X253" s="1177"/>
      <c r="Y253" s="1169"/>
      <c r="Z253" s="1169">
        <f t="shared" si="485"/>
        <v>0</v>
      </c>
      <c r="AA253" s="1169"/>
      <c r="AB253" s="1172">
        <f t="shared" si="418"/>
        <v>0</v>
      </c>
      <c r="AC253" s="1171"/>
      <c r="AD253" s="1128"/>
      <c r="AE253" s="1169"/>
      <c r="AF253" s="1177"/>
      <c r="AG253" s="1177"/>
      <c r="AH253" s="1169"/>
      <c r="AI253" s="1169">
        <f t="shared" si="486"/>
        <v>0</v>
      </c>
      <c r="AJ253" s="1169"/>
      <c r="AK253" s="1173"/>
      <c r="AL253" s="1171"/>
      <c r="AM253" s="1128"/>
      <c r="AN253" s="1170"/>
      <c r="AO253" s="1175"/>
      <c r="AP253" s="1175"/>
      <c r="AQ253" s="1170"/>
      <c r="AR253" s="1170">
        <f t="shared" si="487"/>
        <v>0</v>
      </c>
      <c r="AS253" s="1170"/>
      <c r="AT253" s="1170">
        <f t="shared" si="421"/>
        <v>0</v>
      </c>
      <c r="AU253" s="1174"/>
      <c r="AV253" s="1128"/>
      <c r="AW253" s="1170"/>
      <c r="AX253" s="1175"/>
      <c r="AY253" s="1175"/>
      <c r="AZ253" s="1170"/>
      <c r="BA253" s="1170">
        <f t="shared" si="488"/>
        <v>0</v>
      </c>
      <c r="BB253" s="1170"/>
      <c r="BC253" s="1175">
        <f t="shared" si="423"/>
        <v>0</v>
      </c>
      <c r="BD253" s="1027"/>
      <c r="BE253" s="1024"/>
      <c r="BF253" s="1024"/>
      <c r="BG253" s="1008"/>
      <c r="BH253" s="1008"/>
      <c r="BI253" s="1008"/>
      <c r="BJ253" s="1008"/>
      <c r="BK253" s="1008"/>
      <c r="BL253" s="1008"/>
      <c r="BM253" s="1008"/>
    </row>
    <row r="254" s="1215" customFormat="1" ht="23.25" customHeight="1">
      <c r="A254" s="999" t="str">
        <f t="shared" si="412"/>
        <v xml:space="preserve">Ковалевская О.А.</v>
      </c>
      <c r="B254" s="1202" t="s">
        <v>416</v>
      </c>
      <c r="C254" s="1202"/>
      <c r="D254" s="1202"/>
      <c r="E254" s="1164">
        <f t="shared" si="439"/>
        <v>0</v>
      </c>
      <c r="F254" s="1164">
        <f t="shared" si="440"/>
        <v>0</v>
      </c>
      <c r="G254" s="1165">
        <f t="shared" si="482"/>
        <v>0</v>
      </c>
      <c r="H254" s="1266" t="e">
        <f t="shared" si="414"/>
        <v>#DIV/0!</v>
      </c>
      <c r="I254" s="1167">
        <f t="shared" si="457"/>
        <v>0</v>
      </c>
      <c r="J254" s="1167">
        <f t="shared" si="458"/>
        <v>0</v>
      </c>
      <c r="K254" s="1168">
        <f t="shared" si="483"/>
        <v>0</v>
      </c>
      <c r="L254" s="1128"/>
      <c r="M254" s="1169"/>
      <c r="N254" s="1177"/>
      <c r="O254" s="1169"/>
      <c r="P254" s="1169"/>
      <c r="Q254" s="1169">
        <f t="shared" si="484"/>
        <v>0</v>
      </c>
      <c r="R254" s="1169"/>
      <c r="S254" s="1170"/>
      <c r="T254" s="1171"/>
      <c r="U254" s="1128"/>
      <c r="V254" s="1169"/>
      <c r="W254" s="1177"/>
      <c r="X254" s="1177"/>
      <c r="Y254" s="1169"/>
      <c r="Z254" s="1169">
        <f t="shared" si="485"/>
        <v>0</v>
      </c>
      <c r="AA254" s="1169"/>
      <c r="AB254" s="1172">
        <f t="shared" si="418"/>
        <v>0</v>
      </c>
      <c r="AC254" s="1171"/>
      <c r="AD254" s="1128"/>
      <c r="AE254" s="1169"/>
      <c r="AF254" s="1177"/>
      <c r="AG254" s="1177"/>
      <c r="AH254" s="1169"/>
      <c r="AI254" s="1169">
        <f t="shared" si="486"/>
        <v>0</v>
      </c>
      <c r="AJ254" s="1169"/>
      <c r="AK254" s="1173"/>
      <c r="AL254" s="1171"/>
      <c r="AM254" s="1128"/>
      <c r="AN254" s="1170"/>
      <c r="AO254" s="1175"/>
      <c r="AP254" s="1175"/>
      <c r="AQ254" s="1170"/>
      <c r="AR254" s="1170">
        <f t="shared" si="487"/>
        <v>0</v>
      </c>
      <c r="AS254" s="1170"/>
      <c r="AT254" s="1170">
        <f t="shared" si="421"/>
        <v>0</v>
      </c>
      <c r="AU254" s="1174"/>
      <c r="AV254" s="1128"/>
      <c r="AW254" s="1170"/>
      <c r="AX254" s="1175"/>
      <c r="AY254" s="1175"/>
      <c r="AZ254" s="1170"/>
      <c r="BA254" s="1170">
        <f t="shared" si="488"/>
        <v>0</v>
      </c>
      <c r="BB254" s="1170"/>
      <c r="BC254" s="1175">
        <f t="shared" si="423"/>
        <v>0</v>
      </c>
      <c r="BD254" s="1027"/>
      <c r="BE254" s="1024"/>
      <c r="BF254" s="1024"/>
      <c r="BG254" s="1008"/>
      <c r="BH254" s="1008"/>
      <c r="BI254" s="1008"/>
      <c r="BJ254" s="1008"/>
      <c r="BK254" s="1008"/>
      <c r="BL254" s="1008"/>
      <c r="BM254" s="1008"/>
    </row>
    <row r="255" s="1215" customFormat="1" ht="23.25" customHeight="1">
      <c r="A255" s="999" t="s">
        <v>477</v>
      </c>
      <c r="B255" s="1202" t="s">
        <v>80</v>
      </c>
      <c r="C255" s="1218"/>
      <c r="D255" s="1217"/>
      <c r="E255" s="1164">
        <f t="shared" si="439"/>
        <v>0</v>
      </c>
      <c r="F255" s="1164">
        <f t="shared" si="440"/>
        <v>0</v>
      </c>
      <c r="G255" s="1165">
        <f t="shared" si="482"/>
        <v>0</v>
      </c>
      <c r="H255" s="1266" t="e">
        <f t="shared" si="414"/>
        <v>#DIV/0!</v>
      </c>
      <c r="I255" s="1167">
        <f t="shared" si="457"/>
        <v>0</v>
      </c>
      <c r="J255" s="1167">
        <f t="shared" si="458"/>
        <v>0</v>
      </c>
      <c r="K255" s="1168">
        <f t="shared" si="483"/>
        <v>0</v>
      </c>
      <c r="L255" s="1128"/>
      <c r="M255" s="1169"/>
      <c r="N255" s="1199"/>
      <c r="O255" s="1169"/>
      <c r="P255" s="1169"/>
      <c r="Q255" s="1169">
        <f t="shared" si="484"/>
        <v>0</v>
      </c>
      <c r="R255" s="1169"/>
      <c r="S255" s="1170"/>
      <c r="T255" s="1171"/>
      <c r="U255" s="1128"/>
      <c r="V255" s="1169"/>
      <c r="W255" s="1199"/>
      <c r="X255" s="1177"/>
      <c r="Y255" s="1169"/>
      <c r="Z255" s="1169">
        <f t="shared" si="485"/>
        <v>0</v>
      </c>
      <c r="AA255" s="1169"/>
      <c r="AB255" s="1172">
        <f t="shared" si="418"/>
        <v>0</v>
      </c>
      <c r="AC255" s="1171"/>
      <c r="AD255" s="1128"/>
      <c r="AE255" s="1169"/>
      <c r="AF255" s="1199"/>
      <c r="AG255" s="1177"/>
      <c r="AH255" s="1169"/>
      <c r="AI255" s="1169">
        <f t="shared" si="486"/>
        <v>0</v>
      </c>
      <c r="AJ255" s="1169"/>
      <c r="AK255" s="1173"/>
      <c r="AL255" s="1171"/>
      <c r="AM255" s="1128"/>
      <c r="AN255" s="1170"/>
      <c r="AO255" s="1200"/>
      <c r="AP255" s="1175"/>
      <c r="AQ255" s="1170"/>
      <c r="AR255" s="1170">
        <f t="shared" si="487"/>
        <v>0</v>
      </c>
      <c r="AS255" s="1170"/>
      <c r="AT255" s="1170">
        <f t="shared" si="421"/>
        <v>0</v>
      </c>
      <c r="AU255" s="1174"/>
      <c r="AV255" s="1128"/>
      <c r="AW255" s="1170"/>
      <c r="AX255" s="1200"/>
      <c r="AY255" s="1175"/>
      <c r="AZ255" s="1170"/>
      <c r="BA255" s="1170">
        <f t="shared" si="488"/>
        <v>0</v>
      </c>
      <c r="BB255" s="1170"/>
      <c r="BC255" s="1175">
        <f t="shared" si="423"/>
        <v>0</v>
      </c>
      <c r="BD255" s="1027"/>
      <c r="BE255" s="1024"/>
      <c r="BF255" s="1024"/>
      <c r="BG255" s="1008"/>
      <c r="BH255" s="1008"/>
      <c r="BI255" s="1008"/>
      <c r="BJ255" s="1008"/>
      <c r="BK255" s="1008"/>
      <c r="BL255" s="1008"/>
      <c r="BM255" s="1008"/>
    </row>
    <row r="256" s="1215" customFormat="1" ht="23.25" customHeight="1">
      <c r="A256" s="999" t="str">
        <f t="shared" si="412"/>
        <v xml:space="preserve">Шевкунова СА</v>
      </c>
      <c r="B256" s="1202" t="s">
        <v>419</v>
      </c>
      <c r="C256" s="1219"/>
      <c r="D256" s="1202"/>
      <c r="E256" s="1164">
        <f t="shared" si="439"/>
        <v>0</v>
      </c>
      <c r="F256" s="1164">
        <f t="shared" si="440"/>
        <v>0</v>
      </c>
      <c r="G256" s="1165">
        <f t="shared" si="482"/>
        <v>0</v>
      </c>
      <c r="H256" s="1266" t="e">
        <f t="shared" si="414"/>
        <v>#DIV/0!</v>
      </c>
      <c r="I256" s="1167">
        <f t="shared" si="457"/>
        <v>0</v>
      </c>
      <c r="J256" s="1167">
        <f t="shared" si="458"/>
        <v>0</v>
      </c>
      <c r="K256" s="1168">
        <f t="shared" si="483"/>
        <v>0</v>
      </c>
      <c r="L256" s="1128"/>
      <c r="M256" s="1169"/>
      <c r="N256" s="1177"/>
      <c r="O256" s="1169"/>
      <c r="P256" s="1169"/>
      <c r="Q256" s="1169">
        <f t="shared" si="484"/>
        <v>0</v>
      </c>
      <c r="R256" s="1169"/>
      <c r="S256" s="1170"/>
      <c r="T256" s="1171"/>
      <c r="U256" s="1128"/>
      <c r="V256" s="1169"/>
      <c r="W256" s="1177"/>
      <c r="X256" s="1177"/>
      <c r="Y256" s="1169"/>
      <c r="Z256" s="1169">
        <f t="shared" si="485"/>
        <v>0</v>
      </c>
      <c r="AA256" s="1169"/>
      <c r="AB256" s="1172">
        <f t="shared" si="418"/>
        <v>0</v>
      </c>
      <c r="AC256" s="1171"/>
      <c r="AD256" s="1128"/>
      <c r="AE256" s="1169"/>
      <c r="AF256" s="1177"/>
      <c r="AG256" s="1177"/>
      <c r="AH256" s="1169"/>
      <c r="AI256" s="1169">
        <f t="shared" si="486"/>
        <v>0</v>
      </c>
      <c r="AJ256" s="1169"/>
      <c r="AK256" s="1173"/>
      <c r="AL256" s="1171"/>
      <c r="AM256" s="1128"/>
      <c r="AN256" s="1170"/>
      <c r="AO256" s="1175"/>
      <c r="AP256" s="1175"/>
      <c r="AQ256" s="1170"/>
      <c r="AR256" s="1170">
        <f t="shared" si="487"/>
        <v>0</v>
      </c>
      <c r="AS256" s="1170"/>
      <c r="AT256" s="1170">
        <f t="shared" si="421"/>
        <v>0</v>
      </c>
      <c r="AU256" s="1174"/>
      <c r="AV256" s="1128"/>
      <c r="AW256" s="1170"/>
      <c r="AX256" s="1175"/>
      <c r="AY256" s="1175"/>
      <c r="AZ256" s="1170"/>
      <c r="BA256" s="1170">
        <f t="shared" si="488"/>
        <v>0</v>
      </c>
      <c r="BB256" s="1170"/>
      <c r="BC256" s="1175">
        <f t="shared" si="423"/>
        <v>0</v>
      </c>
      <c r="BD256" s="1027"/>
      <c r="BE256" s="1024"/>
      <c r="BF256" s="1024"/>
      <c r="BG256" s="1008"/>
      <c r="BH256" s="1008"/>
      <c r="BI256" s="1008"/>
      <c r="BJ256" s="1008"/>
      <c r="BK256" s="1008"/>
      <c r="BL256" s="1008"/>
      <c r="BM256" s="1008"/>
    </row>
    <row r="257" s="1215" customFormat="1" ht="23.25" customHeight="1">
      <c r="A257" s="999">
        <f t="shared" si="412"/>
        <v>0</v>
      </c>
      <c r="B257" s="1205" t="s">
        <v>363</v>
      </c>
      <c r="C257" s="1205"/>
      <c r="D257" s="1205"/>
      <c r="E257" s="1183">
        <f t="shared" si="439"/>
        <v>0</v>
      </c>
      <c r="F257" s="1183">
        <f t="shared" si="440"/>
        <v>0</v>
      </c>
      <c r="G257" s="1220">
        <f>SUM(G249:G256)</f>
        <v>0</v>
      </c>
      <c r="H257" s="1267" t="e">
        <f t="shared" si="414"/>
        <v>#DIV/0!</v>
      </c>
      <c r="I257" s="1186">
        <f t="shared" si="457"/>
        <v>0</v>
      </c>
      <c r="J257" s="1186">
        <f t="shared" si="458"/>
        <v>0</v>
      </c>
      <c r="K257" s="1222">
        <f>SUM(K249:K256)</f>
        <v>0</v>
      </c>
      <c r="L257" s="1197"/>
      <c r="M257" s="1096">
        <f t="shared" ref="M257:R257" si="489">SUM(M249:M256)</f>
        <v>0</v>
      </c>
      <c r="N257" s="1096">
        <f t="shared" si="489"/>
        <v>0</v>
      </c>
      <c r="O257" s="1096">
        <f t="shared" si="489"/>
        <v>0</v>
      </c>
      <c r="P257" s="1096">
        <f t="shared" si="489"/>
        <v>0</v>
      </c>
      <c r="Q257" s="1096">
        <f>SUM(Q249:Q256)</f>
        <v>0</v>
      </c>
      <c r="R257" s="1096">
        <f t="shared" si="489"/>
        <v>0</v>
      </c>
      <c r="S257" s="1170"/>
      <c r="T257" s="1189"/>
      <c r="U257" s="1197"/>
      <c r="V257" s="1096">
        <f t="shared" ref="V257:AA257" si="490">SUM(V249:V256)</f>
        <v>0</v>
      </c>
      <c r="W257" s="1096">
        <f t="shared" si="490"/>
        <v>0</v>
      </c>
      <c r="X257" s="1096">
        <f t="shared" si="490"/>
        <v>0</v>
      </c>
      <c r="Y257" s="1096">
        <f t="shared" si="490"/>
        <v>0</v>
      </c>
      <c r="Z257" s="1096">
        <f t="shared" si="490"/>
        <v>0</v>
      </c>
      <c r="AA257" s="1096">
        <f t="shared" si="490"/>
        <v>0</v>
      </c>
      <c r="AB257" s="1172">
        <f t="shared" si="418"/>
        <v>0</v>
      </c>
      <c r="AC257" s="1189"/>
      <c r="AD257" s="1197"/>
      <c r="AE257" s="1096">
        <f t="shared" ref="AE257:AJ257" si="491">SUM(AE249:AE256)</f>
        <v>0</v>
      </c>
      <c r="AF257" s="1096">
        <f t="shared" si="491"/>
        <v>0</v>
      </c>
      <c r="AG257" s="1096">
        <f t="shared" si="491"/>
        <v>0</v>
      </c>
      <c r="AH257" s="1096">
        <f t="shared" si="491"/>
        <v>0</v>
      </c>
      <c r="AI257" s="1096">
        <f t="shared" si="491"/>
        <v>0</v>
      </c>
      <c r="AJ257" s="1096">
        <f t="shared" si="491"/>
        <v>0</v>
      </c>
      <c r="AK257" s="1173"/>
      <c r="AL257" s="1189"/>
      <c r="AM257" s="1197"/>
      <c r="AN257" s="1190">
        <f t="shared" ref="AN257:BB257" si="492">SUM(AN249:AN256)</f>
        <v>0</v>
      </c>
      <c r="AO257" s="1190">
        <f t="shared" si="492"/>
        <v>0</v>
      </c>
      <c r="AP257" s="1190">
        <f t="shared" si="492"/>
        <v>0</v>
      </c>
      <c r="AQ257" s="1190">
        <f t="shared" si="492"/>
        <v>0</v>
      </c>
      <c r="AR257" s="1190">
        <f t="shared" si="492"/>
        <v>0</v>
      </c>
      <c r="AS257" s="1190">
        <f t="shared" si="492"/>
        <v>0</v>
      </c>
      <c r="AT257" s="1190">
        <f t="shared" si="421"/>
        <v>0</v>
      </c>
      <c r="AU257" s="1191"/>
      <c r="AV257" s="1197">
        <f t="shared" si="492"/>
        <v>0</v>
      </c>
      <c r="AW257" s="1190">
        <f t="shared" si="492"/>
        <v>0</v>
      </c>
      <c r="AX257" s="1190">
        <f t="shared" si="492"/>
        <v>0</v>
      </c>
      <c r="AY257" s="1190">
        <f t="shared" si="492"/>
        <v>0</v>
      </c>
      <c r="AZ257" s="1190">
        <f t="shared" si="492"/>
        <v>0</v>
      </c>
      <c r="BA257" s="1190">
        <f t="shared" si="492"/>
        <v>0</v>
      </c>
      <c r="BB257" s="1190">
        <f t="shared" si="492"/>
        <v>0</v>
      </c>
      <c r="BC257" s="1268">
        <f t="shared" si="423"/>
        <v>0</v>
      </c>
      <c r="BD257" s="1027"/>
      <c r="BE257" s="1024"/>
      <c r="BF257" s="1024"/>
      <c r="BG257" s="1008"/>
      <c r="BH257" s="1008"/>
      <c r="BI257" s="1008"/>
      <c r="BJ257" s="1008"/>
      <c r="BK257" s="1008"/>
      <c r="BL257" s="1008"/>
      <c r="BM257" s="1008"/>
    </row>
    <row r="258" s="1215" customFormat="1" ht="23.25" customHeight="1">
      <c r="A258" s="999" t="str">
        <f t="shared" si="412"/>
        <v xml:space="preserve">Шеламкова Н.В.</v>
      </c>
      <c r="B258" s="1202" t="s">
        <v>421</v>
      </c>
      <c r="C258" s="1203"/>
      <c r="D258" s="1202"/>
      <c r="E258" s="1164">
        <f t="shared" si="439"/>
        <v>0</v>
      </c>
      <c r="F258" s="1164">
        <f t="shared" si="440"/>
        <v>0</v>
      </c>
      <c r="G258" s="1165">
        <f t="shared" ref="G258:G270" si="493">E258+F258</f>
        <v>0</v>
      </c>
      <c r="H258" s="1266" t="e">
        <f t="shared" si="414"/>
        <v>#DIV/0!</v>
      </c>
      <c r="I258" s="1167">
        <f t="shared" si="457"/>
        <v>0</v>
      </c>
      <c r="J258" s="1167">
        <f t="shared" si="458"/>
        <v>0</v>
      </c>
      <c r="K258" s="1168">
        <f t="shared" ref="K258:K270" si="494">I258+J258</f>
        <v>0</v>
      </c>
      <c r="L258" s="1128"/>
      <c r="M258" s="1169"/>
      <c r="N258" s="1177"/>
      <c r="O258" s="1169"/>
      <c r="P258" s="1169"/>
      <c r="Q258" s="1169">
        <f t="shared" si="484"/>
        <v>0</v>
      </c>
      <c r="R258" s="1169"/>
      <c r="S258" s="1170"/>
      <c r="T258" s="1171"/>
      <c r="U258" s="1128"/>
      <c r="V258" s="1169"/>
      <c r="W258" s="1177"/>
      <c r="X258" s="1177"/>
      <c r="Y258" s="1169"/>
      <c r="Z258" s="1169">
        <f t="shared" ref="Z258:Z270" si="495">SUM(V258:Y258)</f>
        <v>0</v>
      </c>
      <c r="AA258" s="1169"/>
      <c r="AB258" s="1172">
        <f t="shared" si="418"/>
        <v>0</v>
      </c>
      <c r="AC258" s="1171"/>
      <c r="AD258" s="1128"/>
      <c r="AE258" s="1169"/>
      <c r="AF258" s="1177"/>
      <c r="AG258" s="1177"/>
      <c r="AH258" s="1169"/>
      <c r="AI258" s="1169">
        <f t="shared" ref="AI258:AI270" si="496">SUM(AE258:AH258)</f>
        <v>0</v>
      </c>
      <c r="AJ258" s="1169"/>
      <c r="AK258" s="1173"/>
      <c r="AL258" s="1171"/>
      <c r="AM258" s="1128"/>
      <c r="AN258" s="1170"/>
      <c r="AO258" s="1175"/>
      <c r="AP258" s="1175"/>
      <c r="AQ258" s="1170"/>
      <c r="AR258" s="1170">
        <f t="shared" ref="AR258:AR270" si="497">SUM(AN258:AQ258)</f>
        <v>0</v>
      </c>
      <c r="AS258" s="1170"/>
      <c r="AT258" s="1170">
        <f t="shared" si="421"/>
        <v>0</v>
      </c>
      <c r="AU258" s="1174"/>
      <c r="AV258" s="1128"/>
      <c r="AW258" s="1170"/>
      <c r="AX258" s="1175"/>
      <c r="AY258" s="1175"/>
      <c r="AZ258" s="1170"/>
      <c r="BA258" s="1170">
        <f t="shared" ref="BA258:BA270" si="498">SUM(AW258:AZ258)</f>
        <v>0</v>
      </c>
      <c r="BB258" s="1170"/>
      <c r="BC258" s="1175">
        <f t="shared" si="423"/>
        <v>0</v>
      </c>
      <c r="BD258" s="1027"/>
      <c r="BE258" s="1024"/>
      <c r="BF258" s="1024"/>
      <c r="BG258" s="1008"/>
      <c r="BH258" s="1008"/>
      <c r="BI258" s="1008"/>
      <c r="BJ258" s="1008"/>
      <c r="BK258" s="1008"/>
      <c r="BL258" s="1008"/>
      <c r="BM258" s="1008"/>
    </row>
    <row r="259" s="1215" customFormat="1" ht="23.25" customHeight="1">
      <c r="A259" s="999" t="str">
        <f t="shared" si="412"/>
        <v xml:space="preserve">Буланова О.Н. Сычева Ю.В.</v>
      </c>
      <c r="B259" s="1202" t="s">
        <v>68</v>
      </c>
      <c r="C259" s="1219"/>
      <c r="D259" s="1202"/>
      <c r="E259" s="1164">
        <f t="shared" si="439"/>
        <v>0</v>
      </c>
      <c r="F259" s="1164">
        <f t="shared" si="440"/>
        <v>0</v>
      </c>
      <c r="G259" s="1165">
        <f t="shared" si="493"/>
        <v>0</v>
      </c>
      <c r="H259" s="1266" t="e">
        <f t="shared" si="414"/>
        <v>#DIV/0!</v>
      </c>
      <c r="I259" s="1167">
        <f t="shared" si="457"/>
        <v>0</v>
      </c>
      <c r="J259" s="1167">
        <f t="shared" si="458"/>
        <v>0</v>
      </c>
      <c r="K259" s="1168">
        <f t="shared" si="494"/>
        <v>0</v>
      </c>
      <c r="L259" s="1128"/>
      <c r="M259" s="1169"/>
      <c r="N259" s="1177"/>
      <c r="O259" s="1169"/>
      <c r="P259" s="1169"/>
      <c r="Q259" s="1169">
        <f t="shared" si="484"/>
        <v>0</v>
      </c>
      <c r="R259" s="1169"/>
      <c r="S259" s="1170"/>
      <c r="T259" s="1171"/>
      <c r="U259" s="1128"/>
      <c r="V259" s="1169"/>
      <c r="W259" s="1177"/>
      <c r="X259" s="1177"/>
      <c r="Y259" s="1169"/>
      <c r="Z259" s="1169">
        <f t="shared" si="495"/>
        <v>0</v>
      </c>
      <c r="AA259" s="1169"/>
      <c r="AB259" s="1172">
        <f t="shared" si="418"/>
        <v>0</v>
      </c>
      <c r="AC259" s="1171"/>
      <c r="AD259" s="1128"/>
      <c r="AE259" s="1169"/>
      <c r="AF259" s="1177"/>
      <c r="AG259" s="1177"/>
      <c r="AH259" s="1169"/>
      <c r="AI259" s="1169">
        <f t="shared" si="496"/>
        <v>0</v>
      </c>
      <c r="AJ259" s="1169"/>
      <c r="AK259" s="1173"/>
      <c r="AL259" s="1171"/>
      <c r="AM259" s="1128"/>
      <c r="AN259" s="1170"/>
      <c r="AO259" s="1175"/>
      <c r="AP259" s="1175"/>
      <c r="AQ259" s="1170"/>
      <c r="AR259" s="1170">
        <f t="shared" si="497"/>
        <v>0</v>
      </c>
      <c r="AS259" s="1170"/>
      <c r="AT259" s="1170">
        <f t="shared" si="421"/>
        <v>0</v>
      </c>
      <c r="AU259" s="1174"/>
      <c r="AV259" s="1128"/>
      <c r="AW259" s="1170"/>
      <c r="AX259" s="1175"/>
      <c r="AY259" s="1175"/>
      <c r="AZ259" s="1170"/>
      <c r="BA259" s="1170"/>
      <c r="BB259" s="1170"/>
      <c r="BC259" s="1175">
        <f t="shared" si="423"/>
        <v>0</v>
      </c>
      <c r="BD259" s="1027"/>
      <c r="BE259" s="1024"/>
      <c r="BF259" s="1024"/>
      <c r="BG259" s="1008"/>
      <c r="BH259" s="1008"/>
      <c r="BI259" s="1008"/>
      <c r="BJ259" s="1008"/>
      <c r="BK259" s="1008"/>
      <c r="BL259" s="1008"/>
      <c r="BM259" s="1008"/>
    </row>
    <row r="260" s="1215" customFormat="1" ht="23.25" customHeight="1">
      <c r="A260" s="999" t="str">
        <f t="shared" si="412"/>
        <v xml:space="preserve">Бояринцева Н.А.</v>
      </c>
      <c r="B260" s="1202" t="s">
        <v>289</v>
      </c>
      <c r="C260" s="1202"/>
      <c r="D260" s="1202"/>
      <c r="E260" s="1164">
        <f t="shared" si="439"/>
        <v>0</v>
      </c>
      <c r="F260" s="1164">
        <f t="shared" si="440"/>
        <v>0</v>
      </c>
      <c r="G260" s="1165">
        <f t="shared" si="493"/>
        <v>0</v>
      </c>
      <c r="H260" s="1266" t="e">
        <f t="shared" si="414"/>
        <v>#DIV/0!</v>
      </c>
      <c r="I260" s="1167">
        <f t="shared" si="457"/>
        <v>0</v>
      </c>
      <c r="J260" s="1167">
        <f t="shared" si="458"/>
        <v>0</v>
      </c>
      <c r="K260" s="1168">
        <f t="shared" si="494"/>
        <v>0</v>
      </c>
      <c r="L260" s="1128"/>
      <c r="M260" s="1169"/>
      <c r="N260" s="1177"/>
      <c r="O260" s="1169"/>
      <c r="P260" s="1169"/>
      <c r="Q260" s="1169">
        <f t="shared" si="484"/>
        <v>0</v>
      </c>
      <c r="R260" s="1169"/>
      <c r="S260" s="1170"/>
      <c r="T260" s="1171"/>
      <c r="U260" s="1128"/>
      <c r="V260" s="1169"/>
      <c r="W260" s="1177"/>
      <c r="X260" s="1177"/>
      <c r="Y260" s="1169"/>
      <c r="Z260" s="1169">
        <f t="shared" si="495"/>
        <v>0</v>
      </c>
      <c r="AA260" s="1169"/>
      <c r="AB260" s="1172">
        <f t="shared" si="418"/>
        <v>0</v>
      </c>
      <c r="AC260" s="1171"/>
      <c r="AD260" s="1128"/>
      <c r="AE260" s="1169"/>
      <c r="AF260" s="1177"/>
      <c r="AG260" s="1177"/>
      <c r="AH260" s="1169"/>
      <c r="AI260" s="1169">
        <f t="shared" si="496"/>
        <v>0</v>
      </c>
      <c r="AJ260" s="1169"/>
      <c r="AK260" s="1173"/>
      <c r="AL260" s="1171"/>
      <c r="AM260" s="1128"/>
      <c r="AN260" s="1170"/>
      <c r="AO260" s="1175"/>
      <c r="AP260" s="1175"/>
      <c r="AQ260" s="1170"/>
      <c r="AR260" s="1170">
        <f t="shared" si="497"/>
        <v>0</v>
      </c>
      <c r="AS260" s="1170"/>
      <c r="AT260" s="1170">
        <f t="shared" si="421"/>
        <v>0</v>
      </c>
      <c r="AU260" s="1174"/>
      <c r="AV260" s="1128"/>
      <c r="AW260" s="1170"/>
      <c r="AX260" s="1175"/>
      <c r="AY260" s="1175"/>
      <c r="AZ260" s="1170"/>
      <c r="BA260" s="1170">
        <f t="shared" si="498"/>
        <v>0</v>
      </c>
      <c r="BB260" s="1170"/>
      <c r="BC260" s="1175">
        <f t="shared" si="423"/>
        <v>0</v>
      </c>
      <c r="BD260" s="1027"/>
      <c r="BE260" s="1024"/>
      <c r="BF260" s="1024"/>
      <c r="BG260" s="1008"/>
      <c r="BH260" s="1008"/>
      <c r="BI260" s="1008"/>
      <c r="BJ260" s="1008"/>
      <c r="BK260" s="1008"/>
      <c r="BL260" s="1008"/>
      <c r="BM260" s="1008"/>
    </row>
    <row r="261" s="1215" customFormat="1" ht="23.25" customHeight="1">
      <c r="A261" s="999">
        <f t="shared" si="412"/>
        <v>0</v>
      </c>
      <c r="B261" s="1202" t="s">
        <v>424</v>
      </c>
      <c r="C261" s="1219"/>
      <c r="D261" s="1202"/>
      <c r="E261" s="1164">
        <f t="shared" si="439"/>
        <v>0</v>
      </c>
      <c r="F261" s="1164">
        <f t="shared" si="440"/>
        <v>0</v>
      </c>
      <c r="G261" s="1165">
        <f t="shared" si="493"/>
        <v>0</v>
      </c>
      <c r="H261" s="1266" t="e">
        <f t="shared" si="414"/>
        <v>#DIV/0!</v>
      </c>
      <c r="I261" s="1167">
        <f t="shared" si="457"/>
        <v>0</v>
      </c>
      <c r="J261" s="1167">
        <f t="shared" si="458"/>
        <v>0</v>
      </c>
      <c r="K261" s="1168">
        <f t="shared" si="494"/>
        <v>0</v>
      </c>
      <c r="L261" s="1128"/>
      <c r="M261" s="1169"/>
      <c r="N261" s="1177"/>
      <c r="O261" s="1169"/>
      <c r="P261" s="1169"/>
      <c r="Q261" s="1169">
        <f t="shared" si="484"/>
        <v>0</v>
      </c>
      <c r="R261" s="1169"/>
      <c r="S261" s="1170"/>
      <c r="T261" s="1171"/>
      <c r="U261" s="1128"/>
      <c r="V261" s="1169"/>
      <c r="W261" s="1177"/>
      <c r="X261" s="1177"/>
      <c r="Y261" s="1169"/>
      <c r="Z261" s="1169">
        <f t="shared" si="495"/>
        <v>0</v>
      </c>
      <c r="AA261" s="1169"/>
      <c r="AB261" s="1172">
        <f t="shared" si="418"/>
        <v>0</v>
      </c>
      <c r="AC261" s="1171"/>
      <c r="AD261" s="1128"/>
      <c r="AE261" s="1169"/>
      <c r="AF261" s="1177"/>
      <c r="AG261" s="1177"/>
      <c r="AH261" s="1169"/>
      <c r="AI261" s="1169">
        <f t="shared" si="496"/>
        <v>0</v>
      </c>
      <c r="AJ261" s="1169"/>
      <c r="AK261" s="1173"/>
      <c r="AL261" s="1171"/>
      <c r="AM261" s="1128"/>
      <c r="AN261" s="1170"/>
      <c r="AO261" s="1175"/>
      <c r="AP261" s="1175"/>
      <c r="AQ261" s="1170"/>
      <c r="AR261" s="1170">
        <f t="shared" si="497"/>
        <v>0</v>
      </c>
      <c r="AS261" s="1170"/>
      <c r="AT261" s="1170">
        <f t="shared" si="421"/>
        <v>0</v>
      </c>
      <c r="AU261" s="1174"/>
      <c r="AV261" s="1128"/>
      <c r="AW261" s="1170"/>
      <c r="AX261" s="1175"/>
      <c r="AY261" s="1175"/>
      <c r="AZ261" s="1170"/>
      <c r="BA261" s="1170">
        <f t="shared" si="498"/>
        <v>0</v>
      </c>
      <c r="BB261" s="1170"/>
      <c r="BC261" s="1175">
        <f t="shared" si="423"/>
        <v>0</v>
      </c>
      <c r="BD261" s="1027"/>
      <c r="BE261" s="1024"/>
      <c r="BF261" s="1024"/>
      <c r="BG261" s="1008"/>
      <c r="BH261" s="1008"/>
      <c r="BI261" s="1008"/>
      <c r="BJ261" s="1008"/>
      <c r="BK261" s="1008"/>
      <c r="BL261" s="1008"/>
      <c r="BM261" s="1008"/>
    </row>
    <row r="262" s="1215" customFormat="1" ht="23.25" customHeight="1">
      <c r="A262" s="999" t="str">
        <f t="shared" si="412"/>
        <v xml:space="preserve">Соболева Т.Ю.</v>
      </c>
      <c r="B262" s="1202" t="s">
        <v>426</v>
      </c>
      <c r="C262" s="1202"/>
      <c r="D262" s="1202"/>
      <c r="E262" s="1164">
        <f t="shared" si="439"/>
        <v>0</v>
      </c>
      <c r="F262" s="1164">
        <f t="shared" si="440"/>
        <v>0</v>
      </c>
      <c r="G262" s="1165">
        <f t="shared" si="493"/>
        <v>0</v>
      </c>
      <c r="H262" s="1266" t="e">
        <f t="shared" si="414"/>
        <v>#DIV/0!</v>
      </c>
      <c r="I262" s="1167">
        <f t="shared" si="457"/>
        <v>0</v>
      </c>
      <c r="J262" s="1167">
        <f t="shared" si="458"/>
        <v>0</v>
      </c>
      <c r="K262" s="1168">
        <f t="shared" si="494"/>
        <v>0</v>
      </c>
      <c r="L262" s="1128"/>
      <c r="M262" s="1169"/>
      <c r="N262" s="1177"/>
      <c r="O262" s="1169"/>
      <c r="P262" s="1169"/>
      <c r="Q262" s="1169">
        <f t="shared" si="484"/>
        <v>0</v>
      </c>
      <c r="R262" s="1169"/>
      <c r="S262" s="1170"/>
      <c r="T262" s="1171"/>
      <c r="U262" s="1128"/>
      <c r="V262" s="1169"/>
      <c r="W262" s="1177"/>
      <c r="X262" s="1177"/>
      <c r="Y262" s="1169"/>
      <c r="Z262" s="1169">
        <f t="shared" si="495"/>
        <v>0</v>
      </c>
      <c r="AA262" s="1169"/>
      <c r="AB262" s="1172">
        <f t="shared" si="418"/>
        <v>0</v>
      </c>
      <c r="AC262" s="1171"/>
      <c r="AD262" s="1128"/>
      <c r="AE262" s="1169"/>
      <c r="AF262" s="1177"/>
      <c r="AG262" s="1177"/>
      <c r="AH262" s="1169"/>
      <c r="AI262" s="1169">
        <f t="shared" si="496"/>
        <v>0</v>
      </c>
      <c r="AJ262" s="1169"/>
      <c r="AK262" s="1173"/>
      <c r="AL262" s="1171"/>
      <c r="AM262" s="1128"/>
      <c r="AN262" s="1170"/>
      <c r="AO262" s="1175"/>
      <c r="AP262" s="1175"/>
      <c r="AQ262" s="1170"/>
      <c r="AR262" s="1170">
        <f t="shared" si="497"/>
        <v>0</v>
      </c>
      <c r="AS262" s="1170"/>
      <c r="AT262" s="1170">
        <f t="shared" si="421"/>
        <v>0</v>
      </c>
      <c r="AU262" s="1174"/>
      <c r="AV262" s="1128"/>
      <c r="AW262" s="1170"/>
      <c r="AX262" s="1175"/>
      <c r="AY262" s="1175"/>
      <c r="AZ262" s="1170"/>
      <c r="BA262" s="1170">
        <f t="shared" si="498"/>
        <v>0</v>
      </c>
      <c r="BB262" s="1170"/>
      <c r="BC262" s="1175">
        <f t="shared" si="423"/>
        <v>0</v>
      </c>
      <c r="BD262" s="1027"/>
      <c r="BE262" s="1024"/>
      <c r="BF262" s="1024"/>
      <c r="BG262" s="1008"/>
      <c r="BH262" s="1008"/>
      <c r="BI262" s="1008"/>
      <c r="BJ262" s="1008"/>
      <c r="BK262" s="1008"/>
      <c r="BL262" s="1008"/>
      <c r="BM262" s="1008"/>
    </row>
    <row r="263" s="1215" customFormat="1" ht="23.25" customHeight="1">
      <c r="A263" s="999">
        <f t="shared" si="412"/>
        <v>0</v>
      </c>
      <c r="B263" s="1202" t="s">
        <v>427</v>
      </c>
      <c r="C263" s="1202"/>
      <c r="D263" s="1202"/>
      <c r="E263" s="1164">
        <f t="shared" si="439"/>
        <v>0</v>
      </c>
      <c r="F263" s="1164">
        <f t="shared" si="440"/>
        <v>0</v>
      </c>
      <c r="G263" s="1165">
        <f t="shared" si="493"/>
        <v>0</v>
      </c>
      <c r="H263" s="1266" t="e">
        <f t="shared" si="414"/>
        <v>#DIV/0!</v>
      </c>
      <c r="I263" s="1167">
        <f t="shared" si="457"/>
        <v>0</v>
      </c>
      <c r="J263" s="1167">
        <f t="shared" si="458"/>
        <v>0</v>
      </c>
      <c r="K263" s="1168">
        <f t="shared" si="494"/>
        <v>0</v>
      </c>
      <c r="L263" s="1128"/>
      <c r="M263" s="1169"/>
      <c r="N263" s="1177"/>
      <c r="O263" s="1169"/>
      <c r="P263" s="1169"/>
      <c r="Q263" s="1169">
        <f t="shared" si="484"/>
        <v>0</v>
      </c>
      <c r="R263" s="1169"/>
      <c r="S263" s="1170"/>
      <c r="T263" s="1171"/>
      <c r="U263" s="1128"/>
      <c r="V263" s="1169"/>
      <c r="W263" s="1177"/>
      <c r="X263" s="1177"/>
      <c r="Y263" s="1169"/>
      <c r="Z263" s="1169">
        <f t="shared" si="495"/>
        <v>0</v>
      </c>
      <c r="AA263" s="1169"/>
      <c r="AB263" s="1172">
        <f t="shared" si="418"/>
        <v>0</v>
      </c>
      <c r="AC263" s="1171"/>
      <c r="AD263" s="1128"/>
      <c r="AE263" s="1169"/>
      <c r="AF263" s="1177"/>
      <c r="AG263" s="1177"/>
      <c r="AH263" s="1169"/>
      <c r="AI263" s="1169">
        <f t="shared" si="496"/>
        <v>0</v>
      </c>
      <c r="AJ263" s="1169"/>
      <c r="AK263" s="1173"/>
      <c r="AL263" s="1171"/>
      <c r="AM263" s="1128"/>
      <c r="AN263" s="1170"/>
      <c r="AO263" s="1175"/>
      <c r="AP263" s="1175"/>
      <c r="AQ263" s="1170"/>
      <c r="AR263" s="1170">
        <f t="shared" si="497"/>
        <v>0</v>
      </c>
      <c r="AS263" s="1170"/>
      <c r="AT263" s="1170">
        <f t="shared" si="421"/>
        <v>0</v>
      </c>
      <c r="AU263" s="1174"/>
      <c r="AV263" s="1128"/>
      <c r="AW263" s="1170"/>
      <c r="AX263" s="1175"/>
      <c r="AY263" s="1175"/>
      <c r="AZ263" s="1170"/>
      <c r="BA263" s="1170">
        <f t="shared" si="498"/>
        <v>0</v>
      </c>
      <c r="BB263" s="1170"/>
      <c r="BC263" s="1175">
        <f t="shared" si="423"/>
        <v>0</v>
      </c>
      <c r="BD263" s="1027"/>
      <c r="BE263" s="1024"/>
      <c r="BF263" s="1024"/>
      <c r="BG263" s="1008"/>
      <c r="BH263" s="1008"/>
      <c r="BI263" s="1008"/>
      <c r="BJ263" s="1008"/>
      <c r="BK263" s="1008"/>
      <c r="BL263" s="1008"/>
      <c r="BM263" s="1008"/>
    </row>
    <row r="264" s="1215" customFormat="1" ht="23.25" customHeight="1">
      <c r="A264" s="999" t="str">
        <f t="shared" si="412"/>
        <v xml:space="preserve">Астапова С.А.</v>
      </c>
      <c r="B264" s="1202" t="s">
        <v>73</v>
      </c>
      <c r="C264" s="1202"/>
      <c r="D264" s="1202"/>
      <c r="E264" s="1164">
        <f t="shared" si="439"/>
        <v>0</v>
      </c>
      <c r="F264" s="1164">
        <f t="shared" si="440"/>
        <v>0</v>
      </c>
      <c r="G264" s="1165">
        <f t="shared" si="493"/>
        <v>0</v>
      </c>
      <c r="H264" s="1266" t="e">
        <f t="shared" si="414"/>
        <v>#DIV/0!</v>
      </c>
      <c r="I264" s="1167">
        <f t="shared" si="457"/>
        <v>0</v>
      </c>
      <c r="J264" s="1167">
        <f t="shared" si="458"/>
        <v>0</v>
      </c>
      <c r="K264" s="1168">
        <f t="shared" si="494"/>
        <v>0</v>
      </c>
      <c r="L264" s="1128"/>
      <c r="M264" s="1169"/>
      <c r="N264" s="1177"/>
      <c r="O264" s="1169"/>
      <c r="P264" s="1169"/>
      <c r="Q264" s="1169">
        <f t="shared" si="484"/>
        <v>0</v>
      </c>
      <c r="R264" s="1169"/>
      <c r="S264" s="1170"/>
      <c r="T264" s="1171"/>
      <c r="U264" s="1128"/>
      <c r="V264" s="1169"/>
      <c r="W264" s="1177"/>
      <c r="X264" s="1177"/>
      <c r="Y264" s="1169"/>
      <c r="Z264" s="1169">
        <f t="shared" si="495"/>
        <v>0</v>
      </c>
      <c r="AA264" s="1169"/>
      <c r="AB264" s="1172">
        <f t="shared" si="418"/>
        <v>0</v>
      </c>
      <c r="AC264" s="1171"/>
      <c r="AD264" s="1128"/>
      <c r="AE264" s="1169"/>
      <c r="AF264" s="1177"/>
      <c r="AG264" s="1177"/>
      <c r="AH264" s="1169"/>
      <c r="AI264" s="1169">
        <f t="shared" si="496"/>
        <v>0</v>
      </c>
      <c r="AJ264" s="1169"/>
      <c r="AK264" s="1173"/>
      <c r="AL264" s="1171"/>
      <c r="AM264" s="1128"/>
      <c r="AN264" s="1170"/>
      <c r="AO264" s="1175"/>
      <c r="AP264" s="1175"/>
      <c r="AQ264" s="1170"/>
      <c r="AR264" s="1170">
        <f t="shared" si="497"/>
        <v>0</v>
      </c>
      <c r="AS264" s="1170"/>
      <c r="AT264" s="1170">
        <f t="shared" si="421"/>
        <v>0</v>
      </c>
      <c r="AU264" s="1174"/>
      <c r="AV264" s="1128"/>
      <c r="AW264" s="1170"/>
      <c r="AX264" s="1175"/>
      <c r="AY264" s="1175"/>
      <c r="AZ264" s="1170"/>
      <c r="BA264" s="1170">
        <f t="shared" si="498"/>
        <v>0</v>
      </c>
      <c r="BB264" s="1170"/>
      <c r="BC264" s="1175">
        <f t="shared" si="423"/>
        <v>0</v>
      </c>
      <c r="BD264" s="1027"/>
      <c r="BE264" s="1024"/>
      <c r="BF264" s="1024"/>
      <c r="BG264" s="1008"/>
      <c r="BH264" s="1008"/>
      <c r="BI264" s="1008"/>
      <c r="BJ264" s="1008"/>
      <c r="BK264" s="1008"/>
      <c r="BL264" s="1008"/>
      <c r="BM264" s="1008"/>
    </row>
    <row r="265" s="1215" customFormat="1" ht="23.25" customHeight="1">
      <c r="A265" s="999" t="str">
        <f t="shared" si="412"/>
        <v xml:space="preserve">Кирпа Е.Д.</v>
      </c>
      <c r="B265" s="1202" t="s">
        <v>75</v>
      </c>
      <c r="C265" s="1203"/>
      <c r="D265" s="1202"/>
      <c r="E265" s="1164">
        <f t="shared" si="439"/>
        <v>0</v>
      </c>
      <c r="F265" s="1164">
        <f t="shared" si="440"/>
        <v>0</v>
      </c>
      <c r="G265" s="1165">
        <f t="shared" si="493"/>
        <v>0</v>
      </c>
      <c r="H265" s="1266" t="e">
        <f t="shared" si="414"/>
        <v>#DIV/0!</v>
      </c>
      <c r="I265" s="1167">
        <f t="shared" si="457"/>
        <v>0</v>
      </c>
      <c r="J265" s="1167">
        <f t="shared" si="458"/>
        <v>0</v>
      </c>
      <c r="K265" s="1168">
        <f t="shared" si="494"/>
        <v>0</v>
      </c>
      <c r="L265" s="1128"/>
      <c r="M265" s="1169"/>
      <c r="N265" s="1177"/>
      <c r="O265" s="1169"/>
      <c r="P265" s="1169"/>
      <c r="Q265" s="1169">
        <f t="shared" si="484"/>
        <v>0</v>
      </c>
      <c r="R265" s="1169"/>
      <c r="S265" s="1170"/>
      <c r="T265" s="1171"/>
      <c r="U265" s="1128"/>
      <c r="V265" s="1169"/>
      <c r="W265" s="1177"/>
      <c r="X265" s="1177"/>
      <c r="Y265" s="1169"/>
      <c r="Z265" s="1169">
        <f t="shared" si="495"/>
        <v>0</v>
      </c>
      <c r="AA265" s="1169"/>
      <c r="AB265" s="1172">
        <f t="shared" si="418"/>
        <v>0</v>
      </c>
      <c r="AC265" s="1171"/>
      <c r="AD265" s="1128"/>
      <c r="AE265" s="1169"/>
      <c r="AF265" s="1177"/>
      <c r="AG265" s="1177"/>
      <c r="AH265" s="1169"/>
      <c r="AI265" s="1169">
        <f t="shared" si="496"/>
        <v>0</v>
      </c>
      <c r="AJ265" s="1169"/>
      <c r="AK265" s="1173"/>
      <c r="AL265" s="1171"/>
      <c r="AM265" s="1128"/>
      <c r="AN265" s="1170"/>
      <c r="AO265" s="1175"/>
      <c r="AP265" s="1175"/>
      <c r="AQ265" s="1170"/>
      <c r="AR265" s="1170">
        <f t="shared" si="497"/>
        <v>0</v>
      </c>
      <c r="AS265" s="1170"/>
      <c r="AT265" s="1170">
        <f t="shared" si="421"/>
        <v>0</v>
      </c>
      <c r="AU265" s="1174"/>
      <c r="AV265" s="1128"/>
      <c r="AW265" s="1170"/>
      <c r="AX265" s="1175"/>
      <c r="AY265" s="1175"/>
      <c r="AZ265" s="1170"/>
      <c r="BA265" s="1170">
        <f t="shared" si="498"/>
        <v>0</v>
      </c>
      <c r="BB265" s="1170"/>
      <c r="BC265" s="1175">
        <f t="shared" si="423"/>
        <v>0</v>
      </c>
      <c r="BD265" s="1027"/>
      <c r="BE265" s="1024"/>
      <c r="BF265" s="1024"/>
      <c r="BG265" s="1008"/>
      <c r="BH265" s="1008"/>
      <c r="BI265" s="1008"/>
      <c r="BJ265" s="1008"/>
      <c r="BK265" s="1008"/>
      <c r="BL265" s="1008"/>
      <c r="BM265" s="1008"/>
    </row>
    <row r="266" s="1215" customFormat="1" ht="23.25" customHeight="1">
      <c r="A266" s="999" t="str">
        <f t="shared" si="412"/>
        <v xml:space="preserve">Трофимкина Н.В.</v>
      </c>
      <c r="B266" s="1202" t="s">
        <v>431</v>
      </c>
      <c r="C266" s="1203"/>
      <c r="D266" s="1202"/>
      <c r="E266" s="1164">
        <f t="shared" si="439"/>
        <v>0</v>
      </c>
      <c r="F266" s="1164">
        <f t="shared" si="440"/>
        <v>0</v>
      </c>
      <c r="G266" s="1165">
        <f t="shared" si="493"/>
        <v>0</v>
      </c>
      <c r="H266" s="1266" t="e">
        <f t="shared" si="414"/>
        <v>#DIV/0!</v>
      </c>
      <c r="I266" s="1167">
        <f t="shared" si="457"/>
        <v>0</v>
      </c>
      <c r="J266" s="1167">
        <f t="shared" si="458"/>
        <v>0</v>
      </c>
      <c r="K266" s="1168">
        <f t="shared" si="494"/>
        <v>0</v>
      </c>
      <c r="L266" s="1128"/>
      <c r="M266" s="1169"/>
      <c r="N266" s="1177"/>
      <c r="O266" s="1169"/>
      <c r="P266" s="1169"/>
      <c r="Q266" s="1169">
        <f t="shared" si="484"/>
        <v>0</v>
      </c>
      <c r="R266" s="1169"/>
      <c r="S266" s="1170"/>
      <c r="T266" s="1171"/>
      <c r="U266" s="1128"/>
      <c r="V266" s="1169"/>
      <c r="W266" s="1177"/>
      <c r="X266" s="1177"/>
      <c r="Y266" s="1169"/>
      <c r="Z266" s="1169">
        <f t="shared" si="495"/>
        <v>0</v>
      </c>
      <c r="AA266" s="1169"/>
      <c r="AB266" s="1172">
        <f t="shared" si="418"/>
        <v>0</v>
      </c>
      <c r="AC266" s="1171"/>
      <c r="AD266" s="1128"/>
      <c r="AE266" s="1169"/>
      <c r="AF266" s="1177"/>
      <c r="AG266" s="1177"/>
      <c r="AH266" s="1169"/>
      <c r="AI266" s="1169">
        <f t="shared" si="496"/>
        <v>0</v>
      </c>
      <c r="AJ266" s="1169"/>
      <c r="AK266" s="1173"/>
      <c r="AL266" s="1171"/>
      <c r="AM266" s="1128"/>
      <c r="AN266" s="1170"/>
      <c r="AO266" s="1175"/>
      <c r="AP266" s="1175"/>
      <c r="AQ266" s="1170"/>
      <c r="AR266" s="1170">
        <f t="shared" si="497"/>
        <v>0</v>
      </c>
      <c r="AS266" s="1170"/>
      <c r="AT266" s="1170">
        <f t="shared" si="421"/>
        <v>0</v>
      </c>
      <c r="AU266" s="1174"/>
      <c r="AV266" s="1128"/>
      <c r="AW266" s="1170"/>
      <c r="AX266" s="1175"/>
      <c r="AY266" s="1175"/>
      <c r="AZ266" s="1170"/>
      <c r="BA266" s="1170">
        <f t="shared" si="498"/>
        <v>0</v>
      </c>
      <c r="BB266" s="1170"/>
      <c r="BC266" s="1175">
        <f t="shared" si="423"/>
        <v>0</v>
      </c>
      <c r="BD266" s="1027"/>
      <c r="BE266" s="1024"/>
      <c r="BF266" s="1024"/>
      <c r="BG266" s="1008"/>
      <c r="BH266" s="1008"/>
      <c r="BI266" s="1008"/>
      <c r="BJ266" s="1008"/>
      <c r="BK266" s="1008"/>
      <c r="BL266" s="1008"/>
      <c r="BM266" s="1008"/>
    </row>
    <row r="267" s="1215" customFormat="1" ht="23.25" customHeight="1">
      <c r="A267" s="999" t="str">
        <f t="shared" si="412"/>
        <v xml:space="preserve">Жилкина В.В.</v>
      </c>
      <c r="B267" s="1202" t="s">
        <v>433</v>
      </c>
      <c r="C267" s="1203"/>
      <c r="D267" s="1217"/>
      <c r="E267" s="1164">
        <f t="shared" si="439"/>
        <v>0</v>
      </c>
      <c r="F267" s="1164">
        <f t="shared" si="440"/>
        <v>0</v>
      </c>
      <c r="G267" s="1165">
        <f t="shared" si="493"/>
        <v>0</v>
      </c>
      <c r="H267" s="1266" t="e">
        <f t="shared" si="414"/>
        <v>#DIV/0!</v>
      </c>
      <c r="I267" s="1167">
        <f t="shared" si="457"/>
        <v>0</v>
      </c>
      <c r="J267" s="1167">
        <f t="shared" si="458"/>
        <v>0</v>
      </c>
      <c r="K267" s="1168">
        <f t="shared" si="494"/>
        <v>0</v>
      </c>
      <c r="L267" s="1128"/>
      <c r="M267" s="1169"/>
      <c r="N267" s="1177"/>
      <c r="O267" s="1169"/>
      <c r="P267" s="1169"/>
      <c r="Q267" s="1169">
        <f t="shared" si="484"/>
        <v>0</v>
      </c>
      <c r="R267" s="1169"/>
      <c r="S267" s="1170"/>
      <c r="T267" s="1171"/>
      <c r="U267" s="1128"/>
      <c r="V267" s="1169"/>
      <c r="W267" s="1177"/>
      <c r="X267" s="1177"/>
      <c r="Y267" s="1169"/>
      <c r="Z267" s="1169">
        <f t="shared" si="495"/>
        <v>0</v>
      </c>
      <c r="AA267" s="1169"/>
      <c r="AB267" s="1172">
        <f t="shared" si="418"/>
        <v>0</v>
      </c>
      <c r="AC267" s="1171"/>
      <c r="AD267" s="1128"/>
      <c r="AE267" s="1169"/>
      <c r="AF267" s="1177"/>
      <c r="AG267" s="1177"/>
      <c r="AH267" s="1169"/>
      <c r="AI267" s="1169">
        <f t="shared" si="496"/>
        <v>0</v>
      </c>
      <c r="AJ267" s="1169"/>
      <c r="AK267" s="1173"/>
      <c r="AL267" s="1171"/>
      <c r="AM267" s="1128"/>
      <c r="AN267" s="1170"/>
      <c r="AO267" s="1175"/>
      <c r="AP267" s="1175"/>
      <c r="AQ267" s="1170"/>
      <c r="AR267" s="1170">
        <f t="shared" si="497"/>
        <v>0</v>
      </c>
      <c r="AS267" s="1170"/>
      <c r="AT267" s="1170">
        <f t="shared" si="421"/>
        <v>0</v>
      </c>
      <c r="AU267" s="1174"/>
      <c r="AV267" s="1128"/>
      <c r="AW267" s="1170"/>
      <c r="AX267" s="1175"/>
      <c r="AY267" s="1175"/>
      <c r="AZ267" s="1170"/>
      <c r="BA267" s="1170">
        <f t="shared" si="498"/>
        <v>0</v>
      </c>
      <c r="BB267" s="1170"/>
      <c r="BC267" s="1175">
        <f t="shared" si="423"/>
        <v>0</v>
      </c>
      <c r="BD267" s="1027"/>
      <c r="BE267" s="1024"/>
      <c r="BF267" s="1024"/>
      <c r="BG267" s="1008"/>
      <c r="BH267" s="1008"/>
      <c r="BI267" s="1008"/>
      <c r="BJ267" s="1008"/>
      <c r="BK267" s="1008"/>
      <c r="BL267" s="1008"/>
      <c r="BM267" s="1008"/>
    </row>
    <row r="268" s="1215" customFormat="1" ht="23.25" customHeight="1">
      <c r="A268" s="999" t="str">
        <f t="shared" si="412"/>
        <v xml:space="preserve">Марушенко В.Н. Донцова Н.Г.</v>
      </c>
      <c r="B268" s="1202" t="s">
        <v>435</v>
      </c>
      <c r="C268" s="1203"/>
      <c r="D268" s="1202"/>
      <c r="E268" s="1164">
        <f t="shared" si="439"/>
        <v>0</v>
      </c>
      <c r="F268" s="1164">
        <f t="shared" si="440"/>
        <v>0</v>
      </c>
      <c r="G268" s="1165">
        <f t="shared" si="493"/>
        <v>0</v>
      </c>
      <c r="H268" s="1266" t="e">
        <f t="shared" si="414"/>
        <v>#DIV/0!</v>
      </c>
      <c r="I268" s="1167">
        <f t="shared" si="457"/>
        <v>0</v>
      </c>
      <c r="J268" s="1167">
        <f t="shared" si="458"/>
        <v>0</v>
      </c>
      <c r="K268" s="1168">
        <f t="shared" si="494"/>
        <v>0</v>
      </c>
      <c r="L268" s="1128"/>
      <c r="M268" s="1169"/>
      <c r="N268" s="1177"/>
      <c r="O268" s="1169"/>
      <c r="P268" s="1169"/>
      <c r="Q268" s="1169">
        <f t="shared" si="484"/>
        <v>0</v>
      </c>
      <c r="R268" s="1169"/>
      <c r="S268" s="1170"/>
      <c r="T268" s="1171"/>
      <c r="U268" s="1128"/>
      <c r="V268" s="1169"/>
      <c r="W268" s="1177"/>
      <c r="X268" s="1177"/>
      <c r="Y268" s="1169"/>
      <c r="Z268" s="1169">
        <f t="shared" si="495"/>
        <v>0</v>
      </c>
      <c r="AA268" s="1169"/>
      <c r="AB268" s="1172">
        <f t="shared" si="418"/>
        <v>0</v>
      </c>
      <c r="AC268" s="1171"/>
      <c r="AD268" s="1128"/>
      <c r="AE268" s="1169"/>
      <c r="AF268" s="1177"/>
      <c r="AG268" s="1177"/>
      <c r="AH268" s="1169"/>
      <c r="AI268" s="1169">
        <f t="shared" si="496"/>
        <v>0</v>
      </c>
      <c r="AJ268" s="1169"/>
      <c r="AK268" s="1173"/>
      <c r="AL268" s="1171"/>
      <c r="AM268" s="1128"/>
      <c r="AN268" s="1170"/>
      <c r="AO268" s="1175"/>
      <c r="AP268" s="1175"/>
      <c r="AQ268" s="1170"/>
      <c r="AR268" s="1170">
        <f t="shared" si="497"/>
        <v>0</v>
      </c>
      <c r="AS268" s="1170"/>
      <c r="AT268" s="1170">
        <f t="shared" si="421"/>
        <v>0</v>
      </c>
      <c r="AU268" s="1174"/>
      <c r="AV268" s="1128"/>
      <c r="AW268" s="1170"/>
      <c r="AX268" s="1175"/>
      <c r="AY268" s="1175"/>
      <c r="AZ268" s="1170"/>
      <c r="BA268" s="1170">
        <f t="shared" si="498"/>
        <v>0</v>
      </c>
      <c r="BB268" s="1170"/>
      <c r="BC268" s="1175">
        <f t="shared" si="423"/>
        <v>0</v>
      </c>
      <c r="BD268" s="1027"/>
      <c r="BE268" s="1024"/>
      <c r="BF268" s="1024"/>
      <c r="BG268" s="1008"/>
      <c r="BH268" s="1008"/>
      <c r="BI268" s="1008"/>
      <c r="BJ268" s="1008"/>
      <c r="BK268" s="1008"/>
      <c r="BL268" s="1008"/>
      <c r="BM268" s="1008"/>
    </row>
    <row r="269" s="1215" customFormat="1" ht="23.25" customHeight="1">
      <c r="A269" s="999">
        <f t="shared" si="412"/>
        <v>0</v>
      </c>
      <c r="B269" s="1202" t="s">
        <v>436</v>
      </c>
      <c r="C269" s="1202"/>
      <c r="D269" s="1202"/>
      <c r="E269" s="1164">
        <f t="shared" si="439"/>
        <v>0</v>
      </c>
      <c r="F269" s="1164">
        <f t="shared" si="440"/>
        <v>0</v>
      </c>
      <c r="G269" s="1165">
        <f t="shared" si="493"/>
        <v>0</v>
      </c>
      <c r="H269" s="1266" t="e">
        <f t="shared" si="414"/>
        <v>#DIV/0!</v>
      </c>
      <c r="I269" s="1167">
        <f t="shared" si="457"/>
        <v>0</v>
      </c>
      <c r="J269" s="1167">
        <f t="shared" si="458"/>
        <v>0</v>
      </c>
      <c r="K269" s="1168">
        <f t="shared" si="494"/>
        <v>0</v>
      </c>
      <c r="L269" s="1128"/>
      <c r="M269" s="1169"/>
      <c r="N269" s="1177"/>
      <c r="O269" s="1169"/>
      <c r="P269" s="1169"/>
      <c r="Q269" s="1169">
        <f t="shared" si="484"/>
        <v>0</v>
      </c>
      <c r="R269" s="1169"/>
      <c r="S269" s="1170"/>
      <c r="T269" s="1171"/>
      <c r="U269" s="1128"/>
      <c r="V269" s="1169"/>
      <c r="W269" s="1177"/>
      <c r="X269" s="1177"/>
      <c r="Y269" s="1169"/>
      <c r="Z269" s="1169">
        <f t="shared" si="495"/>
        <v>0</v>
      </c>
      <c r="AA269" s="1169"/>
      <c r="AB269" s="1172">
        <f t="shared" si="418"/>
        <v>0</v>
      </c>
      <c r="AC269" s="1171"/>
      <c r="AD269" s="1128"/>
      <c r="AE269" s="1169"/>
      <c r="AF269" s="1177"/>
      <c r="AG269" s="1177"/>
      <c r="AH269" s="1169"/>
      <c r="AI269" s="1169">
        <f t="shared" si="496"/>
        <v>0</v>
      </c>
      <c r="AJ269" s="1169"/>
      <c r="AK269" s="1173"/>
      <c r="AL269" s="1171"/>
      <c r="AM269" s="1128"/>
      <c r="AN269" s="1170"/>
      <c r="AO269" s="1175"/>
      <c r="AP269" s="1175"/>
      <c r="AQ269" s="1170"/>
      <c r="AR269" s="1170">
        <f t="shared" si="497"/>
        <v>0</v>
      </c>
      <c r="AS269" s="1170"/>
      <c r="AT269" s="1170">
        <f t="shared" si="421"/>
        <v>0</v>
      </c>
      <c r="AU269" s="1174"/>
      <c r="AV269" s="1128"/>
      <c r="AW269" s="1170"/>
      <c r="AX269" s="1175"/>
      <c r="AY269" s="1175"/>
      <c r="AZ269" s="1170"/>
      <c r="BA269" s="1170">
        <f t="shared" si="498"/>
        <v>0</v>
      </c>
      <c r="BB269" s="1170"/>
      <c r="BC269" s="1175">
        <f t="shared" si="423"/>
        <v>0</v>
      </c>
      <c r="BD269" s="1027"/>
      <c r="BE269" s="1024"/>
      <c r="BF269" s="1024"/>
      <c r="BG269" s="1008"/>
      <c r="BH269" s="1008"/>
      <c r="BI269" s="1008"/>
      <c r="BJ269" s="1008"/>
      <c r="BK269" s="1008"/>
      <c r="BL269" s="1008"/>
      <c r="BM269" s="1008"/>
    </row>
    <row r="270" s="1215" customFormat="1" ht="23.25" customHeight="1">
      <c r="A270" s="999" t="str">
        <f t="shared" si="412"/>
        <v xml:space="preserve">Кузнецова Е.В.</v>
      </c>
      <c r="B270" s="1202" t="s">
        <v>78</v>
      </c>
      <c r="C270" s="1223"/>
      <c r="D270" s="1223"/>
      <c r="E270" s="1164">
        <f t="shared" si="439"/>
        <v>0</v>
      </c>
      <c r="F270" s="1164">
        <f t="shared" si="440"/>
        <v>0</v>
      </c>
      <c r="G270" s="1165">
        <f t="shared" si="493"/>
        <v>0</v>
      </c>
      <c r="H270" s="1266" t="e">
        <f t="shared" si="414"/>
        <v>#DIV/0!</v>
      </c>
      <c r="I270" s="1167">
        <f t="shared" si="457"/>
        <v>0</v>
      </c>
      <c r="J270" s="1167">
        <f t="shared" si="458"/>
        <v>0</v>
      </c>
      <c r="K270" s="1168">
        <f t="shared" si="494"/>
        <v>0</v>
      </c>
      <c r="L270" s="1128"/>
      <c r="M270" s="1169"/>
      <c r="N270" s="1177"/>
      <c r="O270" s="1169"/>
      <c r="P270" s="1169"/>
      <c r="Q270" s="1169">
        <f t="shared" si="484"/>
        <v>0</v>
      </c>
      <c r="R270" s="1169"/>
      <c r="S270" s="1170"/>
      <c r="T270" s="1171"/>
      <c r="U270" s="1128"/>
      <c r="V270" s="1169"/>
      <c r="W270" s="1177"/>
      <c r="X270" s="1177"/>
      <c r="Y270" s="1169"/>
      <c r="Z270" s="1169">
        <f t="shared" si="495"/>
        <v>0</v>
      </c>
      <c r="AA270" s="1169"/>
      <c r="AB270" s="1172">
        <f t="shared" si="418"/>
        <v>0</v>
      </c>
      <c r="AC270" s="1171"/>
      <c r="AD270" s="1128"/>
      <c r="AE270" s="1169"/>
      <c r="AF270" s="1177"/>
      <c r="AG270" s="1177"/>
      <c r="AH270" s="1169"/>
      <c r="AI270" s="1169">
        <f t="shared" si="496"/>
        <v>0</v>
      </c>
      <c r="AJ270" s="1169"/>
      <c r="AK270" s="1173"/>
      <c r="AL270" s="1171"/>
      <c r="AM270" s="1128"/>
      <c r="AN270" s="1170"/>
      <c r="AO270" s="1175"/>
      <c r="AP270" s="1175"/>
      <c r="AQ270" s="1170"/>
      <c r="AR270" s="1170">
        <f t="shared" si="497"/>
        <v>0</v>
      </c>
      <c r="AS270" s="1170"/>
      <c r="AT270" s="1170">
        <f t="shared" si="421"/>
        <v>0</v>
      </c>
      <c r="AU270" s="1174"/>
      <c r="AV270" s="1128"/>
      <c r="AW270" s="1170"/>
      <c r="AX270" s="1175"/>
      <c r="AY270" s="1175"/>
      <c r="AZ270" s="1170"/>
      <c r="BA270" s="1170">
        <f t="shared" si="498"/>
        <v>0</v>
      </c>
      <c r="BB270" s="1170"/>
      <c r="BC270" s="1175">
        <f t="shared" si="423"/>
        <v>0</v>
      </c>
      <c r="BD270" s="1027"/>
      <c r="BE270" s="1024"/>
      <c r="BF270" s="1024"/>
      <c r="BG270" s="1008"/>
      <c r="BH270" s="1008"/>
      <c r="BI270" s="1008"/>
      <c r="BJ270" s="1008"/>
      <c r="BK270" s="1008"/>
      <c r="BL270" s="1008"/>
      <c r="BM270" s="1008"/>
    </row>
    <row r="271" s="1215" customFormat="1" ht="23.25" customHeight="1">
      <c r="A271" s="999">
        <f t="shared" ref="A271:A297" si="499">A173</f>
        <v>0</v>
      </c>
      <c r="B271" s="1205" t="s">
        <v>22</v>
      </c>
      <c r="C271" s="1205"/>
      <c r="D271" s="1205"/>
      <c r="E271" s="1164">
        <f t="shared" si="439"/>
        <v>0</v>
      </c>
      <c r="F271" s="1164">
        <f t="shared" si="440"/>
        <v>0</v>
      </c>
      <c r="G271" s="1184">
        <f>SUM(G258:G270)</f>
        <v>0</v>
      </c>
      <c r="H271" s="1266" t="e">
        <f t="shared" ref="H271:H334" si="500">G271/$G$299</f>
        <v>#DIV/0!</v>
      </c>
      <c r="I271" s="1167">
        <f t="shared" si="457"/>
        <v>0</v>
      </c>
      <c r="J271" s="1167">
        <f t="shared" si="458"/>
        <v>0</v>
      </c>
      <c r="K271" s="1187">
        <f>SUM(K258:K270)</f>
        <v>0</v>
      </c>
      <c r="L271" s="1128"/>
      <c r="M271" s="1096">
        <f t="shared" ref="M271:R271" si="501">SUM(M258:M270)</f>
        <v>0</v>
      </c>
      <c r="N271" s="1096">
        <f t="shared" si="501"/>
        <v>0</v>
      </c>
      <c r="O271" s="1096">
        <f t="shared" si="501"/>
        <v>0</v>
      </c>
      <c r="P271" s="1096">
        <f t="shared" si="501"/>
        <v>0</v>
      </c>
      <c r="Q271" s="1096">
        <f t="shared" si="501"/>
        <v>0</v>
      </c>
      <c r="R271" s="1096">
        <f t="shared" si="501"/>
        <v>0</v>
      </c>
      <c r="S271" s="1170"/>
      <c r="T271" s="1189"/>
      <c r="U271" s="1128"/>
      <c r="V271" s="1096">
        <f t="shared" ref="V271:AA271" si="502">SUM(V258:V270)</f>
        <v>0</v>
      </c>
      <c r="W271" s="1096">
        <f t="shared" si="502"/>
        <v>0</v>
      </c>
      <c r="X271" s="1096">
        <f t="shared" si="502"/>
        <v>0</v>
      </c>
      <c r="Y271" s="1096">
        <f t="shared" si="502"/>
        <v>0</v>
      </c>
      <c r="Z271" s="1096">
        <f t="shared" si="502"/>
        <v>0</v>
      </c>
      <c r="AA271" s="1096">
        <f t="shared" si="502"/>
        <v>0</v>
      </c>
      <c r="AB271" s="1172">
        <f t="shared" ref="AB271:AB299" si="503">Z271+AA271</f>
        <v>0</v>
      </c>
      <c r="AC271" s="1189"/>
      <c r="AD271" s="1128"/>
      <c r="AE271" s="1096">
        <f t="shared" ref="AE271:AJ271" si="504">SUM(AE258:AE270)</f>
        <v>0</v>
      </c>
      <c r="AF271" s="1096">
        <f t="shared" si="504"/>
        <v>0</v>
      </c>
      <c r="AG271" s="1096">
        <f t="shared" si="504"/>
        <v>0</v>
      </c>
      <c r="AH271" s="1096">
        <f t="shared" si="504"/>
        <v>0</v>
      </c>
      <c r="AI271" s="1096">
        <f t="shared" si="504"/>
        <v>0</v>
      </c>
      <c r="AJ271" s="1096">
        <f t="shared" si="504"/>
        <v>0</v>
      </c>
      <c r="AK271" s="1173"/>
      <c r="AL271" s="1189"/>
      <c r="AM271" s="1128"/>
      <c r="AN271" s="1190">
        <f t="shared" ref="AN271:AS271" si="505">SUM(AN258:AN270)</f>
        <v>0</v>
      </c>
      <c r="AO271" s="1190">
        <f t="shared" si="505"/>
        <v>0</v>
      </c>
      <c r="AP271" s="1190">
        <f t="shared" si="505"/>
        <v>0</v>
      </c>
      <c r="AQ271" s="1190">
        <f t="shared" si="505"/>
        <v>0</v>
      </c>
      <c r="AR271" s="1190">
        <f t="shared" si="505"/>
        <v>0</v>
      </c>
      <c r="AS271" s="1190">
        <f t="shared" si="505"/>
        <v>0</v>
      </c>
      <c r="AT271" s="1190">
        <f t="shared" ref="AT271:AT334" si="506">AR271+AS271</f>
        <v>0</v>
      </c>
      <c r="AU271" s="1191"/>
      <c r="AV271" s="1128"/>
      <c r="AW271" s="1190">
        <f t="shared" ref="AW271:BB271" si="507">SUM(AW258:AW270)</f>
        <v>0</v>
      </c>
      <c r="AX271" s="1190">
        <f t="shared" si="507"/>
        <v>0</v>
      </c>
      <c r="AY271" s="1190">
        <f t="shared" si="507"/>
        <v>0</v>
      </c>
      <c r="AZ271" s="1190">
        <f t="shared" si="507"/>
        <v>0</v>
      </c>
      <c r="BA271" s="1190">
        <f t="shared" si="507"/>
        <v>0</v>
      </c>
      <c r="BB271" s="1190">
        <f t="shared" si="507"/>
        <v>0</v>
      </c>
      <c r="BC271" s="1268">
        <f t="shared" ref="BC271:BC334" si="508">BA271+BB271</f>
        <v>0</v>
      </c>
      <c r="BD271" s="1027"/>
      <c r="BE271" s="1024"/>
      <c r="BF271" s="1024"/>
      <c r="BG271" s="1008"/>
      <c r="BH271" s="1008"/>
      <c r="BI271" s="1008"/>
      <c r="BJ271" s="1008"/>
      <c r="BK271" s="1008"/>
      <c r="BL271" s="1008"/>
      <c r="BM271" s="1008"/>
    </row>
    <row r="272" s="1215" customFormat="1" ht="23.25" customHeight="1">
      <c r="A272" s="999" t="str">
        <f t="shared" si="499"/>
        <v xml:space="preserve">Титякова Т.А.</v>
      </c>
      <c r="B272" s="1202" t="s">
        <v>26</v>
      </c>
      <c r="C272" s="1202"/>
      <c r="D272" s="1202"/>
      <c r="E272" s="1164">
        <f t="shared" si="439"/>
        <v>0</v>
      </c>
      <c r="F272" s="1164">
        <f t="shared" si="440"/>
        <v>0</v>
      </c>
      <c r="G272" s="1165">
        <f t="shared" ref="G272:G297" si="509">E272+F272</f>
        <v>0</v>
      </c>
      <c r="H272" s="1266" t="e">
        <f t="shared" si="500"/>
        <v>#DIV/0!</v>
      </c>
      <c r="I272" s="1167">
        <f t="shared" si="457"/>
        <v>0</v>
      </c>
      <c r="J272" s="1167">
        <f t="shared" si="458"/>
        <v>0</v>
      </c>
      <c r="K272" s="1168">
        <f t="shared" ref="K272:K297" si="510">I272+J272</f>
        <v>0</v>
      </c>
      <c r="L272" s="1128"/>
      <c r="M272" s="1169"/>
      <c r="N272" s="1177"/>
      <c r="O272" s="1169"/>
      <c r="P272" s="1169"/>
      <c r="Q272" s="1169">
        <f t="shared" si="484"/>
        <v>0</v>
      </c>
      <c r="R272" s="1169"/>
      <c r="S272" s="1170"/>
      <c r="T272" s="1171"/>
      <c r="U272" s="1128"/>
      <c r="V272" s="1169"/>
      <c r="W272" s="1177"/>
      <c r="X272" s="1177"/>
      <c r="Y272" s="1169"/>
      <c r="Z272" s="1169">
        <f t="shared" ref="Z272:Z297" si="511">SUM(V272:Y272)</f>
        <v>0</v>
      </c>
      <c r="AA272" s="1169"/>
      <c r="AB272" s="1172">
        <f t="shared" si="503"/>
        <v>0</v>
      </c>
      <c r="AC272" s="1171"/>
      <c r="AD272" s="1128"/>
      <c r="AE272" s="1169"/>
      <c r="AF272" s="1177"/>
      <c r="AG272" s="1177"/>
      <c r="AH272" s="1169"/>
      <c r="AI272" s="1169">
        <f t="shared" ref="AI272:AI297" si="512">SUM(AE272:AH272)</f>
        <v>0</v>
      </c>
      <c r="AJ272" s="1169"/>
      <c r="AK272" s="1173"/>
      <c r="AL272" s="1171"/>
      <c r="AM272" s="1128"/>
      <c r="AN272" s="1170"/>
      <c r="AO272" s="1175"/>
      <c r="AP272" s="1175"/>
      <c r="AQ272" s="1170"/>
      <c r="AR272" s="1170">
        <f t="shared" ref="AR272:AR297" si="513">SUM(AN272:AQ272)</f>
        <v>0</v>
      </c>
      <c r="AS272" s="1170"/>
      <c r="AT272" s="1170">
        <f t="shared" si="506"/>
        <v>0</v>
      </c>
      <c r="AU272" s="1174"/>
      <c r="AV272" s="1128"/>
      <c r="AW272" s="1170"/>
      <c r="AX272" s="1175"/>
      <c r="AY272" s="1175"/>
      <c r="AZ272" s="1170"/>
      <c r="BA272" s="1170">
        <f t="shared" ref="BA272:BA297" si="514">SUM(AW272:AZ272)</f>
        <v>0</v>
      </c>
      <c r="BB272" s="1170"/>
      <c r="BC272" s="1175">
        <f t="shared" si="508"/>
        <v>0</v>
      </c>
      <c r="BD272" s="1027"/>
      <c r="BE272" s="1024"/>
      <c r="BF272" s="1024"/>
      <c r="BG272" s="1008"/>
      <c r="BH272" s="1008"/>
      <c r="BI272" s="1008"/>
      <c r="BJ272" s="1008"/>
      <c r="BK272" s="1008"/>
      <c r="BL272" s="1008"/>
      <c r="BM272" s="1008"/>
    </row>
    <row r="273" s="1215" customFormat="1" ht="23.25" customHeight="1">
      <c r="A273" s="999">
        <f t="shared" si="499"/>
        <v>0</v>
      </c>
      <c r="B273" s="1202" t="s">
        <v>439</v>
      </c>
      <c r="C273" s="1202"/>
      <c r="D273" s="1202"/>
      <c r="E273" s="1164">
        <f t="shared" si="439"/>
        <v>0</v>
      </c>
      <c r="F273" s="1164">
        <f t="shared" si="440"/>
        <v>0</v>
      </c>
      <c r="G273" s="1165">
        <f t="shared" si="509"/>
        <v>0</v>
      </c>
      <c r="H273" s="1266" t="e">
        <f t="shared" si="500"/>
        <v>#DIV/0!</v>
      </c>
      <c r="I273" s="1167">
        <f t="shared" si="457"/>
        <v>0</v>
      </c>
      <c r="J273" s="1167">
        <f t="shared" si="458"/>
        <v>0</v>
      </c>
      <c r="K273" s="1168">
        <f t="shared" si="510"/>
        <v>0</v>
      </c>
      <c r="L273" s="1128"/>
      <c r="M273" s="1169"/>
      <c r="N273" s="1177"/>
      <c r="O273" s="1169"/>
      <c r="P273" s="1169"/>
      <c r="Q273" s="1169">
        <f t="shared" si="484"/>
        <v>0</v>
      </c>
      <c r="R273" s="1169"/>
      <c r="S273" s="1170"/>
      <c r="T273" s="1171"/>
      <c r="U273" s="1128"/>
      <c r="V273" s="1169"/>
      <c r="W273" s="1177"/>
      <c r="X273" s="1177"/>
      <c r="Y273" s="1169"/>
      <c r="Z273" s="1169">
        <f t="shared" si="511"/>
        <v>0</v>
      </c>
      <c r="AA273" s="1169"/>
      <c r="AB273" s="1172">
        <f t="shared" si="503"/>
        <v>0</v>
      </c>
      <c r="AC273" s="1171"/>
      <c r="AD273" s="1128"/>
      <c r="AE273" s="1169"/>
      <c r="AF273" s="1177"/>
      <c r="AG273" s="1177"/>
      <c r="AH273" s="1169"/>
      <c r="AI273" s="1169">
        <f t="shared" si="512"/>
        <v>0</v>
      </c>
      <c r="AJ273" s="1169"/>
      <c r="AK273" s="1173"/>
      <c r="AL273" s="1171"/>
      <c r="AM273" s="1128"/>
      <c r="AN273" s="1170"/>
      <c r="AO273" s="1175"/>
      <c r="AP273" s="1175"/>
      <c r="AQ273" s="1170"/>
      <c r="AR273" s="1170">
        <f t="shared" si="513"/>
        <v>0</v>
      </c>
      <c r="AS273" s="1170"/>
      <c r="AT273" s="1170">
        <f t="shared" si="506"/>
        <v>0</v>
      </c>
      <c r="AU273" s="1174"/>
      <c r="AV273" s="1128"/>
      <c r="AW273" s="1170"/>
      <c r="AX273" s="1175"/>
      <c r="AY273" s="1175"/>
      <c r="AZ273" s="1170"/>
      <c r="BA273" s="1170">
        <f t="shared" si="514"/>
        <v>0</v>
      </c>
      <c r="BB273" s="1170"/>
      <c r="BC273" s="1175">
        <f t="shared" si="508"/>
        <v>0</v>
      </c>
      <c r="BD273" s="1027"/>
      <c r="BE273" s="1024"/>
      <c r="BF273" s="1024"/>
      <c r="BG273" s="1008"/>
      <c r="BH273" s="1008"/>
      <c r="BI273" s="1008"/>
      <c r="BJ273" s="1008"/>
      <c r="BK273" s="1008"/>
      <c r="BL273" s="1008"/>
      <c r="BM273" s="1008"/>
    </row>
    <row r="274" s="1215" customFormat="1" ht="23.25" customHeight="1">
      <c r="A274" s="999" t="str">
        <f t="shared" si="499"/>
        <v xml:space="preserve">Стрельникова АГ, Липатова СН</v>
      </c>
      <c r="B274" s="1202" t="s">
        <v>441</v>
      </c>
      <c r="C274" s="1202"/>
      <c r="D274" s="1202"/>
      <c r="E274" s="1164">
        <f t="shared" si="439"/>
        <v>0</v>
      </c>
      <c r="F274" s="1164">
        <f t="shared" si="440"/>
        <v>0</v>
      </c>
      <c r="G274" s="1165">
        <f t="shared" si="509"/>
        <v>0</v>
      </c>
      <c r="H274" s="1266" t="e">
        <f t="shared" si="500"/>
        <v>#DIV/0!</v>
      </c>
      <c r="I274" s="1167">
        <f t="shared" si="457"/>
        <v>0</v>
      </c>
      <c r="J274" s="1167">
        <f t="shared" si="458"/>
        <v>0</v>
      </c>
      <c r="K274" s="1168">
        <f t="shared" si="510"/>
        <v>0</v>
      </c>
      <c r="L274" s="1128"/>
      <c r="M274" s="1169"/>
      <c r="N274" s="1177"/>
      <c r="O274" s="1169"/>
      <c r="P274" s="1169"/>
      <c r="Q274" s="1169">
        <f t="shared" si="484"/>
        <v>0</v>
      </c>
      <c r="R274" s="1169"/>
      <c r="S274" s="1170"/>
      <c r="T274" s="1171"/>
      <c r="U274" s="1128"/>
      <c r="V274" s="1169"/>
      <c r="W274" s="1177"/>
      <c r="X274" s="1177"/>
      <c r="Y274" s="1169"/>
      <c r="Z274" s="1169">
        <f t="shared" si="511"/>
        <v>0</v>
      </c>
      <c r="AA274" s="1169"/>
      <c r="AB274" s="1172">
        <f t="shared" si="503"/>
        <v>0</v>
      </c>
      <c r="AC274" s="1171"/>
      <c r="AD274" s="1128"/>
      <c r="AE274" s="1169"/>
      <c r="AF274" s="1177"/>
      <c r="AG274" s="1177"/>
      <c r="AH274" s="1169"/>
      <c r="AI274" s="1169">
        <f t="shared" si="512"/>
        <v>0</v>
      </c>
      <c r="AJ274" s="1169"/>
      <c r="AK274" s="1173"/>
      <c r="AL274" s="1171"/>
      <c r="AM274" s="1128"/>
      <c r="AN274" s="1170"/>
      <c r="AO274" s="1175"/>
      <c r="AP274" s="1175"/>
      <c r="AQ274" s="1170"/>
      <c r="AR274" s="1170">
        <f t="shared" si="513"/>
        <v>0</v>
      </c>
      <c r="AS274" s="1170"/>
      <c r="AT274" s="1170">
        <f t="shared" si="506"/>
        <v>0</v>
      </c>
      <c r="AU274" s="1174"/>
      <c r="AV274" s="1128"/>
      <c r="AW274" s="1170"/>
      <c r="AX274" s="1175"/>
      <c r="AY274" s="1175"/>
      <c r="AZ274" s="1170"/>
      <c r="BA274" s="1170">
        <f t="shared" si="514"/>
        <v>0</v>
      </c>
      <c r="BB274" s="1170"/>
      <c r="BC274" s="1175">
        <f t="shared" si="508"/>
        <v>0</v>
      </c>
      <c r="BD274" s="1027"/>
      <c r="BE274" s="1024"/>
      <c r="BF274" s="1024"/>
      <c r="BG274" s="1008"/>
      <c r="BH274" s="1008"/>
      <c r="BI274" s="1008"/>
      <c r="BJ274" s="1008"/>
      <c r="BK274" s="1008"/>
      <c r="BL274" s="1008"/>
      <c r="BM274" s="1008"/>
    </row>
    <row r="275" s="1215" customFormat="1" ht="23.25" customHeight="1">
      <c r="A275" s="999" t="str">
        <f t="shared" si="499"/>
        <v xml:space="preserve">Куликова А.Г.</v>
      </c>
      <c r="B275" s="1202" t="s">
        <v>84</v>
      </c>
      <c r="C275" s="1202"/>
      <c r="D275" s="1202"/>
      <c r="E275" s="1164">
        <f t="shared" si="439"/>
        <v>0</v>
      </c>
      <c r="F275" s="1164">
        <f t="shared" si="440"/>
        <v>0</v>
      </c>
      <c r="G275" s="1165">
        <f t="shared" si="509"/>
        <v>0</v>
      </c>
      <c r="H275" s="1266" t="e">
        <f t="shared" si="500"/>
        <v>#DIV/0!</v>
      </c>
      <c r="I275" s="1167">
        <f t="shared" si="457"/>
        <v>0</v>
      </c>
      <c r="J275" s="1167">
        <f t="shared" si="458"/>
        <v>0</v>
      </c>
      <c r="K275" s="1168">
        <f t="shared" si="510"/>
        <v>0</v>
      </c>
      <c r="L275" s="1128"/>
      <c r="M275" s="1169"/>
      <c r="N275" s="1177"/>
      <c r="O275" s="1169"/>
      <c r="P275" s="1169"/>
      <c r="Q275" s="1169">
        <f t="shared" si="484"/>
        <v>0</v>
      </c>
      <c r="R275" s="1169"/>
      <c r="S275" s="1170"/>
      <c r="T275" s="1171"/>
      <c r="U275" s="1128"/>
      <c r="V275" s="1169"/>
      <c r="W275" s="1177"/>
      <c r="X275" s="1177"/>
      <c r="Y275" s="1169"/>
      <c r="Z275" s="1169">
        <f t="shared" si="511"/>
        <v>0</v>
      </c>
      <c r="AA275" s="1169"/>
      <c r="AB275" s="1172">
        <f t="shared" si="503"/>
        <v>0</v>
      </c>
      <c r="AC275" s="1171"/>
      <c r="AD275" s="1128"/>
      <c r="AE275" s="1169"/>
      <c r="AF275" s="1177"/>
      <c r="AG275" s="1177"/>
      <c r="AH275" s="1169"/>
      <c r="AI275" s="1169">
        <f t="shared" si="512"/>
        <v>0</v>
      </c>
      <c r="AJ275" s="1169"/>
      <c r="AK275" s="1173"/>
      <c r="AL275" s="1171"/>
      <c r="AM275" s="1128"/>
      <c r="AN275" s="1170"/>
      <c r="AO275" s="1175"/>
      <c r="AP275" s="1175"/>
      <c r="AQ275" s="1170"/>
      <c r="AR275" s="1170">
        <f t="shared" si="513"/>
        <v>0</v>
      </c>
      <c r="AS275" s="1170"/>
      <c r="AT275" s="1170">
        <f t="shared" si="506"/>
        <v>0</v>
      </c>
      <c r="AU275" s="1174"/>
      <c r="AV275" s="1128"/>
      <c r="AW275" s="1170"/>
      <c r="AX275" s="1175"/>
      <c r="AY275" s="1175"/>
      <c r="AZ275" s="1170"/>
      <c r="BA275" s="1170">
        <f t="shared" si="514"/>
        <v>0</v>
      </c>
      <c r="BB275" s="1170"/>
      <c r="BC275" s="1175">
        <f t="shared" si="508"/>
        <v>0</v>
      </c>
      <c r="BD275" s="1027"/>
      <c r="BE275" s="1024"/>
      <c r="BF275" s="1024"/>
      <c r="BG275" s="1008"/>
      <c r="BH275" s="1008"/>
      <c r="BI275" s="1008"/>
      <c r="BJ275" s="1008"/>
      <c r="BK275" s="1008"/>
      <c r="BL275" s="1008"/>
      <c r="BM275" s="1008"/>
    </row>
    <row r="276" s="1215" customFormat="1" ht="23.25" customHeight="1">
      <c r="A276" s="999" t="str">
        <f t="shared" si="499"/>
        <v xml:space="preserve">Жандарова ИВ, Елина С.И.</v>
      </c>
      <c r="B276" s="1202" t="s">
        <v>288</v>
      </c>
      <c r="C276" s="1202"/>
      <c r="D276" s="1202"/>
      <c r="E276" s="1164">
        <f t="shared" si="439"/>
        <v>0</v>
      </c>
      <c r="F276" s="1164">
        <f t="shared" si="440"/>
        <v>0</v>
      </c>
      <c r="G276" s="1165">
        <f t="shared" si="509"/>
        <v>0</v>
      </c>
      <c r="H276" s="1266" t="e">
        <f t="shared" si="500"/>
        <v>#DIV/0!</v>
      </c>
      <c r="I276" s="1167">
        <f t="shared" si="457"/>
        <v>0</v>
      </c>
      <c r="J276" s="1167">
        <f t="shared" si="458"/>
        <v>0</v>
      </c>
      <c r="K276" s="1168">
        <f t="shared" si="510"/>
        <v>0</v>
      </c>
      <c r="L276" s="1128"/>
      <c r="M276" s="1169"/>
      <c r="N276" s="1177"/>
      <c r="O276" s="1169"/>
      <c r="P276" s="1169"/>
      <c r="Q276" s="1169">
        <f t="shared" si="484"/>
        <v>0</v>
      </c>
      <c r="R276" s="1169"/>
      <c r="S276" s="1170"/>
      <c r="T276" s="1171"/>
      <c r="U276" s="1128"/>
      <c r="V276" s="1169"/>
      <c r="W276" s="1177"/>
      <c r="X276" s="1177"/>
      <c r="Y276" s="1169"/>
      <c r="Z276" s="1169">
        <f t="shared" si="511"/>
        <v>0</v>
      </c>
      <c r="AA276" s="1169"/>
      <c r="AB276" s="1172">
        <f t="shared" si="503"/>
        <v>0</v>
      </c>
      <c r="AC276" s="1171"/>
      <c r="AD276" s="1128"/>
      <c r="AE276" s="1169"/>
      <c r="AF276" s="1177"/>
      <c r="AG276" s="1177"/>
      <c r="AH276" s="1169"/>
      <c r="AI276" s="1169">
        <f t="shared" si="512"/>
        <v>0</v>
      </c>
      <c r="AJ276" s="1169"/>
      <c r="AK276" s="1173"/>
      <c r="AL276" s="1171"/>
      <c r="AM276" s="1128"/>
      <c r="AN276" s="1170"/>
      <c r="AO276" s="1175"/>
      <c r="AP276" s="1175"/>
      <c r="AQ276" s="1170"/>
      <c r="AR276" s="1170">
        <f t="shared" si="513"/>
        <v>0</v>
      </c>
      <c r="AS276" s="1170"/>
      <c r="AT276" s="1170">
        <f t="shared" si="506"/>
        <v>0</v>
      </c>
      <c r="AU276" s="1174"/>
      <c r="AV276" s="1128"/>
      <c r="AW276" s="1170"/>
      <c r="AX276" s="1175"/>
      <c r="AY276" s="1175"/>
      <c r="AZ276" s="1170"/>
      <c r="BA276" s="1170">
        <f t="shared" si="514"/>
        <v>0</v>
      </c>
      <c r="BB276" s="1170"/>
      <c r="BC276" s="1175">
        <f t="shared" si="508"/>
        <v>0</v>
      </c>
      <c r="BD276" s="1027"/>
      <c r="BE276" s="1024"/>
      <c r="BF276" s="1024"/>
      <c r="BG276" s="1008"/>
      <c r="BH276" s="1008"/>
      <c r="BI276" s="1008"/>
      <c r="BJ276" s="1008"/>
      <c r="BK276" s="1008"/>
      <c r="BL276" s="1008"/>
      <c r="BM276" s="1008"/>
    </row>
    <row r="277" s="1215" customFormat="1" ht="23.25" customHeight="1">
      <c r="A277" s="999" t="str">
        <f t="shared" si="499"/>
        <v xml:space="preserve">Бояркина Л.Е. Кондратьева АА</v>
      </c>
      <c r="B277" s="1176" t="s">
        <v>445</v>
      </c>
      <c r="C277" s="1176"/>
      <c r="D277" s="1176"/>
      <c r="E277" s="1164">
        <f t="shared" si="439"/>
        <v>0</v>
      </c>
      <c r="F277" s="1164">
        <f t="shared" si="440"/>
        <v>0</v>
      </c>
      <c r="G277" s="1165">
        <f t="shared" si="509"/>
        <v>0</v>
      </c>
      <c r="H277" s="1266" t="e">
        <f t="shared" si="500"/>
        <v>#DIV/0!</v>
      </c>
      <c r="I277" s="1167">
        <f t="shared" si="457"/>
        <v>0</v>
      </c>
      <c r="J277" s="1167">
        <f t="shared" si="458"/>
        <v>0</v>
      </c>
      <c r="K277" s="1168">
        <f t="shared" si="510"/>
        <v>0</v>
      </c>
      <c r="L277" s="1128"/>
      <c r="M277" s="1169"/>
      <c r="N277" s="1177"/>
      <c r="O277" s="1169"/>
      <c r="P277" s="1169"/>
      <c r="Q277" s="1169">
        <f t="shared" si="484"/>
        <v>0</v>
      </c>
      <c r="R277" s="1169"/>
      <c r="S277" s="1170"/>
      <c r="T277" s="1171"/>
      <c r="U277" s="1128"/>
      <c r="V277" s="1169"/>
      <c r="W277" s="1177"/>
      <c r="X277" s="1177"/>
      <c r="Y277" s="1169"/>
      <c r="Z277" s="1169">
        <f t="shared" si="511"/>
        <v>0</v>
      </c>
      <c r="AA277" s="1169"/>
      <c r="AB277" s="1172">
        <f t="shared" si="503"/>
        <v>0</v>
      </c>
      <c r="AC277" s="1171"/>
      <c r="AD277" s="1128"/>
      <c r="AE277" s="1169"/>
      <c r="AF277" s="1177"/>
      <c r="AG277" s="1177"/>
      <c r="AH277" s="1169"/>
      <c r="AI277" s="1169">
        <f t="shared" si="512"/>
        <v>0</v>
      </c>
      <c r="AJ277" s="1169"/>
      <c r="AK277" s="1173"/>
      <c r="AL277" s="1171"/>
      <c r="AM277" s="1128"/>
      <c r="AN277" s="1170"/>
      <c r="AO277" s="1175"/>
      <c r="AP277" s="1175"/>
      <c r="AQ277" s="1170"/>
      <c r="AR277" s="1170">
        <f t="shared" si="513"/>
        <v>0</v>
      </c>
      <c r="AS277" s="1170"/>
      <c r="AT277" s="1170">
        <f t="shared" si="506"/>
        <v>0</v>
      </c>
      <c r="AU277" s="1174"/>
      <c r="AV277" s="1128"/>
      <c r="AW277" s="1170"/>
      <c r="AX277" s="1175"/>
      <c r="AY277" s="1175"/>
      <c r="AZ277" s="1170"/>
      <c r="BA277" s="1170">
        <f t="shared" si="514"/>
        <v>0</v>
      </c>
      <c r="BB277" s="1170"/>
      <c r="BC277" s="1175">
        <f t="shared" si="508"/>
        <v>0</v>
      </c>
      <c r="BD277" s="1027"/>
      <c r="BE277" s="1024"/>
      <c r="BF277" s="1024"/>
      <c r="BG277" s="1008"/>
      <c r="BH277" s="1008"/>
      <c r="BI277" s="1008"/>
      <c r="BJ277" s="1008"/>
      <c r="BK277" s="1008"/>
      <c r="BL277" s="1008"/>
      <c r="BM277" s="1008"/>
    </row>
    <row r="278" s="1215" customFormat="1" ht="23.25" customHeight="1">
      <c r="A278" s="999" t="s">
        <v>446</v>
      </c>
      <c r="B278" s="1176" t="s">
        <v>447</v>
      </c>
      <c r="C278" s="1176"/>
      <c r="D278" s="1176"/>
      <c r="E278" s="1164">
        <f t="shared" si="439"/>
        <v>0</v>
      </c>
      <c r="F278" s="1164">
        <f t="shared" si="440"/>
        <v>0</v>
      </c>
      <c r="G278" s="1165">
        <f t="shared" si="509"/>
        <v>0</v>
      </c>
      <c r="H278" s="1266" t="e">
        <f t="shared" si="500"/>
        <v>#DIV/0!</v>
      </c>
      <c r="I278" s="1167">
        <f t="shared" si="457"/>
        <v>0</v>
      </c>
      <c r="J278" s="1167">
        <f t="shared" si="458"/>
        <v>0</v>
      </c>
      <c r="K278" s="1168">
        <f t="shared" si="510"/>
        <v>0</v>
      </c>
      <c r="L278" s="1128"/>
      <c r="M278" s="1169"/>
      <c r="N278" s="1177"/>
      <c r="O278" s="1169"/>
      <c r="P278" s="1169"/>
      <c r="Q278" s="1169">
        <f t="shared" si="484"/>
        <v>0</v>
      </c>
      <c r="R278" s="1169"/>
      <c r="S278" s="1170"/>
      <c r="T278" s="1171"/>
      <c r="U278" s="1128"/>
      <c r="V278" s="1169"/>
      <c r="W278" s="1177"/>
      <c r="X278" s="1177"/>
      <c r="Y278" s="1169"/>
      <c r="Z278" s="1169">
        <f t="shared" si="511"/>
        <v>0</v>
      </c>
      <c r="AA278" s="1169"/>
      <c r="AB278" s="1172">
        <f t="shared" si="503"/>
        <v>0</v>
      </c>
      <c r="AC278" s="1171"/>
      <c r="AD278" s="1128"/>
      <c r="AE278" s="1169"/>
      <c r="AF278" s="1177"/>
      <c r="AG278" s="1177"/>
      <c r="AH278" s="1169"/>
      <c r="AI278" s="1169">
        <f t="shared" si="512"/>
        <v>0</v>
      </c>
      <c r="AJ278" s="1169"/>
      <c r="AK278" s="1173"/>
      <c r="AL278" s="1171"/>
      <c r="AM278" s="1128"/>
      <c r="AN278" s="1170"/>
      <c r="AO278" s="1175"/>
      <c r="AP278" s="1175"/>
      <c r="AQ278" s="1170"/>
      <c r="AR278" s="1170">
        <f t="shared" si="513"/>
        <v>0</v>
      </c>
      <c r="AS278" s="1170"/>
      <c r="AT278" s="1170">
        <f t="shared" si="506"/>
        <v>0</v>
      </c>
      <c r="AU278" s="1174"/>
      <c r="AV278" s="1128"/>
      <c r="AW278" s="1170"/>
      <c r="AX278" s="1175"/>
      <c r="AY278" s="1175"/>
      <c r="AZ278" s="1170"/>
      <c r="BA278" s="1170">
        <f t="shared" si="514"/>
        <v>0</v>
      </c>
      <c r="BB278" s="1170"/>
      <c r="BC278" s="1175">
        <f t="shared" si="508"/>
        <v>0</v>
      </c>
      <c r="BD278" s="1027"/>
      <c r="BE278" s="1024"/>
      <c r="BF278" s="1024"/>
      <c r="BG278" s="1008"/>
      <c r="BH278" s="1008"/>
      <c r="BI278" s="1008"/>
      <c r="BJ278" s="1008"/>
      <c r="BK278" s="1008"/>
      <c r="BL278" s="1008"/>
      <c r="BM278" s="1008"/>
    </row>
    <row r="279" s="1215" customFormat="1" ht="23.25" customHeight="1">
      <c r="A279" s="999" t="str">
        <f t="shared" si="499"/>
        <v xml:space="preserve">Третьяк О.М.</v>
      </c>
      <c r="B279" s="1176" t="s">
        <v>449</v>
      </c>
      <c r="C279" s="1176"/>
      <c r="D279" s="1176"/>
      <c r="E279" s="1164">
        <f t="shared" si="439"/>
        <v>0</v>
      </c>
      <c r="F279" s="1164">
        <f t="shared" si="440"/>
        <v>0</v>
      </c>
      <c r="G279" s="1165">
        <f t="shared" si="509"/>
        <v>0</v>
      </c>
      <c r="H279" s="1266" t="e">
        <f t="shared" si="500"/>
        <v>#DIV/0!</v>
      </c>
      <c r="I279" s="1167">
        <f t="shared" si="457"/>
        <v>0</v>
      </c>
      <c r="J279" s="1167">
        <f t="shared" si="458"/>
        <v>0</v>
      </c>
      <c r="K279" s="1168">
        <f t="shared" si="510"/>
        <v>0</v>
      </c>
      <c r="L279" s="1128"/>
      <c r="M279" s="1169"/>
      <c r="N279" s="1177"/>
      <c r="O279" s="1169"/>
      <c r="P279" s="1169"/>
      <c r="Q279" s="1169">
        <f t="shared" si="484"/>
        <v>0</v>
      </c>
      <c r="R279" s="1169"/>
      <c r="S279" s="1170"/>
      <c r="T279" s="1171"/>
      <c r="U279" s="1128"/>
      <c r="V279" s="1169"/>
      <c r="W279" s="1177"/>
      <c r="X279" s="1177"/>
      <c r="Y279" s="1169"/>
      <c r="Z279" s="1169">
        <f t="shared" si="511"/>
        <v>0</v>
      </c>
      <c r="AA279" s="1169"/>
      <c r="AB279" s="1172">
        <f t="shared" si="503"/>
        <v>0</v>
      </c>
      <c r="AC279" s="1171"/>
      <c r="AD279" s="1128"/>
      <c r="AE279" s="1169"/>
      <c r="AF279" s="1177"/>
      <c r="AG279" s="1177"/>
      <c r="AH279" s="1169"/>
      <c r="AI279" s="1169">
        <f t="shared" si="512"/>
        <v>0</v>
      </c>
      <c r="AJ279" s="1169"/>
      <c r="AK279" s="1173"/>
      <c r="AL279" s="1171"/>
      <c r="AM279" s="1128"/>
      <c r="AN279" s="1170"/>
      <c r="AO279" s="1175"/>
      <c r="AP279" s="1175"/>
      <c r="AQ279" s="1170"/>
      <c r="AR279" s="1170">
        <f t="shared" si="513"/>
        <v>0</v>
      </c>
      <c r="AS279" s="1170"/>
      <c r="AT279" s="1170">
        <f t="shared" si="506"/>
        <v>0</v>
      </c>
      <c r="AU279" s="1174"/>
      <c r="AV279" s="1128"/>
      <c r="AW279" s="1170"/>
      <c r="AX279" s="1175"/>
      <c r="AY279" s="1175"/>
      <c r="AZ279" s="1170"/>
      <c r="BA279" s="1170">
        <f t="shared" si="514"/>
        <v>0</v>
      </c>
      <c r="BB279" s="1170"/>
      <c r="BC279" s="1175">
        <f t="shared" si="508"/>
        <v>0</v>
      </c>
      <c r="BD279" s="1027"/>
      <c r="BE279" s="1024"/>
      <c r="BF279" s="1024"/>
      <c r="BG279" s="1008"/>
      <c r="BH279" s="1008"/>
      <c r="BI279" s="1008"/>
      <c r="BJ279" s="1008"/>
      <c r="BK279" s="1008"/>
      <c r="BL279" s="1008"/>
      <c r="BM279" s="1008"/>
    </row>
    <row r="280" s="1215" customFormat="1" ht="23.25" customHeight="1">
      <c r="A280" s="999">
        <f t="shared" si="499"/>
        <v>0</v>
      </c>
      <c r="B280" s="1176" t="s">
        <v>450</v>
      </c>
      <c r="C280" s="1176"/>
      <c r="D280" s="1176"/>
      <c r="E280" s="1164">
        <f t="shared" si="439"/>
        <v>0</v>
      </c>
      <c r="F280" s="1164">
        <f t="shared" si="440"/>
        <v>0</v>
      </c>
      <c r="G280" s="1165">
        <f t="shared" si="509"/>
        <v>0</v>
      </c>
      <c r="H280" s="1266" t="e">
        <f t="shared" si="500"/>
        <v>#DIV/0!</v>
      </c>
      <c r="I280" s="1167">
        <f t="shared" si="457"/>
        <v>0</v>
      </c>
      <c r="J280" s="1167">
        <f t="shared" si="458"/>
        <v>0</v>
      </c>
      <c r="K280" s="1168">
        <f t="shared" si="510"/>
        <v>0</v>
      </c>
      <c r="L280" s="1128"/>
      <c r="M280" s="1169"/>
      <c r="N280" s="1177"/>
      <c r="O280" s="1169"/>
      <c r="P280" s="1169"/>
      <c r="Q280" s="1169">
        <f t="shared" si="484"/>
        <v>0</v>
      </c>
      <c r="R280" s="1169"/>
      <c r="S280" s="1170"/>
      <c r="T280" s="1171"/>
      <c r="U280" s="1128"/>
      <c r="V280" s="1169"/>
      <c r="W280" s="1177"/>
      <c r="X280" s="1177"/>
      <c r="Y280" s="1169"/>
      <c r="Z280" s="1169">
        <f t="shared" si="511"/>
        <v>0</v>
      </c>
      <c r="AA280" s="1169"/>
      <c r="AB280" s="1172">
        <f t="shared" si="503"/>
        <v>0</v>
      </c>
      <c r="AC280" s="1171"/>
      <c r="AD280" s="1128"/>
      <c r="AE280" s="1169"/>
      <c r="AF280" s="1177"/>
      <c r="AG280" s="1177"/>
      <c r="AH280" s="1169"/>
      <c r="AI280" s="1169">
        <f t="shared" si="512"/>
        <v>0</v>
      </c>
      <c r="AJ280" s="1169"/>
      <c r="AK280" s="1173"/>
      <c r="AL280" s="1171"/>
      <c r="AM280" s="1128"/>
      <c r="AN280" s="1170"/>
      <c r="AO280" s="1175"/>
      <c r="AP280" s="1175"/>
      <c r="AQ280" s="1170"/>
      <c r="AR280" s="1170">
        <f t="shared" si="513"/>
        <v>0</v>
      </c>
      <c r="AS280" s="1170"/>
      <c r="AT280" s="1170">
        <f t="shared" si="506"/>
        <v>0</v>
      </c>
      <c r="AU280" s="1174"/>
      <c r="AV280" s="1128"/>
      <c r="AW280" s="1170"/>
      <c r="AX280" s="1175"/>
      <c r="AY280" s="1175"/>
      <c r="AZ280" s="1170"/>
      <c r="BA280" s="1170">
        <f t="shared" si="514"/>
        <v>0</v>
      </c>
      <c r="BB280" s="1170"/>
      <c r="BC280" s="1175">
        <f t="shared" si="508"/>
        <v>0</v>
      </c>
      <c r="BD280" s="1027"/>
      <c r="BE280" s="1024"/>
      <c r="BF280" s="1024"/>
      <c r="BG280" s="1008"/>
      <c r="BH280" s="1008"/>
      <c r="BI280" s="1008"/>
      <c r="BJ280" s="1008"/>
      <c r="BK280" s="1008"/>
      <c r="BL280" s="1008"/>
      <c r="BM280" s="1008"/>
    </row>
    <row r="281" s="1215" customFormat="1" ht="23.25" customHeight="1">
      <c r="A281" s="999" t="str">
        <f t="shared" si="499"/>
        <v xml:space="preserve">Бедина и Позднякова</v>
      </c>
      <c r="B281" s="1202" t="s">
        <v>452</v>
      </c>
      <c r="C281" s="1202"/>
      <c r="D281" s="1202"/>
      <c r="E281" s="1164">
        <f t="shared" si="439"/>
        <v>0</v>
      </c>
      <c r="F281" s="1164">
        <f t="shared" si="440"/>
        <v>0</v>
      </c>
      <c r="G281" s="1165">
        <f t="shared" si="509"/>
        <v>0</v>
      </c>
      <c r="H281" s="1266" t="e">
        <f t="shared" si="500"/>
        <v>#DIV/0!</v>
      </c>
      <c r="I281" s="1167">
        <f t="shared" si="457"/>
        <v>0</v>
      </c>
      <c r="J281" s="1167">
        <f t="shared" si="458"/>
        <v>0</v>
      </c>
      <c r="K281" s="1168">
        <f t="shared" si="510"/>
        <v>0</v>
      </c>
      <c r="L281" s="1128"/>
      <c r="M281" s="1169"/>
      <c r="N281" s="1177"/>
      <c r="O281" s="1169"/>
      <c r="P281" s="1169"/>
      <c r="Q281" s="1169">
        <f t="shared" si="484"/>
        <v>0</v>
      </c>
      <c r="R281" s="1169"/>
      <c r="S281" s="1170"/>
      <c r="T281" s="1171"/>
      <c r="U281" s="1128"/>
      <c r="V281" s="1169"/>
      <c r="W281" s="1177"/>
      <c r="X281" s="1177"/>
      <c r="Y281" s="1169"/>
      <c r="Z281" s="1169">
        <f t="shared" si="511"/>
        <v>0</v>
      </c>
      <c r="AA281" s="1169"/>
      <c r="AB281" s="1172">
        <f t="shared" si="503"/>
        <v>0</v>
      </c>
      <c r="AC281" s="1171"/>
      <c r="AD281" s="1128"/>
      <c r="AE281" s="1169"/>
      <c r="AF281" s="1177"/>
      <c r="AG281" s="1177"/>
      <c r="AH281" s="1169"/>
      <c r="AI281" s="1169">
        <f t="shared" si="512"/>
        <v>0</v>
      </c>
      <c r="AJ281" s="1169"/>
      <c r="AK281" s="1173"/>
      <c r="AL281" s="1171"/>
      <c r="AM281" s="1128"/>
      <c r="AN281" s="1170"/>
      <c r="AO281" s="1175"/>
      <c r="AP281" s="1175"/>
      <c r="AQ281" s="1170"/>
      <c r="AR281" s="1170">
        <f t="shared" si="513"/>
        <v>0</v>
      </c>
      <c r="AS281" s="1170"/>
      <c r="AT281" s="1170">
        <f t="shared" si="506"/>
        <v>0</v>
      </c>
      <c r="AU281" s="1174"/>
      <c r="AV281" s="1128"/>
      <c r="AW281" s="1170"/>
      <c r="AX281" s="1175"/>
      <c r="AY281" s="1175"/>
      <c r="AZ281" s="1170"/>
      <c r="BA281" s="1170">
        <f t="shared" si="514"/>
        <v>0</v>
      </c>
      <c r="BB281" s="1170"/>
      <c r="BC281" s="1175">
        <f t="shared" si="508"/>
        <v>0</v>
      </c>
      <c r="BD281" s="1027"/>
      <c r="BE281" s="1024"/>
      <c r="BF281" s="1024"/>
      <c r="BG281" s="1008"/>
      <c r="BH281" s="1008"/>
      <c r="BI281" s="1008"/>
      <c r="BJ281" s="1008"/>
      <c r="BK281" s="1008"/>
      <c r="BL281" s="1008"/>
      <c r="BM281" s="1008"/>
    </row>
    <row r="282" s="1215" customFormat="1" ht="23.25" customHeight="1">
      <c r="A282" s="999" t="str">
        <f t="shared" si="499"/>
        <v xml:space="preserve">Макарова Е.В.</v>
      </c>
      <c r="B282" s="1202" t="s">
        <v>454</v>
      </c>
      <c r="C282" s="1202"/>
      <c r="D282" s="1202"/>
      <c r="E282" s="1164">
        <f t="shared" si="439"/>
        <v>0</v>
      </c>
      <c r="F282" s="1164">
        <f t="shared" si="440"/>
        <v>0</v>
      </c>
      <c r="G282" s="1165">
        <f t="shared" si="509"/>
        <v>0</v>
      </c>
      <c r="H282" s="1266" t="e">
        <f t="shared" si="500"/>
        <v>#DIV/0!</v>
      </c>
      <c r="I282" s="1167">
        <f t="shared" si="457"/>
        <v>0</v>
      </c>
      <c r="J282" s="1167">
        <f t="shared" si="458"/>
        <v>0</v>
      </c>
      <c r="K282" s="1168">
        <f t="shared" si="510"/>
        <v>0</v>
      </c>
      <c r="L282" s="1128"/>
      <c r="M282" s="1169"/>
      <c r="N282" s="1177"/>
      <c r="O282" s="1169"/>
      <c r="P282" s="1169"/>
      <c r="Q282" s="1169">
        <f t="shared" si="484"/>
        <v>0</v>
      </c>
      <c r="R282" s="1169"/>
      <c r="S282" s="1170"/>
      <c r="T282" s="1171"/>
      <c r="U282" s="1128"/>
      <c r="V282" s="1169"/>
      <c r="W282" s="1177"/>
      <c r="X282" s="1177"/>
      <c r="Y282" s="1169"/>
      <c r="Z282" s="1169">
        <f t="shared" si="511"/>
        <v>0</v>
      </c>
      <c r="AA282" s="1169"/>
      <c r="AB282" s="1172">
        <f t="shared" si="503"/>
        <v>0</v>
      </c>
      <c r="AC282" s="1171"/>
      <c r="AD282" s="1128"/>
      <c r="AE282" s="1169"/>
      <c r="AF282" s="1177"/>
      <c r="AG282" s="1177"/>
      <c r="AH282" s="1169"/>
      <c r="AI282" s="1169">
        <f t="shared" si="512"/>
        <v>0</v>
      </c>
      <c r="AJ282" s="1169"/>
      <c r="AK282" s="1173"/>
      <c r="AL282" s="1171"/>
      <c r="AM282" s="1128"/>
      <c r="AN282" s="1170"/>
      <c r="AO282" s="1175"/>
      <c r="AP282" s="1175"/>
      <c r="AQ282" s="1170"/>
      <c r="AR282" s="1170">
        <f t="shared" si="513"/>
        <v>0</v>
      </c>
      <c r="AS282" s="1170"/>
      <c r="AT282" s="1170">
        <f t="shared" si="506"/>
        <v>0</v>
      </c>
      <c r="AU282" s="1174"/>
      <c r="AV282" s="1128"/>
      <c r="AW282" s="1170"/>
      <c r="AX282" s="1175"/>
      <c r="AY282" s="1175"/>
      <c r="AZ282" s="1170"/>
      <c r="BA282" s="1170">
        <f t="shared" si="514"/>
        <v>0</v>
      </c>
      <c r="BB282" s="1170"/>
      <c r="BC282" s="1175">
        <f t="shared" si="508"/>
        <v>0</v>
      </c>
      <c r="BD282" s="1027"/>
      <c r="BE282" s="1024"/>
      <c r="BF282" s="1024"/>
      <c r="BG282" s="1008"/>
      <c r="BH282" s="1008"/>
      <c r="BI282" s="1008"/>
      <c r="BJ282" s="1008"/>
      <c r="BK282" s="1008"/>
      <c r="BL282" s="1008"/>
      <c r="BM282" s="1008"/>
    </row>
    <row r="283" s="1215" customFormat="1" ht="23.25" customHeight="1">
      <c r="A283" s="999" t="str">
        <f t="shared" si="499"/>
        <v xml:space="preserve">Юшкова Н.Г.</v>
      </c>
      <c r="B283" s="1202" t="s">
        <v>311</v>
      </c>
      <c r="C283" s="1202"/>
      <c r="D283" s="1202"/>
      <c r="E283" s="1164">
        <f t="shared" si="439"/>
        <v>0</v>
      </c>
      <c r="F283" s="1164">
        <f t="shared" si="440"/>
        <v>0</v>
      </c>
      <c r="G283" s="1165">
        <f t="shared" si="509"/>
        <v>0</v>
      </c>
      <c r="H283" s="1266" t="e">
        <f t="shared" si="500"/>
        <v>#DIV/0!</v>
      </c>
      <c r="I283" s="1167">
        <f t="shared" si="457"/>
        <v>0</v>
      </c>
      <c r="J283" s="1167">
        <f t="shared" si="458"/>
        <v>0</v>
      </c>
      <c r="K283" s="1168">
        <f t="shared" si="510"/>
        <v>0</v>
      </c>
      <c r="L283" s="1128"/>
      <c r="M283" s="1169"/>
      <c r="N283" s="1177"/>
      <c r="O283" s="1169"/>
      <c r="P283" s="1169"/>
      <c r="Q283" s="1169">
        <f t="shared" si="484"/>
        <v>0</v>
      </c>
      <c r="R283" s="1169"/>
      <c r="S283" s="1170"/>
      <c r="T283" s="1171"/>
      <c r="U283" s="1128"/>
      <c r="V283" s="1169"/>
      <c r="W283" s="1177"/>
      <c r="X283" s="1177"/>
      <c r="Y283" s="1169"/>
      <c r="Z283" s="1169">
        <f t="shared" si="511"/>
        <v>0</v>
      </c>
      <c r="AA283" s="1169"/>
      <c r="AB283" s="1172">
        <f t="shared" si="503"/>
        <v>0</v>
      </c>
      <c r="AC283" s="1171"/>
      <c r="AD283" s="1128"/>
      <c r="AE283" s="1169"/>
      <c r="AF283" s="1177"/>
      <c r="AG283" s="1177"/>
      <c r="AH283" s="1169"/>
      <c r="AI283" s="1169">
        <f t="shared" si="512"/>
        <v>0</v>
      </c>
      <c r="AJ283" s="1169"/>
      <c r="AK283" s="1173"/>
      <c r="AL283" s="1171"/>
      <c r="AM283" s="1128"/>
      <c r="AN283" s="1170"/>
      <c r="AO283" s="1175"/>
      <c r="AP283" s="1175"/>
      <c r="AQ283" s="1170"/>
      <c r="AR283" s="1170">
        <f t="shared" si="513"/>
        <v>0</v>
      </c>
      <c r="AS283" s="1170"/>
      <c r="AT283" s="1170">
        <f t="shared" si="506"/>
        <v>0</v>
      </c>
      <c r="AU283" s="1174"/>
      <c r="AV283" s="1128"/>
      <c r="AW283" s="1170"/>
      <c r="AX283" s="1175"/>
      <c r="AY283" s="1175"/>
      <c r="AZ283" s="1170"/>
      <c r="BA283" s="1170">
        <f t="shared" si="514"/>
        <v>0</v>
      </c>
      <c r="BB283" s="1170"/>
      <c r="BC283" s="1175">
        <f t="shared" si="508"/>
        <v>0</v>
      </c>
      <c r="BD283" s="1027"/>
      <c r="BE283" s="1024"/>
      <c r="BF283" s="1024"/>
      <c r="BG283" s="1008"/>
      <c r="BH283" s="1008"/>
      <c r="BI283" s="1008"/>
      <c r="BJ283" s="1008"/>
      <c r="BK283" s="1008"/>
      <c r="BL283" s="1008"/>
      <c r="BM283" s="1008"/>
    </row>
    <row r="284" s="1215" customFormat="1" ht="23.25" customHeight="1">
      <c r="A284" s="999">
        <f t="shared" si="499"/>
        <v>0</v>
      </c>
      <c r="B284" s="1202" t="s">
        <v>456</v>
      </c>
      <c r="C284" s="1202"/>
      <c r="D284" s="1202"/>
      <c r="E284" s="1164">
        <f t="shared" si="439"/>
        <v>0</v>
      </c>
      <c r="F284" s="1164">
        <f t="shared" si="440"/>
        <v>0</v>
      </c>
      <c r="G284" s="1165">
        <f t="shared" si="509"/>
        <v>0</v>
      </c>
      <c r="H284" s="1266" t="e">
        <f t="shared" si="500"/>
        <v>#DIV/0!</v>
      </c>
      <c r="I284" s="1167">
        <f t="shared" si="457"/>
        <v>0</v>
      </c>
      <c r="J284" s="1167">
        <f t="shared" si="458"/>
        <v>0</v>
      </c>
      <c r="K284" s="1168">
        <f t="shared" si="510"/>
        <v>0</v>
      </c>
      <c r="L284" s="1128"/>
      <c r="M284" s="1169"/>
      <c r="N284" s="1177"/>
      <c r="O284" s="1169"/>
      <c r="P284" s="1169"/>
      <c r="Q284" s="1169">
        <f t="shared" si="484"/>
        <v>0</v>
      </c>
      <c r="R284" s="1169"/>
      <c r="S284" s="1170"/>
      <c r="T284" s="1171"/>
      <c r="U284" s="1128"/>
      <c r="V284" s="1169"/>
      <c r="W284" s="1177"/>
      <c r="X284" s="1177"/>
      <c r="Y284" s="1169"/>
      <c r="Z284" s="1169">
        <f t="shared" si="511"/>
        <v>0</v>
      </c>
      <c r="AA284" s="1169"/>
      <c r="AB284" s="1172">
        <f t="shared" si="503"/>
        <v>0</v>
      </c>
      <c r="AC284" s="1171"/>
      <c r="AD284" s="1128"/>
      <c r="AE284" s="1169"/>
      <c r="AF284" s="1177"/>
      <c r="AG284" s="1177"/>
      <c r="AH284" s="1169"/>
      <c r="AI284" s="1169">
        <f t="shared" si="512"/>
        <v>0</v>
      </c>
      <c r="AJ284" s="1169"/>
      <c r="AK284" s="1173"/>
      <c r="AL284" s="1171"/>
      <c r="AM284" s="1128"/>
      <c r="AN284" s="1170"/>
      <c r="AO284" s="1175"/>
      <c r="AP284" s="1175"/>
      <c r="AQ284" s="1170"/>
      <c r="AR284" s="1170">
        <f t="shared" si="513"/>
        <v>0</v>
      </c>
      <c r="AS284" s="1170"/>
      <c r="AT284" s="1170">
        <f t="shared" si="506"/>
        <v>0</v>
      </c>
      <c r="AU284" s="1174"/>
      <c r="AV284" s="1128"/>
      <c r="AW284" s="1170"/>
      <c r="AX284" s="1175"/>
      <c r="AY284" s="1175"/>
      <c r="AZ284" s="1170"/>
      <c r="BA284" s="1170">
        <f t="shared" si="514"/>
        <v>0</v>
      </c>
      <c r="BB284" s="1170"/>
      <c r="BC284" s="1175">
        <f t="shared" si="508"/>
        <v>0</v>
      </c>
      <c r="BD284" s="1027"/>
      <c r="BE284" s="1024"/>
      <c r="BF284" s="1024"/>
      <c r="BG284" s="1008"/>
      <c r="BH284" s="1008"/>
      <c r="BI284" s="1008"/>
      <c r="BJ284" s="1008"/>
      <c r="BK284" s="1008"/>
      <c r="BL284" s="1008"/>
      <c r="BM284" s="1008"/>
    </row>
    <row r="285" ht="23.25" customHeight="1">
      <c r="A285" s="999">
        <f t="shared" si="499"/>
        <v>0</v>
      </c>
      <c r="B285" s="1202" t="s">
        <v>457</v>
      </c>
      <c r="C285" s="1202"/>
      <c r="D285" s="1202"/>
      <c r="E285" s="1164">
        <f t="shared" si="439"/>
        <v>0</v>
      </c>
      <c r="F285" s="1164">
        <f t="shared" si="440"/>
        <v>0</v>
      </c>
      <c r="G285" s="1165">
        <f t="shared" si="509"/>
        <v>0</v>
      </c>
      <c r="H285" s="1266" t="e">
        <f t="shared" si="500"/>
        <v>#DIV/0!</v>
      </c>
      <c r="I285" s="1167">
        <f t="shared" si="457"/>
        <v>0</v>
      </c>
      <c r="J285" s="1167">
        <f t="shared" si="458"/>
        <v>0</v>
      </c>
      <c r="K285" s="1168">
        <f t="shared" si="510"/>
        <v>0</v>
      </c>
      <c r="L285" s="1128"/>
      <c r="M285" s="1169"/>
      <c r="N285" s="1177"/>
      <c r="O285" s="1169"/>
      <c r="P285" s="1169"/>
      <c r="Q285" s="1169">
        <f t="shared" si="484"/>
        <v>0</v>
      </c>
      <c r="R285" s="1169"/>
      <c r="S285" s="1170"/>
      <c r="T285" s="1171"/>
      <c r="U285" s="1128"/>
      <c r="V285" s="1169"/>
      <c r="W285" s="1177"/>
      <c r="X285" s="1177"/>
      <c r="Y285" s="1169"/>
      <c r="Z285" s="1169">
        <f t="shared" si="511"/>
        <v>0</v>
      </c>
      <c r="AA285" s="1169"/>
      <c r="AB285" s="1172">
        <f t="shared" si="503"/>
        <v>0</v>
      </c>
      <c r="AC285" s="1171"/>
      <c r="AD285" s="1128"/>
      <c r="AE285" s="1169"/>
      <c r="AF285" s="1177"/>
      <c r="AG285" s="1177"/>
      <c r="AH285" s="1169"/>
      <c r="AI285" s="1169">
        <f t="shared" si="512"/>
        <v>0</v>
      </c>
      <c r="AJ285" s="1169"/>
      <c r="AK285" s="1173"/>
      <c r="AL285" s="1171"/>
      <c r="AM285" s="1128"/>
      <c r="AN285" s="1170"/>
      <c r="AO285" s="1175"/>
      <c r="AP285" s="1175"/>
      <c r="AQ285" s="1170"/>
      <c r="AR285" s="1170">
        <f t="shared" si="513"/>
        <v>0</v>
      </c>
      <c r="AS285" s="1170"/>
      <c r="AT285" s="1170">
        <f t="shared" si="506"/>
        <v>0</v>
      </c>
      <c r="AU285" s="1174"/>
      <c r="AV285" s="1128"/>
      <c r="AW285" s="1170"/>
      <c r="AX285" s="1175"/>
      <c r="AY285" s="1175"/>
      <c r="AZ285" s="1170"/>
      <c r="BA285" s="1170">
        <f t="shared" si="514"/>
        <v>0</v>
      </c>
      <c r="BB285" s="1170"/>
      <c r="BC285" s="1175">
        <f t="shared" si="508"/>
        <v>0</v>
      </c>
      <c r="BD285" s="1027"/>
      <c r="BE285" s="1029"/>
      <c r="BF285" s="1029"/>
    </row>
    <row r="286" s="1215" customFormat="1" ht="23.25" customHeight="1">
      <c r="A286" s="999"/>
      <c r="B286" s="1202" t="s">
        <v>458</v>
      </c>
      <c r="C286" s="1202"/>
      <c r="D286" s="1202"/>
      <c r="E286" s="1164">
        <f t="shared" si="439"/>
        <v>0</v>
      </c>
      <c r="F286" s="1164">
        <f t="shared" si="440"/>
        <v>0</v>
      </c>
      <c r="G286" s="1165">
        <f t="shared" si="509"/>
        <v>0</v>
      </c>
      <c r="H286" s="1266" t="e">
        <f t="shared" si="500"/>
        <v>#DIV/0!</v>
      </c>
      <c r="I286" s="1167">
        <f t="shared" si="457"/>
        <v>0</v>
      </c>
      <c r="J286" s="1167">
        <f t="shared" si="458"/>
        <v>0</v>
      </c>
      <c r="K286" s="1168">
        <f t="shared" si="510"/>
        <v>0</v>
      </c>
      <c r="L286" s="1128"/>
      <c r="M286" s="1169"/>
      <c r="N286" s="1177"/>
      <c r="O286" s="1169"/>
      <c r="P286" s="1169"/>
      <c r="Q286" s="1169">
        <f t="shared" si="484"/>
        <v>0</v>
      </c>
      <c r="R286" s="1169"/>
      <c r="S286" s="1170"/>
      <c r="T286" s="1171"/>
      <c r="U286" s="1128"/>
      <c r="V286" s="1169"/>
      <c r="W286" s="1177"/>
      <c r="X286" s="1177"/>
      <c r="Y286" s="1169"/>
      <c r="Z286" s="1169">
        <f t="shared" si="511"/>
        <v>0</v>
      </c>
      <c r="AA286" s="1169"/>
      <c r="AB286" s="1172">
        <f t="shared" si="503"/>
        <v>0</v>
      </c>
      <c r="AC286" s="1171"/>
      <c r="AD286" s="1128"/>
      <c r="AE286" s="1169"/>
      <c r="AF286" s="1177"/>
      <c r="AG286" s="1177"/>
      <c r="AH286" s="1169"/>
      <c r="AI286" s="1169">
        <f t="shared" si="512"/>
        <v>0</v>
      </c>
      <c r="AJ286" s="1169"/>
      <c r="AK286" s="1173"/>
      <c r="AL286" s="1171"/>
      <c r="AM286" s="1128"/>
      <c r="AN286" s="1170"/>
      <c r="AO286" s="1175"/>
      <c r="AP286" s="1175"/>
      <c r="AQ286" s="1170"/>
      <c r="AR286" s="1170">
        <f t="shared" si="513"/>
        <v>0</v>
      </c>
      <c r="AS286" s="1170"/>
      <c r="AT286" s="1170">
        <f t="shared" si="506"/>
        <v>0</v>
      </c>
      <c r="AU286" s="1174"/>
      <c r="AV286" s="1128"/>
      <c r="AW286" s="1170"/>
      <c r="AX286" s="1175"/>
      <c r="AY286" s="1175"/>
      <c r="AZ286" s="1170"/>
      <c r="BA286" s="1170">
        <f t="shared" si="514"/>
        <v>0</v>
      </c>
      <c r="BB286" s="1170"/>
      <c r="BC286" s="1175">
        <f t="shared" si="508"/>
        <v>0</v>
      </c>
      <c r="BD286" s="1027"/>
      <c r="BE286" s="1024"/>
      <c r="BF286" s="1024"/>
      <c r="BG286" s="1008"/>
      <c r="BH286" s="1008"/>
      <c r="BI286" s="1008"/>
      <c r="BJ286" s="1008"/>
      <c r="BK286" s="1008"/>
      <c r="BL286" s="1008"/>
      <c r="BM286" s="1008"/>
    </row>
    <row r="287" s="1215" customFormat="1" ht="23.25" customHeight="1">
      <c r="A287" s="999">
        <f t="shared" si="499"/>
        <v>0</v>
      </c>
      <c r="B287" s="1202" t="s">
        <v>459</v>
      </c>
      <c r="C287" s="1202"/>
      <c r="D287" s="1202"/>
      <c r="E287" s="1164">
        <f t="shared" si="439"/>
        <v>0</v>
      </c>
      <c r="F287" s="1164">
        <f t="shared" si="440"/>
        <v>0</v>
      </c>
      <c r="G287" s="1165">
        <f t="shared" si="509"/>
        <v>0</v>
      </c>
      <c r="H287" s="1266" t="e">
        <f t="shared" si="500"/>
        <v>#DIV/0!</v>
      </c>
      <c r="I287" s="1167">
        <f t="shared" si="457"/>
        <v>0</v>
      </c>
      <c r="J287" s="1167">
        <f t="shared" si="458"/>
        <v>0</v>
      </c>
      <c r="K287" s="1168">
        <f t="shared" si="510"/>
        <v>0</v>
      </c>
      <c r="L287" s="1128"/>
      <c r="M287" s="1169"/>
      <c r="N287" s="1177"/>
      <c r="O287" s="1169"/>
      <c r="P287" s="1169"/>
      <c r="Q287" s="1169">
        <f t="shared" si="484"/>
        <v>0</v>
      </c>
      <c r="R287" s="1169"/>
      <c r="S287" s="1170"/>
      <c r="T287" s="1171"/>
      <c r="U287" s="1128"/>
      <c r="V287" s="1169"/>
      <c r="W287" s="1177"/>
      <c r="X287" s="1177"/>
      <c r="Y287" s="1169"/>
      <c r="Z287" s="1169">
        <f t="shared" si="511"/>
        <v>0</v>
      </c>
      <c r="AA287" s="1169"/>
      <c r="AB287" s="1172">
        <f t="shared" si="503"/>
        <v>0</v>
      </c>
      <c r="AC287" s="1171"/>
      <c r="AD287" s="1128"/>
      <c r="AE287" s="1169"/>
      <c r="AF287" s="1177"/>
      <c r="AG287" s="1177"/>
      <c r="AH287" s="1169"/>
      <c r="AI287" s="1169">
        <f t="shared" si="512"/>
        <v>0</v>
      </c>
      <c r="AJ287" s="1169"/>
      <c r="AK287" s="1173"/>
      <c r="AL287" s="1171"/>
      <c r="AM287" s="1128"/>
      <c r="AN287" s="1170"/>
      <c r="AO287" s="1175"/>
      <c r="AP287" s="1175"/>
      <c r="AQ287" s="1170"/>
      <c r="AR287" s="1170">
        <f t="shared" si="513"/>
        <v>0</v>
      </c>
      <c r="AS287" s="1170"/>
      <c r="AT287" s="1170">
        <f t="shared" si="506"/>
        <v>0</v>
      </c>
      <c r="AU287" s="1174"/>
      <c r="AV287" s="1128"/>
      <c r="AW287" s="1170"/>
      <c r="AX287" s="1175"/>
      <c r="AY287" s="1175"/>
      <c r="AZ287" s="1170"/>
      <c r="BA287" s="1170">
        <f t="shared" si="514"/>
        <v>0</v>
      </c>
      <c r="BB287" s="1170"/>
      <c r="BC287" s="1175">
        <f t="shared" si="508"/>
        <v>0</v>
      </c>
      <c r="BD287" s="1027"/>
      <c r="BE287" s="1024"/>
      <c r="BF287" s="1024"/>
      <c r="BG287" s="1008"/>
      <c r="BH287" s="1008"/>
      <c r="BI287" s="1008"/>
      <c r="BJ287" s="1008"/>
      <c r="BK287" s="1008"/>
      <c r="BL287" s="1008"/>
      <c r="BM287" s="1008"/>
    </row>
    <row r="288" s="1215" customFormat="1" ht="23.25" customHeight="1">
      <c r="A288" s="999">
        <f t="shared" si="499"/>
        <v>0</v>
      </c>
      <c r="B288" s="1202" t="s">
        <v>460</v>
      </c>
      <c r="C288" s="1202"/>
      <c r="D288" s="1202"/>
      <c r="E288" s="1164">
        <f t="shared" si="439"/>
        <v>0</v>
      </c>
      <c r="F288" s="1164">
        <f t="shared" si="440"/>
        <v>0</v>
      </c>
      <c r="G288" s="1165">
        <f t="shared" si="509"/>
        <v>0</v>
      </c>
      <c r="H288" s="1266" t="e">
        <f t="shared" si="500"/>
        <v>#DIV/0!</v>
      </c>
      <c r="I288" s="1167">
        <f t="shared" si="457"/>
        <v>0</v>
      </c>
      <c r="J288" s="1167">
        <f t="shared" si="458"/>
        <v>0</v>
      </c>
      <c r="K288" s="1168">
        <f t="shared" si="510"/>
        <v>0</v>
      </c>
      <c r="L288" s="1128"/>
      <c r="M288" s="1169"/>
      <c r="N288" s="1177"/>
      <c r="O288" s="1169"/>
      <c r="P288" s="1169"/>
      <c r="Q288" s="1169">
        <f t="shared" si="484"/>
        <v>0</v>
      </c>
      <c r="R288" s="1169"/>
      <c r="S288" s="1170"/>
      <c r="T288" s="1171"/>
      <c r="U288" s="1128"/>
      <c r="V288" s="1169"/>
      <c r="W288" s="1177"/>
      <c r="X288" s="1177"/>
      <c r="Y288" s="1169"/>
      <c r="Z288" s="1169">
        <f t="shared" si="511"/>
        <v>0</v>
      </c>
      <c r="AA288" s="1169"/>
      <c r="AB288" s="1172">
        <f t="shared" si="503"/>
        <v>0</v>
      </c>
      <c r="AC288" s="1171"/>
      <c r="AD288" s="1128"/>
      <c r="AE288" s="1169"/>
      <c r="AF288" s="1177"/>
      <c r="AG288" s="1177"/>
      <c r="AH288" s="1169"/>
      <c r="AI288" s="1169">
        <f t="shared" si="512"/>
        <v>0</v>
      </c>
      <c r="AJ288" s="1169"/>
      <c r="AK288" s="1173"/>
      <c r="AL288" s="1171"/>
      <c r="AM288" s="1128"/>
      <c r="AN288" s="1170"/>
      <c r="AO288" s="1175"/>
      <c r="AP288" s="1175"/>
      <c r="AQ288" s="1170"/>
      <c r="AR288" s="1170">
        <f t="shared" si="513"/>
        <v>0</v>
      </c>
      <c r="AS288" s="1170"/>
      <c r="AT288" s="1170">
        <f t="shared" si="506"/>
        <v>0</v>
      </c>
      <c r="AU288" s="1174"/>
      <c r="AV288" s="1128"/>
      <c r="AW288" s="1170"/>
      <c r="AX288" s="1175"/>
      <c r="AY288" s="1175"/>
      <c r="AZ288" s="1170"/>
      <c r="BA288" s="1170">
        <f t="shared" si="514"/>
        <v>0</v>
      </c>
      <c r="BB288" s="1170"/>
      <c r="BC288" s="1175">
        <f t="shared" si="508"/>
        <v>0</v>
      </c>
      <c r="BD288" s="1027"/>
      <c r="BE288" s="1024"/>
      <c r="BF288" s="1024"/>
      <c r="BG288" s="1008"/>
      <c r="BH288" s="1008"/>
      <c r="BI288" s="1008"/>
      <c r="BJ288" s="1008"/>
      <c r="BK288" s="1008"/>
      <c r="BL288" s="1008"/>
      <c r="BM288" s="1008"/>
    </row>
    <row r="289" ht="23.25" customHeight="1">
      <c r="A289" s="999" t="str">
        <f t="shared" si="499"/>
        <v xml:space="preserve">Белова СА</v>
      </c>
      <c r="B289" s="1202" t="s">
        <v>461</v>
      </c>
      <c r="C289" s="1202"/>
      <c r="D289" s="1202"/>
      <c r="E289" s="1164">
        <f t="shared" si="439"/>
        <v>0</v>
      </c>
      <c r="F289" s="1164">
        <f t="shared" si="440"/>
        <v>0</v>
      </c>
      <c r="G289" s="1165">
        <f t="shared" si="509"/>
        <v>0</v>
      </c>
      <c r="H289" s="1266" t="e">
        <f t="shared" si="500"/>
        <v>#DIV/0!</v>
      </c>
      <c r="I289" s="1167">
        <f t="shared" si="457"/>
        <v>0</v>
      </c>
      <c r="J289" s="1167">
        <f t="shared" si="458"/>
        <v>0</v>
      </c>
      <c r="K289" s="1168">
        <f t="shared" si="510"/>
        <v>0</v>
      </c>
      <c r="L289" s="1128"/>
      <c r="M289" s="1169"/>
      <c r="N289" s="1177"/>
      <c r="O289" s="1169"/>
      <c r="P289" s="1169"/>
      <c r="Q289" s="1169">
        <f t="shared" si="484"/>
        <v>0</v>
      </c>
      <c r="R289" s="1169"/>
      <c r="S289" s="1170"/>
      <c r="T289" s="1171"/>
      <c r="U289" s="1128"/>
      <c r="V289" s="1169"/>
      <c r="W289" s="1177"/>
      <c r="X289" s="1177"/>
      <c r="Y289" s="1169"/>
      <c r="Z289" s="1169">
        <f t="shared" si="511"/>
        <v>0</v>
      </c>
      <c r="AA289" s="1169"/>
      <c r="AB289" s="1172">
        <f t="shared" si="503"/>
        <v>0</v>
      </c>
      <c r="AC289" s="1171"/>
      <c r="AD289" s="1128"/>
      <c r="AE289" s="1169"/>
      <c r="AF289" s="1177"/>
      <c r="AG289" s="1177"/>
      <c r="AH289" s="1169"/>
      <c r="AI289" s="1169">
        <f t="shared" si="512"/>
        <v>0</v>
      </c>
      <c r="AJ289" s="1169"/>
      <c r="AK289" s="1173"/>
      <c r="AL289" s="1171"/>
      <c r="AM289" s="1128"/>
      <c r="AN289" s="1170"/>
      <c r="AO289" s="1175"/>
      <c r="AP289" s="1175"/>
      <c r="AQ289" s="1170"/>
      <c r="AR289" s="1170">
        <f t="shared" si="513"/>
        <v>0</v>
      </c>
      <c r="AS289" s="1170"/>
      <c r="AT289" s="1170">
        <f t="shared" si="506"/>
        <v>0</v>
      </c>
      <c r="AU289" s="1174"/>
      <c r="AV289" s="1128"/>
      <c r="AW289" s="1170"/>
      <c r="AX289" s="1175"/>
      <c r="AY289" s="1175"/>
      <c r="AZ289" s="1170"/>
      <c r="BA289" s="1170">
        <f t="shared" si="514"/>
        <v>0</v>
      </c>
      <c r="BB289" s="1170"/>
      <c r="BC289" s="1175">
        <f t="shared" si="508"/>
        <v>0</v>
      </c>
      <c r="BD289" s="1027"/>
      <c r="BE289" s="1029"/>
      <c r="BF289" s="1029"/>
    </row>
    <row r="290" ht="23.25" customHeight="1">
      <c r="A290" s="999">
        <f t="shared" si="499"/>
        <v>0</v>
      </c>
      <c r="B290" s="1202" t="s">
        <v>462</v>
      </c>
      <c r="C290" s="1202"/>
      <c r="D290" s="1202"/>
      <c r="E290" s="1164">
        <f t="shared" si="439"/>
        <v>0</v>
      </c>
      <c r="F290" s="1164">
        <f t="shared" si="440"/>
        <v>0</v>
      </c>
      <c r="G290" s="1165">
        <f t="shared" si="509"/>
        <v>0</v>
      </c>
      <c r="H290" s="1266" t="e">
        <f t="shared" si="500"/>
        <v>#DIV/0!</v>
      </c>
      <c r="I290" s="1167">
        <f t="shared" si="457"/>
        <v>0</v>
      </c>
      <c r="J290" s="1167">
        <f t="shared" si="458"/>
        <v>0</v>
      </c>
      <c r="K290" s="1168">
        <f t="shared" si="510"/>
        <v>0</v>
      </c>
      <c r="L290" s="1128"/>
      <c r="M290" s="1169"/>
      <c r="N290" s="1177"/>
      <c r="O290" s="1169"/>
      <c r="P290" s="1169"/>
      <c r="Q290" s="1169">
        <f t="shared" si="484"/>
        <v>0</v>
      </c>
      <c r="R290" s="1169"/>
      <c r="S290" s="1170"/>
      <c r="T290" s="1171"/>
      <c r="U290" s="1128"/>
      <c r="V290" s="1169"/>
      <c r="W290" s="1177"/>
      <c r="X290" s="1177"/>
      <c r="Y290" s="1169"/>
      <c r="Z290" s="1169">
        <f t="shared" si="511"/>
        <v>0</v>
      </c>
      <c r="AA290" s="1169"/>
      <c r="AB290" s="1172">
        <f t="shared" si="503"/>
        <v>0</v>
      </c>
      <c r="AC290" s="1171"/>
      <c r="AD290" s="1128"/>
      <c r="AE290" s="1169"/>
      <c r="AF290" s="1177"/>
      <c r="AG290" s="1177"/>
      <c r="AH290" s="1169"/>
      <c r="AI290" s="1169">
        <f t="shared" si="512"/>
        <v>0</v>
      </c>
      <c r="AJ290" s="1169"/>
      <c r="AK290" s="1173"/>
      <c r="AL290" s="1171"/>
      <c r="AM290" s="1128"/>
      <c r="AN290" s="1170"/>
      <c r="AO290" s="1175"/>
      <c r="AP290" s="1175"/>
      <c r="AQ290" s="1170"/>
      <c r="AR290" s="1170">
        <f t="shared" si="513"/>
        <v>0</v>
      </c>
      <c r="AS290" s="1170"/>
      <c r="AT290" s="1170">
        <f t="shared" si="506"/>
        <v>0</v>
      </c>
      <c r="AU290" s="1174"/>
      <c r="AV290" s="1128"/>
      <c r="AW290" s="1170"/>
      <c r="AX290" s="1175"/>
      <c r="AY290" s="1175"/>
      <c r="AZ290" s="1170"/>
      <c r="BA290" s="1170">
        <f t="shared" si="514"/>
        <v>0</v>
      </c>
      <c r="BB290" s="1170"/>
      <c r="BC290" s="1175">
        <f t="shared" si="508"/>
        <v>0</v>
      </c>
      <c r="BD290" s="1027"/>
      <c r="BE290" s="1029"/>
      <c r="BF290" s="1029"/>
    </row>
    <row r="291" ht="23.25" customHeight="1">
      <c r="A291" s="999">
        <f t="shared" si="499"/>
        <v>0</v>
      </c>
      <c r="B291" s="1202" t="s">
        <v>463</v>
      </c>
      <c r="C291" s="1202"/>
      <c r="D291" s="1202"/>
      <c r="E291" s="1164">
        <f t="shared" si="439"/>
        <v>0</v>
      </c>
      <c r="F291" s="1164">
        <f t="shared" si="440"/>
        <v>0</v>
      </c>
      <c r="G291" s="1165">
        <f t="shared" si="509"/>
        <v>0</v>
      </c>
      <c r="H291" s="1266" t="e">
        <f t="shared" si="500"/>
        <v>#DIV/0!</v>
      </c>
      <c r="I291" s="1167">
        <f t="shared" si="457"/>
        <v>0</v>
      </c>
      <c r="J291" s="1167">
        <f t="shared" si="458"/>
        <v>0</v>
      </c>
      <c r="K291" s="1168">
        <f t="shared" si="510"/>
        <v>0</v>
      </c>
      <c r="L291" s="1128"/>
      <c r="M291" s="1169"/>
      <c r="N291" s="1177"/>
      <c r="O291" s="1169"/>
      <c r="P291" s="1169"/>
      <c r="Q291" s="1169">
        <f t="shared" si="484"/>
        <v>0</v>
      </c>
      <c r="R291" s="1169"/>
      <c r="S291" s="1170"/>
      <c r="T291" s="1171"/>
      <c r="U291" s="1128"/>
      <c r="V291" s="1169"/>
      <c r="W291" s="1177"/>
      <c r="X291" s="1177"/>
      <c r="Y291" s="1169"/>
      <c r="Z291" s="1169">
        <f t="shared" si="511"/>
        <v>0</v>
      </c>
      <c r="AA291" s="1169"/>
      <c r="AB291" s="1172">
        <f t="shared" si="503"/>
        <v>0</v>
      </c>
      <c r="AC291" s="1171"/>
      <c r="AD291" s="1128"/>
      <c r="AE291" s="1169"/>
      <c r="AF291" s="1177"/>
      <c r="AG291" s="1177"/>
      <c r="AH291" s="1169"/>
      <c r="AI291" s="1169">
        <f t="shared" si="512"/>
        <v>0</v>
      </c>
      <c r="AJ291" s="1169"/>
      <c r="AK291" s="1173"/>
      <c r="AL291" s="1171"/>
      <c r="AM291" s="1128"/>
      <c r="AN291" s="1170"/>
      <c r="AO291" s="1175"/>
      <c r="AP291" s="1175"/>
      <c r="AQ291" s="1170"/>
      <c r="AR291" s="1170">
        <f t="shared" si="513"/>
        <v>0</v>
      </c>
      <c r="AS291" s="1170"/>
      <c r="AT291" s="1170">
        <f t="shared" si="506"/>
        <v>0</v>
      </c>
      <c r="AU291" s="1174"/>
      <c r="AV291" s="1128"/>
      <c r="AW291" s="1170"/>
      <c r="AX291" s="1175"/>
      <c r="AY291" s="1175"/>
      <c r="AZ291" s="1170"/>
      <c r="BA291" s="1170">
        <f t="shared" si="514"/>
        <v>0</v>
      </c>
      <c r="BB291" s="1170"/>
      <c r="BC291" s="1175">
        <f t="shared" si="508"/>
        <v>0</v>
      </c>
      <c r="BD291" s="1027"/>
      <c r="BE291" s="1029"/>
      <c r="BF291" s="1029"/>
    </row>
    <row r="292" ht="23.25" customHeight="1">
      <c r="A292" s="999">
        <f t="shared" si="499"/>
        <v>0</v>
      </c>
      <c r="B292" s="1202" t="s">
        <v>464</v>
      </c>
      <c r="C292" s="1202"/>
      <c r="D292" s="1202"/>
      <c r="E292" s="1164">
        <f t="shared" si="439"/>
        <v>0</v>
      </c>
      <c r="F292" s="1164">
        <f t="shared" si="440"/>
        <v>0</v>
      </c>
      <c r="G292" s="1165">
        <f t="shared" si="509"/>
        <v>0</v>
      </c>
      <c r="H292" s="1266" t="e">
        <f t="shared" si="500"/>
        <v>#DIV/0!</v>
      </c>
      <c r="I292" s="1167">
        <f t="shared" si="457"/>
        <v>0</v>
      </c>
      <c r="J292" s="1167">
        <f t="shared" si="458"/>
        <v>0</v>
      </c>
      <c r="K292" s="1168">
        <f t="shared" si="510"/>
        <v>0</v>
      </c>
      <c r="L292" s="1128"/>
      <c r="M292" s="1169"/>
      <c r="N292" s="1177"/>
      <c r="O292" s="1169"/>
      <c r="P292" s="1169"/>
      <c r="Q292" s="1169">
        <f t="shared" si="484"/>
        <v>0</v>
      </c>
      <c r="R292" s="1169"/>
      <c r="S292" s="1170"/>
      <c r="T292" s="1171"/>
      <c r="U292" s="1128"/>
      <c r="V292" s="1169"/>
      <c r="W292" s="1177"/>
      <c r="X292" s="1177"/>
      <c r="Y292" s="1169"/>
      <c r="Z292" s="1169">
        <f t="shared" si="511"/>
        <v>0</v>
      </c>
      <c r="AA292" s="1169"/>
      <c r="AB292" s="1172">
        <f t="shared" si="503"/>
        <v>0</v>
      </c>
      <c r="AC292" s="1171"/>
      <c r="AD292" s="1128"/>
      <c r="AE292" s="1169"/>
      <c r="AF292" s="1177"/>
      <c r="AG292" s="1177"/>
      <c r="AH292" s="1169"/>
      <c r="AI292" s="1169">
        <f t="shared" si="512"/>
        <v>0</v>
      </c>
      <c r="AJ292" s="1169"/>
      <c r="AK292" s="1173"/>
      <c r="AL292" s="1171"/>
      <c r="AM292" s="1128"/>
      <c r="AN292" s="1170"/>
      <c r="AO292" s="1175"/>
      <c r="AP292" s="1175"/>
      <c r="AQ292" s="1170"/>
      <c r="AR292" s="1170">
        <f t="shared" si="513"/>
        <v>0</v>
      </c>
      <c r="AS292" s="1170"/>
      <c r="AT292" s="1170">
        <f t="shared" si="506"/>
        <v>0</v>
      </c>
      <c r="AU292" s="1174"/>
      <c r="AV292" s="1241"/>
      <c r="AW292" s="1170"/>
      <c r="AX292" s="1175"/>
      <c r="AY292" s="1175"/>
      <c r="AZ292" s="1170"/>
      <c r="BA292" s="1170">
        <f t="shared" si="514"/>
        <v>0</v>
      </c>
      <c r="BB292" s="1170"/>
      <c r="BC292" s="1175">
        <f t="shared" si="508"/>
        <v>0</v>
      </c>
      <c r="BD292" s="1027"/>
      <c r="BE292" s="1029"/>
      <c r="BF292" s="1029"/>
    </row>
    <row r="293" ht="23.25" customHeight="1">
      <c r="A293" s="999">
        <f t="shared" si="499"/>
        <v>0</v>
      </c>
      <c r="B293" s="1202" t="s">
        <v>465</v>
      </c>
      <c r="C293" s="1202"/>
      <c r="D293" s="1202"/>
      <c r="E293" s="1164">
        <f t="shared" si="439"/>
        <v>0</v>
      </c>
      <c r="F293" s="1164">
        <f t="shared" si="440"/>
        <v>0</v>
      </c>
      <c r="G293" s="1165">
        <f t="shared" si="509"/>
        <v>0</v>
      </c>
      <c r="H293" s="1266" t="e">
        <f t="shared" si="500"/>
        <v>#DIV/0!</v>
      </c>
      <c r="I293" s="1167">
        <f t="shared" si="457"/>
        <v>0</v>
      </c>
      <c r="J293" s="1167">
        <f t="shared" si="458"/>
        <v>0</v>
      </c>
      <c r="K293" s="1168">
        <f t="shared" si="510"/>
        <v>0</v>
      </c>
      <c r="L293" s="1128"/>
      <c r="M293" s="1169"/>
      <c r="N293" s="1177"/>
      <c r="O293" s="1169"/>
      <c r="P293" s="1169"/>
      <c r="Q293" s="1169">
        <f t="shared" si="484"/>
        <v>0</v>
      </c>
      <c r="R293" s="1169"/>
      <c r="S293" s="1170"/>
      <c r="T293" s="1171"/>
      <c r="U293" s="1128"/>
      <c r="V293" s="1169"/>
      <c r="W293" s="1177"/>
      <c r="X293" s="1177"/>
      <c r="Y293" s="1169"/>
      <c r="Z293" s="1169">
        <f t="shared" si="511"/>
        <v>0</v>
      </c>
      <c r="AA293" s="1169"/>
      <c r="AB293" s="1172">
        <f t="shared" si="503"/>
        <v>0</v>
      </c>
      <c r="AC293" s="1171"/>
      <c r="AD293" s="1128"/>
      <c r="AE293" s="1169"/>
      <c r="AF293" s="1177"/>
      <c r="AG293" s="1177"/>
      <c r="AH293" s="1169"/>
      <c r="AI293" s="1169">
        <f t="shared" si="512"/>
        <v>0</v>
      </c>
      <c r="AJ293" s="1169"/>
      <c r="AK293" s="1173"/>
      <c r="AL293" s="1171"/>
      <c r="AM293" s="1128"/>
      <c r="AN293" s="1170"/>
      <c r="AO293" s="1175"/>
      <c r="AP293" s="1175"/>
      <c r="AQ293" s="1170"/>
      <c r="AR293" s="1170">
        <f t="shared" si="513"/>
        <v>0</v>
      </c>
      <c r="AS293" s="1170"/>
      <c r="AT293" s="1170">
        <f t="shared" si="506"/>
        <v>0</v>
      </c>
      <c r="AU293" s="1174"/>
      <c r="AV293" s="1241"/>
      <c r="AW293" s="1170"/>
      <c r="AX293" s="1175"/>
      <c r="AY293" s="1175"/>
      <c r="AZ293" s="1170"/>
      <c r="BA293" s="1170">
        <f t="shared" si="514"/>
        <v>0</v>
      </c>
      <c r="BB293" s="1170"/>
      <c r="BC293" s="1175">
        <f t="shared" si="508"/>
        <v>0</v>
      </c>
      <c r="BD293" s="1027"/>
      <c r="BE293" s="1029"/>
      <c r="BF293" s="1029"/>
    </row>
    <row r="294" ht="23.25" customHeight="1">
      <c r="A294" s="999">
        <f t="shared" si="499"/>
        <v>0</v>
      </c>
      <c r="B294" s="1202" t="s">
        <v>303</v>
      </c>
      <c r="C294" s="1202"/>
      <c r="D294" s="1202"/>
      <c r="E294" s="1164">
        <f t="shared" ref="E294:F357" si="515">Q294+Z294+AI294+AR294+BA294</f>
        <v>0</v>
      </c>
      <c r="F294" s="1164">
        <f t="shared" ref="F294:F304" si="516">R294+AA294+AJ294+AS294+BB294</f>
        <v>0</v>
      </c>
      <c r="G294" s="1165">
        <f t="shared" si="509"/>
        <v>0</v>
      </c>
      <c r="H294" s="1266" t="e">
        <f t="shared" si="500"/>
        <v>#DIV/0!</v>
      </c>
      <c r="I294" s="1167">
        <f t="shared" si="457"/>
        <v>0</v>
      </c>
      <c r="J294" s="1167">
        <f t="shared" si="458"/>
        <v>0</v>
      </c>
      <c r="K294" s="1168">
        <f t="shared" si="510"/>
        <v>0</v>
      </c>
      <c r="L294" s="1128"/>
      <c r="M294" s="1169"/>
      <c r="N294" s="1177"/>
      <c r="O294" s="1169"/>
      <c r="P294" s="1169"/>
      <c r="Q294" s="1169">
        <f t="shared" si="484"/>
        <v>0</v>
      </c>
      <c r="R294" s="1169"/>
      <c r="S294" s="1170"/>
      <c r="T294" s="1171"/>
      <c r="U294" s="1128"/>
      <c r="V294" s="1169"/>
      <c r="W294" s="1177"/>
      <c r="X294" s="1177"/>
      <c r="Y294" s="1169"/>
      <c r="Z294" s="1169">
        <f t="shared" si="511"/>
        <v>0</v>
      </c>
      <c r="AA294" s="1169"/>
      <c r="AB294" s="1172">
        <f t="shared" si="503"/>
        <v>0</v>
      </c>
      <c r="AC294" s="1171"/>
      <c r="AD294" s="1128"/>
      <c r="AE294" s="1169"/>
      <c r="AF294" s="1177"/>
      <c r="AG294" s="1177"/>
      <c r="AH294" s="1169"/>
      <c r="AI294" s="1169">
        <f t="shared" si="512"/>
        <v>0</v>
      </c>
      <c r="AJ294" s="1169"/>
      <c r="AK294" s="1173"/>
      <c r="AL294" s="1171"/>
      <c r="AM294" s="1128"/>
      <c r="AN294" s="1170"/>
      <c r="AO294" s="1175"/>
      <c r="AP294" s="1175"/>
      <c r="AQ294" s="1170"/>
      <c r="AR294" s="1170">
        <f t="shared" si="513"/>
        <v>0</v>
      </c>
      <c r="AS294" s="1170"/>
      <c r="AT294" s="1170">
        <f t="shared" si="506"/>
        <v>0</v>
      </c>
      <c r="AU294" s="1174"/>
      <c r="AV294" s="1241"/>
      <c r="AW294" s="1170"/>
      <c r="AX294" s="1175"/>
      <c r="AY294" s="1175"/>
      <c r="AZ294" s="1170"/>
      <c r="BA294" s="1170">
        <f t="shared" si="514"/>
        <v>0</v>
      </c>
      <c r="BB294" s="1170"/>
      <c r="BC294" s="1175">
        <f t="shared" si="508"/>
        <v>0</v>
      </c>
      <c r="BD294" s="1027"/>
      <c r="BE294" s="1029"/>
      <c r="BF294" s="1029"/>
    </row>
    <row r="295" ht="23.25" customHeight="1">
      <c r="A295" s="999">
        <f t="shared" si="499"/>
        <v>0</v>
      </c>
      <c r="B295" s="1202" t="s">
        <v>304</v>
      </c>
      <c r="C295" s="1202"/>
      <c r="D295" s="1202"/>
      <c r="E295" s="1164">
        <f t="shared" si="515"/>
        <v>0</v>
      </c>
      <c r="F295" s="1164">
        <f t="shared" si="516"/>
        <v>0</v>
      </c>
      <c r="G295" s="1165">
        <f t="shared" si="509"/>
        <v>0</v>
      </c>
      <c r="H295" s="1266" t="e">
        <f t="shared" si="500"/>
        <v>#DIV/0!</v>
      </c>
      <c r="I295" s="1167">
        <f t="shared" si="457"/>
        <v>0</v>
      </c>
      <c r="J295" s="1167">
        <f t="shared" si="458"/>
        <v>0</v>
      </c>
      <c r="K295" s="1168">
        <f t="shared" si="510"/>
        <v>0</v>
      </c>
      <c r="L295" s="1128"/>
      <c r="M295" s="1169"/>
      <c r="N295" s="1177"/>
      <c r="O295" s="1169"/>
      <c r="P295" s="1169"/>
      <c r="Q295" s="1169">
        <f t="shared" si="484"/>
        <v>0</v>
      </c>
      <c r="R295" s="1169"/>
      <c r="S295" s="1170"/>
      <c r="T295" s="1171"/>
      <c r="U295" s="1128"/>
      <c r="V295" s="1169"/>
      <c r="W295" s="1177"/>
      <c r="X295" s="1177"/>
      <c r="Y295" s="1169"/>
      <c r="Z295" s="1169">
        <f t="shared" si="511"/>
        <v>0</v>
      </c>
      <c r="AA295" s="1169"/>
      <c r="AB295" s="1172">
        <f t="shared" si="503"/>
        <v>0</v>
      </c>
      <c r="AC295" s="1171"/>
      <c r="AD295" s="1128"/>
      <c r="AE295" s="1169"/>
      <c r="AF295" s="1177"/>
      <c r="AG295" s="1177"/>
      <c r="AH295" s="1169"/>
      <c r="AI295" s="1169">
        <f t="shared" si="512"/>
        <v>0</v>
      </c>
      <c r="AJ295" s="1169"/>
      <c r="AK295" s="1173"/>
      <c r="AL295" s="1171"/>
      <c r="AM295" s="1128"/>
      <c r="AN295" s="1170"/>
      <c r="AO295" s="1175"/>
      <c r="AP295" s="1175"/>
      <c r="AQ295" s="1170"/>
      <c r="AR295" s="1170">
        <f t="shared" si="513"/>
        <v>0</v>
      </c>
      <c r="AS295" s="1170"/>
      <c r="AT295" s="1170">
        <f t="shared" si="506"/>
        <v>0</v>
      </c>
      <c r="AU295" s="1174"/>
      <c r="AV295" s="1241"/>
      <c r="AW295" s="1170"/>
      <c r="AX295" s="1175"/>
      <c r="AY295" s="1175"/>
      <c r="AZ295" s="1170"/>
      <c r="BA295" s="1170">
        <f t="shared" si="514"/>
        <v>0</v>
      </c>
      <c r="BB295" s="1170"/>
      <c r="BC295" s="1175">
        <f t="shared" si="508"/>
        <v>0</v>
      </c>
      <c r="BD295" s="1027"/>
      <c r="BE295" s="1029"/>
      <c r="BF295" s="1029"/>
    </row>
    <row r="296" ht="23.25" customHeight="1">
      <c r="A296" s="999" t="str">
        <f t="shared" si="499"/>
        <v xml:space="preserve">Радченко Т.А.</v>
      </c>
      <c r="B296" s="1202" t="s">
        <v>467</v>
      </c>
      <c r="C296" s="1202"/>
      <c r="D296" s="1202"/>
      <c r="E296" s="1164">
        <f t="shared" si="515"/>
        <v>0</v>
      </c>
      <c r="F296" s="1164">
        <f t="shared" si="516"/>
        <v>0</v>
      </c>
      <c r="G296" s="1165">
        <f t="shared" si="509"/>
        <v>0</v>
      </c>
      <c r="H296" s="1266" t="e">
        <f t="shared" si="500"/>
        <v>#DIV/0!</v>
      </c>
      <c r="I296" s="1167">
        <f t="shared" si="457"/>
        <v>0</v>
      </c>
      <c r="J296" s="1167">
        <f t="shared" si="458"/>
        <v>0</v>
      </c>
      <c r="K296" s="1168">
        <f t="shared" si="510"/>
        <v>0</v>
      </c>
      <c r="L296" s="1128"/>
      <c r="M296" s="1169"/>
      <c r="N296" s="1177"/>
      <c r="O296" s="1169"/>
      <c r="P296" s="1169"/>
      <c r="Q296" s="1169">
        <f t="shared" si="484"/>
        <v>0</v>
      </c>
      <c r="R296" s="1169"/>
      <c r="S296" s="1170"/>
      <c r="T296" s="1171"/>
      <c r="U296" s="1128"/>
      <c r="V296" s="1169"/>
      <c r="W296" s="1177"/>
      <c r="X296" s="1177"/>
      <c r="Y296" s="1169"/>
      <c r="Z296" s="1169">
        <f t="shared" si="511"/>
        <v>0</v>
      </c>
      <c r="AA296" s="1169"/>
      <c r="AB296" s="1172">
        <f t="shared" si="503"/>
        <v>0</v>
      </c>
      <c r="AC296" s="1171"/>
      <c r="AD296" s="1128"/>
      <c r="AE296" s="1169"/>
      <c r="AF296" s="1177"/>
      <c r="AG296" s="1177"/>
      <c r="AH296" s="1169"/>
      <c r="AI296" s="1169">
        <f t="shared" si="512"/>
        <v>0</v>
      </c>
      <c r="AJ296" s="1169"/>
      <c r="AK296" s="1173"/>
      <c r="AL296" s="1171"/>
      <c r="AM296" s="1128"/>
      <c r="AN296" s="1170"/>
      <c r="AO296" s="1175"/>
      <c r="AP296" s="1175"/>
      <c r="AQ296" s="1170"/>
      <c r="AR296" s="1170">
        <f t="shared" si="513"/>
        <v>0</v>
      </c>
      <c r="AS296" s="1170"/>
      <c r="AT296" s="1170">
        <f t="shared" si="506"/>
        <v>0</v>
      </c>
      <c r="AU296" s="1174"/>
      <c r="AV296" s="1241"/>
      <c r="AW296" s="1170"/>
      <c r="AX296" s="1175"/>
      <c r="AY296" s="1175"/>
      <c r="AZ296" s="1170"/>
      <c r="BA296" s="1170">
        <f t="shared" si="514"/>
        <v>0</v>
      </c>
      <c r="BB296" s="1170"/>
      <c r="BC296" s="1175">
        <f t="shared" si="508"/>
        <v>0</v>
      </c>
      <c r="BD296" s="1027"/>
      <c r="BE296" s="1029"/>
      <c r="BF296" s="1029"/>
    </row>
    <row r="297" s="1249" customFormat="1" ht="23.25" customHeight="1">
      <c r="A297" s="999" t="str">
        <f t="shared" si="499"/>
        <v xml:space="preserve">Старшие м.- АОКБ (кислород)</v>
      </c>
      <c r="B297" s="1202" t="s">
        <v>469</v>
      </c>
      <c r="C297" s="1202"/>
      <c r="D297" s="1202"/>
      <c r="E297" s="1164">
        <f t="shared" si="515"/>
        <v>0</v>
      </c>
      <c r="F297" s="1164">
        <f t="shared" si="516"/>
        <v>0</v>
      </c>
      <c r="G297" s="1165">
        <f t="shared" si="509"/>
        <v>0</v>
      </c>
      <c r="H297" s="1266" t="e">
        <f t="shared" si="500"/>
        <v>#DIV/0!</v>
      </c>
      <c r="I297" s="1167">
        <f t="shared" si="457"/>
        <v>0</v>
      </c>
      <c r="J297" s="1167">
        <f t="shared" si="458"/>
        <v>0</v>
      </c>
      <c r="K297" s="1168">
        <f t="shared" si="510"/>
        <v>0</v>
      </c>
      <c r="L297" s="1128"/>
      <c r="M297" s="1169"/>
      <c r="N297" s="1177"/>
      <c r="O297" s="1169"/>
      <c r="P297" s="1169"/>
      <c r="Q297" s="1169">
        <f t="shared" si="484"/>
        <v>0</v>
      </c>
      <c r="R297" s="1169"/>
      <c r="S297" s="1170"/>
      <c r="T297" s="1171"/>
      <c r="U297" s="1128"/>
      <c r="V297" s="1169"/>
      <c r="W297" s="1177"/>
      <c r="X297" s="1177"/>
      <c r="Y297" s="1169"/>
      <c r="Z297" s="1169">
        <f t="shared" si="511"/>
        <v>0</v>
      </c>
      <c r="AA297" s="1169"/>
      <c r="AB297" s="1172">
        <f t="shared" si="503"/>
        <v>0</v>
      </c>
      <c r="AC297" s="1171"/>
      <c r="AD297" s="1128"/>
      <c r="AE297" s="1169"/>
      <c r="AF297" s="1177"/>
      <c r="AG297" s="1177"/>
      <c r="AH297" s="1169"/>
      <c r="AI297" s="1169">
        <f t="shared" si="512"/>
        <v>0</v>
      </c>
      <c r="AJ297" s="1169"/>
      <c r="AK297" s="1173"/>
      <c r="AL297" s="1171"/>
      <c r="AM297" s="1128"/>
      <c r="AN297" s="1170"/>
      <c r="AO297" s="1175"/>
      <c r="AP297" s="1175"/>
      <c r="AQ297" s="1170"/>
      <c r="AR297" s="1170">
        <f t="shared" si="513"/>
        <v>0</v>
      </c>
      <c r="AS297" s="1170"/>
      <c r="AT297" s="1170">
        <f t="shared" si="506"/>
        <v>0</v>
      </c>
      <c r="AU297" s="1174"/>
      <c r="AV297" s="1241"/>
      <c r="AW297" s="1170"/>
      <c r="AX297" s="1175"/>
      <c r="AY297" s="1175"/>
      <c r="AZ297" s="1170"/>
      <c r="BA297" s="1170">
        <f t="shared" si="514"/>
        <v>0</v>
      </c>
      <c r="BB297" s="1170"/>
      <c r="BC297" s="1175">
        <f t="shared" si="508"/>
        <v>0</v>
      </c>
      <c r="BD297" s="1250"/>
      <c r="BE297" s="1251"/>
      <c r="BF297" s="1251"/>
      <c r="BG297" s="1252"/>
      <c r="BH297" s="1252"/>
      <c r="BI297" s="1252"/>
      <c r="BJ297" s="1252"/>
      <c r="BK297" s="1252"/>
      <c r="BL297" s="1252"/>
      <c r="BM297" s="1252"/>
    </row>
    <row r="298" s="1215" customFormat="1" ht="23.25" customHeight="1">
      <c r="A298" s="1216"/>
      <c r="B298" s="1205" t="s">
        <v>27</v>
      </c>
      <c r="C298" s="1205"/>
      <c r="D298" s="1205"/>
      <c r="E298" s="1183">
        <f t="shared" si="515"/>
        <v>0</v>
      </c>
      <c r="F298" s="1183">
        <f t="shared" si="516"/>
        <v>0</v>
      </c>
      <c r="G298" s="1184">
        <f>SUM(G272:G297)</f>
        <v>0</v>
      </c>
      <c r="H298" s="1267" t="e">
        <f t="shared" si="500"/>
        <v>#DIV/0!</v>
      </c>
      <c r="I298" s="1186">
        <f t="shared" si="457"/>
        <v>0</v>
      </c>
      <c r="J298" s="1186">
        <f t="shared" si="458"/>
        <v>0</v>
      </c>
      <c r="K298" s="1187">
        <f>SUM(K272:K297)</f>
        <v>0</v>
      </c>
      <c r="L298" s="1210"/>
      <c r="M298" s="1213">
        <f t="shared" ref="M298:AJ298" si="517">SUM(M272:M297)</f>
        <v>0</v>
      </c>
      <c r="N298" s="1213">
        <f t="shared" si="517"/>
        <v>0</v>
      </c>
      <c r="O298" s="1213">
        <f t="shared" si="517"/>
        <v>0</v>
      </c>
      <c r="P298" s="1213">
        <f t="shared" si="517"/>
        <v>0</v>
      </c>
      <c r="Q298" s="1213">
        <f t="shared" si="517"/>
        <v>0</v>
      </c>
      <c r="R298" s="1213">
        <f t="shared" si="517"/>
        <v>0</v>
      </c>
      <c r="S298" s="1170"/>
      <c r="T298" s="1214"/>
      <c r="U298" s="1210">
        <f t="shared" si="517"/>
        <v>0</v>
      </c>
      <c r="V298" s="1209">
        <f t="shared" si="517"/>
        <v>0</v>
      </c>
      <c r="W298" s="1209">
        <f t="shared" si="517"/>
        <v>0</v>
      </c>
      <c r="X298" s="1209">
        <f t="shared" si="517"/>
        <v>0</v>
      </c>
      <c r="Y298" s="1209">
        <f t="shared" si="517"/>
        <v>0</v>
      </c>
      <c r="Z298" s="1209">
        <f t="shared" si="517"/>
        <v>0</v>
      </c>
      <c r="AA298" s="1209">
        <f t="shared" si="517"/>
        <v>0</v>
      </c>
      <c r="AB298" s="1172">
        <f t="shared" si="503"/>
        <v>0</v>
      </c>
      <c r="AC298" s="1208"/>
      <c r="AD298" s="1210">
        <f t="shared" si="517"/>
        <v>0</v>
      </c>
      <c r="AE298" s="1209">
        <f t="shared" si="517"/>
        <v>0</v>
      </c>
      <c r="AF298" s="1209">
        <f t="shared" si="517"/>
        <v>0</v>
      </c>
      <c r="AG298" s="1209">
        <f t="shared" si="517"/>
        <v>0</v>
      </c>
      <c r="AH298" s="1209">
        <f t="shared" si="517"/>
        <v>0</v>
      </c>
      <c r="AI298" s="1209">
        <f t="shared" si="517"/>
        <v>0</v>
      </c>
      <c r="AJ298" s="1209">
        <f t="shared" si="517"/>
        <v>0</v>
      </c>
      <c r="AK298" s="1173"/>
      <c r="AL298" s="1208"/>
      <c r="AM298" s="1128"/>
      <c r="AN298" s="1190">
        <f t="shared" ref="AN298:AS298" si="518">SUM(AN272:AN297)</f>
        <v>0</v>
      </c>
      <c r="AO298" s="1190">
        <f t="shared" si="518"/>
        <v>0</v>
      </c>
      <c r="AP298" s="1190">
        <f t="shared" si="518"/>
        <v>0</v>
      </c>
      <c r="AQ298" s="1190">
        <f t="shared" si="518"/>
        <v>0</v>
      </c>
      <c r="AR298" s="1190">
        <f t="shared" si="518"/>
        <v>0</v>
      </c>
      <c r="AS298" s="1190">
        <f t="shared" si="518"/>
        <v>0</v>
      </c>
      <c r="AT298" s="1190">
        <f t="shared" si="506"/>
        <v>0</v>
      </c>
      <c r="AU298" s="1191"/>
      <c r="AV298" s="1241"/>
      <c r="AW298" s="1190">
        <f t="shared" ref="AW298:BB298" si="519">SUM(AW272:AW297)</f>
        <v>0</v>
      </c>
      <c r="AX298" s="1190">
        <f t="shared" si="519"/>
        <v>0</v>
      </c>
      <c r="AY298" s="1190">
        <f t="shared" si="519"/>
        <v>0</v>
      </c>
      <c r="AZ298" s="1190">
        <f t="shared" si="519"/>
        <v>0</v>
      </c>
      <c r="BA298" s="1190">
        <f t="shared" si="519"/>
        <v>0</v>
      </c>
      <c r="BB298" s="1190">
        <f t="shared" si="519"/>
        <v>0</v>
      </c>
      <c r="BC298" s="1268">
        <f t="shared" si="508"/>
        <v>0</v>
      </c>
      <c r="BD298" s="1027"/>
      <c r="BE298" s="1024"/>
      <c r="BF298" s="1024"/>
      <c r="BG298" s="1008"/>
      <c r="BH298" s="1008"/>
      <c r="BI298" s="1008"/>
      <c r="BJ298" s="1008"/>
      <c r="BK298" s="1008"/>
      <c r="BL298" s="1008"/>
      <c r="BM298" s="1008"/>
    </row>
    <row r="299" s="1269" customFormat="1" ht="23.25" customHeight="1">
      <c r="A299" s="1270"/>
      <c r="B299" s="1205" t="s">
        <v>478</v>
      </c>
      <c r="C299" s="1205"/>
      <c r="D299" s="1205"/>
      <c r="E299" s="1183">
        <f t="shared" si="515"/>
        <v>0</v>
      </c>
      <c r="F299" s="1183">
        <f t="shared" si="516"/>
        <v>0</v>
      </c>
      <c r="G299" s="1220">
        <f>G298+G271+G257+G248</f>
        <v>0</v>
      </c>
      <c r="H299" s="1267" t="e">
        <f t="shared" si="500"/>
        <v>#DIV/0!</v>
      </c>
      <c r="I299" s="1186">
        <f t="shared" si="457"/>
        <v>0</v>
      </c>
      <c r="J299" s="1186">
        <f t="shared" si="458"/>
        <v>0</v>
      </c>
      <c r="K299" s="1222">
        <f>K298+K271+K257+K248</f>
        <v>0</v>
      </c>
      <c r="L299" s="1197"/>
      <c r="M299" s="1096">
        <f t="shared" ref="M299:BB299" si="520">M298+M271+M257+M248</f>
        <v>0</v>
      </c>
      <c r="N299" s="1096">
        <f t="shared" si="520"/>
        <v>0</v>
      </c>
      <c r="O299" s="1096">
        <f>O298+O271+O257+O248</f>
        <v>0</v>
      </c>
      <c r="P299" s="1096">
        <f t="shared" si="520"/>
        <v>0</v>
      </c>
      <c r="Q299" s="1096">
        <f t="shared" si="520"/>
        <v>0</v>
      </c>
      <c r="R299" s="1096">
        <f t="shared" si="520"/>
        <v>0</v>
      </c>
      <c r="S299" s="1170"/>
      <c r="T299" s="1189"/>
      <c r="U299" s="1190">
        <f t="shared" si="520"/>
        <v>0</v>
      </c>
      <c r="V299" s="1096">
        <f t="shared" si="520"/>
        <v>0</v>
      </c>
      <c r="W299" s="1096">
        <f t="shared" si="520"/>
        <v>0</v>
      </c>
      <c r="X299" s="1096">
        <f t="shared" si="520"/>
        <v>0</v>
      </c>
      <c r="Y299" s="1096">
        <f t="shared" si="520"/>
        <v>0</v>
      </c>
      <c r="Z299" s="1096">
        <f t="shared" si="520"/>
        <v>0</v>
      </c>
      <c r="AA299" s="1096">
        <f>AA298+AA271+AA257+AA248</f>
        <v>0</v>
      </c>
      <c r="AB299" s="1172">
        <f t="shared" si="503"/>
        <v>0</v>
      </c>
      <c r="AC299" s="1189"/>
      <c r="AD299" s="1197">
        <f t="shared" si="520"/>
        <v>0</v>
      </c>
      <c r="AE299" s="1096">
        <f t="shared" si="520"/>
        <v>0</v>
      </c>
      <c r="AF299" s="1096">
        <f t="shared" si="520"/>
        <v>0</v>
      </c>
      <c r="AG299" s="1096">
        <f t="shared" si="520"/>
        <v>0</v>
      </c>
      <c r="AH299" s="1096">
        <f t="shared" si="520"/>
        <v>0</v>
      </c>
      <c r="AI299" s="1096">
        <f t="shared" si="520"/>
        <v>0</v>
      </c>
      <c r="AJ299" s="1096">
        <f t="shared" si="520"/>
        <v>0</v>
      </c>
      <c r="AK299" s="1173"/>
      <c r="AL299" s="1189"/>
      <c r="AM299" s="1197">
        <f t="shared" si="520"/>
        <v>0</v>
      </c>
      <c r="AN299" s="1190">
        <f t="shared" si="520"/>
        <v>0</v>
      </c>
      <c r="AO299" s="1190">
        <f t="shared" si="520"/>
        <v>0</v>
      </c>
      <c r="AP299" s="1190">
        <f t="shared" si="520"/>
        <v>0</v>
      </c>
      <c r="AQ299" s="1190">
        <f t="shared" si="520"/>
        <v>0</v>
      </c>
      <c r="AR299" s="1190">
        <f t="shared" si="520"/>
        <v>0</v>
      </c>
      <c r="AS299" s="1190">
        <f t="shared" si="520"/>
        <v>0</v>
      </c>
      <c r="AT299" s="1190">
        <f t="shared" si="506"/>
        <v>0</v>
      </c>
      <c r="AU299" s="1191"/>
      <c r="AV299" s="1190">
        <f t="shared" si="520"/>
        <v>0</v>
      </c>
      <c r="AW299" s="1190">
        <f t="shared" si="520"/>
        <v>0</v>
      </c>
      <c r="AX299" s="1190">
        <f t="shared" si="520"/>
        <v>0</v>
      </c>
      <c r="AY299" s="1190">
        <f t="shared" si="520"/>
        <v>0</v>
      </c>
      <c r="AZ299" s="1190">
        <f t="shared" si="520"/>
        <v>0</v>
      </c>
      <c r="BA299" s="1190">
        <f t="shared" si="520"/>
        <v>0</v>
      </c>
      <c r="BB299" s="1190">
        <f t="shared" si="520"/>
        <v>0</v>
      </c>
      <c r="BC299" s="1268">
        <f t="shared" si="508"/>
        <v>0</v>
      </c>
      <c r="BD299" s="1271"/>
      <c r="BE299" s="1272"/>
      <c r="BF299" s="1272"/>
      <c r="BG299" s="1273"/>
      <c r="BH299" s="1273"/>
      <c r="BI299" s="1273"/>
      <c r="BJ299" s="1273"/>
      <c r="BK299" s="1273"/>
      <c r="BL299" s="1273"/>
      <c r="BM299" s="1273"/>
    </row>
    <row r="300" s="1252" customFormat="1" ht="22.149999999999999" customHeight="1">
      <c r="A300" s="1274"/>
      <c r="B300" s="1275"/>
      <c r="C300" s="1275"/>
      <c r="D300" s="1275"/>
      <c r="E300" s="1257"/>
      <c r="F300" s="1257"/>
      <c r="G300" s="1257"/>
      <c r="H300" s="1250"/>
      <c r="I300" s="1258"/>
      <c r="J300" s="1258"/>
      <c r="K300" s="1167"/>
      <c r="L300" s="1251"/>
      <c r="M300" s="1251"/>
      <c r="N300" s="1251"/>
      <c r="O300" s="1251"/>
      <c r="P300" s="1261"/>
      <c r="Q300" s="1261"/>
      <c r="R300" s="1261"/>
      <c r="S300" s="1170"/>
      <c r="T300" s="1259"/>
      <c r="U300" s="1251"/>
      <c r="V300" s="1261"/>
      <c r="W300" s="1261"/>
      <c r="X300" s="1251"/>
      <c r="Y300" s="1251"/>
      <c r="Z300" s="1251"/>
      <c r="AA300" s="1251"/>
      <c r="AB300" s="1170"/>
      <c r="AC300" s="1259"/>
      <c r="AD300" s="1251"/>
      <c r="AE300" s="1261"/>
      <c r="AF300" s="1261"/>
      <c r="AG300" s="1251"/>
      <c r="AH300" s="1261"/>
      <c r="AI300" s="1261"/>
      <c r="AJ300" s="1261"/>
      <c r="AK300" s="1173"/>
      <c r="AL300" s="1259"/>
      <c r="AM300" s="1251"/>
      <c r="AN300" s="1251"/>
      <c r="AO300" s="1251"/>
      <c r="AP300" s="1251"/>
      <c r="AQ300" s="1251"/>
      <c r="AR300" s="1251"/>
      <c r="AS300" s="1251"/>
      <c r="AT300" s="1170"/>
      <c r="AU300" s="1250"/>
      <c r="AV300" s="1251"/>
      <c r="AW300" s="1251"/>
      <c r="AX300" s="1251"/>
      <c r="AY300" s="1251"/>
      <c r="AZ300" s="1251"/>
      <c r="BA300" s="1251"/>
      <c r="BB300" s="1251"/>
      <c r="BC300" s="1175"/>
      <c r="BD300" s="1250"/>
      <c r="BE300" s="1251"/>
      <c r="BF300" s="1251"/>
    </row>
    <row r="301" s="1000" customFormat="1" ht="37.5" customHeight="1">
      <c r="A301" s="999"/>
      <c r="B301" s="1265" t="s">
        <v>479</v>
      </c>
      <c r="C301" s="1265"/>
      <c r="D301" s="1265"/>
      <c r="E301" s="1113" t="s">
        <v>347</v>
      </c>
      <c r="F301" s="1114"/>
      <c r="G301" s="1114"/>
      <c r="H301" s="1115"/>
      <c r="I301" s="1235" t="s">
        <v>335</v>
      </c>
      <c r="J301" s="1236"/>
      <c r="K301" s="1237"/>
      <c r="L301" s="1119"/>
      <c r="M301" s="1120" t="s">
        <v>127</v>
      </c>
      <c r="N301" s="1121"/>
      <c r="O301" s="1121"/>
      <c r="P301" s="1121"/>
      <c r="Q301" s="1121"/>
      <c r="R301" s="1122"/>
      <c r="S301" s="1123"/>
      <c r="T301" s="1124"/>
      <c r="U301" s="1125"/>
      <c r="V301" s="1120" t="s">
        <v>325</v>
      </c>
      <c r="W301" s="1121"/>
      <c r="X301" s="1121"/>
      <c r="Y301" s="1121"/>
      <c r="Z301" s="1121"/>
      <c r="AA301" s="1122"/>
      <c r="AB301" s="1115"/>
      <c r="AC301" s="1126"/>
      <c r="AD301" s="1125"/>
      <c r="AE301" s="1120" t="s">
        <v>311</v>
      </c>
      <c r="AF301" s="1121"/>
      <c r="AG301" s="1121"/>
      <c r="AH301" s="1121"/>
      <c r="AI301" s="1121"/>
      <c r="AJ301" s="1122"/>
      <c r="AK301" s="1127"/>
      <c r="AL301" s="1126"/>
      <c r="AM301" s="1128"/>
      <c r="AN301" s="1043" t="s">
        <v>327</v>
      </c>
      <c r="AO301" s="1044"/>
      <c r="AP301" s="1044"/>
      <c r="AQ301" s="1044"/>
      <c r="AR301" s="1044"/>
      <c r="AS301" s="1045"/>
      <c r="AT301" s="1129"/>
      <c r="AU301" s="1130"/>
      <c r="AV301" s="1131"/>
      <c r="AW301" s="1043" t="s">
        <v>349</v>
      </c>
      <c r="AX301" s="1044"/>
      <c r="AY301" s="1044"/>
      <c r="AZ301" s="1044"/>
      <c r="BA301" s="1044"/>
      <c r="BB301" s="1045"/>
      <c r="BC301" s="1029"/>
      <c r="BD301" s="1276"/>
      <c r="BE301" s="1276"/>
      <c r="BF301" s="1133"/>
    </row>
    <row r="302" ht="18.75" customHeight="1">
      <c r="A302" s="1110"/>
      <c r="B302" s="1134" t="s">
        <v>350</v>
      </c>
      <c r="C302" s="1134"/>
      <c r="D302" s="1134"/>
      <c r="E302" s="1135" t="s">
        <v>332</v>
      </c>
      <c r="F302" s="1135" t="s">
        <v>333</v>
      </c>
      <c r="G302" s="1136" t="s">
        <v>334</v>
      </c>
      <c r="H302" s="1137" t="s">
        <v>341</v>
      </c>
      <c r="I302" s="1138"/>
      <c r="J302" s="1138"/>
      <c r="K302" s="1139"/>
      <c r="L302" s="1119"/>
      <c r="M302" s="1073" t="s">
        <v>336</v>
      </c>
      <c r="N302" s="1073" t="s">
        <v>337</v>
      </c>
      <c r="O302" s="1073" t="s">
        <v>338</v>
      </c>
      <c r="P302" s="1073" t="s">
        <v>344</v>
      </c>
      <c r="Q302" s="1073" t="s">
        <v>351</v>
      </c>
      <c r="R302" s="1140" t="s">
        <v>339</v>
      </c>
      <c r="S302" s="1141" t="s">
        <v>340</v>
      </c>
      <c r="T302" s="1142"/>
      <c r="U302" s="1128"/>
      <c r="V302" s="1073" t="s">
        <v>336</v>
      </c>
      <c r="W302" s="1073" t="s">
        <v>337</v>
      </c>
      <c r="X302" s="1073" t="s">
        <v>338</v>
      </c>
      <c r="Y302" s="1073" t="s">
        <v>344</v>
      </c>
      <c r="Z302" s="1073" t="s">
        <v>351</v>
      </c>
      <c r="AA302" s="1140" t="s">
        <v>339</v>
      </c>
      <c r="AB302" s="1143" t="str">
        <f>S302</f>
        <v xml:space="preserve">Итого (спирт+наркотики+растворы+перевязка)</v>
      </c>
      <c r="AC302" s="1142"/>
      <c r="AD302" s="1128"/>
      <c r="AE302" s="1073" t="s">
        <v>336</v>
      </c>
      <c r="AF302" s="1073" t="s">
        <v>337</v>
      </c>
      <c r="AG302" s="1073" t="s">
        <v>338</v>
      </c>
      <c r="AH302" s="1073" t="s">
        <v>344</v>
      </c>
      <c r="AI302" s="1073" t="s">
        <v>351</v>
      </c>
      <c r="AJ302" s="1140" t="s">
        <v>339</v>
      </c>
      <c r="AK302" s="1141" t="s">
        <v>340</v>
      </c>
      <c r="AL302" s="1142"/>
      <c r="AM302" s="1128"/>
      <c r="AN302" s="1144" t="s">
        <v>336</v>
      </c>
      <c r="AO302" s="1144" t="s">
        <v>337</v>
      </c>
      <c r="AP302" s="1144" t="s">
        <v>338</v>
      </c>
      <c r="AQ302" s="1073" t="s">
        <v>344</v>
      </c>
      <c r="AR302" s="1073" t="s">
        <v>351</v>
      </c>
      <c r="AS302" s="1140" t="s">
        <v>339</v>
      </c>
      <c r="AT302" s="1145"/>
      <c r="AU302" s="1146"/>
      <c r="AV302" s="1131"/>
      <c r="AW302" s="1144" t="s">
        <v>336</v>
      </c>
      <c r="AX302" s="1144" t="s">
        <v>337</v>
      </c>
      <c r="AY302" s="1144" t="s">
        <v>338</v>
      </c>
      <c r="AZ302" s="1073" t="s">
        <v>344</v>
      </c>
      <c r="BA302" s="1073" t="s">
        <v>351</v>
      </c>
      <c r="BB302" s="1140" t="s">
        <v>339</v>
      </c>
      <c r="BC302" s="1147"/>
      <c r="BD302" s="1132"/>
      <c r="BE302" s="1133"/>
      <c r="BF302" s="1133"/>
    </row>
    <row r="303" ht="39.75" customHeight="1">
      <c r="A303" s="1110"/>
      <c r="B303" s="1149"/>
      <c r="C303" s="1149"/>
      <c r="D303" s="1149"/>
      <c r="E303" s="1150"/>
      <c r="F303" s="1150"/>
      <c r="G303" s="1151"/>
      <c r="H303" s="1152"/>
      <c r="I303" s="1153" t="s">
        <v>342</v>
      </c>
      <c r="J303" s="1154" t="s">
        <v>339</v>
      </c>
      <c r="K303" s="1155" t="s">
        <v>335</v>
      </c>
      <c r="L303" s="1119"/>
      <c r="M303" s="1095"/>
      <c r="N303" s="1095"/>
      <c r="O303" s="1095"/>
      <c r="P303" s="1095"/>
      <c r="Q303" s="1095"/>
      <c r="R303" s="1123"/>
      <c r="S303" s="1156"/>
      <c r="T303" s="1124"/>
      <c r="U303" s="1128"/>
      <c r="V303" s="1095"/>
      <c r="W303" s="1095"/>
      <c r="X303" s="1095"/>
      <c r="Y303" s="1095"/>
      <c r="Z303" s="1095"/>
      <c r="AA303" s="1123"/>
      <c r="AB303" s="1157"/>
      <c r="AC303" s="1124"/>
      <c r="AD303" s="1128"/>
      <c r="AE303" s="1095"/>
      <c r="AF303" s="1095"/>
      <c r="AG303" s="1095"/>
      <c r="AH303" s="1095"/>
      <c r="AI303" s="1095"/>
      <c r="AJ303" s="1123"/>
      <c r="AK303" s="1156"/>
      <c r="AL303" s="1124"/>
      <c r="AM303" s="1128"/>
      <c r="AN303" s="1158"/>
      <c r="AO303" s="1158"/>
      <c r="AP303" s="1158"/>
      <c r="AQ303" s="1095"/>
      <c r="AR303" s="1095"/>
      <c r="AS303" s="1123"/>
      <c r="AT303" s="1159"/>
      <c r="AU303" s="1160"/>
      <c r="AV303" s="1131"/>
      <c r="AW303" s="1158"/>
      <c r="AX303" s="1158"/>
      <c r="AY303" s="1158"/>
      <c r="AZ303" s="1095"/>
      <c r="BA303" s="1095"/>
      <c r="BB303" s="1123"/>
      <c r="BC303" s="1161"/>
      <c r="BD303" s="1132"/>
      <c r="BE303" s="1133"/>
      <c r="BF303" s="1133"/>
    </row>
    <row r="304" s="1000" customFormat="1">
      <c r="A304" s="999" t="str">
        <f t="shared" ref="A304:A367" si="521">A207</f>
        <v xml:space="preserve">Павельева Л.Г.</v>
      </c>
      <c r="B304" s="1162" t="s">
        <v>178</v>
      </c>
      <c r="C304" s="1162"/>
      <c r="D304" s="1163"/>
      <c r="E304" s="1164">
        <f t="shared" si="515"/>
        <v>0</v>
      </c>
      <c r="F304" s="1164">
        <f t="shared" si="516"/>
        <v>0</v>
      </c>
      <c r="G304" s="1165">
        <f t="shared" ref="G304:G311" si="522">E304+F304</f>
        <v>0</v>
      </c>
      <c r="H304" s="1277"/>
      <c r="I304" s="1167">
        <f t="shared" ref="I301:J364" si="523">E304-Z304</f>
        <v>0</v>
      </c>
      <c r="J304" s="1167">
        <f t="shared" ref="J301:J364" si="524">F304-AA304</f>
        <v>0</v>
      </c>
      <c r="K304" s="1168">
        <f t="shared" ref="K304:K311" si="525">I304+J304</f>
        <v>0</v>
      </c>
      <c r="L304" s="1128"/>
      <c r="M304" s="1169"/>
      <c r="N304" s="1169"/>
      <c r="O304" s="1169"/>
      <c r="P304" s="1169"/>
      <c r="Q304" s="1169">
        <f t="shared" ref="Q304:Q311" si="526">SUM(M304:P304)</f>
        <v>0</v>
      </c>
      <c r="R304" s="1169"/>
      <c r="S304" s="1170"/>
      <c r="T304" s="1171"/>
      <c r="U304" s="1128"/>
      <c r="V304" s="1169"/>
      <c r="W304" s="1169"/>
      <c r="X304" s="1169"/>
      <c r="Y304" s="1169"/>
      <c r="Z304" s="1169">
        <f t="shared" ref="Z304:Z311" si="527">SUM(V304:Y304)</f>
        <v>0</v>
      </c>
      <c r="AA304" s="1169"/>
      <c r="AB304" s="1172">
        <f t="shared" ref="AB304:AB367" si="528">Z304+AA304</f>
        <v>0</v>
      </c>
      <c r="AC304" s="1171"/>
      <c r="AD304" s="1128"/>
      <c r="AE304" s="1169"/>
      <c r="AF304" s="1169"/>
      <c r="AG304" s="1169"/>
      <c r="AH304" s="1169"/>
      <c r="AI304" s="1169">
        <f t="shared" ref="AI304:AI311" si="529">SUM(AE304:AH304)</f>
        <v>0</v>
      </c>
      <c r="AJ304" s="1169"/>
      <c r="AK304" s="1173"/>
      <c r="AL304" s="1171"/>
      <c r="AM304" s="1128"/>
      <c r="AN304" s="1170"/>
      <c r="AO304" s="1170"/>
      <c r="AP304" s="1170"/>
      <c r="AQ304" s="1170"/>
      <c r="AR304" s="1170">
        <f t="shared" ref="AR304:AR311" si="530">SUM(AN304:AQ304)</f>
        <v>0</v>
      </c>
      <c r="AS304" s="1170"/>
      <c r="AT304" s="1170"/>
      <c r="AU304" s="1174"/>
      <c r="AV304" s="1241"/>
      <c r="AW304" s="1169"/>
      <c r="AX304" s="1169"/>
      <c r="AY304" s="1169"/>
      <c r="AZ304" s="1169"/>
      <c r="BA304" s="1169">
        <f t="shared" ref="BA304:BA311" si="531">SUM(AW304:AZ304)</f>
        <v>0</v>
      </c>
      <c r="BB304" s="1169"/>
      <c r="BC304" s="1177">
        <f t="shared" si="508"/>
        <v>0</v>
      </c>
      <c r="BD304" s="1027"/>
      <c r="BE304" s="1029"/>
      <c r="BF304" s="1029"/>
    </row>
    <row r="305" s="1000" customFormat="1">
      <c r="A305" s="999" t="str">
        <f t="shared" si="521"/>
        <v xml:space="preserve">Губаренко О.Н.</v>
      </c>
      <c r="B305" s="1176" t="s">
        <v>354</v>
      </c>
      <c r="C305" s="1176"/>
      <c r="D305" s="1163"/>
      <c r="E305" s="1164">
        <f t="shared" si="515"/>
        <v>0</v>
      </c>
      <c r="F305" s="1164">
        <f t="shared" ref="F305:F309" si="532">P305+AA305+AJ305+AS305+BB305</f>
        <v>0</v>
      </c>
      <c r="G305" s="1165">
        <f t="shared" si="522"/>
        <v>0</v>
      </c>
      <c r="H305" s="1277"/>
      <c r="I305" s="1167">
        <f t="shared" si="523"/>
        <v>0</v>
      </c>
      <c r="J305" s="1167">
        <f t="shared" si="524"/>
        <v>0</v>
      </c>
      <c r="K305" s="1168">
        <f t="shared" si="525"/>
        <v>0</v>
      </c>
      <c r="L305" s="1128"/>
      <c r="M305" s="1169"/>
      <c r="N305" s="1177"/>
      <c r="O305" s="1169"/>
      <c r="P305" s="1169"/>
      <c r="Q305" s="1169">
        <f t="shared" si="526"/>
        <v>0</v>
      </c>
      <c r="R305" s="1169"/>
      <c r="S305" s="1278"/>
      <c r="T305" s="1171"/>
      <c r="U305" s="1128"/>
      <c r="V305" s="1169"/>
      <c r="W305" s="1177"/>
      <c r="X305" s="1177"/>
      <c r="Y305" s="1169"/>
      <c r="Z305" s="1169">
        <f t="shared" si="527"/>
        <v>0</v>
      </c>
      <c r="AA305" s="1169"/>
      <c r="AB305" s="1172">
        <f t="shared" si="528"/>
        <v>0</v>
      </c>
      <c r="AC305" s="1171"/>
      <c r="AD305" s="1128"/>
      <c r="AE305" s="1169"/>
      <c r="AF305" s="1177"/>
      <c r="AG305" s="1177"/>
      <c r="AH305" s="1169"/>
      <c r="AI305" s="1169">
        <f t="shared" si="529"/>
        <v>0</v>
      </c>
      <c r="AJ305" s="1169"/>
      <c r="AK305" s="1173"/>
      <c r="AL305" s="1171"/>
      <c r="AM305" s="1128"/>
      <c r="AN305" s="1170"/>
      <c r="AO305" s="1175"/>
      <c r="AP305" s="1175"/>
      <c r="AQ305" s="1170"/>
      <c r="AR305" s="1170">
        <f t="shared" si="530"/>
        <v>0</v>
      </c>
      <c r="AS305" s="1170"/>
      <c r="AT305" s="1170"/>
      <c r="AU305" s="1174"/>
      <c r="AV305" s="1241"/>
      <c r="AW305" s="1169"/>
      <c r="AX305" s="1177"/>
      <c r="AY305" s="1177"/>
      <c r="AZ305" s="1169"/>
      <c r="BA305" s="1169">
        <f t="shared" si="531"/>
        <v>0</v>
      </c>
      <c r="BB305" s="1169"/>
      <c r="BC305" s="1177">
        <f t="shared" si="508"/>
        <v>0</v>
      </c>
      <c r="BD305" s="1027"/>
      <c r="BE305" s="1029"/>
      <c r="BF305" s="1029"/>
    </row>
    <row r="306" s="1000" customFormat="1">
      <c r="A306" s="999" t="str">
        <f t="shared" si="521"/>
        <v xml:space="preserve">Петрюк Е.В.</v>
      </c>
      <c r="B306" s="1176" t="s">
        <v>181</v>
      </c>
      <c r="C306" s="1176"/>
      <c r="D306" s="1163"/>
      <c r="E306" s="1164">
        <f t="shared" si="515"/>
        <v>0</v>
      </c>
      <c r="F306" s="1164">
        <f t="shared" si="532"/>
        <v>0</v>
      </c>
      <c r="G306" s="1165">
        <f t="shared" si="522"/>
        <v>0</v>
      </c>
      <c r="H306" s="1277"/>
      <c r="I306" s="1167">
        <f t="shared" si="523"/>
        <v>0</v>
      </c>
      <c r="J306" s="1167">
        <f t="shared" si="524"/>
        <v>0</v>
      </c>
      <c r="K306" s="1168">
        <f t="shared" si="525"/>
        <v>0</v>
      </c>
      <c r="L306" s="1128"/>
      <c r="M306" s="1169"/>
      <c r="N306" s="1177"/>
      <c r="O306" s="1169"/>
      <c r="P306" s="1169"/>
      <c r="Q306" s="1169">
        <f t="shared" si="526"/>
        <v>0</v>
      </c>
      <c r="R306" s="1169"/>
      <c r="S306" s="1278"/>
      <c r="T306" s="1171"/>
      <c r="U306" s="1128"/>
      <c r="V306" s="1169"/>
      <c r="W306" s="1177"/>
      <c r="X306" s="1177"/>
      <c r="Y306" s="1169"/>
      <c r="Z306" s="1169">
        <f t="shared" si="527"/>
        <v>0</v>
      </c>
      <c r="AA306" s="1169"/>
      <c r="AB306" s="1172">
        <f t="shared" si="528"/>
        <v>0</v>
      </c>
      <c r="AC306" s="1171"/>
      <c r="AD306" s="1128"/>
      <c r="AE306" s="1169"/>
      <c r="AF306" s="1177"/>
      <c r="AG306" s="1177"/>
      <c r="AH306" s="1169"/>
      <c r="AI306" s="1169">
        <f t="shared" si="529"/>
        <v>0</v>
      </c>
      <c r="AJ306" s="1169"/>
      <c r="AK306" s="1173"/>
      <c r="AL306" s="1171"/>
      <c r="AM306" s="1128"/>
      <c r="AN306" s="1170"/>
      <c r="AO306" s="1175"/>
      <c r="AP306" s="1175"/>
      <c r="AQ306" s="1170"/>
      <c r="AR306" s="1170">
        <f t="shared" si="530"/>
        <v>0</v>
      </c>
      <c r="AS306" s="1170"/>
      <c r="AT306" s="1170"/>
      <c r="AU306" s="1174"/>
      <c r="AV306" s="1241"/>
      <c r="AW306" s="1169"/>
      <c r="AX306" s="1177"/>
      <c r="AY306" s="1177"/>
      <c r="AZ306" s="1169"/>
      <c r="BA306" s="1169">
        <f t="shared" si="531"/>
        <v>0</v>
      </c>
      <c r="BB306" s="1169"/>
      <c r="BC306" s="1177">
        <f t="shared" si="508"/>
        <v>0</v>
      </c>
      <c r="BD306" s="1027"/>
      <c r="BE306" s="1029"/>
      <c r="BF306" s="1029"/>
    </row>
    <row r="307" s="1000" customFormat="1" ht="18.75" customHeight="1">
      <c r="A307" s="999" t="str">
        <f t="shared" si="521"/>
        <v xml:space="preserve">Кутько И.Г.</v>
      </c>
      <c r="B307" s="1176" t="s">
        <v>357</v>
      </c>
      <c r="C307" s="1176"/>
      <c r="D307" s="1163"/>
      <c r="E307" s="1164">
        <f t="shared" si="515"/>
        <v>0</v>
      </c>
      <c r="F307" s="1164">
        <f t="shared" si="532"/>
        <v>0</v>
      </c>
      <c r="G307" s="1165">
        <f t="shared" si="522"/>
        <v>0</v>
      </c>
      <c r="H307" s="1277"/>
      <c r="I307" s="1167">
        <f t="shared" si="523"/>
        <v>0</v>
      </c>
      <c r="J307" s="1167">
        <f t="shared" si="524"/>
        <v>0</v>
      </c>
      <c r="K307" s="1168">
        <f t="shared" si="525"/>
        <v>0</v>
      </c>
      <c r="L307" s="1128"/>
      <c r="M307" s="1169"/>
      <c r="N307" s="1177"/>
      <c r="O307" s="1169"/>
      <c r="P307" s="1169"/>
      <c r="Q307" s="1169">
        <f t="shared" si="526"/>
        <v>0</v>
      </c>
      <c r="R307" s="1169"/>
      <c r="S307" s="1278"/>
      <c r="T307" s="1171"/>
      <c r="U307" s="1128"/>
      <c r="V307" s="1169"/>
      <c r="W307" s="1177"/>
      <c r="X307" s="1177"/>
      <c r="Y307" s="1169"/>
      <c r="Z307" s="1169">
        <f t="shared" si="527"/>
        <v>0</v>
      </c>
      <c r="AA307" s="1169"/>
      <c r="AB307" s="1172">
        <f t="shared" si="528"/>
        <v>0</v>
      </c>
      <c r="AC307" s="1171"/>
      <c r="AD307" s="1128"/>
      <c r="AE307" s="1169"/>
      <c r="AF307" s="1177"/>
      <c r="AG307" s="1177"/>
      <c r="AH307" s="1169"/>
      <c r="AI307" s="1169">
        <f t="shared" si="529"/>
        <v>0</v>
      </c>
      <c r="AJ307" s="1169"/>
      <c r="AK307" s="1173"/>
      <c r="AL307" s="1171"/>
      <c r="AM307" s="1128"/>
      <c r="AN307" s="1170"/>
      <c r="AO307" s="1175"/>
      <c r="AP307" s="1175"/>
      <c r="AQ307" s="1170"/>
      <c r="AR307" s="1170">
        <f t="shared" si="530"/>
        <v>0</v>
      </c>
      <c r="AS307" s="1170"/>
      <c r="AT307" s="1170"/>
      <c r="AU307" s="1174"/>
      <c r="AV307" s="1241"/>
      <c r="AW307" s="1169"/>
      <c r="AX307" s="1177"/>
      <c r="AY307" s="1177"/>
      <c r="AZ307" s="1169"/>
      <c r="BA307" s="1169">
        <f t="shared" si="531"/>
        <v>0</v>
      </c>
      <c r="BB307" s="1169"/>
      <c r="BC307" s="1177">
        <f t="shared" si="508"/>
        <v>0</v>
      </c>
      <c r="BD307" s="1027"/>
      <c r="BE307" s="1029"/>
      <c r="BF307" s="1029"/>
    </row>
    <row r="308" s="1000" customFormat="1">
      <c r="A308" s="999" t="str">
        <f t="shared" si="521"/>
        <v xml:space="preserve">Елина С.И.</v>
      </c>
      <c r="B308" s="1176" t="s">
        <v>183</v>
      </c>
      <c r="C308" s="1176"/>
      <c r="D308" s="1163"/>
      <c r="E308" s="1164">
        <f t="shared" si="515"/>
        <v>0</v>
      </c>
      <c r="F308" s="1164">
        <f t="shared" si="532"/>
        <v>0</v>
      </c>
      <c r="G308" s="1165">
        <f t="shared" si="522"/>
        <v>0</v>
      </c>
      <c r="H308" s="1277"/>
      <c r="I308" s="1167">
        <f t="shared" si="523"/>
        <v>0</v>
      </c>
      <c r="J308" s="1167">
        <f t="shared" si="524"/>
        <v>0</v>
      </c>
      <c r="K308" s="1168">
        <f t="shared" si="525"/>
        <v>0</v>
      </c>
      <c r="L308" s="1128"/>
      <c r="M308" s="1169"/>
      <c r="N308" s="1177"/>
      <c r="O308" s="1169"/>
      <c r="P308" s="1169"/>
      <c r="Q308" s="1169">
        <f t="shared" si="526"/>
        <v>0</v>
      </c>
      <c r="R308" s="1169"/>
      <c r="S308" s="1278"/>
      <c r="T308" s="1171"/>
      <c r="U308" s="1128"/>
      <c r="V308" s="1169"/>
      <c r="W308" s="1177"/>
      <c r="X308" s="1177"/>
      <c r="Y308" s="1169"/>
      <c r="Z308" s="1169">
        <f t="shared" si="527"/>
        <v>0</v>
      </c>
      <c r="AA308" s="1169"/>
      <c r="AB308" s="1172">
        <f t="shared" si="528"/>
        <v>0</v>
      </c>
      <c r="AC308" s="1171"/>
      <c r="AD308" s="1128"/>
      <c r="AE308" s="1169"/>
      <c r="AF308" s="1177"/>
      <c r="AG308" s="1177"/>
      <c r="AH308" s="1169"/>
      <c r="AI308" s="1169">
        <f t="shared" si="529"/>
        <v>0</v>
      </c>
      <c r="AJ308" s="1169"/>
      <c r="AK308" s="1173"/>
      <c r="AL308" s="1171"/>
      <c r="AM308" s="1128"/>
      <c r="AN308" s="1170"/>
      <c r="AO308" s="1175"/>
      <c r="AP308" s="1175"/>
      <c r="AQ308" s="1170"/>
      <c r="AR308" s="1170">
        <f t="shared" si="530"/>
        <v>0</v>
      </c>
      <c r="AS308" s="1170"/>
      <c r="AT308" s="1170"/>
      <c r="AU308" s="1174"/>
      <c r="AV308" s="1241"/>
      <c r="AW308" s="1169"/>
      <c r="AX308" s="1177"/>
      <c r="AY308" s="1177"/>
      <c r="AZ308" s="1169"/>
      <c r="BA308" s="1169">
        <f t="shared" si="531"/>
        <v>0</v>
      </c>
      <c r="BB308" s="1169"/>
      <c r="BC308" s="1177">
        <f t="shared" si="508"/>
        <v>0</v>
      </c>
      <c r="BD308" s="1027"/>
      <c r="BE308" s="1029"/>
      <c r="BF308" s="1029"/>
    </row>
    <row r="309" s="1000" customFormat="1">
      <c r="A309" s="999" t="str">
        <f t="shared" si="521"/>
        <v xml:space="preserve">Никитина О.Г.</v>
      </c>
      <c r="B309" s="1176" t="s">
        <v>184</v>
      </c>
      <c r="C309" s="1176"/>
      <c r="D309" s="1163"/>
      <c r="E309" s="1164">
        <f t="shared" si="515"/>
        <v>0</v>
      </c>
      <c r="F309" s="1164">
        <f t="shared" si="532"/>
        <v>0</v>
      </c>
      <c r="G309" s="1165">
        <f t="shared" si="522"/>
        <v>0</v>
      </c>
      <c r="H309" s="1277"/>
      <c r="I309" s="1167">
        <f t="shared" si="523"/>
        <v>0</v>
      </c>
      <c r="J309" s="1167">
        <f t="shared" si="524"/>
        <v>0</v>
      </c>
      <c r="K309" s="1168">
        <f t="shared" si="525"/>
        <v>0</v>
      </c>
      <c r="L309" s="1128"/>
      <c r="M309" s="1169"/>
      <c r="N309" s="1177"/>
      <c r="O309" s="1169"/>
      <c r="P309" s="1169"/>
      <c r="Q309" s="1169">
        <f t="shared" si="526"/>
        <v>0</v>
      </c>
      <c r="R309" s="1169"/>
      <c r="S309" s="1278"/>
      <c r="T309" s="1171"/>
      <c r="U309" s="1128"/>
      <c r="V309" s="1169"/>
      <c r="W309" s="1177"/>
      <c r="X309" s="1177"/>
      <c r="Y309" s="1169"/>
      <c r="Z309" s="1169">
        <f t="shared" si="527"/>
        <v>0</v>
      </c>
      <c r="AA309" s="1169"/>
      <c r="AB309" s="1172">
        <f t="shared" si="528"/>
        <v>0</v>
      </c>
      <c r="AC309" s="1171"/>
      <c r="AD309" s="1128"/>
      <c r="AE309" s="1169"/>
      <c r="AF309" s="1177"/>
      <c r="AG309" s="1177"/>
      <c r="AH309" s="1169"/>
      <c r="AI309" s="1169">
        <f t="shared" si="529"/>
        <v>0</v>
      </c>
      <c r="AJ309" s="1169"/>
      <c r="AK309" s="1173"/>
      <c r="AL309" s="1171"/>
      <c r="AM309" s="1128"/>
      <c r="AN309" s="1170"/>
      <c r="AO309" s="1175"/>
      <c r="AP309" s="1175"/>
      <c r="AQ309" s="1170"/>
      <c r="AR309" s="1170">
        <f t="shared" si="530"/>
        <v>0</v>
      </c>
      <c r="AS309" s="1170"/>
      <c r="AT309" s="1170"/>
      <c r="AU309" s="1174"/>
      <c r="AV309" s="1241"/>
      <c r="AW309" s="1169"/>
      <c r="AX309" s="1177"/>
      <c r="AY309" s="1177"/>
      <c r="AZ309" s="1169"/>
      <c r="BA309" s="1169">
        <f t="shared" si="531"/>
        <v>0</v>
      </c>
      <c r="BB309" s="1169"/>
      <c r="BC309" s="1177">
        <f t="shared" si="508"/>
        <v>0</v>
      </c>
      <c r="BD309" s="1027"/>
      <c r="BE309" s="1029"/>
      <c r="BF309" s="1029"/>
    </row>
    <row r="310" ht="18.75" customHeight="1">
      <c r="A310" s="999" t="str">
        <f t="shared" si="521"/>
        <v xml:space="preserve">Судакова Е.С.</v>
      </c>
      <c r="B310" s="1178" t="s">
        <v>361</v>
      </c>
      <c r="C310" s="1179"/>
      <c r="D310" s="1163"/>
      <c r="E310" s="1164">
        <f t="shared" si="515"/>
        <v>0</v>
      </c>
      <c r="F310" s="1164">
        <f t="shared" ref="F310:F314" si="533">R310+AA310+AJ310+AS310+BB310</f>
        <v>0</v>
      </c>
      <c r="G310" s="1165">
        <f t="shared" si="522"/>
        <v>0</v>
      </c>
      <c r="H310" s="1279"/>
      <c r="I310" s="1167">
        <f t="shared" si="523"/>
        <v>0</v>
      </c>
      <c r="J310" s="1167">
        <f t="shared" si="524"/>
        <v>0</v>
      </c>
      <c r="K310" s="1168">
        <f t="shared" si="525"/>
        <v>0</v>
      </c>
      <c r="L310" s="1128"/>
      <c r="M310" s="1169"/>
      <c r="N310" s="1177"/>
      <c r="O310" s="1169"/>
      <c r="P310" s="1169"/>
      <c r="Q310" s="1169">
        <f t="shared" si="526"/>
        <v>0</v>
      </c>
      <c r="R310" s="1169"/>
      <c r="S310" s="1170"/>
      <c r="T310" s="1171"/>
      <c r="U310" s="1128"/>
      <c r="V310" s="1169"/>
      <c r="W310" s="1177"/>
      <c r="X310" s="1177"/>
      <c r="Y310" s="1169"/>
      <c r="Z310" s="1169">
        <f t="shared" si="527"/>
        <v>0</v>
      </c>
      <c r="AA310" s="1169"/>
      <c r="AB310" s="1172">
        <f t="shared" si="528"/>
        <v>0</v>
      </c>
      <c r="AC310" s="1171"/>
      <c r="AD310" s="1128"/>
      <c r="AE310" s="1169"/>
      <c r="AF310" s="1177"/>
      <c r="AG310" s="1177"/>
      <c r="AH310" s="1169"/>
      <c r="AI310" s="1169">
        <f t="shared" si="529"/>
        <v>0</v>
      </c>
      <c r="AJ310" s="1169"/>
      <c r="AK310" s="1173"/>
      <c r="AL310" s="1171"/>
      <c r="AM310" s="1128"/>
      <c r="AN310" s="1170"/>
      <c r="AO310" s="1175"/>
      <c r="AP310" s="1175"/>
      <c r="AQ310" s="1170"/>
      <c r="AR310" s="1170">
        <f t="shared" si="530"/>
        <v>0</v>
      </c>
      <c r="AS310" s="1170"/>
      <c r="AT310" s="1170"/>
      <c r="AU310" s="1174"/>
      <c r="AV310" s="1241"/>
      <c r="AW310" s="1169"/>
      <c r="AX310" s="1177"/>
      <c r="AY310" s="1177"/>
      <c r="AZ310" s="1169"/>
      <c r="BA310" s="1169">
        <f t="shared" si="531"/>
        <v>0</v>
      </c>
      <c r="BB310" s="1169"/>
      <c r="BC310" s="1177">
        <f t="shared" si="508"/>
        <v>0</v>
      </c>
      <c r="BD310" s="1027"/>
      <c r="BE310" s="1029"/>
      <c r="BF310" s="1029"/>
    </row>
    <row r="311" s="1000" customFormat="1">
      <c r="A311" s="999" t="str">
        <f t="shared" si="521"/>
        <v xml:space="preserve">Осипова А.А.</v>
      </c>
      <c r="B311" s="1176" t="s">
        <v>185</v>
      </c>
      <c r="C311" s="1176"/>
      <c r="D311" s="1163"/>
      <c r="E311" s="1164">
        <f t="shared" si="515"/>
        <v>0</v>
      </c>
      <c r="F311" s="1164">
        <f t="shared" si="533"/>
        <v>0</v>
      </c>
      <c r="G311" s="1165">
        <f t="shared" si="522"/>
        <v>0</v>
      </c>
      <c r="H311" s="1277"/>
      <c r="I311" s="1167">
        <f t="shared" si="523"/>
        <v>0</v>
      </c>
      <c r="J311" s="1167">
        <f t="shared" si="524"/>
        <v>0</v>
      </c>
      <c r="K311" s="1168">
        <f t="shared" si="525"/>
        <v>0</v>
      </c>
      <c r="L311" s="1128"/>
      <c r="M311" s="1169"/>
      <c r="N311" s="1177"/>
      <c r="O311" s="1169"/>
      <c r="P311" s="1169"/>
      <c r="Q311" s="1169">
        <f t="shared" si="526"/>
        <v>0</v>
      </c>
      <c r="R311" s="1169"/>
      <c r="S311" s="1170"/>
      <c r="T311" s="1171"/>
      <c r="U311" s="1128"/>
      <c r="V311" s="1169"/>
      <c r="W311" s="1177"/>
      <c r="X311" s="1177"/>
      <c r="Y311" s="1169"/>
      <c r="Z311" s="1169">
        <f t="shared" si="527"/>
        <v>0</v>
      </c>
      <c r="AA311" s="1169"/>
      <c r="AB311" s="1172">
        <f t="shared" si="528"/>
        <v>0</v>
      </c>
      <c r="AC311" s="1171"/>
      <c r="AD311" s="1128"/>
      <c r="AE311" s="1169"/>
      <c r="AF311" s="1177"/>
      <c r="AG311" s="1177"/>
      <c r="AH311" s="1169"/>
      <c r="AI311" s="1169">
        <f t="shared" si="529"/>
        <v>0</v>
      </c>
      <c r="AJ311" s="1169"/>
      <c r="AK311" s="1173"/>
      <c r="AL311" s="1171"/>
      <c r="AM311" s="1128"/>
      <c r="AN311" s="1170"/>
      <c r="AO311" s="1175"/>
      <c r="AP311" s="1175"/>
      <c r="AQ311" s="1170"/>
      <c r="AR311" s="1170">
        <f t="shared" si="530"/>
        <v>0</v>
      </c>
      <c r="AS311" s="1170"/>
      <c r="AT311" s="1170"/>
      <c r="AU311" s="1174"/>
      <c r="AV311" s="1241"/>
      <c r="AW311" s="1169"/>
      <c r="AX311" s="1177"/>
      <c r="AY311" s="1177"/>
      <c r="AZ311" s="1169"/>
      <c r="BA311" s="1169">
        <f t="shared" si="531"/>
        <v>0</v>
      </c>
      <c r="BB311" s="1169"/>
      <c r="BC311" s="1177">
        <f t="shared" si="508"/>
        <v>0</v>
      </c>
      <c r="BD311" s="1027"/>
      <c r="BE311" s="1029"/>
      <c r="BF311" s="1029"/>
    </row>
    <row r="312" s="1106" customFormat="1" ht="22.5">
      <c r="A312" s="999">
        <f t="shared" si="521"/>
        <v>0</v>
      </c>
      <c r="B312" s="1182" t="s">
        <v>363</v>
      </c>
      <c r="C312" s="1182"/>
      <c r="D312" s="1182"/>
      <c r="E312" s="1183">
        <f t="shared" si="515"/>
        <v>0</v>
      </c>
      <c r="F312" s="1183">
        <f t="shared" si="533"/>
        <v>0</v>
      </c>
      <c r="G312" s="1184">
        <f>SUM(G304:G311)</f>
        <v>0</v>
      </c>
      <c r="H312" s="1280"/>
      <c r="I312" s="1186">
        <f t="shared" si="523"/>
        <v>0</v>
      </c>
      <c r="J312" s="1186">
        <f t="shared" si="524"/>
        <v>0</v>
      </c>
      <c r="K312" s="1187">
        <f>SUM(K304:K311)</f>
        <v>0</v>
      </c>
      <c r="L312" s="1197"/>
      <c r="M312" s="1096">
        <f t="shared" ref="M312:R312" si="534">SUM(M304:M311)</f>
        <v>0</v>
      </c>
      <c r="N312" s="1096">
        <f t="shared" si="534"/>
        <v>0</v>
      </c>
      <c r="O312" s="1096">
        <f t="shared" si="534"/>
        <v>0</v>
      </c>
      <c r="P312" s="1096">
        <f t="shared" si="534"/>
        <v>0</v>
      </c>
      <c r="Q312" s="1096">
        <f t="shared" si="534"/>
        <v>0</v>
      </c>
      <c r="R312" s="1096">
        <f t="shared" si="534"/>
        <v>0</v>
      </c>
      <c r="S312" s="1170"/>
      <c r="T312" s="1189"/>
      <c r="U312" s="1128"/>
      <c r="V312" s="1096">
        <f t="shared" ref="V312:AA312" si="535">SUM(V304:V311)</f>
        <v>0</v>
      </c>
      <c r="W312" s="1096">
        <f t="shared" si="535"/>
        <v>0</v>
      </c>
      <c r="X312" s="1096">
        <f t="shared" si="535"/>
        <v>0</v>
      </c>
      <c r="Y312" s="1096">
        <f t="shared" si="535"/>
        <v>0</v>
      </c>
      <c r="Z312" s="1096">
        <f t="shared" si="535"/>
        <v>0</v>
      </c>
      <c r="AA312" s="1096">
        <f t="shared" si="535"/>
        <v>0</v>
      </c>
      <c r="AB312" s="1172">
        <f t="shared" si="528"/>
        <v>0</v>
      </c>
      <c r="AC312" s="1189"/>
      <c r="AD312" s="1125"/>
      <c r="AE312" s="1096">
        <f t="shared" ref="AE312:AJ312" si="536">SUM(AE304:AE311)</f>
        <v>0</v>
      </c>
      <c r="AF312" s="1096">
        <f t="shared" si="536"/>
        <v>0</v>
      </c>
      <c r="AG312" s="1096">
        <f t="shared" si="536"/>
        <v>0</v>
      </c>
      <c r="AH312" s="1096">
        <f t="shared" si="536"/>
        <v>0</v>
      </c>
      <c r="AI312" s="1096">
        <f t="shared" si="536"/>
        <v>0</v>
      </c>
      <c r="AJ312" s="1096">
        <f t="shared" si="536"/>
        <v>0</v>
      </c>
      <c r="AK312" s="1173"/>
      <c r="AL312" s="1189"/>
      <c r="AM312" s="1125"/>
      <c r="AN312" s="1190">
        <f t="shared" ref="AN312:AS312" si="537">SUM(AN304:AN311)</f>
        <v>0</v>
      </c>
      <c r="AO312" s="1190">
        <f t="shared" si="537"/>
        <v>0</v>
      </c>
      <c r="AP312" s="1190">
        <f t="shared" si="537"/>
        <v>0</v>
      </c>
      <c r="AQ312" s="1190">
        <f t="shared" si="537"/>
        <v>0</v>
      </c>
      <c r="AR312" s="1190">
        <f t="shared" si="537"/>
        <v>0</v>
      </c>
      <c r="AS312" s="1190">
        <f t="shared" si="537"/>
        <v>0</v>
      </c>
      <c r="AT312" s="1170"/>
      <c r="AU312" s="1191"/>
      <c r="AV312" s="1245"/>
      <c r="AW312" s="1096">
        <f t="shared" ref="AW312:BB312" si="538">SUM(AW304:AW311)</f>
        <v>0</v>
      </c>
      <c r="AX312" s="1096">
        <f t="shared" si="538"/>
        <v>0</v>
      </c>
      <c r="AY312" s="1096">
        <f t="shared" si="538"/>
        <v>0</v>
      </c>
      <c r="AZ312" s="1096">
        <f t="shared" si="538"/>
        <v>0</v>
      </c>
      <c r="BA312" s="1096">
        <f t="shared" si="538"/>
        <v>0</v>
      </c>
      <c r="BB312" s="1096">
        <f t="shared" si="538"/>
        <v>0</v>
      </c>
      <c r="BC312" s="1281">
        <f t="shared" si="508"/>
        <v>0</v>
      </c>
      <c r="BD312" s="1052"/>
      <c r="BE312" s="1051"/>
      <c r="BF312" s="1051"/>
    </row>
    <row r="313" s="1000" customFormat="1">
      <c r="A313" s="999">
        <f t="shared" si="521"/>
        <v>0</v>
      </c>
      <c r="B313" s="1176" t="s">
        <v>364</v>
      </c>
      <c r="C313" s="1176"/>
      <c r="D313" s="1176"/>
      <c r="E313" s="1164">
        <f t="shared" si="515"/>
        <v>0</v>
      </c>
      <c r="F313" s="1164">
        <f t="shared" si="533"/>
        <v>0</v>
      </c>
      <c r="G313" s="1165">
        <f t="shared" ref="G313:G325" si="539">E313+F313</f>
        <v>0</v>
      </c>
      <c r="H313" s="1277"/>
      <c r="I313" s="1167">
        <f t="shared" si="523"/>
        <v>0</v>
      </c>
      <c r="J313" s="1167">
        <f t="shared" si="524"/>
        <v>0</v>
      </c>
      <c r="K313" s="1168">
        <f t="shared" ref="K313:K325" si="540">I313+J313</f>
        <v>0</v>
      </c>
      <c r="L313" s="1128"/>
      <c r="M313" s="1169"/>
      <c r="N313" s="1177"/>
      <c r="O313" s="1169"/>
      <c r="P313" s="1169"/>
      <c r="Q313" s="1169">
        <f t="shared" ref="Q313:Q325" si="541">SUM(M313:P313)</f>
        <v>0</v>
      </c>
      <c r="R313" s="1169"/>
      <c r="S313" s="1170"/>
      <c r="T313" s="1171"/>
      <c r="U313" s="1128"/>
      <c r="V313" s="1169"/>
      <c r="W313" s="1177"/>
      <c r="X313" s="1177"/>
      <c r="Y313" s="1169"/>
      <c r="Z313" s="1169">
        <f t="shared" ref="Z313:Z325" si="542">SUM(V313:Y313)</f>
        <v>0</v>
      </c>
      <c r="AA313" s="1169"/>
      <c r="AB313" s="1172">
        <f t="shared" si="528"/>
        <v>0</v>
      </c>
      <c r="AC313" s="1171"/>
      <c r="AD313" s="1128"/>
      <c r="AE313" s="1169"/>
      <c r="AF313" s="1177"/>
      <c r="AG313" s="1177"/>
      <c r="AH313" s="1169"/>
      <c r="AI313" s="1169">
        <f t="shared" ref="AI313:AI325" si="543">SUM(AE313:AH313)</f>
        <v>0</v>
      </c>
      <c r="AJ313" s="1169"/>
      <c r="AK313" s="1173"/>
      <c r="AL313" s="1171"/>
      <c r="AM313" s="1128"/>
      <c r="AN313" s="1170"/>
      <c r="AO313" s="1175"/>
      <c r="AP313" s="1175"/>
      <c r="AQ313" s="1170"/>
      <c r="AR313" s="1170">
        <f t="shared" ref="AR313:AR325" si="544">SUM(AN313:AQ313)</f>
        <v>0</v>
      </c>
      <c r="AS313" s="1170"/>
      <c r="AT313" s="1170"/>
      <c r="AU313" s="1174"/>
      <c r="AV313" s="1241"/>
      <c r="AW313" s="1169"/>
      <c r="AX313" s="1177"/>
      <c r="AY313" s="1177"/>
      <c r="AZ313" s="1169"/>
      <c r="BA313" s="1169">
        <f t="shared" ref="BA313:BA325" si="545">SUM(AW313:AZ313)</f>
        <v>0</v>
      </c>
      <c r="BB313" s="1169"/>
      <c r="BC313" s="1177">
        <f t="shared" si="508"/>
        <v>0</v>
      </c>
      <c r="BD313" s="1027"/>
      <c r="BE313" s="1029"/>
      <c r="BF313" s="1029"/>
    </row>
    <row r="314" s="1000" customFormat="1">
      <c r="A314" s="999" t="str">
        <f t="shared" si="521"/>
        <v xml:space="preserve">Сметанина О.В.</v>
      </c>
      <c r="B314" s="1176" t="s">
        <v>195</v>
      </c>
      <c r="C314" s="1176"/>
      <c r="D314" s="1163"/>
      <c r="E314" s="1164">
        <f t="shared" si="515"/>
        <v>0</v>
      </c>
      <c r="F314" s="1164">
        <f t="shared" si="533"/>
        <v>0</v>
      </c>
      <c r="G314" s="1165">
        <f t="shared" si="539"/>
        <v>0</v>
      </c>
      <c r="H314" s="1277"/>
      <c r="I314" s="1167">
        <f t="shared" si="523"/>
        <v>0</v>
      </c>
      <c r="J314" s="1167">
        <f t="shared" si="524"/>
        <v>0</v>
      </c>
      <c r="K314" s="1168">
        <f t="shared" si="540"/>
        <v>0</v>
      </c>
      <c r="L314" s="1128"/>
      <c r="M314" s="1169"/>
      <c r="N314" s="1177"/>
      <c r="O314" s="1169"/>
      <c r="P314" s="1169"/>
      <c r="Q314" s="1169">
        <f t="shared" si="541"/>
        <v>0</v>
      </c>
      <c r="R314" s="1169"/>
      <c r="S314" s="1170"/>
      <c r="T314" s="1171"/>
      <c r="U314" s="1128"/>
      <c r="V314" s="1169"/>
      <c r="W314" s="1177"/>
      <c r="X314" s="1177"/>
      <c r="Y314" s="1169"/>
      <c r="Z314" s="1169">
        <f t="shared" si="542"/>
        <v>0</v>
      </c>
      <c r="AA314" s="1169"/>
      <c r="AB314" s="1172">
        <f t="shared" si="528"/>
        <v>0</v>
      </c>
      <c r="AC314" s="1171"/>
      <c r="AD314" s="1128"/>
      <c r="AE314" s="1169"/>
      <c r="AF314" s="1177"/>
      <c r="AG314" s="1177"/>
      <c r="AH314" s="1169"/>
      <c r="AI314" s="1169">
        <f t="shared" si="543"/>
        <v>0</v>
      </c>
      <c r="AJ314" s="1169"/>
      <c r="AK314" s="1173"/>
      <c r="AL314" s="1171"/>
      <c r="AM314" s="1128"/>
      <c r="AN314" s="1170"/>
      <c r="AO314" s="1175"/>
      <c r="AP314" s="1175"/>
      <c r="AQ314" s="1170"/>
      <c r="AR314" s="1170">
        <f t="shared" si="544"/>
        <v>0</v>
      </c>
      <c r="AS314" s="1170"/>
      <c r="AT314" s="1170"/>
      <c r="AU314" s="1174"/>
      <c r="AV314" s="1241"/>
      <c r="AW314" s="1169"/>
      <c r="AX314" s="1177"/>
      <c r="AY314" s="1177"/>
      <c r="AZ314" s="1169"/>
      <c r="BA314" s="1169">
        <f t="shared" si="545"/>
        <v>0</v>
      </c>
      <c r="BB314" s="1169"/>
      <c r="BC314" s="1177">
        <f t="shared" si="508"/>
        <v>0</v>
      </c>
      <c r="BD314" s="1027"/>
      <c r="BE314" s="1029"/>
      <c r="BF314" s="1029"/>
    </row>
    <row r="315" s="1000" customFormat="1">
      <c r="A315" s="999" t="str">
        <f t="shared" si="521"/>
        <v xml:space="preserve">Козенко С.С.</v>
      </c>
      <c r="B315" s="1176" t="s">
        <v>196</v>
      </c>
      <c r="C315" s="1176"/>
      <c r="D315" s="1163"/>
      <c r="E315" s="1164">
        <f t="shared" si="515"/>
        <v>0</v>
      </c>
      <c r="F315" s="1164">
        <f t="shared" ref="F315:F324" si="546">P315+AA315+AJ315+AS315+BB315</f>
        <v>0</v>
      </c>
      <c r="G315" s="1165">
        <f t="shared" si="539"/>
        <v>0</v>
      </c>
      <c r="H315" s="1277"/>
      <c r="I315" s="1167">
        <f t="shared" si="523"/>
        <v>0</v>
      </c>
      <c r="J315" s="1167">
        <f t="shared" si="524"/>
        <v>0</v>
      </c>
      <c r="K315" s="1168">
        <f t="shared" si="540"/>
        <v>0</v>
      </c>
      <c r="L315" s="1128"/>
      <c r="M315" s="1169"/>
      <c r="N315" s="1177"/>
      <c r="O315" s="1169"/>
      <c r="P315" s="1169"/>
      <c r="Q315" s="1169">
        <f t="shared" si="541"/>
        <v>0</v>
      </c>
      <c r="R315" s="1169"/>
      <c r="S315" s="1278"/>
      <c r="T315" s="1171"/>
      <c r="U315" s="1128"/>
      <c r="V315" s="1169"/>
      <c r="W315" s="1177"/>
      <c r="X315" s="1177"/>
      <c r="Y315" s="1169"/>
      <c r="Z315" s="1169">
        <f t="shared" si="542"/>
        <v>0</v>
      </c>
      <c r="AA315" s="1169"/>
      <c r="AB315" s="1172">
        <f t="shared" si="528"/>
        <v>0</v>
      </c>
      <c r="AC315" s="1171"/>
      <c r="AD315" s="1128"/>
      <c r="AE315" s="1169"/>
      <c r="AF315" s="1177"/>
      <c r="AG315" s="1177"/>
      <c r="AH315" s="1169"/>
      <c r="AI315" s="1169">
        <f t="shared" si="543"/>
        <v>0</v>
      </c>
      <c r="AJ315" s="1169"/>
      <c r="AK315" s="1173"/>
      <c r="AL315" s="1171"/>
      <c r="AM315" s="1128"/>
      <c r="AN315" s="1170"/>
      <c r="AO315" s="1175"/>
      <c r="AP315" s="1175"/>
      <c r="AQ315" s="1170"/>
      <c r="AR315" s="1170">
        <f t="shared" si="544"/>
        <v>0</v>
      </c>
      <c r="AS315" s="1170"/>
      <c r="AT315" s="1170"/>
      <c r="AU315" s="1174"/>
      <c r="AV315" s="1241"/>
      <c r="AW315" s="1169"/>
      <c r="AX315" s="1177"/>
      <c r="AY315" s="1177"/>
      <c r="AZ315" s="1169"/>
      <c r="BA315" s="1169">
        <f t="shared" si="545"/>
        <v>0</v>
      </c>
      <c r="BB315" s="1169"/>
      <c r="BC315" s="1177">
        <f t="shared" si="508"/>
        <v>0</v>
      </c>
      <c r="BD315" s="1027"/>
      <c r="BE315" s="1029"/>
      <c r="BF315" s="1029"/>
    </row>
    <row r="316" s="1000" customFormat="1" ht="20.25" customHeight="1">
      <c r="A316" s="999">
        <f t="shared" si="521"/>
        <v>0</v>
      </c>
      <c r="B316" s="1193" t="s">
        <v>367</v>
      </c>
      <c r="C316" s="1193"/>
      <c r="D316" s="1193"/>
      <c r="E316" s="1164">
        <f t="shared" si="515"/>
        <v>0</v>
      </c>
      <c r="F316" s="1164">
        <f t="shared" si="546"/>
        <v>0</v>
      </c>
      <c r="G316" s="1165">
        <f t="shared" si="539"/>
        <v>0</v>
      </c>
      <c r="H316" s="1277"/>
      <c r="I316" s="1167">
        <f t="shared" si="523"/>
        <v>0</v>
      </c>
      <c r="J316" s="1167">
        <f t="shared" si="524"/>
        <v>0</v>
      </c>
      <c r="K316" s="1168">
        <f t="shared" si="540"/>
        <v>0</v>
      </c>
      <c r="L316" s="1128"/>
      <c r="M316" s="1169"/>
      <c r="N316" s="1177"/>
      <c r="O316" s="1169"/>
      <c r="P316" s="1169"/>
      <c r="Q316" s="1169">
        <f t="shared" si="541"/>
        <v>0</v>
      </c>
      <c r="R316" s="1169"/>
      <c r="S316" s="1278"/>
      <c r="T316" s="1171"/>
      <c r="U316" s="1128"/>
      <c r="V316" s="1169"/>
      <c r="W316" s="1177"/>
      <c r="X316" s="1177"/>
      <c r="Y316" s="1169"/>
      <c r="Z316" s="1169">
        <f t="shared" si="542"/>
        <v>0</v>
      </c>
      <c r="AA316" s="1169"/>
      <c r="AB316" s="1172">
        <f t="shared" si="528"/>
        <v>0</v>
      </c>
      <c r="AC316" s="1171"/>
      <c r="AD316" s="1128"/>
      <c r="AE316" s="1169"/>
      <c r="AF316" s="1177"/>
      <c r="AG316" s="1177"/>
      <c r="AH316" s="1169"/>
      <c r="AI316" s="1169">
        <f t="shared" si="543"/>
        <v>0</v>
      </c>
      <c r="AJ316" s="1169"/>
      <c r="AK316" s="1173"/>
      <c r="AL316" s="1171"/>
      <c r="AM316" s="1128"/>
      <c r="AN316" s="1170"/>
      <c r="AO316" s="1175"/>
      <c r="AP316" s="1175"/>
      <c r="AQ316" s="1170"/>
      <c r="AR316" s="1170">
        <f t="shared" si="544"/>
        <v>0</v>
      </c>
      <c r="AS316" s="1170"/>
      <c r="AT316" s="1170"/>
      <c r="AU316" s="1174"/>
      <c r="AV316" s="1241"/>
      <c r="AW316" s="1169"/>
      <c r="AX316" s="1177"/>
      <c r="AY316" s="1177"/>
      <c r="AZ316" s="1169"/>
      <c r="BA316" s="1169">
        <f t="shared" si="545"/>
        <v>0</v>
      </c>
      <c r="BB316" s="1169"/>
      <c r="BC316" s="1177">
        <f t="shared" si="508"/>
        <v>0</v>
      </c>
      <c r="BD316" s="1027"/>
      <c r="BE316" s="1029"/>
      <c r="BF316" s="1029"/>
    </row>
    <row r="317" s="1000" customFormat="1" ht="20.25" customHeight="1">
      <c r="A317" s="999" t="str">
        <f t="shared" si="521"/>
        <v xml:space="preserve">Разумец Е.Г.</v>
      </c>
      <c r="B317" s="1176" t="s">
        <v>201</v>
      </c>
      <c r="C317" s="1176"/>
      <c r="D317" s="1163"/>
      <c r="E317" s="1164">
        <f t="shared" si="515"/>
        <v>0</v>
      </c>
      <c r="F317" s="1164">
        <f t="shared" si="546"/>
        <v>0</v>
      </c>
      <c r="G317" s="1165">
        <f t="shared" si="539"/>
        <v>0</v>
      </c>
      <c r="H317" s="1277"/>
      <c r="I317" s="1167">
        <f t="shared" si="523"/>
        <v>0</v>
      </c>
      <c r="J317" s="1167">
        <f t="shared" si="524"/>
        <v>0</v>
      </c>
      <c r="K317" s="1168">
        <f t="shared" si="540"/>
        <v>0</v>
      </c>
      <c r="L317" s="1128"/>
      <c r="M317" s="1169"/>
      <c r="N317" s="1177"/>
      <c r="O317" s="1169"/>
      <c r="P317" s="1169"/>
      <c r="Q317" s="1169">
        <f t="shared" si="541"/>
        <v>0</v>
      </c>
      <c r="R317" s="1169"/>
      <c r="S317" s="1278"/>
      <c r="T317" s="1171"/>
      <c r="U317" s="1128"/>
      <c r="V317" s="1169"/>
      <c r="W317" s="1177"/>
      <c r="X317" s="1177"/>
      <c r="Y317" s="1169"/>
      <c r="Z317" s="1169">
        <f t="shared" si="542"/>
        <v>0</v>
      </c>
      <c r="AA317" s="1169"/>
      <c r="AB317" s="1172">
        <f t="shared" si="528"/>
        <v>0</v>
      </c>
      <c r="AC317" s="1171"/>
      <c r="AD317" s="1128"/>
      <c r="AE317" s="1169"/>
      <c r="AF317" s="1177"/>
      <c r="AG317" s="1177"/>
      <c r="AH317" s="1169"/>
      <c r="AI317" s="1169">
        <f t="shared" si="543"/>
        <v>0</v>
      </c>
      <c r="AJ317" s="1169"/>
      <c r="AK317" s="1173"/>
      <c r="AL317" s="1171"/>
      <c r="AM317" s="1128"/>
      <c r="AN317" s="1170"/>
      <c r="AO317" s="1175"/>
      <c r="AP317" s="1175"/>
      <c r="AQ317" s="1170"/>
      <c r="AR317" s="1170">
        <f t="shared" si="544"/>
        <v>0</v>
      </c>
      <c r="AS317" s="1170"/>
      <c r="AT317" s="1170"/>
      <c r="AU317" s="1174"/>
      <c r="AV317" s="1241"/>
      <c r="AW317" s="1169"/>
      <c r="AX317" s="1177"/>
      <c r="AY317" s="1177"/>
      <c r="AZ317" s="1169"/>
      <c r="BA317" s="1169">
        <f t="shared" si="545"/>
        <v>0</v>
      </c>
      <c r="BB317" s="1169"/>
      <c r="BC317" s="1177">
        <f t="shared" si="508"/>
        <v>0</v>
      </c>
      <c r="BD317" s="1027"/>
      <c r="BE317" s="1029"/>
      <c r="BF317" s="1029"/>
    </row>
    <row r="318" s="1000" customFormat="1" ht="20.25" customHeight="1">
      <c r="A318" s="999" t="str">
        <f t="shared" si="521"/>
        <v xml:space="preserve">Шарова Т.М.</v>
      </c>
      <c r="B318" s="1176" t="s">
        <v>203</v>
      </c>
      <c r="C318" s="1176"/>
      <c r="D318" s="1163"/>
      <c r="E318" s="1164">
        <f t="shared" si="515"/>
        <v>0</v>
      </c>
      <c r="F318" s="1164">
        <f t="shared" si="546"/>
        <v>0</v>
      </c>
      <c r="G318" s="1165">
        <f t="shared" si="539"/>
        <v>0</v>
      </c>
      <c r="H318" s="1277"/>
      <c r="I318" s="1167">
        <f t="shared" si="523"/>
        <v>0</v>
      </c>
      <c r="J318" s="1167">
        <f t="shared" si="524"/>
        <v>0</v>
      </c>
      <c r="K318" s="1168">
        <f t="shared" si="540"/>
        <v>0</v>
      </c>
      <c r="L318" s="1128"/>
      <c r="M318" s="1169"/>
      <c r="N318" s="1177"/>
      <c r="O318" s="1169"/>
      <c r="P318" s="1169"/>
      <c r="Q318" s="1169">
        <f t="shared" si="541"/>
        <v>0</v>
      </c>
      <c r="R318" s="1169"/>
      <c r="S318" s="1278"/>
      <c r="T318" s="1171"/>
      <c r="U318" s="1128"/>
      <c r="V318" s="1169"/>
      <c r="W318" s="1177"/>
      <c r="X318" s="1177"/>
      <c r="Y318" s="1169"/>
      <c r="Z318" s="1169">
        <f t="shared" si="542"/>
        <v>0</v>
      </c>
      <c r="AA318" s="1169"/>
      <c r="AB318" s="1172">
        <f t="shared" si="528"/>
        <v>0</v>
      </c>
      <c r="AC318" s="1171"/>
      <c r="AD318" s="1128"/>
      <c r="AE318" s="1169"/>
      <c r="AF318" s="1177"/>
      <c r="AG318" s="1177"/>
      <c r="AH318" s="1169"/>
      <c r="AI318" s="1169">
        <f t="shared" si="543"/>
        <v>0</v>
      </c>
      <c r="AJ318" s="1169"/>
      <c r="AK318" s="1173"/>
      <c r="AL318" s="1171"/>
      <c r="AM318" s="1128"/>
      <c r="AN318" s="1170"/>
      <c r="AO318" s="1175"/>
      <c r="AP318" s="1175"/>
      <c r="AQ318" s="1170"/>
      <c r="AR318" s="1170">
        <f t="shared" si="544"/>
        <v>0</v>
      </c>
      <c r="AS318" s="1170"/>
      <c r="AT318" s="1170"/>
      <c r="AU318" s="1174"/>
      <c r="AV318" s="1241"/>
      <c r="AW318" s="1169"/>
      <c r="AX318" s="1177"/>
      <c r="AY318" s="1177"/>
      <c r="AZ318" s="1169"/>
      <c r="BA318" s="1169">
        <f t="shared" si="545"/>
        <v>0</v>
      </c>
      <c r="BB318" s="1169"/>
      <c r="BC318" s="1177">
        <f t="shared" si="508"/>
        <v>0</v>
      </c>
      <c r="BD318" s="1027"/>
      <c r="BE318" s="1029"/>
      <c r="BF318" s="1029"/>
    </row>
    <row r="319" s="1000" customFormat="1" ht="20.25" customHeight="1">
      <c r="A319" s="999" t="str">
        <f t="shared" si="521"/>
        <v xml:space="preserve">Крошка С.С.</v>
      </c>
      <c r="B319" s="1176" t="s">
        <v>204</v>
      </c>
      <c r="C319" s="1194"/>
      <c r="D319" s="1163"/>
      <c r="E319" s="1164">
        <f t="shared" si="515"/>
        <v>0</v>
      </c>
      <c r="F319" s="1164">
        <f t="shared" si="546"/>
        <v>0</v>
      </c>
      <c r="G319" s="1165">
        <f t="shared" si="539"/>
        <v>0</v>
      </c>
      <c r="H319" s="1277"/>
      <c r="I319" s="1167">
        <f t="shared" si="523"/>
        <v>0</v>
      </c>
      <c r="J319" s="1167">
        <f t="shared" si="524"/>
        <v>0</v>
      </c>
      <c r="K319" s="1168">
        <f t="shared" si="540"/>
        <v>0</v>
      </c>
      <c r="L319" s="1128"/>
      <c r="M319" s="1169"/>
      <c r="N319" s="1177"/>
      <c r="O319" s="1169"/>
      <c r="P319" s="1169"/>
      <c r="Q319" s="1169">
        <f t="shared" si="541"/>
        <v>0</v>
      </c>
      <c r="R319" s="1169"/>
      <c r="S319" s="1278"/>
      <c r="T319" s="1171"/>
      <c r="U319" s="1128"/>
      <c r="V319" s="1169"/>
      <c r="W319" s="1177"/>
      <c r="X319" s="1177"/>
      <c r="Y319" s="1169"/>
      <c r="Z319" s="1169">
        <f t="shared" si="542"/>
        <v>0</v>
      </c>
      <c r="AA319" s="1169"/>
      <c r="AB319" s="1172">
        <f t="shared" si="528"/>
        <v>0</v>
      </c>
      <c r="AC319" s="1171"/>
      <c r="AD319" s="1128"/>
      <c r="AE319" s="1169"/>
      <c r="AF319" s="1177"/>
      <c r="AG319" s="1177"/>
      <c r="AH319" s="1169"/>
      <c r="AI319" s="1169">
        <f t="shared" si="543"/>
        <v>0</v>
      </c>
      <c r="AJ319" s="1169"/>
      <c r="AK319" s="1173"/>
      <c r="AL319" s="1171"/>
      <c r="AM319" s="1128"/>
      <c r="AN319" s="1170"/>
      <c r="AO319" s="1175"/>
      <c r="AP319" s="1175"/>
      <c r="AQ319" s="1170"/>
      <c r="AR319" s="1170">
        <f t="shared" si="544"/>
        <v>0</v>
      </c>
      <c r="AS319" s="1170"/>
      <c r="AT319" s="1170"/>
      <c r="AU319" s="1174"/>
      <c r="AV319" s="1241"/>
      <c r="AW319" s="1169"/>
      <c r="AX319" s="1177"/>
      <c r="AY319" s="1177"/>
      <c r="AZ319" s="1169"/>
      <c r="BA319" s="1169">
        <f t="shared" si="545"/>
        <v>0</v>
      </c>
      <c r="BB319" s="1169"/>
      <c r="BC319" s="1177">
        <f t="shared" si="508"/>
        <v>0</v>
      </c>
      <c r="BD319" s="1027"/>
      <c r="BE319" s="1029"/>
      <c r="BF319" s="1029"/>
    </row>
    <row r="320" s="1000" customFormat="1" ht="20.25" customHeight="1">
      <c r="A320" s="999" t="str">
        <f t="shared" si="521"/>
        <v xml:space="preserve">Козлитина Н.В.</v>
      </c>
      <c r="B320" s="1176" t="s">
        <v>205</v>
      </c>
      <c r="C320" s="1176"/>
      <c r="D320" s="1163"/>
      <c r="E320" s="1164">
        <f t="shared" si="515"/>
        <v>0</v>
      </c>
      <c r="F320" s="1164">
        <f t="shared" si="546"/>
        <v>0</v>
      </c>
      <c r="G320" s="1165">
        <f t="shared" si="539"/>
        <v>0</v>
      </c>
      <c r="H320" s="1277"/>
      <c r="I320" s="1167">
        <f t="shared" si="523"/>
        <v>0</v>
      </c>
      <c r="J320" s="1167">
        <f t="shared" si="524"/>
        <v>0</v>
      </c>
      <c r="K320" s="1168">
        <f t="shared" si="540"/>
        <v>0</v>
      </c>
      <c r="L320" s="1128"/>
      <c r="M320" s="1169"/>
      <c r="N320" s="1177"/>
      <c r="O320" s="1169"/>
      <c r="P320" s="1169"/>
      <c r="Q320" s="1169">
        <f t="shared" si="541"/>
        <v>0</v>
      </c>
      <c r="R320" s="1169"/>
      <c r="S320" s="1278"/>
      <c r="T320" s="1171"/>
      <c r="U320" s="1128"/>
      <c r="V320" s="1169"/>
      <c r="W320" s="1177"/>
      <c r="X320" s="1177"/>
      <c r="Y320" s="1169"/>
      <c r="Z320" s="1169">
        <f t="shared" si="542"/>
        <v>0</v>
      </c>
      <c r="AA320" s="1169"/>
      <c r="AB320" s="1172">
        <f t="shared" si="528"/>
        <v>0</v>
      </c>
      <c r="AC320" s="1171"/>
      <c r="AD320" s="1128"/>
      <c r="AE320" s="1169"/>
      <c r="AF320" s="1177"/>
      <c r="AG320" s="1177"/>
      <c r="AH320" s="1169"/>
      <c r="AI320" s="1169">
        <f t="shared" si="543"/>
        <v>0</v>
      </c>
      <c r="AJ320" s="1169"/>
      <c r="AK320" s="1173"/>
      <c r="AL320" s="1171"/>
      <c r="AM320" s="1128"/>
      <c r="AN320" s="1170"/>
      <c r="AO320" s="1175"/>
      <c r="AP320" s="1175"/>
      <c r="AQ320" s="1170"/>
      <c r="AR320" s="1170">
        <f t="shared" si="544"/>
        <v>0</v>
      </c>
      <c r="AS320" s="1170"/>
      <c r="AT320" s="1170"/>
      <c r="AU320" s="1174"/>
      <c r="AV320" s="1241"/>
      <c r="AW320" s="1169"/>
      <c r="AX320" s="1177"/>
      <c r="AY320" s="1177"/>
      <c r="AZ320" s="1169"/>
      <c r="BA320" s="1169">
        <f t="shared" si="545"/>
        <v>0</v>
      </c>
      <c r="BB320" s="1169"/>
      <c r="BC320" s="1177">
        <f t="shared" si="508"/>
        <v>0</v>
      </c>
      <c r="BD320" s="1027"/>
      <c r="BE320" s="1029"/>
      <c r="BF320" s="1029"/>
    </row>
    <row r="321" s="1000" customFormat="1" ht="20.25" customHeight="1">
      <c r="A321" s="999" t="str">
        <f t="shared" si="521"/>
        <v xml:space="preserve">Баженова И.В.</v>
      </c>
      <c r="B321" s="1176" t="s">
        <v>206</v>
      </c>
      <c r="C321" s="1176"/>
      <c r="D321" s="1163"/>
      <c r="E321" s="1164">
        <f t="shared" si="515"/>
        <v>0</v>
      </c>
      <c r="F321" s="1164">
        <f t="shared" si="546"/>
        <v>0</v>
      </c>
      <c r="G321" s="1165">
        <f t="shared" si="539"/>
        <v>0</v>
      </c>
      <c r="H321" s="1277"/>
      <c r="I321" s="1167">
        <f t="shared" si="523"/>
        <v>0</v>
      </c>
      <c r="J321" s="1167">
        <f t="shared" si="524"/>
        <v>0</v>
      </c>
      <c r="K321" s="1168">
        <f t="shared" si="540"/>
        <v>0</v>
      </c>
      <c r="L321" s="1128"/>
      <c r="M321" s="1169"/>
      <c r="N321" s="1177"/>
      <c r="O321" s="1169"/>
      <c r="P321" s="1169"/>
      <c r="Q321" s="1169">
        <f t="shared" si="541"/>
        <v>0</v>
      </c>
      <c r="R321" s="1169"/>
      <c r="S321" s="1278"/>
      <c r="T321" s="1171"/>
      <c r="U321" s="1128"/>
      <c r="V321" s="1169"/>
      <c r="W321" s="1177"/>
      <c r="X321" s="1177"/>
      <c r="Y321" s="1169"/>
      <c r="Z321" s="1169">
        <f t="shared" si="542"/>
        <v>0</v>
      </c>
      <c r="AA321" s="1169"/>
      <c r="AB321" s="1172">
        <f t="shared" si="528"/>
        <v>0</v>
      </c>
      <c r="AC321" s="1171"/>
      <c r="AD321" s="1128"/>
      <c r="AE321" s="1169"/>
      <c r="AF321" s="1177"/>
      <c r="AG321" s="1177"/>
      <c r="AH321" s="1169"/>
      <c r="AI321" s="1169">
        <f t="shared" si="543"/>
        <v>0</v>
      </c>
      <c r="AJ321" s="1169"/>
      <c r="AK321" s="1173"/>
      <c r="AL321" s="1171"/>
      <c r="AM321" s="1128"/>
      <c r="AN321" s="1170"/>
      <c r="AO321" s="1175"/>
      <c r="AP321" s="1175"/>
      <c r="AQ321" s="1170"/>
      <c r="AR321" s="1170">
        <f t="shared" si="544"/>
        <v>0</v>
      </c>
      <c r="AS321" s="1170"/>
      <c r="AT321" s="1170"/>
      <c r="AU321" s="1174"/>
      <c r="AV321" s="1241"/>
      <c r="AW321" s="1169"/>
      <c r="AX321" s="1177"/>
      <c r="AY321" s="1177"/>
      <c r="AZ321" s="1169"/>
      <c r="BA321" s="1169">
        <f t="shared" si="545"/>
        <v>0</v>
      </c>
      <c r="BB321" s="1169"/>
      <c r="BC321" s="1177">
        <f t="shared" si="508"/>
        <v>0</v>
      </c>
      <c r="BD321" s="1027"/>
      <c r="BE321" s="1029"/>
      <c r="BF321" s="1029"/>
    </row>
    <row r="322" s="1000" customFormat="1" ht="20.25" customHeight="1">
      <c r="A322" s="999" t="str">
        <f t="shared" si="521"/>
        <v xml:space="preserve">Герингер О.А.</v>
      </c>
      <c r="B322" s="1176" t="s">
        <v>207</v>
      </c>
      <c r="C322" s="1194"/>
      <c r="D322" s="1163"/>
      <c r="E322" s="1164">
        <f t="shared" si="515"/>
        <v>0</v>
      </c>
      <c r="F322" s="1164">
        <f t="shared" si="546"/>
        <v>0</v>
      </c>
      <c r="G322" s="1165">
        <f t="shared" si="539"/>
        <v>0</v>
      </c>
      <c r="H322" s="1277"/>
      <c r="I322" s="1167">
        <f t="shared" si="523"/>
        <v>0</v>
      </c>
      <c r="J322" s="1167">
        <f t="shared" si="524"/>
        <v>0</v>
      </c>
      <c r="K322" s="1168">
        <f t="shared" si="540"/>
        <v>0</v>
      </c>
      <c r="L322" s="1128"/>
      <c r="M322" s="1169"/>
      <c r="N322" s="1177"/>
      <c r="O322" s="1169"/>
      <c r="P322" s="1169"/>
      <c r="Q322" s="1169">
        <f t="shared" si="541"/>
        <v>0</v>
      </c>
      <c r="R322" s="1169"/>
      <c r="S322" s="1278"/>
      <c r="T322" s="1171"/>
      <c r="U322" s="1128"/>
      <c r="V322" s="1169"/>
      <c r="W322" s="1177"/>
      <c r="X322" s="1177"/>
      <c r="Y322" s="1169"/>
      <c r="Z322" s="1169">
        <f t="shared" si="542"/>
        <v>0</v>
      </c>
      <c r="AA322" s="1169"/>
      <c r="AB322" s="1172">
        <f t="shared" si="528"/>
        <v>0</v>
      </c>
      <c r="AC322" s="1171"/>
      <c r="AD322" s="1128"/>
      <c r="AE322" s="1169"/>
      <c r="AF322" s="1177"/>
      <c r="AG322" s="1177"/>
      <c r="AH322" s="1169"/>
      <c r="AI322" s="1169">
        <f t="shared" si="543"/>
        <v>0</v>
      </c>
      <c r="AJ322" s="1169"/>
      <c r="AK322" s="1173"/>
      <c r="AL322" s="1171"/>
      <c r="AM322" s="1128"/>
      <c r="AN322" s="1170"/>
      <c r="AO322" s="1175"/>
      <c r="AP322" s="1175"/>
      <c r="AQ322" s="1170"/>
      <c r="AR322" s="1170">
        <f t="shared" si="544"/>
        <v>0</v>
      </c>
      <c r="AS322" s="1170"/>
      <c r="AT322" s="1170"/>
      <c r="AU322" s="1174"/>
      <c r="AV322" s="1241"/>
      <c r="AW322" s="1169"/>
      <c r="AX322" s="1177"/>
      <c r="AY322" s="1177"/>
      <c r="AZ322" s="1169"/>
      <c r="BA322" s="1169">
        <f t="shared" si="545"/>
        <v>0</v>
      </c>
      <c r="BB322" s="1169"/>
      <c r="BC322" s="1177">
        <f t="shared" si="508"/>
        <v>0</v>
      </c>
      <c r="BD322" s="1027"/>
      <c r="BE322" s="1029"/>
      <c r="BF322" s="1029"/>
    </row>
    <row r="323" s="1000" customFormat="1" ht="20.25" customHeight="1">
      <c r="A323" s="999" t="str">
        <f t="shared" si="521"/>
        <v xml:space="preserve">Ничипуренко И.А.</v>
      </c>
      <c r="B323" s="1176" t="s">
        <v>375</v>
      </c>
      <c r="C323" s="1176"/>
      <c r="D323" s="1163"/>
      <c r="E323" s="1164">
        <f t="shared" si="515"/>
        <v>0</v>
      </c>
      <c r="F323" s="1164">
        <f t="shared" si="546"/>
        <v>0</v>
      </c>
      <c r="G323" s="1165">
        <f t="shared" si="539"/>
        <v>0</v>
      </c>
      <c r="H323" s="1277"/>
      <c r="I323" s="1167">
        <f t="shared" si="523"/>
        <v>0</v>
      </c>
      <c r="J323" s="1167">
        <f t="shared" si="524"/>
        <v>0</v>
      </c>
      <c r="K323" s="1168">
        <f t="shared" si="540"/>
        <v>0</v>
      </c>
      <c r="L323" s="1128"/>
      <c r="M323" s="1169"/>
      <c r="N323" s="1177"/>
      <c r="O323" s="1169"/>
      <c r="P323" s="1169"/>
      <c r="Q323" s="1169">
        <f t="shared" si="541"/>
        <v>0</v>
      </c>
      <c r="R323" s="1169"/>
      <c r="S323" s="1278"/>
      <c r="T323" s="1171"/>
      <c r="U323" s="1128"/>
      <c r="V323" s="1169"/>
      <c r="W323" s="1177"/>
      <c r="X323" s="1177"/>
      <c r="Y323" s="1169"/>
      <c r="Z323" s="1169">
        <f t="shared" si="542"/>
        <v>0</v>
      </c>
      <c r="AA323" s="1169"/>
      <c r="AB323" s="1172">
        <f t="shared" si="528"/>
        <v>0</v>
      </c>
      <c r="AC323" s="1171"/>
      <c r="AD323" s="1128"/>
      <c r="AE323" s="1169"/>
      <c r="AF323" s="1177"/>
      <c r="AG323" s="1177"/>
      <c r="AH323" s="1169"/>
      <c r="AI323" s="1169">
        <f t="shared" si="543"/>
        <v>0</v>
      </c>
      <c r="AJ323" s="1169"/>
      <c r="AK323" s="1173"/>
      <c r="AL323" s="1171"/>
      <c r="AM323" s="1128"/>
      <c r="AN323" s="1170"/>
      <c r="AO323" s="1175"/>
      <c r="AP323" s="1175"/>
      <c r="AQ323" s="1170"/>
      <c r="AR323" s="1170">
        <f t="shared" si="544"/>
        <v>0</v>
      </c>
      <c r="AS323" s="1170"/>
      <c r="AT323" s="1170"/>
      <c r="AU323" s="1174"/>
      <c r="AV323" s="1241"/>
      <c r="AW323" s="1169"/>
      <c r="AX323" s="1177"/>
      <c r="AY323" s="1177"/>
      <c r="AZ323" s="1169"/>
      <c r="BA323" s="1169">
        <f t="shared" si="545"/>
        <v>0</v>
      </c>
      <c r="BB323" s="1169"/>
      <c r="BC323" s="1177">
        <f t="shared" si="508"/>
        <v>0</v>
      </c>
      <c r="BD323" s="1027"/>
      <c r="BE323" s="1029"/>
      <c r="BF323" s="1029"/>
    </row>
    <row r="324" s="1000" customFormat="1" ht="20.25" customHeight="1">
      <c r="A324" s="999" t="str">
        <f t="shared" si="521"/>
        <v xml:space="preserve">Дылыкова А.А. Закусова О.А. Бондаренко НФ</v>
      </c>
      <c r="B324" s="1176" t="s">
        <v>210</v>
      </c>
      <c r="C324" s="1176"/>
      <c r="D324" s="1163"/>
      <c r="E324" s="1164">
        <f t="shared" si="515"/>
        <v>0</v>
      </c>
      <c r="F324" s="1164">
        <f t="shared" si="546"/>
        <v>0</v>
      </c>
      <c r="G324" s="1165">
        <f t="shared" si="539"/>
        <v>0</v>
      </c>
      <c r="H324" s="1277"/>
      <c r="I324" s="1167">
        <f t="shared" si="523"/>
        <v>0</v>
      </c>
      <c r="J324" s="1167">
        <f t="shared" si="524"/>
        <v>0</v>
      </c>
      <c r="K324" s="1168">
        <f t="shared" si="540"/>
        <v>0</v>
      </c>
      <c r="L324" s="1128"/>
      <c r="M324" s="1169"/>
      <c r="N324" s="1177"/>
      <c r="O324" s="1169"/>
      <c r="P324" s="1169"/>
      <c r="Q324" s="1169">
        <f t="shared" si="541"/>
        <v>0</v>
      </c>
      <c r="R324" s="1169"/>
      <c r="S324" s="1278"/>
      <c r="T324" s="1171"/>
      <c r="U324" s="1128"/>
      <c r="V324" s="1169"/>
      <c r="W324" s="1177"/>
      <c r="X324" s="1177"/>
      <c r="Y324" s="1169"/>
      <c r="Z324" s="1169">
        <f t="shared" si="542"/>
        <v>0</v>
      </c>
      <c r="AA324" s="1169"/>
      <c r="AB324" s="1172">
        <f t="shared" si="528"/>
        <v>0</v>
      </c>
      <c r="AC324" s="1171"/>
      <c r="AD324" s="1128"/>
      <c r="AE324" s="1169"/>
      <c r="AF324" s="1177"/>
      <c r="AG324" s="1177"/>
      <c r="AH324" s="1169"/>
      <c r="AI324" s="1169">
        <f t="shared" si="543"/>
        <v>0</v>
      </c>
      <c r="AJ324" s="1169"/>
      <c r="AK324" s="1173"/>
      <c r="AL324" s="1171"/>
      <c r="AM324" s="1128"/>
      <c r="AN324" s="1170"/>
      <c r="AO324" s="1175"/>
      <c r="AP324" s="1175"/>
      <c r="AQ324" s="1170"/>
      <c r="AR324" s="1170">
        <f t="shared" si="544"/>
        <v>0</v>
      </c>
      <c r="AS324" s="1170"/>
      <c r="AT324" s="1170"/>
      <c r="AU324" s="1174"/>
      <c r="AV324" s="1241"/>
      <c r="AW324" s="1169"/>
      <c r="AX324" s="1177"/>
      <c r="AY324" s="1177"/>
      <c r="AZ324" s="1169"/>
      <c r="BA324" s="1169">
        <f t="shared" si="545"/>
        <v>0</v>
      </c>
      <c r="BB324" s="1169"/>
      <c r="BC324" s="1177">
        <f t="shared" si="508"/>
        <v>0</v>
      </c>
      <c r="BD324" s="1027"/>
      <c r="BE324" s="1029"/>
      <c r="BF324" s="1029"/>
    </row>
    <row r="325" s="1000" customFormat="1" ht="20.25" customHeight="1">
      <c r="A325" s="999" t="str">
        <f t="shared" si="521"/>
        <v xml:space="preserve">Мазуренко А.Н.</v>
      </c>
      <c r="B325" s="1176" t="s">
        <v>211</v>
      </c>
      <c r="C325" s="1176"/>
      <c r="D325" s="1163"/>
      <c r="E325" s="1164">
        <f t="shared" si="515"/>
        <v>0</v>
      </c>
      <c r="F325" s="1164">
        <f t="shared" ref="F325:F327" si="547">R325+AA325+AJ325+AS325+BB325</f>
        <v>0</v>
      </c>
      <c r="G325" s="1165">
        <f t="shared" si="539"/>
        <v>0</v>
      </c>
      <c r="H325" s="1277"/>
      <c r="I325" s="1167">
        <f t="shared" si="523"/>
        <v>0</v>
      </c>
      <c r="J325" s="1167">
        <f t="shared" si="524"/>
        <v>0</v>
      </c>
      <c r="K325" s="1168">
        <f t="shared" si="540"/>
        <v>0</v>
      </c>
      <c r="L325" s="1128"/>
      <c r="M325" s="1169"/>
      <c r="N325" s="1177"/>
      <c r="O325" s="1169"/>
      <c r="P325" s="1169"/>
      <c r="Q325" s="1169">
        <f t="shared" si="541"/>
        <v>0</v>
      </c>
      <c r="R325" s="1169"/>
      <c r="S325" s="1170"/>
      <c r="T325" s="1171"/>
      <c r="U325" s="1128"/>
      <c r="V325" s="1169"/>
      <c r="W325" s="1177"/>
      <c r="X325" s="1177"/>
      <c r="Y325" s="1169"/>
      <c r="Z325" s="1169">
        <f t="shared" si="542"/>
        <v>0</v>
      </c>
      <c r="AA325" s="1169"/>
      <c r="AB325" s="1172">
        <f t="shared" si="528"/>
        <v>0</v>
      </c>
      <c r="AC325" s="1171"/>
      <c r="AD325" s="1128"/>
      <c r="AE325" s="1169"/>
      <c r="AF325" s="1177"/>
      <c r="AG325" s="1177"/>
      <c r="AH325" s="1169"/>
      <c r="AI325" s="1169">
        <f t="shared" si="543"/>
        <v>0</v>
      </c>
      <c r="AJ325" s="1169"/>
      <c r="AK325" s="1173"/>
      <c r="AL325" s="1171"/>
      <c r="AM325" s="1128"/>
      <c r="AN325" s="1170"/>
      <c r="AO325" s="1175"/>
      <c r="AP325" s="1175"/>
      <c r="AQ325" s="1170"/>
      <c r="AR325" s="1170">
        <f t="shared" si="544"/>
        <v>0</v>
      </c>
      <c r="AS325" s="1170"/>
      <c r="AT325" s="1170"/>
      <c r="AU325" s="1174"/>
      <c r="AV325" s="1241"/>
      <c r="AW325" s="1169"/>
      <c r="AX325" s="1177"/>
      <c r="AY325" s="1177"/>
      <c r="AZ325" s="1169"/>
      <c r="BA325" s="1169">
        <f t="shared" si="545"/>
        <v>0</v>
      </c>
      <c r="BB325" s="1169"/>
      <c r="BC325" s="1177">
        <f t="shared" si="508"/>
        <v>0</v>
      </c>
      <c r="BD325" s="1027"/>
      <c r="BE325" s="1029"/>
      <c r="BF325" s="1029"/>
    </row>
    <row r="326" s="1106" customFormat="1" ht="20.25" customHeight="1">
      <c r="A326" s="999">
        <f t="shared" si="521"/>
        <v>0</v>
      </c>
      <c r="B326" s="1182" t="s">
        <v>363</v>
      </c>
      <c r="C326" s="1182"/>
      <c r="D326" s="1182"/>
      <c r="E326" s="1183">
        <f t="shared" si="515"/>
        <v>0</v>
      </c>
      <c r="F326" s="1183">
        <f t="shared" si="547"/>
        <v>0</v>
      </c>
      <c r="G326" s="1184">
        <f>SUM(G313:G325)</f>
        <v>0</v>
      </c>
      <c r="H326" s="1280"/>
      <c r="I326" s="1186">
        <f t="shared" si="523"/>
        <v>0</v>
      </c>
      <c r="J326" s="1186">
        <f t="shared" si="524"/>
        <v>0</v>
      </c>
      <c r="K326" s="1187">
        <f>SUM(K313:K325)</f>
        <v>0</v>
      </c>
      <c r="L326" s="1197"/>
      <c r="M326" s="1096">
        <f t="shared" ref="M326:R326" si="548">SUM(M313:M325)</f>
        <v>0</v>
      </c>
      <c r="N326" s="1096">
        <f t="shared" si="548"/>
        <v>0</v>
      </c>
      <c r="O326" s="1096">
        <f t="shared" si="548"/>
        <v>0</v>
      </c>
      <c r="P326" s="1096">
        <f t="shared" si="548"/>
        <v>0</v>
      </c>
      <c r="Q326" s="1096">
        <f t="shared" si="548"/>
        <v>0</v>
      </c>
      <c r="R326" s="1096">
        <f t="shared" si="548"/>
        <v>0</v>
      </c>
      <c r="S326" s="1170"/>
      <c r="T326" s="1189"/>
      <c r="U326" s="1128"/>
      <c r="V326" s="1096">
        <f t="shared" ref="V326:AA326" si="549">SUM(V313:V325)</f>
        <v>0</v>
      </c>
      <c r="W326" s="1096">
        <f t="shared" si="549"/>
        <v>0</v>
      </c>
      <c r="X326" s="1096">
        <f t="shared" si="549"/>
        <v>0</v>
      </c>
      <c r="Y326" s="1096">
        <f t="shared" si="549"/>
        <v>0</v>
      </c>
      <c r="Z326" s="1096">
        <f t="shared" si="549"/>
        <v>0</v>
      </c>
      <c r="AA326" s="1096">
        <f t="shared" si="549"/>
        <v>0</v>
      </c>
      <c r="AB326" s="1172">
        <f t="shared" si="528"/>
        <v>0</v>
      </c>
      <c r="AC326" s="1189"/>
      <c r="AD326" s="1125"/>
      <c r="AE326" s="1096">
        <f t="shared" ref="AE326:AJ326" si="550">SUM(AE313:AE325)</f>
        <v>0</v>
      </c>
      <c r="AF326" s="1096">
        <f t="shared" si="550"/>
        <v>0</v>
      </c>
      <c r="AG326" s="1096">
        <f t="shared" si="550"/>
        <v>0</v>
      </c>
      <c r="AH326" s="1096">
        <f t="shared" si="550"/>
        <v>0</v>
      </c>
      <c r="AI326" s="1096">
        <f t="shared" si="550"/>
        <v>0</v>
      </c>
      <c r="AJ326" s="1096">
        <f t="shared" si="550"/>
        <v>0</v>
      </c>
      <c r="AK326" s="1173"/>
      <c r="AL326" s="1189"/>
      <c r="AM326" s="1125"/>
      <c r="AN326" s="1190">
        <f t="shared" ref="AN326:AS326" si="551">SUM(AN313:AN325)</f>
        <v>0</v>
      </c>
      <c r="AO326" s="1190">
        <f t="shared" si="551"/>
        <v>0</v>
      </c>
      <c r="AP326" s="1190">
        <f t="shared" si="551"/>
        <v>0</v>
      </c>
      <c r="AQ326" s="1190">
        <f t="shared" si="551"/>
        <v>0</v>
      </c>
      <c r="AR326" s="1190">
        <f t="shared" si="551"/>
        <v>0</v>
      </c>
      <c r="AS326" s="1190">
        <f t="shared" si="551"/>
        <v>0</v>
      </c>
      <c r="AT326" s="1170"/>
      <c r="AU326" s="1191"/>
      <c r="AV326" s="1245"/>
      <c r="AW326" s="1096">
        <f t="shared" ref="AW326:BB326" si="552">SUM(AW313:AW325)</f>
        <v>0</v>
      </c>
      <c r="AX326" s="1096">
        <f t="shared" si="552"/>
        <v>0</v>
      </c>
      <c r="AY326" s="1096">
        <f t="shared" si="552"/>
        <v>0</v>
      </c>
      <c r="AZ326" s="1096">
        <f t="shared" si="552"/>
        <v>0</v>
      </c>
      <c r="BA326" s="1096">
        <f t="shared" si="552"/>
        <v>0</v>
      </c>
      <c r="BB326" s="1096">
        <f t="shared" si="552"/>
        <v>0</v>
      </c>
      <c r="BC326" s="1281">
        <f t="shared" si="508"/>
        <v>0</v>
      </c>
      <c r="BD326" s="1052"/>
      <c r="BE326" s="1051"/>
      <c r="BF326" s="1051"/>
    </row>
    <row r="327" s="1000" customFormat="1" ht="20.25" customHeight="1">
      <c r="A327" s="999" t="str">
        <f t="shared" si="521"/>
        <v xml:space="preserve">Румак В.Н, Стоянова ЕП</v>
      </c>
      <c r="B327" s="1176" t="s">
        <v>379</v>
      </c>
      <c r="C327" s="1176"/>
      <c r="D327" s="1163"/>
      <c r="E327" s="1164">
        <f t="shared" si="515"/>
        <v>0</v>
      </c>
      <c r="F327" s="1164">
        <f t="shared" si="547"/>
        <v>0</v>
      </c>
      <c r="G327" s="1165">
        <f t="shared" ref="G327:G331" si="553">E327+F327</f>
        <v>0</v>
      </c>
      <c r="H327" s="1277"/>
      <c r="I327" s="1167">
        <f t="shared" si="523"/>
        <v>0</v>
      </c>
      <c r="J327" s="1167">
        <f t="shared" si="524"/>
        <v>0</v>
      </c>
      <c r="K327" s="1168">
        <f t="shared" ref="K327:K331" si="554">I327+J327</f>
        <v>0</v>
      </c>
      <c r="L327" s="1128"/>
      <c r="M327" s="1169"/>
      <c r="N327" s="1177"/>
      <c r="O327" s="1169"/>
      <c r="P327" s="1169"/>
      <c r="Q327" s="1169">
        <f t="shared" ref="Q327:Q331" si="555">SUM(M327:P327)</f>
        <v>0</v>
      </c>
      <c r="R327" s="1169"/>
      <c r="S327" s="1170"/>
      <c r="T327" s="1171"/>
      <c r="U327" s="1128"/>
      <c r="V327" s="1169"/>
      <c r="W327" s="1177"/>
      <c r="X327" s="1177"/>
      <c r="Y327" s="1169"/>
      <c r="Z327" s="1169">
        <f t="shared" ref="Z327:Z331" si="556">SUM(V327:Y327)</f>
        <v>0</v>
      </c>
      <c r="AA327" s="1169"/>
      <c r="AB327" s="1172">
        <f t="shared" si="528"/>
        <v>0</v>
      </c>
      <c r="AC327" s="1171"/>
      <c r="AD327" s="1128"/>
      <c r="AE327" s="1169"/>
      <c r="AF327" s="1177"/>
      <c r="AG327" s="1177"/>
      <c r="AH327" s="1169"/>
      <c r="AI327" s="1169">
        <f t="shared" ref="AI327:AI331" si="557">SUM(AE327:AH327)</f>
        <v>0</v>
      </c>
      <c r="AJ327" s="1169"/>
      <c r="AK327" s="1173"/>
      <c r="AL327" s="1171"/>
      <c r="AM327" s="1128"/>
      <c r="AN327" s="1170"/>
      <c r="AO327" s="1175"/>
      <c r="AP327" s="1175"/>
      <c r="AQ327" s="1170"/>
      <c r="AR327" s="1170">
        <f t="shared" ref="AR327:AR331" si="558">SUM(AN327:AQ327)</f>
        <v>0</v>
      </c>
      <c r="AS327" s="1170"/>
      <c r="AT327" s="1170"/>
      <c r="AU327" s="1174"/>
      <c r="AV327" s="1241"/>
      <c r="AW327" s="1169"/>
      <c r="AX327" s="1177"/>
      <c r="AY327" s="1177"/>
      <c r="AZ327" s="1169"/>
      <c r="BA327" s="1169">
        <f t="shared" ref="BA327:BA331" si="559">SUM(AW327:AZ327)</f>
        <v>0</v>
      </c>
      <c r="BB327" s="1169"/>
      <c r="BC327" s="1177">
        <f t="shared" si="508"/>
        <v>0</v>
      </c>
      <c r="BD327" s="1027"/>
      <c r="BE327" s="1029"/>
      <c r="BF327" s="1029"/>
    </row>
    <row r="328" s="1000" customFormat="1" ht="20.25" customHeight="1">
      <c r="A328" s="999" t="str">
        <f t="shared" si="521"/>
        <v xml:space="preserve">Голубцова О.В.</v>
      </c>
      <c r="B328" s="1176" t="s">
        <v>381</v>
      </c>
      <c r="C328" s="1176"/>
      <c r="D328" s="1176"/>
      <c r="E328" s="1164">
        <f t="shared" si="515"/>
        <v>0</v>
      </c>
      <c r="F328" s="1164">
        <f t="shared" ref="F328:F330" si="560">P328+AA328+AJ328+AS328+BB328</f>
        <v>0</v>
      </c>
      <c r="G328" s="1165">
        <f t="shared" si="553"/>
        <v>0</v>
      </c>
      <c r="H328" s="1277"/>
      <c r="I328" s="1167">
        <f t="shared" si="523"/>
        <v>0</v>
      </c>
      <c r="J328" s="1167">
        <f t="shared" si="524"/>
        <v>0</v>
      </c>
      <c r="K328" s="1168">
        <f t="shared" si="554"/>
        <v>0</v>
      </c>
      <c r="L328" s="1128"/>
      <c r="M328" s="1169"/>
      <c r="N328" s="1177"/>
      <c r="O328" s="1169"/>
      <c r="P328" s="1169"/>
      <c r="Q328" s="1169">
        <f t="shared" si="555"/>
        <v>0</v>
      </c>
      <c r="R328" s="1169"/>
      <c r="S328" s="1278"/>
      <c r="T328" s="1171"/>
      <c r="U328" s="1128"/>
      <c r="V328" s="1169"/>
      <c r="W328" s="1177"/>
      <c r="X328" s="1177"/>
      <c r="Y328" s="1169"/>
      <c r="Z328" s="1169">
        <f t="shared" si="556"/>
        <v>0</v>
      </c>
      <c r="AA328" s="1169"/>
      <c r="AB328" s="1172">
        <f t="shared" si="528"/>
        <v>0</v>
      </c>
      <c r="AC328" s="1171"/>
      <c r="AD328" s="1128"/>
      <c r="AE328" s="1169"/>
      <c r="AF328" s="1177"/>
      <c r="AG328" s="1177"/>
      <c r="AH328" s="1169"/>
      <c r="AI328" s="1169">
        <f t="shared" si="557"/>
        <v>0</v>
      </c>
      <c r="AJ328" s="1169"/>
      <c r="AK328" s="1173"/>
      <c r="AL328" s="1171"/>
      <c r="AM328" s="1128"/>
      <c r="AN328" s="1170"/>
      <c r="AO328" s="1175"/>
      <c r="AP328" s="1175"/>
      <c r="AQ328" s="1170"/>
      <c r="AR328" s="1170">
        <f t="shared" si="558"/>
        <v>0</v>
      </c>
      <c r="AS328" s="1170"/>
      <c r="AT328" s="1170"/>
      <c r="AU328" s="1174"/>
      <c r="AV328" s="1241"/>
      <c r="AW328" s="1169"/>
      <c r="AX328" s="1177"/>
      <c r="AY328" s="1177"/>
      <c r="AZ328" s="1169"/>
      <c r="BA328" s="1169">
        <f t="shared" si="559"/>
        <v>0</v>
      </c>
      <c r="BB328" s="1169"/>
      <c r="BC328" s="1177">
        <f t="shared" si="508"/>
        <v>0</v>
      </c>
      <c r="BD328" s="1027"/>
      <c r="BE328" s="1029"/>
      <c r="BF328" s="1029"/>
    </row>
    <row r="329" s="1000" customFormat="1" ht="20.25" customHeight="1">
      <c r="A329" s="999" t="str">
        <f t="shared" si="521"/>
        <v xml:space="preserve">Бородулина М.П.</v>
      </c>
      <c r="B329" s="1176" t="s">
        <v>383</v>
      </c>
      <c r="C329" s="1176"/>
      <c r="D329" s="1163"/>
      <c r="E329" s="1164">
        <f t="shared" si="515"/>
        <v>0</v>
      </c>
      <c r="F329" s="1164">
        <f t="shared" si="560"/>
        <v>0</v>
      </c>
      <c r="G329" s="1165">
        <f t="shared" si="553"/>
        <v>0</v>
      </c>
      <c r="H329" s="1277"/>
      <c r="I329" s="1167">
        <f t="shared" si="523"/>
        <v>0</v>
      </c>
      <c r="J329" s="1167">
        <f t="shared" si="524"/>
        <v>0</v>
      </c>
      <c r="K329" s="1168">
        <f t="shared" si="554"/>
        <v>0</v>
      </c>
      <c r="L329" s="1128"/>
      <c r="M329" s="1169"/>
      <c r="N329" s="1177"/>
      <c r="O329" s="1169"/>
      <c r="P329" s="1169"/>
      <c r="Q329" s="1169">
        <f t="shared" si="555"/>
        <v>0</v>
      </c>
      <c r="R329" s="1169"/>
      <c r="S329" s="1278"/>
      <c r="T329" s="1171"/>
      <c r="U329" s="1128"/>
      <c r="V329" s="1169"/>
      <c r="W329" s="1177"/>
      <c r="X329" s="1177"/>
      <c r="Y329" s="1169"/>
      <c r="Z329" s="1169">
        <f t="shared" si="556"/>
        <v>0</v>
      </c>
      <c r="AA329" s="1169"/>
      <c r="AB329" s="1172">
        <f t="shared" si="528"/>
        <v>0</v>
      </c>
      <c r="AC329" s="1171"/>
      <c r="AD329" s="1128"/>
      <c r="AE329" s="1169"/>
      <c r="AF329" s="1177"/>
      <c r="AG329" s="1177"/>
      <c r="AH329" s="1169"/>
      <c r="AI329" s="1169">
        <f t="shared" si="557"/>
        <v>0</v>
      </c>
      <c r="AJ329" s="1169"/>
      <c r="AK329" s="1173"/>
      <c r="AL329" s="1171"/>
      <c r="AM329" s="1128"/>
      <c r="AN329" s="1170"/>
      <c r="AO329" s="1175"/>
      <c r="AP329" s="1175"/>
      <c r="AQ329" s="1170"/>
      <c r="AR329" s="1170">
        <f t="shared" si="558"/>
        <v>0</v>
      </c>
      <c r="AS329" s="1170"/>
      <c r="AT329" s="1170"/>
      <c r="AU329" s="1174"/>
      <c r="AV329" s="1241"/>
      <c r="AW329" s="1169"/>
      <c r="AX329" s="1177"/>
      <c r="AY329" s="1177"/>
      <c r="AZ329" s="1169"/>
      <c r="BA329" s="1169">
        <f t="shared" si="559"/>
        <v>0</v>
      </c>
      <c r="BB329" s="1169"/>
      <c r="BC329" s="1177">
        <f t="shared" si="508"/>
        <v>0</v>
      </c>
      <c r="BD329" s="1027"/>
      <c r="BE329" s="1029"/>
      <c r="BF329" s="1029"/>
    </row>
    <row r="330" s="1000" customFormat="1" ht="20.25" customHeight="1">
      <c r="A330" s="999" t="str">
        <f t="shared" si="521"/>
        <v xml:space="preserve">Буханова Т.И. Мансурова А.Г.</v>
      </c>
      <c r="B330" s="1176" t="s">
        <v>385</v>
      </c>
      <c r="C330" s="1196"/>
      <c r="D330" s="1196"/>
      <c r="E330" s="1164">
        <f t="shared" si="515"/>
        <v>0</v>
      </c>
      <c r="F330" s="1164">
        <f t="shared" si="560"/>
        <v>0</v>
      </c>
      <c r="G330" s="1165">
        <f t="shared" si="553"/>
        <v>0</v>
      </c>
      <c r="H330" s="1277"/>
      <c r="I330" s="1167">
        <f t="shared" si="523"/>
        <v>0</v>
      </c>
      <c r="J330" s="1167">
        <f t="shared" si="524"/>
        <v>0</v>
      </c>
      <c r="K330" s="1168">
        <f t="shared" si="554"/>
        <v>0</v>
      </c>
      <c r="L330" s="1128"/>
      <c r="M330" s="1169"/>
      <c r="N330" s="1177"/>
      <c r="O330" s="1169"/>
      <c r="P330" s="1169"/>
      <c r="Q330" s="1169">
        <f t="shared" si="555"/>
        <v>0</v>
      </c>
      <c r="R330" s="1169"/>
      <c r="S330" s="1278"/>
      <c r="T330" s="1171"/>
      <c r="U330" s="1128"/>
      <c r="V330" s="1169"/>
      <c r="W330" s="1177"/>
      <c r="X330" s="1177"/>
      <c r="Y330" s="1169"/>
      <c r="Z330" s="1169">
        <f t="shared" si="556"/>
        <v>0</v>
      </c>
      <c r="AA330" s="1169"/>
      <c r="AB330" s="1172">
        <f t="shared" si="528"/>
        <v>0</v>
      </c>
      <c r="AC330" s="1171"/>
      <c r="AD330" s="1128"/>
      <c r="AE330" s="1169"/>
      <c r="AF330" s="1177"/>
      <c r="AG330" s="1177"/>
      <c r="AH330" s="1169"/>
      <c r="AI330" s="1169">
        <f t="shared" si="557"/>
        <v>0</v>
      </c>
      <c r="AJ330" s="1169"/>
      <c r="AK330" s="1173"/>
      <c r="AL330" s="1171"/>
      <c r="AM330" s="1128"/>
      <c r="AN330" s="1170"/>
      <c r="AO330" s="1175"/>
      <c r="AP330" s="1175"/>
      <c r="AQ330" s="1170"/>
      <c r="AR330" s="1170">
        <f t="shared" si="558"/>
        <v>0</v>
      </c>
      <c r="AS330" s="1170"/>
      <c r="AT330" s="1170"/>
      <c r="AU330" s="1174"/>
      <c r="AV330" s="1241"/>
      <c r="AW330" s="1169"/>
      <c r="AX330" s="1177"/>
      <c r="AY330" s="1177"/>
      <c r="AZ330" s="1169"/>
      <c r="BA330" s="1169">
        <f t="shared" si="559"/>
        <v>0</v>
      </c>
      <c r="BB330" s="1169"/>
      <c r="BC330" s="1177">
        <f t="shared" si="508"/>
        <v>0</v>
      </c>
      <c r="BD330" s="1027"/>
      <c r="BE330" s="1029"/>
      <c r="BF330" s="1029"/>
    </row>
    <row r="331" s="1000" customFormat="1" ht="20.25" customHeight="1">
      <c r="A331" s="999" t="str">
        <f t="shared" si="521"/>
        <v xml:space="preserve">Мирошник Е.В.</v>
      </c>
      <c r="B331" s="1176" t="s">
        <v>387</v>
      </c>
      <c r="C331" s="1176"/>
      <c r="D331" s="1176"/>
      <c r="E331" s="1164">
        <f t="shared" si="515"/>
        <v>0</v>
      </c>
      <c r="F331" s="1164">
        <f t="shared" ref="F331:F341" si="561">R331+AA331+AJ331+AS331+BB331</f>
        <v>0</v>
      </c>
      <c r="G331" s="1165">
        <f t="shared" si="553"/>
        <v>0</v>
      </c>
      <c r="H331" s="1277"/>
      <c r="I331" s="1167">
        <f t="shared" si="523"/>
        <v>0</v>
      </c>
      <c r="J331" s="1167">
        <f t="shared" si="524"/>
        <v>0</v>
      </c>
      <c r="K331" s="1168">
        <f t="shared" si="554"/>
        <v>0</v>
      </c>
      <c r="L331" s="1128"/>
      <c r="M331" s="1169"/>
      <c r="N331" s="1177"/>
      <c r="O331" s="1169"/>
      <c r="P331" s="1169"/>
      <c r="Q331" s="1169">
        <f t="shared" si="555"/>
        <v>0</v>
      </c>
      <c r="R331" s="1169"/>
      <c r="S331" s="1170"/>
      <c r="T331" s="1171"/>
      <c r="U331" s="1128"/>
      <c r="V331" s="1169"/>
      <c r="W331" s="1177"/>
      <c r="X331" s="1177"/>
      <c r="Y331" s="1169"/>
      <c r="Z331" s="1169">
        <f t="shared" si="556"/>
        <v>0</v>
      </c>
      <c r="AA331" s="1169"/>
      <c r="AB331" s="1172">
        <f t="shared" si="528"/>
        <v>0</v>
      </c>
      <c r="AC331" s="1171"/>
      <c r="AD331" s="1128"/>
      <c r="AE331" s="1169"/>
      <c r="AF331" s="1177"/>
      <c r="AG331" s="1177"/>
      <c r="AH331" s="1169"/>
      <c r="AI331" s="1169">
        <f t="shared" si="557"/>
        <v>0</v>
      </c>
      <c r="AJ331" s="1169"/>
      <c r="AK331" s="1173"/>
      <c r="AL331" s="1171"/>
      <c r="AM331" s="1128"/>
      <c r="AN331" s="1170"/>
      <c r="AO331" s="1175"/>
      <c r="AP331" s="1175"/>
      <c r="AQ331" s="1170"/>
      <c r="AR331" s="1170">
        <f t="shared" si="558"/>
        <v>0</v>
      </c>
      <c r="AS331" s="1170"/>
      <c r="AT331" s="1170"/>
      <c r="AU331" s="1174"/>
      <c r="AV331" s="1241"/>
      <c r="AW331" s="1169"/>
      <c r="AX331" s="1177"/>
      <c r="AY331" s="1177"/>
      <c r="AZ331" s="1169"/>
      <c r="BA331" s="1169">
        <f t="shared" si="559"/>
        <v>0</v>
      </c>
      <c r="BB331" s="1169"/>
      <c r="BC331" s="1177">
        <f t="shared" si="508"/>
        <v>0</v>
      </c>
      <c r="BD331" s="1027"/>
      <c r="BE331" s="1029"/>
      <c r="BF331" s="1029"/>
    </row>
    <row r="332" s="1106" customFormat="1" ht="20.25" customHeight="1">
      <c r="A332" s="999">
        <f t="shared" si="521"/>
        <v>0</v>
      </c>
      <c r="B332" s="1182" t="s">
        <v>388</v>
      </c>
      <c r="C332" s="1182"/>
      <c r="D332" s="1182"/>
      <c r="E332" s="1183">
        <f t="shared" si="515"/>
        <v>0</v>
      </c>
      <c r="F332" s="1183">
        <f t="shared" si="561"/>
        <v>0</v>
      </c>
      <c r="G332" s="1184">
        <f>SUM(G327:G331)</f>
        <v>0</v>
      </c>
      <c r="H332" s="1280"/>
      <c r="I332" s="1186">
        <f t="shared" si="523"/>
        <v>0</v>
      </c>
      <c r="J332" s="1186">
        <f t="shared" si="524"/>
        <v>0</v>
      </c>
      <c r="K332" s="1187">
        <f>SUM(K327:K331)</f>
        <v>0</v>
      </c>
      <c r="L332" s="1197"/>
      <c r="M332" s="1096">
        <f t="shared" ref="M332:R332" si="562">SUM(M327:M331)</f>
        <v>0</v>
      </c>
      <c r="N332" s="1096">
        <f t="shared" si="562"/>
        <v>0</v>
      </c>
      <c r="O332" s="1096">
        <f t="shared" si="562"/>
        <v>0</v>
      </c>
      <c r="P332" s="1096">
        <f t="shared" si="562"/>
        <v>0</v>
      </c>
      <c r="Q332" s="1096">
        <f t="shared" si="562"/>
        <v>0</v>
      </c>
      <c r="R332" s="1096">
        <f t="shared" si="562"/>
        <v>0</v>
      </c>
      <c r="S332" s="1170"/>
      <c r="T332" s="1189"/>
      <c r="U332" s="1197"/>
      <c r="V332" s="1096">
        <f t="shared" ref="V332:AA332" si="563">SUM(V327:V331)</f>
        <v>0</v>
      </c>
      <c r="W332" s="1096">
        <f t="shared" si="563"/>
        <v>0</v>
      </c>
      <c r="X332" s="1096">
        <f t="shared" si="563"/>
        <v>0</v>
      </c>
      <c r="Y332" s="1096">
        <f t="shared" si="563"/>
        <v>0</v>
      </c>
      <c r="Z332" s="1096">
        <f t="shared" si="563"/>
        <v>0</v>
      </c>
      <c r="AA332" s="1096">
        <f t="shared" si="563"/>
        <v>0</v>
      </c>
      <c r="AB332" s="1172">
        <f t="shared" si="528"/>
        <v>0</v>
      </c>
      <c r="AC332" s="1189"/>
      <c r="AD332" s="1197"/>
      <c r="AE332" s="1096">
        <f t="shared" ref="AE332:AJ332" si="564">SUM(AE327:AE331)</f>
        <v>0</v>
      </c>
      <c r="AF332" s="1096">
        <f t="shared" si="564"/>
        <v>0</v>
      </c>
      <c r="AG332" s="1096">
        <f t="shared" si="564"/>
        <v>0</v>
      </c>
      <c r="AH332" s="1096">
        <f t="shared" si="564"/>
        <v>0</v>
      </c>
      <c r="AI332" s="1096">
        <f t="shared" si="564"/>
        <v>0</v>
      </c>
      <c r="AJ332" s="1096">
        <f t="shared" si="564"/>
        <v>0</v>
      </c>
      <c r="AK332" s="1173"/>
      <c r="AL332" s="1189"/>
      <c r="AM332" s="1197"/>
      <c r="AN332" s="1190">
        <f t="shared" ref="AN332:AS332" si="565">SUM(AN327:AN331)</f>
        <v>0</v>
      </c>
      <c r="AO332" s="1190">
        <f t="shared" si="565"/>
        <v>0</v>
      </c>
      <c r="AP332" s="1190">
        <f t="shared" si="565"/>
        <v>0</v>
      </c>
      <c r="AQ332" s="1190">
        <f t="shared" si="565"/>
        <v>0</v>
      </c>
      <c r="AR332" s="1190">
        <f t="shared" si="565"/>
        <v>0</v>
      </c>
      <c r="AS332" s="1190">
        <f t="shared" si="565"/>
        <v>0</v>
      </c>
      <c r="AT332" s="1170"/>
      <c r="AU332" s="1191"/>
      <c r="AV332" s="1197">
        <f t="shared" ref="AV332:BB332" si="566">SUM(AV327:AV331)</f>
        <v>0</v>
      </c>
      <c r="AW332" s="1096">
        <f t="shared" si="566"/>
        <v>0</v>
      </c>
      <c r="AX332" s="1096">
        <f t="shared" si="566"/>
        <v>0</v>
      </c>
      <c r="AY332" s="1096">
        <f t="shared" si="566"/>
        <v>0</v>
      </c>
      <c r="AZ332" s="1096">
        <f t="shared" si="566"/>
        <v>0</v>
      </c>
      <c r="BA332" s="1096">
        <f t="shared" si="566"/>
        <v>0</v>
      </c>
      <c r="BB332" s="1096">
        <f t="shared" si="566"/>
        <v>0</v>
      </c>
      <c r="BC332" s="1281">
        <f t="shared" si="508"/>
        <v>0</v>
      </c>
      <c r="BD332" s="1052"/>
      <c r="BE332" s="1051"/>
      <c r="BF332" s="1051"/>
    </row>
    <row r="333" s="1000" customFormat="1" ht="20.25" customHeight="1">
      <c r="A333" s="999" t="str">
        <f t="shared" si="521"/>
        <v xml:space="preserve">Зиненко Ю.А. Шаповалова Т.Ю.</v>
      </c>
      <c r="B333" s="1176" t="s">
        <v>390</v>
      </c>
      <c r="C333" s="1198"/>
      <c r="D333" s="1163"/>
      <c r="E333" s="1164">
        <f t="shared" si="515"/>
        <v>0</v>
      </c>
      <c r="F333" s="1164">
        <f t="shared" si="561"/>
        <v>0</v>
      </c>
      <c r="G333" s="1165">
        <f t="shared" ref="G333:G335" si="567">E333+F333</f>
        <v>0</v>
      </c>
      <c r="H333" s="1277"/>
      <c r="I333" s="1167">
        <f t="shared" si="523"/>
        <v>0</v>
      </c>
      <c r="J333" s="1167">
        <f t="shared" si="524"/>
        <v>0</v>
      </c>
      <c r="K333" s="1168">
        <f t="shared" ref="K333:K335" si="568">I333+J333</f>
        <v>0</v>
      </c>
      <c r="L333" s="1197"/>
      <c r="M333" s="1169"/>
      <c r="N333" s="1199"/>
      <c r="O333" s="1169"/>
      <c r="P333" s="1169"/>
      <c r="Q333" s="1169">
        <f t="shared" ref="Q333:Q335" si="569">SUM(M333:P333)</f>
        <v>0</v>
      </c>
      <c r="R333" s="1169"/>
      <c r="S333" s="1170"/>
      <c r="T333" s="1171"/>
      <c r="U333" s="1128"/>
      <c r="V333" s="1169"/>
      <c r="W333" s="1199"/>
      <c r="X333" s="1199"/>
      <c r="Y333" s="1169"/>
      <c r="Z333" s="1169">
        <f t="shared" ref="Z333:Z335" si="570">SUM(V333:Y333)</f>
        <v>0</v>
      </c>
      <c r="AA333" s="1169"/>
      <c r="AB333" s="1172">
        <f t="shared" si="528"/>
        <v>0</v>
      </c>
      <c r="AC333" s="1171"/>
      <c r="AD333" s="1128"/>
      <c r="AE333" s="1169"/>
      <c r="AF333" s="1199"/>
      <c r="AG333" s="1199"/>
      <c r="AH333" s="1169"/>
      <c r="AI333" s="1169">
        <f t="shared" ref="AI333:AI335" si="571">SUM(AE333:AH333)</f>
        <v>0</v>
      </c>
      <c r="AJ333" s="1169"/>
      <c r="AK333" s="1173"/>
      <c r="AL333" s="1171"/>
      <c r="AM333" s="1128"/>
      <c r="AN333" s="1170"/>
      <c r="AO333" s="1200"/>
      <c r="AP333" s="1200"/>
      <c r="AQ333" s="1170"/>
      <c r="AR333" s="1170">
        <f t="shared" ref="AR333:AR335" si="572">SUM(AN333:AQ333)</f>
        <v>0</v>
      </c>
      <c r="AS333" s="1170"/>
      <c r="AT333" s="1170"/>
      <c r="AU333" s="1174"/>
      <c r="AV333" s="1241"/>
      <c r="AW333" s="1169"/>
      <c r="AX333" s="1199"/>
      <c r="AY333" s="1199"/>
      <c r="AZ333" s="1169"/>
      <c r="BA333" s="1169">
        <f t="shared" ref="BA333:BA335" si="573">SUM(AW333:AZ333)</f>
        <v>0</v>
      </c>
      <c r="BB333" s="1169"/>
      <c r="BC333" s="1177">
        <f t="shared" si="508"/>
        <v>0</v>
      </c>
      <c r="BD333" s="1027"/>
      <c r="BE333" s="1029"/>
      <c r="BF333" s="1029"/>
    </row>
    <row r="334" s="1000" customFormat="1" ht="20.25" customHeight="1">
      <c r="A334" s="999" t="str">
        <f t="shared" si="521"/>
        <v xml:space="preserve">Майорова И.В.</v>
      </c>
      <c r="B334" s="1176" t="s">
        <v>392</v>
      </c>
      <c r="C334" s="1198"/>
      <c r="D334" s="1163"/>
      <c r="E334" s="1164">
        <f t="shared" si="515"/>
        <v>0</v>
      </c>
      <c r="F334" s="1164">
        <f t="shared" si="561"/>
        <v>0</v>
      </c>
      <c r="G334" s="1165">
        <f t="shared" si="567"/>
        <v>0</v>
      </c>
      <c r="H334" s="1277"/>
      <c r="I334" s="1167">
        <f t="shared" si="523"/>
        <v>0</v>
      </c>
      <c r="J334" s="1167">
        <f t="shared" si="524"/>
        <v>0</v>
      </c>
      <c r="K334" s="1168">
        <f t="shared" si="568"/>
        <v>0</v>
      </c>
      <c r="L334" s="1197"/>
      <c r="M334" s="1169"/>
      <c r="N334" s="1177"/>
      <c r="O334" s="1169"/>
      <c r="P334" s="1169"/>
      <c r="Q334" s="1169">
        <f t="shared" si="569"/>
        <v>0</v>
      </c>
      <c r="R334" s="1169"/>
      <c r="S334" s="1170"/>
      <c r="T334" s="1171"/>
      <c r="U334" s="1128"/>
      <c r="V334" s="1169"/>
      <c r="W334" s="1177"/>
      <c r="X334" s="1177"/>
      <c r="Y334" s="1169"/>
      <c r="Z334" s="1169">
        <f t="shared" si="570"/>
        <v>0</v>
      </c>
      <c r="AA334" s="1169"/>
      <c r="AB334" s="1172">
        <f t="shared" si="528"/>
        <v>0</v>
      </c>
      <c r="AC334" s="1171"/>
      <c r="AD334" s="1128"/>
      <c r="AE334" s="1169"/>
      <c r="AF334" s="1177"/>
      <c r="AG334" s="1177"/>
      <c r="AH334" s="1169"/>
      <c r="AI334" s="1169">
        <f t="shared" si="571"/>
        <v>0</v>
      </c>
      <c r="AJ334" s="1169"/>
      <c r="AK334" s="1173"/>
      <c r="AL334" s="1171"/>
      <c r="AM334" s="1128"/>
      <c r="AN334" s="1170"/>
      <c r="AO334" s="1175"/>
      <c r="AP334" s="1175"/>
      <c r="AQ334" s="1170"/>
      <c r="AR334" s="1170">
        <f t="shared" si="572"/>
        <v>0</v>
      </c>
      <c r="AS334" s="1170"/>
      <c r="AT334" s="1170"/>
      <c r="AU334" s="1174"/>
      <c r="AV334" s="1241"/>
      <c r="AW334" s="1169"/>
      <c r="AX334" s="1177"/>
      <c r="AY334" s="1177"/>
      <c r="AZ334" s="1169"/>
      <c r="BA334" s="1169">
        <f t="shared" si="573"/>
        <v>0</v>
      </c>
      <c r="BB334" s="1169"/>
      <c r="BC334" s="1177">
        <f t="shared" si="508"/>
        <v>0</v>
      </c>
      <c r="BD334" s="1027"/>
      <c r="BE334" s="1029"/>
      <c r="BF334" s="1029"/>
    </row>
    <row r="335" s="1000" customFormat="1" ht="20.25" customHeight="1">
      <c r="A335" s="999" t="str">
        <f t="shared" si="521"/>
        <v xml:space="preserve">Гребенюк Ю.С.,  Молчанова Н.М.</v>
      </c>
      <c r="B335" s="1176" t="s">
        <v>265</v>
      </c>
      <c r="C335" s="1131"/>
      <c r="D335" s="1201"/>
      <c r="E335" s="1164">
        <f t="shared" si="515"/>
        <v>0</v>
      </c>
      <c r="F335" s="1164">
        <f t="shared" si="561"/>
        <v>0</v>
      </c>
      <c r="G335" s="1165">
        <f t="shared" si="567"/>
        <v>0</v>
      </c>
      <c r="H335" s="1277"/>
      <c r="I335" s="1167">
        <f t="shared" si="523"/>
        <v>0</v>
      </c>
      <c r="J335" s="1167">
        <f t="shared" si="524"/>
        <v>0</v>
      </c>
      <c r="K335" s="1168">
        <f t="shared" si="568"/>
        <v>0</v>
      </c>
      <c r="L335" s="1128"/>
      <c r="M335" s="1169"/>
      <c r="N335" s="1177"/>
      <c r="O335" s="1169"/>
      <c r="P335" s="1169"/>
      <c r="Q335" s="1169">
        <f t="shared" si="569"/>
        <v>0</v>
      </c>
      <c r="R335" s="1169"/>
      <c r="S335" s="1170"/>
      <c r="T335" s="1171"/>
      <c r="U335" s="1128"/>
      <c r="V335" s="1169"/>
      <c r="W335" s="1177"/>
      <c r="X335" s="1177"/>
      <c r="Y335" s="1169"/>
      <c r="Z335" s="1169">
        <f t="shared" si="570"/>
        <v>0</v>
      </c>
      <c r="AA335" s="1169"/>
      <c r="AB335" s="1172">
        <f t="shared" si="528"/>
        <v>0</v>
      </c>
      <c r="AC335" s="1171"/>
      <c r="AD335" s="1128"/>
      <c r="AE335" s="1169"/>
      <c r="AF335" s="1177"/>
      <c r="AG335" s="1177"/>
      <c r="AH335" s="1169"/>
      <c r="AI335" s="1169">
        <f t="shared" si="571"/>
        <v>0</v>
      </c>
      <c r="AJ335" s="1169"/>
      <c r="AK335" s="1173"/>
      <c r="AL335" s="1171"/>
      <c r="AM335" s="1128"/>
      <c r="AN335" s="1170"/>
      <c r="AO335" s="1175"/>
      <c r="AP335" s="1175"/>
      <c r="AQ335" s="1170"/>
      <c r="AR335" s="1170">
        <f t="shared" si="572"/>
        <v>0</v>
      </c>
      <c r="AS335" s="1170"/>
      <c r="AT335" s="1170"/>
      <c r="AU335" s="1174"/>
      <c r="AV335" s="1241"/>
      <c r="AW335" s="1169"/>
      <c r="AX335" s="1177"/>
      <c r="AY335" s="1177"/>
      <c r="AZ335" s="1169"/>
      <c r="BA335" s="1169">
        <f t="shared" si="573"/>
        <v>0</v>
      </c>
      <c r="BB335" s="1169"/>
      <c r="BC335" s="1177">
        <f t="shared" ref="BC335:BC398" si="574">BA335+BB335</f>
        <v>0</v>
      </c>
      <c r="BD335" s="1027"/>
      <c r="BE335" s="1029"/>
      <c r="BF335" s="1029"/>
    </row>
    <row r="336" s="1106" customFormat="1" ht="20.25" customHeight="1">
      <c r="A336" s="999">
        <f t="shared" si="521"/>
        <v>0</v>
      </c>
      <c r="B336" s="1182" t="s">
        <v>394</v>
      </c>
      <c r="C336" s="1182"/>
      <c r="D336" s="1182"/>
      <c r="E336" s="1183">
        <f t="shared" si="515"/>
        <v>0</v>
      </c>
      <c r="F336" s="1183">
        <f t="shared" si="561"/>
        <v>0</v>
      </c>
      <c r="G336" s="1184">
        <f>SUM(G333:G335)</f>
        <v>0</v>
      </c>
      <c r="H336" s="1280"/>
      <c r="I336" s="1186">
        <f t="shared" si="523"/>
        <v>0</v>
      </c>
      <c r="J336" s="1186">
        <f t="shared" si="524"/>
        <v>0</v>
      </c>
      <c r="K336" s="1187">
        <f>SUM(K333:K335)</f>
        <v>0</v>
      </c>
      <c r="L336" s="1197"/>
      <c r="M336" s="1096">
        <f t="shared" ref="M336:R340" si="575">SUM(M333:M335)</f>
        <v>0</v>
      </c>
      <c r="N336" s="1096">
        <f t="shared" si="575"/>
        <v>0</v>
      </c>
      <c r="O336" s="1096">
        <f t="shared" si="575"/>
        <v>0</v>
      </c>
      <c r="P336" s="1096">
        <f t="shared" si="575"/>
        <v>0</v>
      </c>
      <c r="Q336" s="1096">
        <f t="shared" si="575"/>
        <v>0</v>
      </c>
      <c r="R336" s="1096">
        <f t="shared" si="575"/>
        <v>0</v>
      </c>
      <c r="S336" s="1170"/>
      <c r="T336" s="1189"/>
      <c r="U336" s="1128"/>
      <c r="V336" s="1096">
        <f t="shared" ref="V336:AA340" si="576">SUM(V333:V335)</f>
        <v>0</v>
      </c>
      <c r="W336" s="1096">
        <f t="shared" si="576"/>
        <v>0</v>
      </c>
      <c r="X336" s="1096">
        <f t="shared" si="576"/>
        <v>0</v>
      </c>
      <c r="Y336" s="1096">
        <f t="shared" si="576"/>
        <v>0</v>
      </c>
      <c r="Z336" s="1096">
        <f t="shared" si="576"/>
        <v>0</v>
      </c>
      <c r="AA336" s="1096">
        <f t="shared" si="576"/>
        <v>0</v>
      </c>
      <c r="AB336" s="1172">
        <f t="shared" si="528"/>
        <v>0</v>
      </c>
      <c r="AC336" s="1189"/>
      <c r="AD336" s="1125"/>
      <c r="AE336" s="1096">
        <f t="shared" ref="AE336:AJ340" si="577">SUM(AE333:AE335)</f>
        <v>0</v>
      </c>
      <c r="AF336" s="1096">
        <f t="shared" si="577"/>
        <v>0</v>
      </c>
      <c r="AG336" s="1096">
        <f t="shared" si="577"/>
        <v>0</v>
      </c>
      <c r="AH336" s="1096">
        <f t="shared" si="577"/>
        <v>0</v>
      </c>
      <c r="AI336" s="1096">
        <f t="shared" si="577"/>
        <v>0</v>
      </c>
      <c r="AJ336" s="1096">
        <f t="shared" si="577"/>
        <v>0</v>
      </c>
      <c r="AK336" s="1173"/>
      <c r="AL336" s="1189"/>
      <c r="AM336" s="1125"/>
      <c r="AN336" s="1190">
        <f t="shared" ref="AN336:AS340" si="578">SUM(AN333:AN335)</f>
        <v>0</v>
      </c>
      <c r="AO336" s="1190">
        <f t="shared" si="578"/>
        <v>0</v>
      </c>
      <c r="AP336" s="1190">
        <f t="shared" si="578"/>
        <v>0</v>
      </c>
      <c r="AQ336" s="1190">
        <f t="shared" si="578"/>
        <v>0</v>
      </c>
      <c r="AR336" s="1190">
        <f t="shared" si="578"/>
        <v>0</v>
      </c>
      <c r="AS336" s="1190">
        <f t="shared" si="578"/>
        <v>0</v>
      </c>
      <c r="AT336" s="1170"/>
      <c r="AU336" s="1191"/>
      <c r="AV336" s="1245"/>
      <c r="AW336" s="1096">
        <f t="shared" ref="AW336:BB340" si="579">SUM(AW333:AW335)</f>
        <v>0</v>
      </c>
      <c r="AX336" s="1096">
        <f t="shared" si="579"/>
        <v>0</v>
      </c>
      <c r="AY336" s="1096">
        <f t="shared" si="579"/>
        <v>0</v>
      </c>
      <c r="AZ336" s="1096">
        <f t="shared" si="579"/>
        <v>0</v>
      </c>
      <c r="BA336" s="1096">
        <f t="shared" si="579"/>
        <v>0</v>
      </c>
      <c r="BB336" s="1096">
        <f t="shared" si="579"/>
        <v>0</v>
      </c>
      <c r="BC336" s="1281">
        <f t="shared" si="574"/>
        <v>0</v>
      </c>
      <c r="BD336" s="1052"/>
      <c r="BE336" s="1051"/>
      <c r="BF336" s="1051"/>
    </row>
    <row r="337" s="1000" customFormat="1" ht="20.25" customHeight="1">
      <c r="A337" s="999" t="str">
        <f t="shared" si="521"/>
        <v xml:space="preserve">Шевченко ЕА, Мацак ЕН</v>
      </c>
      <c r="B337" s="1202" t="s">
        <v>50</v>
      </c>
      <c r="C337" s="1203"/>
      <c r="D337" s="1201"/>
      <c r="E337" s="1164">
        <f t="shared" si="515"/>
        <v>0</v>
      </c>
      <c r="F337" s="1164">
        <f t="shared" si="561"/>
        <v>0</v>
      </c>
      <c r="G337" s="1165">
        <f t="shared" ref="G337:G339" si="580">E337+F337</f>
        <v>0</v>
      </c>
      <c r="H337" s="1277"/>
      <c r="I337" s="1167">
        <f t="shared" si="523"/>
        <v>0</v>
      </c>
      <c r="J337" s="1167">
        <f t="shared" si="524"/>
        <v>0</v>
      </c>
      <c r="K337" s="1168">
        <f t="shared" ref="K337:K339" si="581">I337+J337</f>
        <v>0</v>
      </c>
      <c r="L337" s="1128"/>
      <c r="M337" s="1169"/>
      <c r="N337" s="1177"/>
      <c r="O337" s="1169"/>
      <c r="P337" s="1169"/>
      <c r="Q337" s="1169">
        <f t="shared" ref="Q337:Q339" si="582">SUM(M337:P337)</f>
        <v>0</v>
      </c>
      <c r="R337" s="1169"/>
      <c r="S337" s="1170"/>
      <c r="T337" s="1171"/>
      <c r="U337" s="1128"/>
      <c r="V337" s="1169"/>
      <c r="W337" s="1177"/>
      <c r="X337" s="1177"/>
      <c r="Y337" s="1169"/>
      <c r="Z337" s="1169">
        <f t="shared" ref="Z337:Z339" si="583">SUM(V337:Y337)</f>
        <v>0</v>
      </c>
      <c r="AA337" s="1169"/>
      <c r="AB337" s="1172">
        <f t="shared" si="528"/>
        <v>0</v>
      </c>
      <c r="AC337" s="1171"/>
      <c r="AD337" s="1128"/>
      <c r="AE337" s="1169"/>
      <c r="AF337" s="1177"/>
      <c r="AG337" s="1177"/>
      <c r="AH337" s="1169"/>
      <c r="AI337" s="1169">
        <f t="shared" ref="AI337:AI339" si="584">SUM(AE337:AH337)</f>
        <v>0</v>
      </c>
      <c r="AJ337" s="1169"/>
      <c r="AK337" s="1173"/>
      <c r="AL337" s="1171"/>
      <c r="AM337" s="1128"/>
      <c r="AN337" s="1170"/>
      <c r="AO337" s="1175"/>
      <c r="AP337" s="1175"/>
      <c r="AQ337" s="1170"/>
      <c r="AR337" s="1170">
        <f t="shared" ref="AR337:AR339" si="585">SUM(AN337:AQ337)</f>
        <v>0</v>
      </c>
      <c r="AS337" s="1170"/>
      <c r="AT337" s="1170"/>
      <c r="AU337" s="1174"/>
      <c r="AV337" s="1241"/>
      <c r="AW337" s="1169"/>
      <c r="AX337" s="1177"/>
      <c r="AY337" s="1177"/>
      <c r="AZ337" s="1169"/>
      <c r="BA337" s="1169">
        <f t="shared" ref="BA337:BA339" si="586">SUM(AW337:AZ337)</f>
        <v>0</v>
      </c>
      <c r="BB337" s="1169"/>
      <c r="BC337" s="1177">
        <f t="shared" si="574"/>
        <v>0</v>
      </c>
      <c r="BD337" s="1027"/>
      <c r="BE337" s="1029"/>
      <c r="BF337" s="1029"/>
    </row>
    <row r="338" s="1000" customFormat="1" ht="20.25" customHeight="1">
      <c r="A338" s="999" t="str">
        <f t="shared" si="521"/>
        <v xml:space="preserve">Лещенко О.А.</v>
      </c>
      <c r="B338" s="1202" t="s">
        <v>397</v>
      </c>
      <c r="C338" s="1203"/>
      <c r="D338" s="1201"/>
      <c r="E338" s="1164">
        <f t="shared" si="515"/>
        <v>0</v>
      </c>
      <c r="F338" s="1164">
        <f t="shared" si="561"/>
        <v>0</v>
      </c>
      <c r="G338" s="1165">
        <f t="shared" si="580"/>
        <v>0</v>
      </c>
      <c r="H338" s="1277"/>
      <c r="I338" s="1167">
        <f t="shared" si="523"/>
        <v>0</v>
      </c>
      <c r="J338" s="1167">
        <f t="shared" si="524"/>
        <v>0</v>
      </c>
      <c r="K338" s="1168">
        <f t="shared" si="581"/>
        <v>0</v>
      </c>
      <c r="L338" s="1128"/>
      <c r="M338" s="1169"/>
      <c r="N338" s="1177"/>
      <c r="O338" s="1169"/>
      <c r="P338" s="1169"/>
      <c r="Q338" s="1169">
        <f t="shared" si="582"/>
        <v>0</v>
      </c>
      <c r="R338" s="1169"/>
      <c r="S338" s="1170"/>
      <c r="T338" s="1171"/>
      <c r="U338" s="1128"/>
      <c r="V338" s="1169"/>
      <c r="W338" s="1177"/>
      <c r="X338" s="1177"/>
      <c r="Y338" s="1169"/>
      <c r="Z338" s="1169">
        <f t="shared" si="583"/>
        <v>0</v>
      </c>
      <c r="AA338" s="1169"/>
      <c r="AB338" s="1172">
        <f t="shared" si="528"/>
        <v>0</v>
      </c>
      <c r="AC338" s="1171"/>
      <c r="AD338" s="1128"/>
      <c r="AE338" s="1169"/>
      <c r="AF338" s="1177"/>
      <c r="AG338" s="1177"/>
      <c r="AH338" s="1169"/>
      <c r="AI338" s="1169">
        <f t="shared" si="584"/>
        <v>0</v>
      </c>
      <c r="AJ338" s="1169"/>
      <c r="AK338" s="1173"/>
      <c r="AL338" s="1171"/>
      <c r="AM338" s="1128"/>
      <c r="AN338" s="1170"/>
      <c r="AO338" s="1175"/>
      <c r="AP338" s="1175"/>
      <c r="AQ338" s="1170"/>
      <c r="AR338" s="1170">
        <f t="shared" si="585"/>
        <v>0</v>
      </c>
      <c r="AS338" s="1170"/>
      <c r="AT338" s="1170"/>
      <c r="AU338" s="1174"/>
      <c r="AV338" s="1241"/>
      <c r="AW338" s="1169"/>
      <c r="AX338" s="1177"/>
      <c r="AY338" s="1177"/>
      <c r="AZ338" s="1169"/>
      <c r="BA338" s="1169">
        <f t="shared" si="586"/>
        <v>0</v>
      </c>
      <c r="BB338" s="1169"/>
      <c r="BC338" s="1177">
        <f t="shared" si="574"/>
        <v>0</v>
      </c>
      <c r="BD338" s="1027"/>
      <c r="BE338" s="1029"/>
      <c r="BF338" s="1029"/>
    </row>
    <row r="339" s="1000" customFormat="1" ht="20.25" customHeight="1">
      <c r="A339" s="999" t="str">
        <f t="shared" si="521"/>
        <v xml:space="preserve">Павленко И.В.</v>
      </c>
      <c r="B339" s="1202" t="s">
        <v>399</v>
      </c>
      <c r="C339" s="1204"/>
      <c r="D339" s="1201"/>
      <c r="E339" s="1164">
        <f t="shared" si="515"/>
        <v>0</v>
      </c>
      <c r="F339" s="1164">
        <f t="shared" si="561"/>
        <v>0</v>
      </c>
      <c r="G339" s="1165">
        <f t="shared" si="580"/>
        <v>0</v>
      </c>
      <c r="H339" s="1277"/>
      <c r="I339" s="1167">
        <f t="shared" si="523"/>
        <v>0</v>
      </c>
      <c r="J339" s="1167">
        <f t="shared" si="524"/>
        <v>0</v>
      </c>
      <c r="K339" s="1168">
        <f t="shared" si="581"/>
        <v>0</v>
      </c>
      <c r="L339" s="1128"/>
      <c r="M339" s="1169"/>
      <c r="N339" s="1177"/>
      <c r="O339" s="1169"/>
      <c r="P339" s="1169"/>
      <c r="Q339" s="1169">
        <f t="shared" si="582"/>
        <v>0</v>
      </c>
      <c r="R339" s="1169"/>
      <c r="S339" s="1170"/>
      <c r="T339" s="1171"/>
      <c r="U339" s="1128"/>
      <c r="V339" s="1169"/>
      <c r="W339" s="1177"/>
      <c r="X339" s="1177"/>
      <c r="Y339" s="1169"/>
      <c r="Z339" s="1169">
        <f t="shared" si="583"/>
        <v>0</v>
      </c>
      <c r="AA339" s="1169"/>
      <c r="AB339" s="1172">
        <f t="shared" si="528"/>
        <v>0</v>
      </c>
      <c r="AC339" s="1171"/>
      <c r="AD339" s="1128"/>
      <c r="AE339" s="1169"/>
      <c r="AF339" s="1177"/>
      <c r="AG339" s="1177"/>
      <c r="AH339" s="1169"/>
      <c r="AI339" s="1169">
        <f t="shared" si="584"/>
        <v>0</v>
      </c>
      <c r="AJ339" s="1169"/>
      <c r="AK339" s="1173"/>
      <c r="AL339" s="1171"/>
      <c r="AM339" s="1128"/>
      <c r="AN339" s="1170"/>
      <c r="AO339" s="1175"/>
      <c r="AP339" s="1175"/>
      <c r="AQ339" s="1170"/>
      <c r="AR339" s="1170">
        <f t="shared" si="585"/>
        <v>0</v>
      </c>
      <c r="AS339" s="1170"/>
      <c r="AT339" s="1170"/>
      <c r="AU339" s="1174"/>
      <c r="AV339" s="1241"/>
      <c r="AW339" s="1169"/>
      <c r="AX339" s="1177"/>
      <c r="AY339" s="1177"/>
      <c r="AZ339" s="1169"/>
      <c r="BA339" s="1169">
        <f t="shared" si="586"/>
        <v>0</v>
      </c>
      <c r="BB339" s="1169"/>
      <c r="BC339" s="1177">
        <f t="shared" si="574"/>
        <v>0</v>
      </c>
      <c r="BD339" s="1027"/>
      <c r="BE339" s="1029"/>
      <c r="BF339" s="1029"/>
    </row>
    <row r="340" s="1106" customFormat="1" ht="20.25" customHeight="1">
      <c r="A340" s="999">
        <f t="shared" si="521"/>
        <v>0</v>
      </c>
      <c r="B340" s="1205" t="s">
        <v>363</v>
      </c>
      <c r="C340" s="1205"/>
      <c r="D340" s="1205"/>
      <c r="E340" s="1183">
        <f t="shared" si="515"/>
        <v>0</v>
      </c>
      <c r="F340" s="1183">
        <f t="shared" si="561"/>
        <v>0</v>
      </c>
      <c r="G340" s="1184">
        <f>SUM(G337:G339)</f>
        <v>0</v>
      </c>
      <c r="H340" s="1280"/>
      <c r="I340" s="1186">
        <f t="shared" si="523"/>
        <v>0</v>
      </c>
      <c r="J340" s="1186">
        <f t="shared" si="524"/>
        <v>0</v>
      </c>
      <c r="K340" s="1187">
        <f>SUM(K337:K339)</f>
        <v>0</v>
      </c>
      <c r="L340" s="1197"/>
      <c r="M340" s="1096">
        <f t="shared" si="575"/>
        <v>0</v>
      </c>
      <c r="N340" s="1096">
        <f t="shared" si="575"/>
        <v>0</v>
      </c>
      <c r="O340" s="1096">
        <f t="shared" si="575"/>
        <v>0</v>
      </c>
      <c r="P340" s="1096">
        <f t="shared" si="575"/>
        <v>0</v>
      </c>
      <c r="Q340" s="1096">
        <f t="shared" si="575"/>
        <v>0</v>
      </c>
      <c r="R340" s="1096">
        <f t="shared" si="575"/>
        <v>0</v>
      </c>
      <c r="S340" s="1170"/>
      <c r="T340" s="1189"/>
      <c r="U340" s="1128"/>
      <c r="V340" s="1096">
        <f t="shared" si="576"/>
        <v>0</v>
      </c>
      <c r="W340" s="1096">
        <f t="shared" si="576"/>
        <v>0</v>
      </c>
      <c r="X340" s="1096">
        <f t="shared" si="576"/>
        <v>0</v>
      </c>
      <c r="Y340" s="1096">
        <f t="shared" si="576"/>
        <v>0</v>
      </c>
      <c r="Z340" s="1096">
        <f t="shared" si="576"/>
        <v>0</v>
      </c>
      <c r="AA340" s="1096">
        <f t="shared" si="576"/>
        <v>0</v>
      </c>
      <c r="AB340" s="1172">
        <f t="shared" si="528"/>
        <v>0</v>
      </c>
      <c r="AC340" s="1189"/>
      <c r="AD340" s="1125"/>
      <c r="AE340" s="1096">
        <f t="shared" si="577"/>
        <v>0</v>
      </c>
      <c r="AF340" s="1096">
        <f t="shared" si="577"/>
        <v>0</v>
      </c>
      <c r="AG340" s="1096">
        <f t="shared" si="577"/>
        <v>0</v>
      </c>
      <c r="AH340" s="1096">
        <f t="shared" si="577"/>
        <v>0</v>
      </c>
      <c r="AI340" s="1096">
        <f t="shared" si="577"/>
        <v>0</v>
      </c>
      <c r="AJ340" s="1096">
        <f t="shared" si="577"/>
        <v>0</v>
      </c>
      <c r="AK340" s="1173"/>
      <c r="AL340" s="1189"/>
      <c r="AM340" s="1125"/>
      <c r="AN340" s="1190">
        <f t="shared" si="578"/>
        <v>0</v>
      </c>
      <c r="AO340" s="1190">
        <f t="shared" si="578"/>
        <v>0</v>
      </c>
      <c r="AP340" s="1190">
        <f t="shared" si="578"/>
        <v>0</v>
      </c>
      <c r="AQ340" s="1190">
        <f t="shared" si="578"/>
        <v>0</v>
      </c>
      <c r="AR340" s="1190">
        <f t="shared" si="578"/>
        <v>0</v>
      </c>
      <c r="AS340" s="1190">
        <f t="shared" si="578"/>
        <v>0</v>
      </c>
      <c r="AT340" s="1170"/>
      <c r="AU340" s="1191"/>
      <c r="AV340" s="1245"/>
      <c r="AW340" s="1096">
        <f t="shared" si="579"/>
        <v>0</v>
      </c>
      <c r="AX340" s="1096">
        <f t="shared" si="579"/>
        <v>0</v>
      </c>
      <c r="AY340" s="1096">
        <f t="shared" si="579"/>
        <v>0</v>
      </c>
      <c r="AZ340" s="1096">
        <f t="shared" si="579"/>
        <v>0</v>
      </c>
      <c r="BA340" s="1096">
        <f t="shared" si="579"/>
        <v>0</v>
      </c>
      <c r="BB340" s="1096">
        <f t="shared" si="579"/>
        <v>0</v>
      </c>
      <c r="BC340" s="1281">
        <f t="shared" si="574"/>
        <v>0</v>
      </c>
      <c r="BD340" s="1052"/>
      <c r="BE340" s="1051"/>
      <c r="BF340" s="1051"/>
    </row>
    <row r="341" s="1106" customFormat="1" ht="20.25" customHeight="1">
      <c r="A341" s="999">
        <f t="shared" si="521"/>
        <v>0</v>
      </c>
      <c r="B341" s="1205" t="s">
        <v>400</v>
      </c>
      <c r="C341" s="1205"/>
      <c r="D341" s="1205"/>
      <c r="E341" s="1183">
        <f t="shared" si="515"/>
        <v>0</v>
      </c>
      <c r="F341" s="1183">
        <f t="shared" si="561"/>
        <v>0</v>
      </c>
      <c r="G341" s="1184">
        <f>G340+G336+G332+G326+G312</f>
        <v>0</v>
      </c>
      <c r="H341" s="1280"/>
      <c r="I341" s="1186">
        <f t="shared" si="523"/>
        <v>0</v>
      </c>
      <c r="J341" s="1186">
        <f t="shared" si="524"/>
        <v>0</v>
      </c>
      <c r="K341" s="1187">
        <f>K340+K336+K332+K326+K312</f>
        <v>0</v>
      </c>
      <c r="L341" s="1210"/>
      <c r="M341" s="1209">
        <f t="shared" ref="M341:R341" si="587">M340+M336+M332+M326+M312</f>
        <v>0</v>
      </c>
      <c r="N341" s="1209">
        <f t="shared" si="587"/>
        <v>0</v>
      </c>
      <c r="O341" s="1209">
        <f t="shared" si="587"/>
        <v>0</v>
      </c>
      <c r="P341" s="1209">
        <f t="shared" si="587"/>
        <v>0</v>
      </c>
      <c r="Q341" s="1209">
        <f t="shared" si="587"/>
        <v>0</v>
      </c>
      <c r="R341" s="1209">
        <f t="shared" si="587"/>
        <v>0</v>
      </c>
      <c r="S341" s="1170"/>
      <c r="T341" s="1208"/>
      <c r="U341" s="1211">
        <f t="shared" ref="U341:AA341" si="588">U340+U336+U332+U326+U312</f>
        <v>0</v>
      </c>
      <c r="V341" s="1209">
        <f t="shared" si="588"/>
        <v>0</v>
      </c>
      <c r="W341" s="1209">
        <f t="shared" si="588"/>
        <v>0</v>
      </c>
      <c r="X341" s="1209">
        <f t="shared" si="588"/>
        <v>0</v>
      </c>
      <c r="Y341" s="1209">
        <f t="shared" si="588"/>
        <v>0</v>
      </c>
      <c r="Z341" s="1209">
        <f t="shared" si="588"/>
        <v>0</v>
      </c>
      <c r="AA341" s="1209">
        <f t="shared" si="588"/>
        <v>0</v>
      </c>
      <c r="AB341" s="1172">
        <f t="shared" si="528"/>
        <v>0</v>
      </c>
      <c r="AC341" s="1208"/>
      <c r="AD341" s="1210">
        <f t="shared" ref="AD341:AJ341" si="589">AD340+AD336+AD332+AD326+AD312</f>
        <v>0</v>
      </c>
      <c r="AE341" s="1209">
        <f t="shared" si="589"/>
        <v>0</v>
      </c>
      <c r="AF341" s="1209">
        <f t="shared" si="589"/>
        <v>0</v>
      </c>
      <c r="AG341" s="1209">
        <f t="shared" si="589"/>
        <v>0</v>
      </c>
      <c r="AH341" s="1209">
        <f t="shared" si="589"/>
        <v>0</v>
      </c>
      <c r="AI341" s="1209">
        <f t="shared" si="589"/>
        <v>0</v>
      </c>
      <c r="AJ341" s="1209">
        <f t="shared" si="589"/>
        <v>0</v>
      </c>
      <c r="AK341" s="1173"/>
      <c r="AL341" s="1208"/>
      <c r="AM341" s="1210">
        <f t="shared" ref="AM341:AS341" si="590">AM340+AM336+AM332+AM326+AM312</f>
        <v>0</v>
      </c>
      <c r="AN341" s="1211">
        <f t="shared" si="590"/>
        <v>0</v>
      </c>
      <c r="AO341" s="1211">
        <f t="shared" si="590"/>
        <v>0</v>
      </c>
      <c r="AP341" s="1211">
        <f t="shared" si="590"/>
        <v>0</v>
      </c>
      <c r="AQ341" s="1211">
        <f t="shared" si="590"/>
        <v>0</v>
      </c>
      <c r="AR341" s="1211">
        <f t="shared" si="590"/>
        <v>0</v>
      </c>
      <c r="AS341" s="1211">
        <f t="shared" si="590"/>
        <v>0</v>
      </c>
      <c r="AT341" s="1170"/>
      <c r="AU341" s="1212"/>
      <c r="AV341" s="1211">
        <f t="shared" ref="AV341:BB341" si="591">AV340+AV336+AV332+AV326+AV312</f>
        <v>0</v>
      </c>
      <c r="AW341" s="1209">
        <f t="shared" si="591"/>
        <v>0</v>
      </c>
      <c r="AX341" s="1209">
        <f t="shared" si="591"/>
        <v>0</v>
      </c>
      <c r="AY341" s="1209">
        <f t="shared" si="591"/>
        <v>0</v>
      </c>
      <c r="AZ341" s="1209">
        <f t="shared" si="591"/>
        <v>0</v>
      </c>
      <c r="BA341" s="1209">
        <f t="shared" si="591"/>
        <v>0</v>
      </c>
      <c r="BB341" s="1209">
        <f t="shared" si="591"/>
        <v>0</v>
      </c>
      <c r="BC341" s="1281">
        <f t="shared" si="574"/>
        <v>0</v>
      </c>
      <c r="BD341" s="1052"/>
      <c r="BE341" s="1051"/>
      <c r="BF341" s="1051"/>
    </row>
    <row r="342" s="1000" customFormat="1" ht="20.25" customHeight="1">
      <c r="A342" s="999" t="str">
        <f t="shared" si="521"/>
        <v xml:space="preserve">Куприянова А.В.</v>
      </c>
      <c r="B342" s="1202" t="s">
        <v>402</v>
      </c>
      <c r="C342" s="1202"/>
      <c r="D342" s="1202"/>
      <c r="E342" s="1164">
        <f t="shared" si="515"/>
        <v>0</v>
      </c>
      <c r="F342" s="1164">
        <f>P342+AA342+AJ342+AS342+BB342</f>
        <v>0</v>
      </c>
      <c r="G342" s="1165">
        <f t="shared" ref="G342:G343" si="592">E342+F342</f>
        <v>0</v>
      </c>
      <c r="H342" s="1277"/>
      <c r="I342" s="1167">
        <f t="shared" si="523"/>
        <v>0</v>
      </c>
      <c r="J342" s="1167">
        <f t="shared" si="524"/>
        <v>0</v>
      </c>
      <c r="K342" s="1168">
        <f t="shared" ref="K342:K343" si="593">I342+J342</f>
        <v>0</v>
      </c>
      <c r="L342" s="1128"/>
      <c r="M342" s="1169"/>
      <c r="N342" s="1177"/>
      <c r="O342" s="1169"/>
      <c r="P342" s="1169"/>
      <c r="Q342" s="1169">
        <f t="shared" ref="Q342:Q343" si="594">SUM(M342:P342)</f>
        <v>0</v>
      </c>
      <c r="R342" s="1169"/>
      <c r="S342" s="1278"/>
      <c r="T342" s="1171"/>
      <c r="U342" s="1128"/>
      <c r="V342" s="1169"/>
      <c r="W342" s="1177"/>
      <c r="X342" s="1177"/>
      <c r="Y342" s="1169"/>
      <c r="Z342" s="1169">
        <f t="shared" ref="Z342:Z343" si="595">SUM(V342:Y342)</f>
        <v>0</v>
      </c>
      <c r="AA342" s="1169"/>
      <c r="AB342" s="1172">
        <f t="shared" si="528"/>
        <v>0</v>
      </c>
      <c r="AC342" s="1171"/>
      <c r="AD342" s="1128"/>
      <c r="AE342" s="1169"/>
      <c r="AF342" s="1177"/>
      <c r="AG342" s="1177"/>
      <c r="AH342" s="1169"/>
      <c r="AI342" s="1169">
        <f t="shared" ref="AI342:AI343" si="596">SUM(AE342:AH342)</f>
        <v>0</v>
      </c>
      <c r="AJ342" s="1169"/>
      <c r="AK342" s="1173"/>
      <c r="AL342" s="1171"/>
      <c r="AM342" s="1128"/>
      <c r="AN342" s="1170"/>
      <c r="AO342" s="1175"/>
      <c r="AP342" s="1175"/>
      <c r="AQ342" s="1170"/>
      <c r="AR342" s="1170">
        <f t="shared" ref="AR342:AR343" si="597">SUM(AN342:AQ342)</f>
        <v>0</v>
      </c>
      <c r="AS342" s="1170"/>
      <c r="AT342" s="1170"/>
      <c r="AU342" s="1174"/>
      <c r="AV342" s="1241"/>
      <c r="AW342" s="1169"/>
      <c r="AX342" s="1177"/>
      <c r="AY342" s="1177"/>
      <c r="AZ342" s="1169"/>
      <c r="BA342" s="1169">
        <f t="shared" ref="BA342:BA343" si="598">SUM(AW342:AZ342)</f>
        <v>0</v>
      </c>
      <c r="BB342" s="1169"/>
      <c r="BC342" s="1177">
        <f t="shared" si="574"/>
        <v>0</v>
      </c>
      <c r="BD342" s="1027"/>
      <c r="BE342" s="1029"/>
      <c r="BF342" s="1029"/>
    </row>
    <row r="343" s="1000" customFormat="1" ht="20.25" customHeight="1">
      <c r="A343" s="999" t="str">
        <f t="shared" si="521"/>
        <v xml:space="preserve">Попова И.Ю.</v>
      </c>
      <c r="B343" s="1202" t="s">
        <v>404</v>
      </c>
      <c r="C343" s="1202"/>
      <c r="D343" s="1202"/>
      <c r="E343" s="1164">
        <f t="shared" si="515"/>
        <v>0</v>
      </c>
      <c r="F343" s="1164">
        <f t="shared" ref="F343:F348" si="599">R343+AA343+AJ343+AS343+BB343</f>
        <v>0</v>
      </c>
      <c r="G343" s="1165">
        <f t="shared" si="592"/>
        <v>0</v>
      </c>
      <c r="H343" s="1277"/>
      <c r="I343" s="1167">
        <f t="shared" si="523"/>
        <v>0</v>
      </c>
      <c r="J343" s="1167">
        <f t="shared" si="524"/>
        <v>0</v>
      </c>
      <c r="K343" s="1168">
        <f t="shared" si="593"/>
        <v>0</v>
      </c>
      <c r="L343" s="1128"/>
      <c r="M343" s="1169"/>
      <c r="N343" s="1177"/>
      <c r="O343" s="1169"/>
      <c r="P343" s="1169"/>
      <c r="Q343" s="1169">
        <f t="shared" si="594"/>
        <v>0</v>
      </c>
      <c r="R343" s="1169"/>
      <c r="S343" s="1170"/>
      <c r="T343" s="1171"/>
      <c r="U343" s="1128"/>
      <c r="V343" s="1169"/>
      <c r="W343" s="1177"/>
      <c r="X343" s="1177"/>
      <c r="Y343" s="1169"/>
      <c r="Z343" s="1169">
        <f t="shared" si="595"/>
        <v>0</v>
      </c>
      <c r="AA343" s="1169"/>
      <c r="AB343" s="1172">
        <f t="shared" si="528"/>
        <v>0</v>
      </c>
      <c r="AC343" s="1171"/>
      <c r="AD343" s="1128"/>
      <c r="AE343" s="1169"/>
      <c r="AF343" s="1177"/>
      <c r="AG343" s="1177"/>
      <c r="AH343" s="1169"/>
      <c r="AI343" s="1169">
        <f t="shared" si="596"/>
        <v>0</v>
      </c>
      <c r="AJ343" s="1169"/>
      <c r="AK343" s="1173"/>
      <c r="AL343" s="1171"/>
      <c r="AM343" s="1128"/>
      <c r="AN343" s="1170"/>
      <c r="AO343" s="1175"/>
      <c r="AP343" s="1175"/>
      <c r="AQ343" s="1170"/>
      <c r="AR343" s="1170">
        <f t="shared" si="597"/>
        <v>0</v>
      </c>
      <c r="AS343" s="1170"/>
      <c r="AT343" s="1170"/>
      <c r="AU343" s="1174"/>
      <c r="AV343" s="1241"/>
      <c r="AW343" s="1169"/>
      <c r="AX343" s="1177"/>
      <c r="AY343" s="1177"/>
      <c r="AZ343" s="1169"/>
      <c r="BA343" s="1169">
        <f t="shared" si="598"/>
        <v>0</v>
      </c>
      <c r="BB343" s="1169"/>
      <c r="BC343" s="1177">
        <f t="shared" si="574"/>
        <v>0</v>
      </c>
      <c r="BD343" s="1027"/>
      <c r="BE343" s="1029"/>
      <c r="BF343" s="1029"/>
    </row>
    <row r="344" s="1106" customFormat="1" ht="20.25" customHeight="1">
      <c r="A344" s="999">
        <f t="shared" si="521"/>
        <v>0</v>
      </c>
      <c r="B344" s="1205" t="s">
        <v>405</v>
      </c>
      <c r="C344" s="1205"/>
      <c r="D344" s="1205"/>
      <c r="E344" s="1183">
        <f t="shared" si="515"/>
        <v>0</v>
      </c>
      <c r="F344" s="1183">
        <f t="shared" si="599"/>
        <v>0</v>
      </c>
      <c r="G344" s="1184">
        <f>G342+G343</f>
        <v>0</v>
      </c>
      <c r="H344" s="1280"/>
      <c r="I344" s="1186">
        <f t="shared" si="523"/>
        <v>0</v>
      </c>
      <c r="J344" s="1186">
        <f t="shared" si="524"/>
        <v>0</v>
      </c>
      <c r="K344" s="1187">
        <f>K342+K343</f>
        <v>0</v>
      </c>
      <c r="L344" s="1210"/>
      <c r="M344" s="1213">
        <f t="shared" ref="M344:R344" si="600">M342+M343</f>
        <v>0</v>
      </c>
      <c r="N344" s="1213">
        <f t="shared" si="600"/>
        <v>0</v>
      </c>
      <c r="O344" s="1213">
        <f t="shared" si="600"/>
        <v>0</v>
      </c>
      <c r="P344" s="1213">
        <f t="shared" si="600"/>
        <v>0</v>
      </c>
      <c r="Q344" s="1213">
        <f t="shared" si="600"/>
        <v>0</v>
      </c>
      <c r="R344" s="1213">
        <f t="shared" si="600"/>
        <v>0</v>
      </c>
      <c r="S344" s="1170"/>
      <c r="T344" s="1214"/>
      <c r="U344" s="1210"/>
      <c r="V344" s="1209">
        <f t="shared" ref="V344:AA344" si="601">V342+V343</f>
        <v>0</v>
      </c>
      <c r="W344" s="1209">
        <f t="shared" si="601"/>
        <v>0</v>
      </c>
      <c r="X344" s="1209">
        <f t="shared" si="601"/>
        <v>0</v>
      </c>
      <c r="Y344" s="1209">
        <f t="shared" si="601"/>
        <v>0</v>
      </c>
      <c r="Z344" s="1209">
        <f t="shared" si="601"/>
        <v>0</v>
      </c>
      <c r="AA344" s="1209">
        <f t="shared" si="601"/>
        <v>0</v>
      </c>
      <c r="AB344" s="1172">
        <f t="shared" si="528"/>
        <v>0</v>
      </c>
      <c r="AC344" s="1208"/>
      <c r="AD344" s="1210"/>
      <c r="AE344" s="1209">
        <f t="shared" ref="AE344:AJ344" si="602">AE342+AE343</f>
        <v>0</v>
      </c>
      <c r="AF344" s="1209">
        <f t="shared" si="602"/>
        <v>0</v>
      </c>
      <c r="AG344" s="1209">
        <f t="shared" si="602"/>
        <v>0</v>
      </c>
      <c r="AH344" s="1209">
        <f t="shared" si="602"/>
        <v>0</v>
      </c>
      <c r="AI344" s="1209">
        <f t="shared" si="602"/>
        <v>0</v>
      </c>
      <c r="AJ344" s="1209">
        <f t="shared" si="602"/>
        <v>0</v>
      </c>
      <c r="AK344" s="1173"/>
      <c r="AL344" s="1208"/>
      <c r="AM344" s="1210"/>
      <c r="AN344" s="1211">
        <f t="shared" ref="AN344:AS344" si="603">AN342+AN343</f>
        <v>0</v>
      </c>
      <c r="AO344" s="1211">
        <f t="shared" si="603"/>
        <v>0</v>
      </c>
      <c r="AP344" s="1211">
        <f t="shared" si="603"/>
        <v>0</v>
      </c>
      <c r="AQ344" s="1211">
        <f t="shared" si="603"/>
        <v>0</v>
      </c>
      <c r="AR344" s="1211">
        <f t="shared" si="603"/>
        <v>0</v>
      </c>
      <c r="AS344" s="1211">
        <f t="shared" si="603"/>
        <v>0</v>
      </c>
      <c r="AT344" s="1170"/>
      <c r="AU344" s="1212"/>
      <c r="AV344" s="1210">
        <f t="shared" ref="AV344:BB344" si="604">AV342+AV343</f>
        <v>0</v>
      </c>
      <c r="AW344" s="1209">
        <f t="shared" si="604"/>
        <v>0</v>
      </c>
      <c r="AX344" s="1209">
        <f t="shared" si="604"/>
        <v>0</v>
      </c>
      <c r="AY344" s="1209">
        <f t="shared" si="604"/>
        <v>0</v>
      </c>
      <c r="AZ344" s="1209">
        <f t="shared" si="604"/>
        <v>0</v>
      </c>
      <c r="BA344" s="1209">
        <f t="shared" si="604"/>
        <v>0</v>
      </c>
      <c r="BB344" s="1209">
        <f t="shared" si="604"/>
        <v>0</v>
      </c>
      <c r="BC344" s="1281">
        <f t="shared" si="574"/>
        <v>0</v>
      </c>
      <c r="BD344" s="1052"/>
      <c r="BE344" s="1051"/>
      <c r="BF344" s="1051"/>
    </row>
    <row r="345" s="1106" customFormat="1" ht="20.25" customHeight="1">
      <c r="A345" s="999">
        <f t="shared" si="521"/>
        <v>0</v>
      </c>
      <c r="B345" s="1205" t="s">
        <v>406</v>
      </c>
      <c r="C345" s="1205"/>
      <c r="D345" s="1205"/>
      <c r="E345" s="1183">
        <f t="shared" si="515"/>
        <v>0</v>
      </c>
      <c r="F345" s="1183">
        <f t="shared" si="599"/>
        <v>0</v>
      </c>
      <c r="G345" s="1184">
        <f>G341+G344</f>
        <v>0</v>
      </c>
      <c r="H345" s="1280"/>
      <c r="I345" s="1186">
        <f t="shared" si="523"/>
        <v>0</v>
      </c>
      <c r="J345" s="1186">
        <f t="shared" si="524"/>
        <v>0</v>
      </c>
      <c r="K345" s="1187">
        <f>K341+K344</f>
        <v>0</v>
      </c>
      <c r="L345" s="1210"/>
      <c r="M345" s="1209">
        <f t="shared" ref="M345:R345" si="605">M341+M344</f>
        <v>0</v>
      </c>
      <c r="N345" s="1209">
        <f t="shared" si="605"/>
        <v>0</v>
      </c>
      <c r="O345" s="1209">
        <f t="shared" si="605"/>
        <v>0</v>
      </c>
      <c r="P345" s="1209">
        <f t="shared" si="605"/>
        <v>0</v>
      </c>
      <c r="Q345" s="1209">
        <f t="shared" si="605"/>
        <v>0</v>
      </c>
      <c r="R345" s="1209">
        <f t="shared" si="605"/>
        <v>0</v>
      </c>
      <c r="S345" s="1170"/>
      <c r="T345" s="1208"/>
      <c r="U345" s="1211">
        <f t="shared" ref="U345:AA345" si="606">U341+U344</f>
        <v>0</v>
      </c>
      <c r="V345" s="1209">
        <f t="shared" si="606"/>
        <v>0</v>
      </c>
      <c r="W345" s="1209">
        <f t="shared" si="606"/>
        <v>0</v>
      </c>
      <c r="X345" s="1209">
        <f t="shared" si="606"/>
        <v>0</v>
      </c>
      <c r="Y345" s="1209">
        <f t="shared" si="606"/>
        <v>0</v>
      </c>
      <c r="Z345" s="1209">
        <f t="shared" si="606"/>
        <v>0</v>
      </c>
      <c r="AA345" s="1209">
        <f t="shared" si="606"/>
        <v>0</v>
      </c>
      <c r="AB345" s="1172">
        <f t="shared" si="528"/>
        <v>0</v>
      </c>
      <c r="AC345" s="1208"/>
      <c r="AD345" s="1210">
        <f t="shared" ref="AD345:AJ345" si="607">AD341+AD344</f>
        <v>0</v>
      </c>
      <c r="AE345" s="1209">
        <f t="shared" si="607"/>
        <v>0</v>
      </c>
      <c r="AF345" s="1209">
        <f t="shared" si="607"/>
        <v>0</v>
      </c>
      <c r="AG345" s="1209">
        <f t="shared" si="607"/>
        <v>0</v>
      </c>
      <c r="AH345" s="1209">
        <f t="shared" si="607"/>
        <v>0</v>
      </c>
      <c r="AI345" s="1209">
        <f t="shared" si="607"/>
        <v>0</v>
      </c>
      <c r="AJ345" s="1209">
        <f t="shared" si="607"/>
        <v>0</v>
      </c>
      <c r="AK345" s="1173"/>
      <c r="AL345" s="1208"/>
      <c r="AM345" s="1210">
        <f t="shared" ref="AM345:AS345" si="608">AM341+AM344</f>
        <v>0</v>
      </c>
      <c r="AN345" s="1211">
        <f t="shared" si="608"/>
        <v>0</v>
      </c>
      <c r="AO345" s="1211">
        <f t="shared" si="608"/>
        <v>0</v>
      </c>
      <c r="AP345" s="1211">
        <f t="shared" si="608"/>
        <v>0</v>
      </c>
      <c r="AQ345" s="1211">
        <f t="shared" si="608"/>
        <v>0</v>
      </c>
      <c r="AR345" s="1211">
        <f t="shared" si="608"/>
        <v>0</v>
      </c>
      <c r="AS345" s="1211">
        <f t="shared" si="608"/>
        <v>0</v>
      </c>
      <c r="AT345" s="1170"/>
      <c r="AU345" s="1212"/>
      <c r="AV345" s="1211">
        <f t="shared" ref="AV345:BB345" si="609">AV341+AV344</f>
        <v>0</v>
      </c>
      <c r="AW345" s="1209">
        <f t="shared" si="609"/>
        <v>0</v>
      </c>
      <c r="AX345" s="1209">
        <f t="shared" si="609"/>
        <v>0</v>
      </c>
      <c r="AY345" s="1209">
        <f t="shared" si="609"/>
        <v>0</v>
      </c>
      <c r="AZ345" s="1209">
        <f t="shared" si="609"/>
        <v>0</v>
      </c>
      <c r="BA345" s="1209">
        <f t="shared" si="609"/>
        <v>0</v>
      </c>
      <c r="BB345" s="1209">
        <f t="shared" si="609"/>
        <v>0</v>
      </c>
      <c r="BC345" s="1281">
        <f t="shared" si="574"/>
        <v>0</v>
      </c>
      <c r="BD345" s="1052"/>
      <c r="BE345" s="1051"/>
      <c r="BF345" s="1051"/>
    </row>
    <row r="346" s="1000" customFormat="1" ht="20.25" customHeight="1">
      <c r="A346" s="999">
        <f t="shared" si="521"/>
        <v>0</v>
      </c>
      <c r="B346" s="1202" t="s">
        <v>407</v>
      </c>
      <c r="C346" s="1202"/>
      <c r="D346" s="1202"/>
      <c r="E346" s="1164">
        <f t="shared" si="515"/>
        <v>0</v>
      </c>
      <c r="F346" s="1164">
        <f t="shared" si="599"/>
        <v>0</v>
      </c>
      <c r="G346" s="1165">
        <f t="shared" ref="G346:G349" si="610">E346+F346</f>
        <v>0</v>
      </c>
      <c r="H346" s="1277"/>
      <c r="I346" s="1167">
        <f t="shared" si="523"/>
        <v>0</v>
      </c>
      <c r="J346" s="1167">
        <f t="shared" si="524"/>
        <v>0</v>
      </c>
      <c r="K346" s="1168">
        <f t="shared" ref="K346:K349" si="611">I346+J346</f>
        <v>0</v>
      </c>
      <c r="L346" s="1128"/>
      <c r="M346" s="1169"/>
      <c r="N346" s="1177"/>
      <c r="O346" s="1169"/>
      <c r="P346" s="1169"/>
      <c r="Q346" s="1169">
        <f t="shared" ref="Q346:Q353" si="612">SUM(M346:P346)</f>
        <v>0</v>
      </c>
      <c r="R346" s="1169"/>
      <c r="S346" s="1170"/>
      <c r="T346" s="1171"/>
      <c r="U346" s="1128"/>
      <c r="V346" s="1169"/>
      <c r="W346" s="1177"/>
      <c r="X346" s="1177"/>
      <c r="Y346" s="1169"/>
      <c r="Z346" s="1169">
        <f t="shared" ref="Z346:Z353" si="613">SUM(V346:Y346)</f>
        <v>0</v>
      </c>
      <c r="AA346" s="1169"/>
      <c r="AB346" s="1172">
        <f t="shared" si="528"/>
        <v>0</v>
      </c>
      <c r="AC346" s="1171"/>
      <c r="AD346" s="1128"/>
      <c r="AE346" s="1169"/>
      <c r="AF346" s="1177"/>
      <c r="AG346" s="1177"/>
      <c r="AH346" s="1169"/>
      <c r="AI346" s="1169">
        <f t="shared" ref="AI346:AI353" si="614">SUM(AE346:AH346)</f>
        <v>0</v>
      </c>
      <c r="AJ346" s="1169"/>
      <c r="AK346" s="1173"/>
      <c r="AL346" s="1171"/>
      <c r="AM346" s="1128"/>
      <c r="AN346" s="1170"/>
      <c r="AO346" s="1175"/>
      <c r="AP346" s="1175"/>
      <c r="AQ346" s="1170"/>
      <c r="AR346" s="1170">
        <f t="shared" ref="AR346:AR353" si="615">SUM(AN346:AQ346)</f>
        <v>0</v>
      </c>
      <c r="AS346" s="1170"/>
      <c r="AT346" s="1170"/>
      <c r="AU346" s="1174"/>
      <c r="AV346" s="1241"/>
      <c r="AW346" s="1169"/>
      <c r="AX346" s="1177"/>
      <c r="AY346" s="1177"/>
      <c r="AZ346" s="1169"/>
      <c r="BA346" s="1169">
        <f t="shared" ref="BA346:BA353" si="616">SUM(AW346:AZ346)</f>
        <v>0</v>
      </c>
      <c r="BB346" s="1169"/>
      <c r="BC346" s="1177">
        <f t="shared" si="574"/>
        <v>0</v>
      </c>
      <c r="BD346" s="1027"/>
      <c r="BE346" s="1029"/>
      <c r="BF346" s="1029"/>
    </row>
    <row r="347" s="1000" customFormat="1" ht="20.25" customHeight="1">
      <c r="A347" s="999" t="str">
        <f t="shared" si="521"/>
        <v xml:space="preserve">Леоненко Г.Н</v>
      </c>
      <c r="B347" s="1202" t="s">
        <v>409</v>
      </c>
      <c r="C347" s="1202"/>
      <c r="D347" s="1202"/>
      <c r="E347" s="1164">
        <f t="shared" si="515"/>
        <v>0</v>
      </c>
      <c r="F347" s="1164">
        <f t="shared" si="599"/>
        <v>0</v>
      </c>
      <c r="G347" s="1165">
        <f t="shared" si="610"/>
        <v>0</v>
      </c>
      <c r="H347" s="1277"/>
      <c r="I347" s="1167">
        <f t="shared" si="523"/>
        <v>0</v>
      </c>
      <c r="J347" s="1167">
        <f t="shared" si="524"/>
        <v>0</v>
      </c>
      <c r="K347" s="1168">
        <f t="shared" si="611"/>
        <v>0</v>
      </c>
      <c r="L347" s="1128"/>
      <c r="M347" s="1169"/>
      <c r="N347" s="1177"/>
      <c r="O347" s="1169"/>
      <c r="P347" s="1169"/>
      <c r="Q347" s="1169">
        <f t="shared" si="612"/>
        <v>0</v>
      </c>
      <c r="R347" s="1169"/>
      <c r="S347" s="1170"/>
      <c r="T347" s="1171"/>
      <c r="U347" s="1128"/>
      <c r="V347" s="1169"/>
      <c r="W347" s="1177"/>
      <c r="X347" s="1177"/>
      <c r="Y347" s="1169"/>
      <c r="Z347" s="1169">
        <f t="shared" si="613"/>
        <v>0</v>
      </c>
      <c r="AA347" s="1169"/>
      <c r="AB347" s="1172">
        <f t="shared" si="528"/>
        <v>0</v>
      </c>
      <c r="AC347" s="1171"/>
      <c r="AD347" s="1128"/>
      <c r="AE347" s="1169"/>
      <c r="AF347" s="1177"/>
      <c r="AG347" s="1177"/>
      <c r="AH347" s="1169"/>
      <c r="AI347" s="1169">
        <f t="shared" si="614"/>
        <v>0</v>
      </c>
      <c r="AJ347" s="1169"/>
      <c r="AK347" s="1173"/>
      <c r="AL347" s="1171"/>
      <c r="AM347" s="1128"/>
      <c r="AN347" s="1170"/>
      <c r="AO347" s="1175"/>
      <c r="AP347" s="1175"/>
      <c r="AQ347" s="1170"/>
      <c r="AR347" s="1170">
        <f t="shared" si="615"/>
        <v>0</v>
      </c>
      <c r="AS347" s="1170"/>
      <c r="AT347" s="1170"/>
      <c r="AU347" s="1174"/>
      <c r="AV347" s="1241"/>
      <c r="AW347" s="1169"/>
      <c r="AX347" s="1177"/>
      <c r="AY347" s="1177"/>
      <c r="AZ347" s="1169"/>
      <c r="BA347" s="1169">
        <f t="shared" si="616"/>
        <v>0</v>
      </c>
      <c r="BB347" s="1169"/>
      <c r="BC347" s="1177">
        <f t="shared" si="574"/>
        <v>0</v>
      </c>
      <c r="BD347" s="1027"/>
      <c r="BE347" s="1029"/>
      <c r="BF347" s="1029"/>
    </row>
    <row r="348" s="1008" customFormat="1" ht="20.25" customHeight="1">
      <c r="A348" s="999" t="str">
        <f t="shared" si="521"/>
        <v xml:space="preserve">Саяпина О.А.</v>
      </c>
      <c r="B348" s="1202" t="s">
        <v>411</v>
      </c>
      <c r="C348" s="1217"/>
      <c r="D348" s="1217"/>
      <c r="E348" s="1164">
        <f t="shared" si="515"/>
        <v>0</v>
      </c>
      <c r="F348" s="1164">
        <f t="shared" si="599"/>
        <v>0</v>
      </c>
      <c r="G348" s="1165">
        <f t="shared" si="610"/>
        <v>0</v>
      </c>
      <c r="H348" s="1277"/>
      <c r="I348" s="1167">
        <f t="shared" si="523"/>
        <v>0</v>
      </c>
      <c r="J348" s="1167">
        <f t="shared" si="524"/>
        <v>0</v>
      </c>
      <c r="K348" s="1168">
        <f t="shared" si="611"/>
        <v>0</v>
      </c>
      <c r="L348" s="1128"/>
      <c r="M348" s="1169"/>
      <c r="N348" s="1177"/>
      <c r="O348" s="1169"/>
      <c r="P348" s="1169"/>
      <c r="Q348" s="1169">
        <f t="shared" si="612"/>
        <v>0</v>
      </c>
      <c r="R348" s="1169"/>
      <c r="S348" s="1170"/>
      <c r="T348" s="1171"/>
      <c r="U348" s="1128"/>
      <c r="V348" s="1169"/>
      <c r="W348" s="1177"/>
      <c r="X348" s="1177"/>
      <c r="Y348" s="1169"/>
      <c r="Z348" s="1169">
        <f t="shared" si="613"/>
        <v>0</v>
      </c>
      <c r="AA348" s="1169"/>
      <c r="AB348" s="1172">
        <f t="shared" si="528"/>
        <v>0</v>
      </c>
      <c r="AC348" s="1171"/>
      <c r="AD348" s="1128"/>
      <c r="AE348" s="1169"/>
      <c r="AF348" s="1177"/>
      <c r="AG348" s="1177"/>
      <c r="AH348" s="1169"/>
      <c r="AI348" s="1169">
        <f t="shared" si="614"/>
        <v>0</v>
      </c>
      <c r="AJ348" s="1169"/>
      <c r="AK348" s="1173"/>
      <c r="AL348" s="1171"/>
      <c r="AM348" s="1128"/>
      <c r="AN348" s="1170"/>
      <c r="AO348" s="1175"/>
      <c r="AP348" s="1175"/>
      <c r="AQ348" s="1170"/>
      <c r="AR348" s="1170">
        <f t="shared" si="615"/>
        <v>0</v>
      </c>
      <c r="AS348" s="1170"/>
      <c r="AT348" s="1170"/>
      <c r="AU348" s="1174"/>
      <c r="AV348" s="1128"/>
      <c r="AW348" s="1169"/>
      <c r="AX348" s="1177"/>
      <c r="AY348" s="1177"/>
      <c r="AZ348" s="1169"/>
      <c r="BA348" s="1169">
        <f t="shared" si="616"/>
        <v>0</v>
      </c>
      <c r="BB348" s="1169"/>
      <c r="BC348" s="1177">
        <f t="shared" si="574"/>
        <v>0</v>
      </c>
      <c r="BD348" s="1027"/>
      <c r="BE348" s="1024"/>
      <c r="BF348" s="1024"/>
    </row>
    <row r="349" s="1008" customFormat="1" ht="20.25" customHeight="1">
      <c r="A349" s="999" t="str">
        <f t="shared" si="521"/>
        <v xml:space="preserve">Дегтярева Е.И. Акилова С.В.</v>
      </c>
      <c r="B349" s="1202" t="s">
        <v>413</v>
      </c>
      <c r="C349" s="1217"/>
      <c r="D349" s="1217"/>
      <c r="E349" s="1164">
        <f t="shared" si="515"/>
        <v>0</v>
      </c>
      <c r="F349" s="1164">
        <f t="shared" ref="F349:F350" si="617">S349+AA349+AJ349+AS349+BB349</f>
        <v>0</v>
      </c>
      <c r="G349" s="1165">
        <f t="shared" si="610"/>
        <v>0</v>
      </c>
      <c r="H349" s="1277"/>
      <c r="I349" s="1167">
        <f t="shared" si="523"/>
        <v>0</v>
      </c>
      <c r="J349" s="1167">
        <f t="shared" si="524"/>
        <v>0</v>
      </c>
      <c r="K349" s="1168">
        <f t="shared" si="611"/>
        <v>0</v>
      </c>
      <c r="L349" s="1128"/>
      <c r="M349" s="1169"/>
      <c r="N349" s="1177"/>
      <c r="O349" s="1169"/>
      <c r="P349" s="1282"/>
      <c r="Q349" s="1169">
        <f t="shared" si="612"/>
        <v>0</v>
      </c>
      <c r="R349" s="1169"/>
      <c r="S349" s="1169"/>
      <c r="T349" s="1171"/>
      <c r="U349" s="1128"/>
      <c r="V349" s="1169"/>
      <c r="W349" s="1177"/>
      <c r="X349" s="1177"/>
      <c r="Y349" s="1169"/>
      <c r="Z349" s="1169">
        <f t="shared" si="613"/>
        <v>0</v>
      </c>
      <c r="AA349" s="1169"/>
      <c r="AB349" s="1172">
        <f t="shared" si="528"/>
        <v>0</v>
      </c>
      <c r="AC349" s="1171"/>
      <c r="AD349" s="1128"/>
      <c r="AE349" s="1169"/>
      <c r="AF349" s="1177"/>
      <c r="AG349" s="1177"/>
      <c r="AH349" s="1169"/>
      <c r="AI349" s="1169">
        <f t="shared" si="614"/>
        <v>0</v>
      </c>
      <c r="AJ349" s="1169"/>
      <c r="AK349" s="1173"/>
      <c r="AL349" s="1171"/>
      <c r="AM349" s="1128"/>
      <c r="AN349" s="1170"/>
      <c r="AO349" s="1175"/>
      <c r="AP349" s="1175"/>
      <c r="AQ349" s="1170"/>
      <c r="AR349" s="1170">
        <f t="shared" si="615"/>
        <v>0</v>
      </c>
      <c r="AS349" s="1170"/>
      <c r="AT349" s="1170"/>
      <c r="AU349" s="1174"/>
      <c r="AV349" s="1128"/>
      <c r="AW349" s="1169"/>
      <c r="AX349" s="1177"/>
      <c r="AY349" s="1177"/>
      <c r="AZ349" s="1169"/>
      <c r="BA349" s="1169">
        <f t="shared" si="616"/>
        <v>0</v>
      </c>
      <c r="BB349" s="1169"/>
      <c r="BC349" s="1177">
        <f t="shared" si="574"/>
        <v>0</v>
      </c>
      <c r="BD349" s="1027"/>
      <c r="BE349" s="1024"/>
      <c r="BF349" s="1024"/>
    </row>
    <row r="350" s="1008" customFormat="1" ht="20.25" customHeight="1">
      <c r="A350" s="999">
        <f t="shared" si="521"/>
        <v>0</v>
      </c>
      <c r="B350" s="1202" t="s">
        <v>414</v>
      </c>
      <c r="C350" s="1202"/>
      <c r="D350" s="1202"/>
      <c r="E350" s="1164">
        <f t="shared" si="515"/>
        <v>0</v>
      </c>
      <c r="F350" s="1164">
        <f t="shared" si="617"/>
        <v>0</v>
      </c>
      <c r="G350" s="1165">
        <f>S350+AA350+AJ350+AS350+BB350</f>
        <v>0</v>
      </c>
      <c r="H350" s="1277"/>
      <c r="I350" s="1167">
        <f t="shared" si="523"/>
        <v>0</v>
      </c>
      <c r="J350" s="1167">
        <f t="shared" si="524"/>
        <v>0</v>
      </c>
      <c r="K350" s="1168">
        <f>V350+AE350+AN350+AW350+BF350</f>
        <v>0</v>
      </c>
      <c r="L350" s="1128"/>
      <c r="M350" s="1169"/>
      <c r="N350" s="1177"/>
      <c r="O350" s="1169"/>
      <c r="P350" s="1282"/>
      <c r="Q350" s="1169">
        <f t="shared" si="612"/>
        <v>0</v>
      </c>
      <c r="R350" s="1169"/>
      <c r="S350" s="1169"/>
      <c r="T350" s="1171"/>
      <c r="U350" s="1128"/>
      <c r="V350" s="1169"/>
      <c r="W350" s="1177"/>
      <c r="X350" s="1177"/>
      <c r="Y350" s="1169"/>
      <c r="Z350" s="1169">
        <f t="shared" si="613"/>
        <v>0</v>
      </c>
      <c r="AA350" s="1169"/>
      <c r="AB350" s="1172">
        <f t="shared" si="528"/>
        <v>0</v>
      </c>
      <c r="AC350" s="1171"/>
      <c r="AD350" s="1128"/>
      <c r="AE350" s="1169"/>
      <c r="AF350" s="1177"/>
      <c r="AG350" s="1177"/>
      <c r="AH350" s="1169"/>
      <c r="AI350" s="1169">
        <f t="shared" si="614"/>
        <v>0</v>
      </c>
      <c r="AJ350" s="1169"/>
      <c r="AK350" s="1173"/>
      <c r="AL350" s="1171"/>
      <c r="AM350" s="1128"/>
      <c r="AN350" s="1170"/>
      <c r="AO350" s="1175"/>
      <c r="AP350" s="1175"/>
      <c r="AQ350" s="1170"/>
      <c r="AR350" s="1170">
        <f t="shared" si="615"/>
        <v>0</v>
      </c>
      <c r="AS350" s="1170"/>
      <c r="AT350" s="1170"/>
      <c r="AU350" s="1174"/>
      <c r="AV350" s="1128"/>
      <c r="AW350" s="1169"/>
      <c r="AX350" s="1177"/>
      <c r="AY350" s="1177"/>
      <c r="AZ350" s="1169"/>
      <c r="BA350" s="1169">
        <f t="shared" si="616"/>
        <v>0</v>
      </c>
      <c r="BB350" s="1169"/>
      <c r="BC350" s="1177">
        <f t="shared" si="574"/>
        <v>0</v>
      </c>
      <c r="BD350" s="1027"/>
      <c r="BE350" s="1024"/>
      <c r="BF350" s="1024"/>
    </row>
    <row r="351" s="1008" customFormat="1" ht="20.25" customHeight="1">
      <c r="A351" s="999" t="str">
        <f t="shared" si="521"/>
        <v xml:space="preserve">Ковалевская О.А.</v>
      </c>
      <c r="B351" s="1202" t="s">
        <v>416</v>
      </c>
      <c r="C351" s="1202"/>
      <c r="D351" s="1202"/>
      <c r="E351" s="1164">
        <f t="shared" si="515"/>
        <v>0</v>
      </c>
      <c r="F351" s="1164">
        <f>P351+AA351+AJ351+AS351+BB351</f>
        <v>0</v>
      </c>
      <c r="G351" s="1165">
        <f t="shared" ref="G351:G353" si="618">E351+F351</f>
        <v>0</v>
      </c>
      <c r="H351" s="1277"/>
      <c r="I351" s="1167">
        <f t="shared" si="523"/>
        <v>0</v>
      </c>
      <c r="J351" s="1167">
        <f t="shared" si="524"/>
        <v>0</v>
      </c>
      <c r="K351" s="1168">
        <f t="shared" ref="K351:K353" si="619">I351+J351</f>
        <v>0</v>
      </c>
      <c r="L351" s="1128"/>
      <c r="M351" s="1169"/>
      <c r="N351" s="1177"/>
      <c r="O351" s="1169"/>
      <c r="P351" s="1169"/>
      <c r="Q351" s="1169">
        <f t="shared" si="612"/>
        <v>0</v>
      </c>
      <c r="R351" s="1169"/>
      <c r="S351" s="1282"/>
      <c r="T351" s="1171"/>
      <c r="U351" s="1128"/>
      <c r="V351" s="1169"/>
      <c r="W351" s="1177"/>
      <c r="X351" s="1177"/>
      <c r="Y351" s="1169"/>
      <c r="Z351" s="1169">
        <f t="shared" si="613"/>
        <v>0</v>
      </c>
      <c r="AA351" s="1169"/>
      <c r="AB351" s="1172">
        <f t="shared" si="528"/>
        <v>0</v>
      </c>
      <c r="AC351" s="1171"/>
      <c r="AD351" s="1128"/>
      <c r="AE351" s="1169"/>
      <c r="AF351" s="1177"/>
      <c r="AG351" s="1177"/>
      <c r="AH351" s="1169"/>
      <c r="AI351" s="1169">
        <f t="shared" si="614"/>
        <v>0</v>
      </c>
      <c r="AJ351" s="1169"/>
      <c r="AK351" s="1173"/>
      <c r="AL351" s="1171"/>
      <c r="AM351" s="1128"/>
      <c r="AN351" s="1170"/>
      <c r="AO351" s="1175"/>
      <c r="AP351" s="1175"/>
      <c r="AQ351" s="1170"/>
      <c r="AR351" s="1170">
        <f t="shared" si="615"/>
        <v>0</v>
      </c>
      <c r="AS351" s="1170"/>
      <c r="AT351" s="1170"/>
      <c r="AU351" s="1174"/>
      <c r="AV351" s="1128"/>
      <c r="AW351" s="1169"/>
      <c r="AX351" s="1177"/>
      <c r="AY351" s="1177"/>
      <c r="AZ351" s="1169"/>
      <c r="BA351" s="1169">
        <f t="shared" si="616"/>
        <v>0</v>
      </c>
      <c r="BB351" s="1169"/>
      <c r="BC351" s="1177">
        <f t="shared" si="574"/>
        <v>0</v>
      </c>
      <c r="BD351" s="1027"/>
      <c r="BE351" s="1024"/>
      <c r="BF351" s="1024"/>
    </row>
    <row r="352" s="1008" customFormat="1" ht="20.25" customHeight="1">
      <c r="A352" s="999" t="s">
        <v>477</v>
      </c>
      <c r="B352" s="1202" t="s">
        <v>80</v>
      </c>
      <c r="C352" s="1218"/>
      <c r="D352" s="1217"/>
      <c r="E352" s="1164">
        <f t="shared" si="515"/>
        <v>0</v>
      </c>
      <c r="F352" s="1164">
        <f>S352+AA352+AJ352+AS352+BB352</f>
        <v>0</v>
      </c>
      <c r="G352" s="1165">
        <f t="shared" si="618"/>
        <v>0</v>
      </c>
      <c r="H352" s="1277"/>
      <c r="I352" s="1167">
        <f t="shared" si="523"/>
        <v>0</v>
      </c>
      <c r="J352" s="1167">
        <f t="shared" si="524"/>
        <v>0</v>
      </c>
      <c r="K352" s="1168">
        <f t="shared" si="619"/>
        <v>0</v>
      </c>
      <c r="L352" s="1128"/>
      <c r="M352" s="1169"/>
      <c r="N352" s="1199"/>
      <c r="O352" s="1169"/>
      <c r="P352" s="1169"/>
      <c r="Q352" s="1169">
        <f t="shared" si="612"/>
        <v>0</v>
      </c>
      <c r="R352" s="1169"/>
      <c r="S352" s="1169"/>
      <c r="T352" s="1171"/>
      <c r="U352" s="1128"/>
      <c r="V352" s="1169"/>
      <c r="W352" s="1199"/>
      <c r="X352" s="1177"/>
      <c r="Y352" s="1169"/>
      <c r="Z352" s="1169">
        <f t="shared" si="613"/>
        <v>0</v>
      </c>
      <c r="AA352" s="1169"/>
      <c r="AB352" s="1172">
        <f t="shared" si="528"/>
        <v>0</v>
      </c>
      <c r="AC352" s="1171"/>
      <c r="AD352" s="1128"/>
      <c r="AE352" s="1169"/>
      <c r="AF352" s="1199"/>
      <c r="AG352" s="1177"/>
      <c r="AH352" s="1169"/>
      <c r="AI352" s="1169">
        <f t="shared" si="614"/>
        <v>0</v>
      </c>
      <c r="AJ352" s="1169"/>
      <c r="AK352" s="1173"/>
      <c r="AL352" s="1171"/>
      <c r="AM352" s="1128"/>
      <c r="AN352" s="1170"/>
      <c r="AO352" s="1200"/>
      <c r="AP352" s="1175"/>
      <c r="AQ352" s="1170"/>
      <c r="AR352" s="1170">
        <f t="shared" si="615"/>
        <v>0</v>
      </c>
      <c r="AS352" s="1170"/>
      <c r="AT352" s="1170"/>
      <c r="AU352" s="1174"/>
      <c r="AV352" s="1128"/>
      <c r="AW352" s="1169"/>
      <c r="AX352" s="1199"/>
      <c r="AY352" s="1177"/>
      <c r="AZ352" s="1169"/>
      <c r="BA352" s="1169">
        <f t="shared" si="616"/>
        <v>0</v>
      </c>
      <c r="BB352" s="1169"/>
      <c r="BC352" s="1177">
        <f t="shared" si="574"/>
        <v>0</v>
      </c>
      <c r="BD352" s="1027"/>
      <c r="BE352" s="1024"/>
      <c r="BF352" s="1024"/>
    </row>
    <row r="353" s="1008" customFormat="1" ht="20.25" customHeight="1">
      <c r="A353" s="999" t="s">
        <v>480</v>
      </c>
      <c r="B353" s="1202" t="s">
        <v>419</v>
      </c>
      <c r="C353" s="1219"/>
      <c r="D353" s="1202"/>
      <c r="E353" s="1164">
        <f t="shared" si="515"/>
        <v>0</v>
      </c>
      <c r="F353" s="1164">
        <f t="shared" ref="F353:F355" si="620">R353+AA353+AJ353+AS353+BB353</f>
        <v>0</v>
      </c>
      <c r="G353" s="1165">
        <f t="shared" si="618"/>
        <v>0</v>
      </c>
      <c r="H353" s="1277"/>
      <c r="I353" s="1167">
        <f t="shared" si="523"/>
        <v>0</v>
      </c>
      <c r="J353" s="1167">
        <f t="shared" si="524"/>
        <v>0</v>
      </c>
      <c r="K353" s="1168">
        <f t="shared" si="619"/>
        <v>0</v>
      </c>
      <c r="L353" s="1128"/>
      <c r="M353" s="1169"/>
      <c r="N353" s="1177"/>
      <c r="O353" s="1169"/>
      <c r="P353" s="1169"/>
      <c r="Q353" s="1169">
        <f t="shared" si="612"/>
        <v>0</v>
      </c>
      <c r="R353" s="1169"/>
      <c r="S353" s="1170"/>
      <c r="T353" s="1171"/>
      <c r="U353" s="1128"/>
      <c r="V353" s="1169"/>
      <c r="W353" s="1177"/>
      <c r="X353" s="1177"/>
      <c r="Y353" s="1169"/>
      <c r="Z353" s="1169">
        <f t="shared" si="613"/>
        <v>0</v>
      </c>
      <c r="AA353" s="1169"/>
      <c r="AB353" s="1172">
        <f t="shared" si="528"/>
        <v>0</v>
      </c>
      <c r="AC353" s="1171"/>
      <c r="AD353" s="1128"/>
      <c r="AE353" s="1169"/>
      <c r="AF353" s="1177"/>
      <c r="AG353" s="1177"/>
      <c r="AH353" s="1169"/>
      <c r="AI353" s="1169">
        <f t="shared" si="614"/>
        <v>0</v>
      </c>
      <c r="AJ353" s="1169"/>
      <c r="AK353" s="1173"/>
      <c r="AL353" s="1171"/>
      <c r="AM353" s="1128"/>
      <c r="AN353" s="1170"/>
      <c r="AO353" s="1175"/>
      <c r="AP353" s="1175"/>
      <c r="AQ353" s="1170"/>
      <c r="AR353" s="1170">
        <f t="shared" si="615"/>
        <v>0</v>
      </c>
      <c r="AS353" s="1170"/>
      <c r="AT353" s="1170"/>
      <c r="AU353" s="1174"/>
      <c r="AV353" s="1128"/>
      <c r="AW353" s="1169"/>
      <c r="AX353" s="1177"/>
      <c r="AY353" s="1177"/>
      <c r="AZ353" s="1169"/>
      <c r="BA353" s="1169">
        <f t="shared" si="616"/>
        <v>0</v>
      </c>
      <c r="BB353" s="1169"/>
      <c r="BC353" s="1177">
        <f t="shared" si="574"/>
        <v>0</v>
      </c>
      <c r="BD353" s="1027"/>
      <c r="BE353" s="1024"/>
      <c r="BF353" s="1024"/>
    </row>
    <row r="354" s="1008" customFormat="1" ht="20.25" customHeight="1">
      <c r="A354" s="999" t="str">
        <f>A255</f>
        <v xml:space="preserve">Никонова-Цыганова Н.А. Столберова МИ</v>
      </c>
      <c r="B354" s="1205" t="s">
        <v>363</v>
      </c>
      <c r="C354" s="1205"/>
      <c r="D354" s="1205"/>
      <c r="E354" s="1183">
        <f t="shared" si="515"/>
        <v>0</v>
      </c>
      <c r="F354" s="1183">
        <f t="shared" si="620"/>
        <v>0</v>
      </c>
      <c r="G354" s="1220">
        <f>SUM(G346:G353)</f>
        <v>0</v>
      </c>
      <c r="H354" s="1283"/>
      <c r="I354" s="1186">
        <f t="shared" si="523"/>
        <v>0</v>
      </c>
      <c r="J354" s="1186">
        <f t="shared" si="524"/>
        <v>0</v>
      </c>
      <c r="K354" s="1222">
        <f>SUM(K346:K353)</f>
        <v>0</v>
      </c>
      <c r="L354" s="1197"/>
      <c r="M354" s="1096">
        <f t="shared" ref="M354:R354" si="621">SUM(M346:M353)</f>
        <v>0</v>
      </c>
      <c r="N354" s="1096">
        <f t="shared" si="621"/>
        <v>0</v>
      </c>
      <c r="O354" s="1096">
        <f t="shared" si="621"/>
        <v>0</v>
      </c>
      <c r="P354" s="1096">
        <f t="shared" si="621"/>
        <v>0</v>
      </c>
      <c r="Q354" s="1096">
        <f t="shared" si="621"/>
        <v>0</v>
      </c>
      <c r="R354" s="1096">
        <f t="shared" si="621"/>
        <v>0</v>
      </c>
      <c r="S354" s="1170"/>
      <c r="T354" s="1189"/>
      <c r="U354" s="1197"/>
      <c r="V354" s="1096">
        <f t="shared" ref="V354:AA354" si="622">SUM(V346:V353)</f>
        <v>0</v>
      </c>
      <c r="W354" s="1096">
        <f t="shared" si="622"/>
        <v>0</v>
      </c>
      <c r="X354" s="1096">
        <f t="shared" si="622"/>
        <v>0</v>
      </c>
      <c r="Y354" s="1096">
        <f t="shared" si="622"/>
        <v>0</v>
      </c>
      <c r="Z354" s="1096">
        <f t="shared" si="622"/>
        <v>0</v>
      </c>
      <c r="AA354" s="1096">
        <f t="shared" si="622"/>
        <v>0</v>
      </c>
      <c r="AB354" s="1172">
        <f t="shared" si="528"/>
        <v>0</v>
      </c>
      <c r="AC354" s="1189"/>
      <c r="AD354" s="1197"/>
      <c r="AE354" s="1096">
        <f t="shared" ref="AE354:AJ354" si="623">SUM(AE346:AE353)</f>
        <v>0</v>
      </c>
      <c r="AF354" s="1096">
        <f t="shared" si="623"/>
        <v>0</v>
      </c>
      <c r="AG354" s="1096">
        <f t="shared" si="623"/>
        <v>0</v>
      </c>
      <c r="AH354" s="1096">
        <f t="shared" si="623"/>
        <v>0</v>
      </c>
      <c r="AI354" s="1096">
        <f t="shared" si="623"/>
        <v>0</v>
      </c>
      <c r="AJ354" s="1096">
        <f t="shared" si="623"/>
        <v>0</v>
      </c>
      <c r="AK354" s="1173"/>
      <c r="AL354" s="1189"/>
      <c r="AM354" s="1197"/>
      <c r="AN354" s="1190">
        <f t="shared" ref="AN354:AS354" si="624">SUM(AN346:AN353)</f>
        <v>0</v>
      </c>
      <c r="AO354" s="1190">
        <f t="shared" si="624"/>
        <v>0</v>
      </c>
      <c r="AP354" s="1190">
        <f t="shared" si="624"/>
        <v>0</v>
      </c>
      <c r="AQ354" s="1190">
        <f t="shared" si="624"/>
        <v>0</v>
      </c>
      <c r="AR354" s="1190">
        <f t="shared" si="624"/>
        <v>0</v>
      </c>
      <c r="AS354" s="1190">
        <f t="shared" si="624"/>
        <v>0</v>
      </c>
      <c r="AT354" s="1170"/>
      <c r="AU354" s="1191"/>
      <c r="AV354" s="1197">
        <f t="shared" ref="AV354:BB354" si="625">SUM(AV346:AV353)</f>
        <v>0</v>
      </c>
      <c r="AW354" s="1096">
        <f t="shared" si="625"/>
        <v>0</v>
      </c>
      <c r="AX354" s="1096">
        <f t="shared" si="625"/>
        <v>0</v>
      </c>
      <c r="AY354" s="1096">
        <f t="shared" si="625"/>
        <v>0</v>
      </c>
      <c r="AZ354" s="1096">
        <f t="shared" si="625"/>
        <v>0</v>
      </c>
      <c r="BA354" s="1096">
        <f t="shared" si="625"/>
        <v>0</v>
      </c>
      <c r="BB354" s="1096">
        <f t="shared" si="625"/>
        <v>0</v>
      </c>
      <c r="BC354" s="1281">
        <f t="shared" si="574"/>
        <v>0</v>
      </c>
      <c r="BD354" s="1027"/>
      <c r="BE354" s="1024"/>
      <c r="BF354" s="1024"/>
    </row>
    <row r="355" s="1008" customFormat="1" ht="20.25" customHeight="1">
      <c r="A355" s="999" t="str">
        <f t="shared" si="521"/>
        <v xml:space="preserve">Шеламкова Н.В.</v>
      </c>
      <c r="B355" s="1202" t="s">
        <v>421</v>
      </c>
      <c r="C355" s="1203"/>
      <c r="D355" s="1202"/>
      <c r="E355" s="1164">
        <f t="shared" si="515"/>
        <v>0</v>
      </c>
      <c r="F355" s="1164">
        <f t="shared" si="620"/>
        <v>0</v>
      </c>
      <c r="G355" s="1165">
        <f t="shared" ref="G355:G367" si="626">E355+F355</f>
        <v>0</v>
      </c>
      <c r="H355" s="1277"/>
      <c r="I355" s="1167">
        <f t="shared" si="523"/>
        <v>0</v>
      </c>
      <c r="J355" s="1167">
        <f t="shared" si="524"/>
        <v>0</v>
      </c>
      <c r="K355" s="1168">
        <f t="shared" ref="K355:K367" si="627">I355+J355</f>
        <v>0</v>
      </c>
      <c r="L355" s="1128"/>
      <c r="M355" s="1169"/>
      <c r="N355" s="1177"/>
      <c r="O355" s="1169"/>
      <c r="P355" s="1169"/>
      <c r="Q355" s="1169">
        <f t="shared" ref="Q355:Q367" si="628">SUM(M355:P355)</f>
        <v>0</v>
      </c>
      <c r="R355" s="1169"/>
      <c r="S355" s="1170"/>
      <c r="T355" s="1171"/>
      <c r="U355" s="1128"/>
      <c r="V355" s="1169"/>
      <c r="W355" s="1177"/>
      <c r="X355" s="1177"/>
      <c r="Y355" s="1169"/>
      <c r="Z355" s="1169">
        <f t="shared" ref="Z355:Z367" si="629">SUM(V355:Y355)</f>
        <v>0</v>
      </c>
      <c r="AA355" s="1169"/>
      <c r="AB355" s="1172">
        <f t="shared" si="528"/>
        <v>0</v>
      </c>
      <c r="AC355" s="1171"/>
      <c r="AD355" s="1128"/>
      <c r="AE355" s="1169"/>
      <c r="AF355" s="1177"/>
      <c r="AG355" s="1177"/>
      <c r="AH355" s="1169"/>
      <c r="AI355" s="1169">
        <f t="shared" ref="AI355:AI367" si="630">SUM(AE355:AH355)</f>
        <v>0</v>
      </c>
      <c r="AJ355" s="1169"/>
      <c r="AK355" s="1173"/>
      <c r="AL355" s="1171"/>
      <c r="AM355" s="1128"/>
      <c r="AN355" s="1170"/>
      <c r="AO355" s="1175"/>
      <c r="AP355" s="1175"/>
      <c r="AQ355" s="1170"/>
      <c r="AR355" s="1170">
        <f t="shared" ref="AR355:AR367" si="631">SUM(AN355:AQ355)</f>
        <v>0</v>
      </c>
      <c r="AS355" s="1170"/>
      <c r="AT355" s="1170"/>
      <c r="AU355" s="1174"/>
      <c r="AV355" s="1128"/>
      <c r="AW355" s="1169"/>
      <c r="AX355" s="1177"/>
      <c r="AY355" s="1177"/>
      <c r="AZ355" s="1169"/>
      <c r="BA355" s="1169">
        <f t="shared" ref="BA355:BA367" si="632">SUM(AW355:AZ355)</f>
        <v>0</v>
      </c>
      <c r="BB355" s="1169"/>
      <c r="BC355" s="1177">
        <f t="shared" si="574"/>
        <v>0</v>
      </c>
      <c r="BD355" s="1027"/>
      <c r="BE355" s="1024"/>
      <c r="BF355" s="1024"/>
    </row>
    <row r="356" s="1008" customFormat="1" ht="20.25" customHeight="1">
      <c r="A356" s="999" t="str">
        <f t="shared" si="521"/>
        <v xml:space="preserve">Буланова О.Н. Сычева Ю.В.</v>
      </c>
      <c r="B356" s="1202" t="s">
        <v>68</v>
      </c>
      <c r="C356" s="1219"/>
      <c r="D356" s="1202"/>
      <c r="E356" s="1164">
        <f t="shared" si="515"/>
        <v>0</v>
      </c>
      <c r="F356" s="1164">
        <f t="shared" ref="F356:F365" si="633">P356+AA356+AJ356+AS356+BB356</f>
        <v>0</v>
      </c>
      <c r="G356" s="1165">
        <f t="shared" si="626"/>
        <v>0</v>
      </c>
      <c r="H356" s="1277"/>
      <c r="I356" s="1167">
        <f t="shared" si="523"/>
        <v>0</v>
      </c>
      <c r="J356" s="1167">
        <f t="shared" si="524"/>
        <v>0</v>
      </c>
      <c r="K356" s="1168">
        <f t="shared" si="627"/>
        <v>0</v>
      </c>
      <c r="L356" s="1128"/>
      <c r="M356" s="1169"/>
      <c r="N356" s="1177"/>
      <c r="O356" s="1169"/>
      <c r="P356" s="1169"/>
      <c r="Q356" s="1169">
        <f t="shared" si="628"/>
        <v>0</v>
      </c>
      <c r="R356" s="1169"/>
      <c r="S356" s="1282"/>
      <c r="T356" s="1171"/>
      <c r="U356" s="1128"/>
      <c r="V356" s="1169"/>
      <c r="W356" s="1177"/>
      <c r="X356" s="1177"/>
      <c r="Y356" s="1169"/>
      <c r="Z356" s="1169">
        <f t="shared" si="629"/>
        <v>0</v>
      </c>
      <c r="AA356" s="1169"/>
      <c r="AB356" s="1172">
        <f t="shared" si="528"/>
        <v>0</v>
      </c>
      <c r="AC356" s="1171"/>
      <c r="AD356" s="1128"/>
      <c r="AE356" s="1169"/>
      <c r="AF356" s="1177"/>
      <c r="AG356" s="1177"/>
      <c r="AH356" s="1169"/>
      <c r="AI356" s="1169">
        <f t="shared" si="630"/>
        <v>0</v>
      </c>
      <c r="AJ356" s="1169"/>
      <c r="AK356" s="1173"/>
      <c r="AL356" s="1171"/>
      <c r="AM356" s="1128"/>
      <c r="AN356" s="1170"/>
      <c r="AO356" s="1175"/>
      <c r="AP356" s="1175"/>
      <c r="AQ356" s="1170"/>
      <c r="AR356" s="1170">
        <f t="shared" si="631"/>
        <v>0</v>
      </c>
      <c r="AS356" s="1170"/>
      <c r="AT356" s="1170"/>
      <c r="AU356" s="1174"/>
      <c r="AV356" s="1128"/>
      <c r="AW356" s="1169"/>
      <c r="AX356" s="1177"/>
      <c r="AY356" s="1177"/>
      <c r="AZ356" s="1169"/>
      <c r="BA356" s="1169">
        <f t="shared" si="632"/>
        <v>0</v>
      </c>
      <c r="BB356" s="1169"/>
      <c r="BC356" s="1177">
        <f t="shared" si="574"/>
        <v>0</v>
      </c>
      <c r="BD356" s="1027"/>
      <c r="BE356" s="1024"/>
      <c r="BF356" s="1024"/>
    </row>
    <row r="357" s="1008" customFormat="1" ht="20.25" customHeight="1">
      <c r="A357" s="999" t="str">
        <f t="shared" si="521"/>
        <v xml:space="preserve">Бояринцева Н.А.</v>
      </c>
      <c r="B357" s="1202" t="s">
        <v>289</v>
      </c>
      <c r="C357" s="1202"/>
      <c r="D357" s="1202"/>
      <c r="E357" s="1164">
        <f t="shared" si="515"/>
        <v>0</v>
      </c>
      <c r="F357" s="1164">
        <f t="shared" si="633"/>
        <v>0</v>
      </c>
      <c r="G357" s="1165">
        <f t="shared" si="626"/>
        <v>0</v>
      </c>
      <c r="H357" s="1277"/>
      <c r="I357" s="1167">
        <f t="shared" si="523"/>
        <v>0</v>
      </c>
      <c r="J357" s="1167">
        <f t="shared" si="524"/>
        <v>0</v>
      </c>
      <c r="K357" s="1168">
        <f t="shared" si="627"/>
        <v>0</v>
      </c>
      <c r="L357" s="1128"/>
      <c r="M357" s="1169"/>
      <c r="N357" s="1177"/>
      <c r="O357" s="1169"/>
      <c r="P357" s="1169"/>
      <c r="Q357" s="1169">
        <f t="shared" si="628"/>
        <v>0</v>
      </c>
      <c r="R357" s="1169"/>
      <c r="S357" s="1282"/>
      <c r="T357" s="1171"/>
      <c r="U357" s="1128"/>
      <c r="V357" s="1169"/>
      <c r="W357" s="1177"/>
      <c r="X357" s="1177"/>
      <c r="Y357" s="1169"/>
      <c r="Z357" s="1169">
        <f t="shared" si="629"/>
        <v>0</v>
      </c>
      <c r="AA357" s="1169"/>
      <c r="AB357" s="1172">
        <f t="shared" si="528"/>
        <v>0</v>
      </c>
      <c r="AC357" s="1171"/>
      <c r="AD357" s="1128"/>
      <c r="AE357" s="1169"/>
      <c r="AF357" s="1177"/>
      <c r="AG357" s="1177"/>
      <c r="AH357" s="1169"/>
      <c r="AI357" s="1169">
        <f t="shared" si="630"/>
        <v>0</v>
      </c>
      <c r="AJ357" s="1169"/>
      <c r="AK357" s="1173"/>
      <c r="AL357" s="1171"/>
      <c r="AM357" s="1128"/>
      <c r="AN357" s="1170"/>
      <c r="AO357" s="1175"/>
      <c r="AP357" s="1175"/>
      <c r="AQ357" s="1170"/>
      <c r="AR357" s="1170">
        <f t="shared" si="631"/>
        <v>0</v>
      </c>
      <c r="AS357" s="1170"/>
      <c r="AT357" s="1170"/>
      <c r="AU357" s="1174"/>
      <c r="AV357" s="1128"/>
      <c r="AW357" s="1169"/>
      <c r="AX357" s="1177"/>
      <c r="AY357" s="1177"/>
      <c r="AZ357" s="1169"/>
      <c r="BA357" s="1169">
        <f t="shared" si="632"/>
        <v>0</v>
      </c>
      <c r="BB357" s="1169"/>
      <c r="BC357" s="1177">
        <f t="shared" si="574"/>
        <v>0</v>
      </c>
      <c r="BD357" s="1027"/>
      <c r="BE357" s="1024"/>
      <c r="BF357" s="1024"/>
    </row>
    <row r="358" s="1008" customFormat="1" ht="20.25" customHeight="1">
      <c r="A358" s="999">
        <f t="shared" si="521"/>
        <v>0</v>
      </c>
      <c r="B358" s="1202" t="s">
        <v>424</v>
      </c>
      <c r="C358" s="1219"/>
      <c r="D358" s="1202"/>
      <c r="E358" s="1164">
        <f t="shared" ref="E358:F421" si="634">Q358+Z358+AI358+AR358+BA358</f>
        <v>0</v>
      </c>
      <c r="F358" s="1164">
        <f t="shared" si="633"/>
        <v>0</v>
      </c>
      <c r="G358" s="1165">
        <f t="shared" si="626"/>
        <v>0</v>
      </c>
      <c r="H358" s="1277"/>
      <c r="I358" s="1167">
        <f t="shared" si="523"/>
        <v>0</v>
      </c>
      <c r="J358" s="1167">
        <f t="shared" si="524"/>
        <v>0</v>
      </c>
      <c r="K358" s="1168">
        <f t="shared" si="627"/>
        <v>0</v>
      </c>
      <c r="L358" s="1128"/>
      <c r="M358" s="1169"/>
      <c r="N358" s="1177"/>
      <c r="O358" s="1169"/>
      <c r="P358" s="1169"/>
      <c r="Q358" s="1169">
        <f t="shared" si="628"/>
        <v>0</v>
      </c>
      <c r="R358" s="1169"/>
      <c r="S358" s="1282"/>
      <c r="T358" s="1171"/>
      <c r="U358" s="1128"/>
      <c r="V358" s="1169"/>
      <c r="W358" s="1177"/>
      <c r="X358" s="1177"/>
      <c r="Y358" s="1169"/>
      <c r="Z358" s="1169">
        <f t="shared" si="629"/>
        <v>0</v>
      </c>
      <c r="AA358" s="1169"/>
      <c r="AB358" s="1172">
        <f t="shared" si="528"/>
        <v>0</v>
      </c>
      <c r="AC358" s="1171"/>
      <c r="AD358" s="1128"/>
      <c r="AE358" s="1169"/>
      <c r="AF358" s="1177"/>
      <c r="AG358" s="1177"/>
      <c r="AH358" s="1169"/>
      <c r="AI358" s="1169">
        <f t="shared" si="630"/>
        <v>0</v>
      </c>
      <c r="AJ358" s="1169"/>
      <c r="AK358" s="1173"/>
      <c r="AL358" s="1171"/>
      <c r="AM358" s="1128"/>
      <c r="AN358" s="1170"/>
      <c r="AO358" s="1175"/>
      <c r="AP358" s="1175"/>
      <c r="AQ358" s="1170"/>
      <c r="AR358" s="1170">
        <f t="shared" si="631"/>
        <v>0</v>
      </c>
      <c r="AS358" s="1170"/>
      <c r="AT358" s="1170"/>
      <c r="AU358" s="1174"/>
      <c r="AV358" s="1128"/>
      <c r="AW358" s="1169"/>
      <c r="AX358" s="1177"/>
      <c r="AY358" s="1177"/>
      <c r="AZ358" s="1169"/>
      <c r="BA358" s="1169">
        <f t="shared" si="632"/>
        <v>0</v>
      </c>
      <c r="BB358" s="1169"/>
      <c r="BC358" s="1177">
        <f t="shared" si="574"/>
        <v>0</v>
      </c>
      <c r="BD358" s="1027"/>
      <c r="BE358" s="1024"/>
      <c r="BF358" s="1024"/>
    </row>
    <row r="359" s="1008" customFormat="1" ht="20.25" customHeight="1">
      <c r="A359" s="999" t="str">
        <f t="shared" si="521"/>
        <v xml:space="preserve">Соболева Т.Ю.</v>
      </c>
      <c r="B359" s="1202" t="s">
        <v>426</v>
      </c>
      <c r="C359" s="1202"/>
      <c r="D359" s="1202"/>
      <c r="E359" s="1164">
        <f t="shared" si="634"/>
        <v>0</v>
      </c>
      <c r="F359" s="1164">
        <f t="shared" si="633"/>
        <v>0</v>
      </c>
      <c r="G359" s="1165">
        <f t="shared" si="626"/>
        <v>0</v>
      </c>
      <c r="H359" s="1277"/>
      <c r="I359" s="1167">
        <f t="shared" si="523"/>
        <v>0</v>
      </c>
      <c r="J359" s="1167">
        <f t="shared" si="524"/>
        <v>0</v>
      </c>
      <c r="K359" s="1168">
        <f t="shared" si="627"/>
        <v>0</v>
      </c>
      <c r="L359" s="1128"/>
      <c r="M359" s="1169"/>
      <c r="N359" s="1177"/>
      <c r="O359" s="1169"/>
      <c r="P359" s="1169"/>
      <c r="Q359" s="1169">
        <f t="shared" si="628"/>
        <v>0</v>
      </c>
      <c r="R359" s="1169"/>
      <c r="S359" s="1282"/>
      <c r="T359" s="1171"/>
      <c r="U359" s="1128"/>
      <c r="V359" s="1169"/>
      <c r="W359" s="1177"/>
      <c r="X359" s="1177"/>
      <c r="Y359" s="1169"/>
      <c r="Z359" s="1169">
        <f t="shared" si="629"/>
        <v>0</v>
      </c>
      <c r="AA359" s="1169"/>
      <c r="AB359" s="1172">
        <f t="shared" si="528"/>
        <v>0</v>
      </c>
      <c r="AC359" s="1171"/>
      <c r="AD359" s="1128"/>
      <c r="AE359" s="1169"/>
      <c r="AF359" s="1177"/>
      <c r="AG359" s="1177"/>
      <c r="AH359" s="1169"/>
      <c r="AI359" s="1169">
        <f t="shared" si="630"/>
        <v>0</v>
      </c>
      <c r="AJ359" s="1169"/>
      <c r="AK359" s="1173"/>
      <c r="AL359" s="1171"/>
      <c r="AM359" s="1128"/>
      <c r="AN359" s="1170"/>
      <c r="AO359" s="1175"/>
      <c r="AP359" s="1175"/>
      <c r="AQ359" s="1170"/>
      <c r="AR359" s="1170">
        <f t="shared" si="631"/>
        <v>0</v>
      </c>
      <c r="AS359" s="1170"/>
      <c r="AT359" s="1170"/>
      <c r="AU359" s="1174"/>
      <c r="AV359" s="1128"/>
      <c r="AW359" s="1169"/>
      <c r="AX359" s="1177"/>
      <c r="AY359" s="1177"/>
      <c r="AZ359" s="1169"/>
      <c r="BA359" s="1169">
        <f t="shared" si="632"/>
        <v>0</v>
      </c>
      <c r="BB359" s="1169"/>
      <c r="BC359" s="1177">
        <f t="shared" si="574"/>
        <v>0</v>
      </c>
      <c r="BD359" s="1027"/>
      <c r="BE359" s="1024"/>
      <c r="BF359" s="1024"/>
    </row>
    <row r="360" s="1008" customFormat="1" ht="20.25" customHeight="1">
      <c r="A360" s="999">
        <f t="shared" si="521"/>
        <v>0</v>
      </c>
      <c r="B360" s="1202" t="s">
        <v>427</v>
      </c>
      <c r="C360" s="1202"/>
      <c r="D360" s="1202"/>
      <c r="E360" s="1164">
        <f t="shared" si="634"/>
        <v>0</v>
      </c>
      <c r="F360" s="1164">
        <f t="shared" si="633"/>
        <v>0</v>
      </c>
      <c r="G360" s="1165">
        <f t="shared" si="626"/>
        <v>0</v>
      </c>
      <c r="H360" s="1277"/>
      <c r="I360" s="1167">
        <f t="shared" si="523"/>
        <v>0</v>
      </c>
      <c r="J360" s="1167">
        <f t="shared" si="524"/>
        <v>0</v>
      </c>
      <c r="K360" s="1168">
        <f t="shared" si="627"/>
        <v>0</v>
      </c>
      <c r="L360" s="1128"/>
      <c r="M360" s="1169"/>
      <c r="N360" s="1177"/>
      <c r="O360" s="1169"/>
      <c r="P360" s="1169"/>
      <c r="Q360" s="1169">
        <f t="shared" si="628"/>
        <v>0</v>
      </c>
      <c r="R360" s="1169"/>
      <c r="S360" s="1282"/>
      <c r="T360" s="1171"/>
      <c r="U360" s="1128"/>
      <c r="V360" s="1169"/>
      <c r="W360" s="1177"/>
      <c r="X360" s="1177"/>
      <c r="Y360" s="1169"/>
      <c r="Z360" s="1169">
        <f t="shared" si="629"/>
        <v>0</v>
      </c>
      <c r="AA360" s="1169"/>
      <c r="AB360" s="1172">
        <f t="shared" si="528"/>
        <v>0</v>
      </c>
      <c r="AC360" s="1171"/>
      <c r="AD360" s="1128"/>
      <c r="AE360" s="1169"/>
      <c r="AF360" s="1177"/>
      <c r="AG360" s="1177"/>
      <c r="AH360" s="1169"/>
      <c r="AI360" s="1169">
        <f t="shared" si="630"/>
        <v>0</v>
      </c>
      <c r="AJ360" s="1169"/>
      <c r="AK360" s="1173"/>
      <c r="AL360" s="1171"/>
      <c r="AM360" s="1128"/>
      <c r="AN360" s="1170"/>
      <c r="AO360" s="1175"/>
      <c r="AP360" s="1175"/>
      <c r="AQ360" s="1170"/>
      <c r="AR360" s="1170">
        <f t="shared" si="631"/>
        <v>0</v>
      </c>
      <c r="AS360" s="1170"/>
      <c r="AT360" s="1170"/>
      <c r="AU360" s="1174"/>
      <c r="AV360" s="1128"/>
      <c r="AW360" s="1169"/>
      <c r="AX360" s="1177"/>
      <c r="AY360" s="1177"/>
      <c r="AZ360" s="1169"/>
      <c r="BA360" s="1169">
        <f t="shared" si="632"/>
        <v>0</v>
      </c>
      <c r="BB360" s="1169"/>
      <c r="BC360" s="1177">
        <f t="shared" si="574"/>
        <v>0</v>
      </c>
      <c r="BD360" s="1027"/>
      <c r="BE360" s="1024"/>
      <c r="BF360" s="1024"/>
    </row>
    <row r="361" s="1008" customFormat="1" ht="20.25" customHeight="1">
      <c r="A361" s="999" t="str">
        <f t="shared" si="521"/>
        <v xml:space="preserve">Астапова С.А.</v>
      </c>
      <c r="B361" s="1202" t="s">
        <v>73</v>
      </c>
      <c r="C361" s="1202"/>
      <c r="D361" s="1202"/>
      <c r="E361" s="1164">
        <f t="shared" si="634"/>
        <v>0</v>
      </c>
      <c r="F361" s="1164">
        <f t="shared" si="633"/>
        <v>0</v>
      </c>
      <c r="G361" s="1165">
        <f t="shared" si="626"/>
        <v>0</v>
      </c>
      <c r="H361" s="1277"/>
      <c r="I361" s="1167">
        <f t="shared" si="523"/>
        <v>0</v>
      </c>
      <c r="J361" s="1167">
        <f t="shared" si="524"/>
        <v>0</v>
      </c>
      <c r="K361" s="1168">
        <f t="shared" si="627"/>
        <v>0</v>
      </c>
      <c r="L361" s="1128"/>
      <c r="M361" s="1169"/>
      <c r="N361" s="1177"/>
      <c r="O361" s="1169"/>
      <c r="P361" s="1169"/>
      <c r="Q361" s="1169">
        <f t="shared" si="628"/>
        <v>0</v>
      </c>
      <c r="R361" s="1169"/>
      <c r="S361" s="1282"/>
      <c r="T361" s="1171"/>
      <c r="U361" s="1128"/>
      <c r="V361" s="1169"/>
      <c r="W361" s="1177"/>
      <c r="X361" s="1177"/>
      <c r="Y361" s="1169"/>
      <c r="Z361" s="1169">
        <f t="shared" si="629"/>
        <v>0</v>
      </c>
      <c r="AA361" s="1169"/>
      <c r="AB361" s="1172">
        <f t="shared" si="528"/>
        <v>0</v>
      </c>
      <c r="AC361" s="1171"/>
      <c r="AD361" s="1128"/>
      <c r="AE361" s="1169"/>
      <c r="AF361" s="1177"/>
      <c r="AG361" s="1177"/>
      <c r="AH361" s="1169"/>
      <c r="AI361" s="1169">
        <f t="shared" si="630"/>
        <v>0</v>
      </c>
      <c r="AJ361" s="1169"/>
      <c r="AK361" s="1173"/>
      <c r="AL361" s="1171"/>
      <c r="AM361" s="1128"/>
      <c r="AN361" s="1170"/>
      <c r="AO361" s="1175"/>
      <c r="AP361" s="1175"/>
      <c r="AQ361" s="1170"/>
      <c r="AR361" s="1170">
        <f t="shared" si="631"/>
        <v>0</v>
      </c>
      <c r="AS361" s="1170"/>
      <c r="AT361" s="1170"/>
      <c r="AU361" s="1174"/>
      <c r="AV361" s="1128"/>
      <c r="AW361" s="1169"/>
      <c r="AX361" s="1177"/>
      <c r="AY361" s="1177"/>
      <c r="AZ361" s="1169"/>
      <c r="BA361" s="1169">
        <f t="shared" si="632"/>
        <v>0</v>
      </c>
      <c r="BB361" s="1169"/>
      <c r="BC361" s="1177">
        <f t="shared" si="574"/>
        <v>0</v>
      </c>
      <c r="BD361" s="1027"/>
      <c r="BE361" s="1024"/>
      <c r="BF361" s="1024"/>
    </row>
    <row r="362" s="1008" customFormat="1" ht="20.25" customHeight="1">
      <c r="A362" s="999" t="str">
        <f t="shared" si="521"/>
        <v xml:space="preserve">Кирпа Е.Д.</v>
      </c>
      <c r="B362" s="1202" t="s">
        <v>75</v>
      </c>
      <c r="C362" s="1203"/>
      <c r="D362" s="1202"/>
      <c r="E362" s="1164">
        <f t="shared" si="634"/>
        <v>0</v>
      </c>
      <c r="F362" s="1164">
        <f t="shared" si="633"/>
        <v>0</v>
      </c>
      <c r="G362" s="1165">
        <f t="shared" si="626"/>
        <v>0</v>
      </c>
      <c r="H362" s="1277"/>
      <c r="I362" s="1167">
        <f t="shared" si="523"/>
        <v>0</v>
      </c>
      <c r="J362" s="1167">
        <f t="shared" si="524"/>
        <v>0</v>
      </c>
      <c r="K362" s="1168">
        <f t="shared" si="627"/>
        <v>0</v>
      </c>
      <c r="L362" s="1128"/>
      <c r="M362" s="1169"/>
      <c r="N362" s="1177"/>
      <c r="O362" s="1169"/>
      <c r="P362" s="1169"/>
      <c r="Q362" s="1169">
        <f t="shared" si="628"/>
        <v>0</v>
      </c>
      <c r="R362" s="1169"/>
      <c r="S362" s="1282"/>
      <c r="T362" s="1171"/>
      <c r="U362" s="1128"/>
      <c r="V362" s="1169"/>
      <c r="W362" s="1177"/>
      <c r="X362" s="1177"/>
      <c r="Y362" s="1169"/>
      <c r="Z362" s="1169">
        <f t="shared" si="629"/>
        <v>0</v>
      </c>
      <c r="AA362" s="1169"/>
      <c r="AB362" s="1172">
        <f t="shared" si="528"/>
        <v>0</v>
      </c>
      <c r="AC362" s="1171"/>
      <c r="AD362" s="1128"/>
      <c r="AE362" s="1169"/>
      <c r="AF362" s="1177"/>
      <c r="AG362" s="1177"/>
      <c r="AH362" s="1169"/>
      <c r="AI362" s="1169">
        <f t="shared" si="630"/>
        <v>0</v>
      </c>
      <c r="AJ362" s="1169"/>
      <c r="AK362" s="1173"/>
      <c r="AL362" s="1171"/>
      <c r="AM362" s="1128"/>
      <c r="AN362" s="1170"/>
      <c r="AO362" s="1175"/>
      <c r="AP362" s="1175"/>
      <c r="AQ362" s="1170"/>
      <c r="AR362" s="1170">
        <f t="shared" si="631"/>
        <v>0</v>
      </c>
      <c r="AS362" s="1170"/>
      <c r="AT362" s="1170"/>
      <c r="AU362" s="1174"/>
      <c r="AV362" s="1128"/>
      <c r="AW362" s="1169"/>
      <c r="AX362" s="1177"/>
      <c r="AY362" s="1177"/>
      <c r="AZ362" s="1169"/>
      <c r="BA362" s="1169">
        <f t="shared" si="632"/>
        <v>0</v>
      </c>
      <c r="BB362" s="1169"/>
      <c r="BC362" s="1177">
        <f t="shared" si="574"/>
        <v>0</v>
      </c>
      <c r="BD362" s="1027"/>
      <c r="BE362" s="1024"/>
      <c r="BF362" s="1024"/>
    </row>
    <row r="363" s="1008" customFormat="1" ht="20.25" customHeight="1">
      <c r="A363" s="999" t="str">
        <f t="shared" si="521"/>
        <v xml:space="preserve">Трофимкина Н.В.</v>
      </c>
      <c r="B363" s="1202" t="s">
        <v>431</v>
      </c>
      <c r="C363" s="1203"/>
      <c r="D363" s="1202"/>
      <c r="E363" s="1164">
        <f t="shared" si="634"/>
        <v>0</v>
      </c>
      <c r="F363" s="1164">
        <f t="shared" si="633"/>
        <v>0</v>
      </c>
      <c r="G363" s="1165">
        <f t="shared" si="626"/>
        <v>0</v>
      </c>
      <c r="H363" s="1277"/>
      <c r="I363" s="1167">
        <f t="shared" si="523"/>
        <v>0</v>
      </c>
      <c r="J363" s="1167">
        <f t="shared" si="524"/>
        <v>0</v>
      </c>
      <c r="K363" s="1168">
        <f t="shared" si="627"/>
        <v>0</v>
      </c>
      <c r="L363" s="1128"/>
      <c r="M363" s="1169"/>
      <c r="N363" s="1177"/>
      <c r="O363" s="1169"/>
      <c r="P363" s="1169"/>
      <c r="Q363" s="1169">
        <f t="shared" si="628"/>
        <v>0</v>
      </c>
      <c r="R363" s="1169"/>
      <c r="S363" s="1282"/>
      <c r="T363" s="1171"/>
      <c r="U363" s="1128"/>
      <c r="V363" s="1169"/>
      <c r="W363" s="1177"/>
      <c r="X363" s="1177"/>
      <c r="Y363" s="1169"/>
      <c r="Z363" s="1169">
        <f t="shared" si="629"/>
        <v>0</v>
      </c>
      <c r="AA363" s="1169"/>
      <c r="AB363" s="1172">
        <f t="shared" si="528"/>
        <v>0</v>
      </c>
      <c r="AC363" s="1171"/>
      <c r="AD363" s="1128"/>
      <c r="AE363" s="1169"/>
      <c r="AF363" s="1177"/>
      <c r="AG363" s="1177"/>
      <c r="AH363" s="1169"/>
      <c r="AI363" s="1169">
        <f t="shared" si="630"/>
        <v>0</v>
      </c>
      <c r="AJ363" s="1169"/>
      <c r="AK363" s="1173"/>
      <c r="AL363" s="1171"/>
      <c r="AM363" s="1128"/>
      <c r="AN363" s="1170"/>
      <c r="AO363" s="1175"/>
      <c r="AP363" s="1175"/>
      <c r="AQ363" s="1170"/>
      <c r="AR363" s="1170">
        <f t="shared" si="631"/>
        <v>0</v>
      </c>
      <c r="AS363" s="1170"/>
      <c r="AT363" s="1170"/>
      <c r="AU363" s="1174"/>
      <c r="AV363" s="1128"/>
      <c r="AW363" s="1169"/>
      <c r="AX363" s="1177"/>
      <c r="AY363" s="1177"/>
      <c r="AZ363" s="1169"/>
      <c r="BA363" s="1169">
        <f t="shared" si="632"/>
        <v>0</v>
      </c>
      <c r="BB363" s="1169"/>
      <c r="BC363" s="1177">
        <f t="shared" si="574"/>
        <v>0</v>
      </c>
      <c r="BD363" s="1027"/>
      <c r="BE363" s="1024"/>
      <c r="BF363" s="1024"/>
    </row>
    <row r="364" s="1008" customFormat="1" ht="20.25" customHeight="1">
      <c r="A364" s="999" t="str">
        <f t="shared" si="521"/>
        <v xml:space="preserve">Жилкина В.В.</v>
      </c>
      <c r="B364" s="1202" t="s">
        <v>433</v>
      </c>
      <c r="C364" s="1203"/>
      <c r="D364" s="1217"/>
      <c r="E364" s="1164">
        <f t="shared" si="634"/>
        <v>0</v>
      </c>
      <c r="F364" s="1164">
        <f t="shared" si="633"/>
        <v>0</v>
      </c>
      <c r="G364" s="1165">
        <f t="shared" si="626"/>
        <v>0</v>
      </c>
      <c r="H364" s="1277"/>
      <c r="I364" s="1167">
        <f t="shared" si="523"/>
        <v>0</v>
      </c>
      <c r="J364" s="1167">
        <f t="shared" si="524"/>
        <v>0</v>
      </c>
      <c r="K364" s="1168">
        <f t="shared" si="627"/>
        <v>0</v>
      </c>
      <c r="L364" s="1128"/>
      <c r="M364" s="1169"/>
      <c r="N364" s="1177"/>
      <c r="O364" s="1169"/>
      <c r="P364" s="1169"/>
      <c r="Q364" s="1169">
        <f t="shared" si="628"/>
        <v>0</v>
      </c>
      <c r="R364" s="1169"/>
      <c r="S364" s="1282"/>
      <c r="T364" s="1171"/>
      <c r="U364" s="1128"/>
      <c r="V364" s="1169"/>
      <c r="W364" s="1177"/>
      <c r="X364" s="1177"/>
      <c r="Y364" s="1169"/>
      <c r="Z364" s="1169">
        <f t="shared" si="629"/>
        <v>0</v>
      </c>
      <c r="AA364" s="1169"/>
      <c r="AB364" s="1172">
        <f t="shared" si="528"/>
        <v>0</v>
      </c>
      <c r="AC364" s="1171"/>
      <c r="AD364" s="1128"/>
      <c r="AE364" s="1169"/>
      <c r="AF364" s="1177"/>
      <c r="AG364" s="1177"/>
      <c r="AH364" s="1169"/>
      <c r="AI364" s="1169">
        <f t="shared" si="630"/>
        <v>0</v>
      </c>
      <c r="AJ364" s="1169"/>
      <c r="AK364" s="1173"/>
      <c r="AL364" s="1171"/>
      <c r="AM364" s="1128"/>
      <c r="AN364" s="1170"/>
      <c r="AO364" s="1175"/>
      <c r="AP364" s="1175"/>
      <c r="AQ364" s="1170"/>
      <c r="AR364" s="1170">
        <f t="shared" si="631"/>
        <v>0</v>
      </c>
      <c r="AS364" s="1170"/>
      <c r="AT364" s="1170"/>
      <c r="AU364" s="1174"/>
      <c r="AV364" s="1128"/>
      <c r="AW364" s="1169"/>
      <c r="AX364" s="1177"/>
      <c r="AY364" s="1177"/>
      <c r="AZ364" s="1169"/>
      <c r="BA364" s="1169">
        <f t="shared" si="632"/>
        <v>0</v>
      </c>
      <c r="BB364" s="1169"/>
      <c r="BC364" s="1177">
        <f t="shared" si="574"/>
        <v>0</v>
      </c>
      <c r="BD364" s="1027"/>
      <c r="BE364" s="1024"/>
      <c r="BF364" s="1024"/>
    </row>
    <row r="365" s="1008" customFormat="1" ht="20.25" customHeight="1">
      <c r="A365" s="999" t="str">
        <f t="shared" si="521"/>
        <v xml:space="preserve">Марушенко В.Н. Донцова Н.Г.</v>
      </c>
      <c r="B365" s="1202" t="s">
        <v>435</v>
      </c>
      <c r="C365" s="1203"/>
      <c r="D365" s="1202"/>
      <c r="E365" s="1164">
        <f t="shared" si="634"/>
        <v>0</v>
      </c>
      <c r="F365" s="1164">
        <f t="shared" si="633"/>
        <v>0</v>
      </c>
      <c r="G365" s="1165">
        <f t="shared" si="626"/>
        <v>0</v>
      </c>
      <c r="H365" s="1277"/>
      <c r="I365" s="1167">
        <f t="shared" ref="I365:J428" si="635">E365-Z365</f>
        <v>0</v>
      </c>
      <c r="J365" s="1167">
        <f t="shared" ref="J365:J402" si="636">F365-AA365</f>
        <v>0</v>
      </c>
      <c r="K365" s="1168">
        <f t="shared" si="627"/>
        <v>0</v>
      </c>
      <c r="L365" s="1128"/>
      <c r="M365" s="1169"/>
      <c r="N365" s="1177"/>
      <c r="O365" s="1169"/>
      <c r="P365" s="1169"/>
      <c r="Q365" s="1169">
        <f t="shared" si="628"/>
        <v>0</v>
      </c>
      <c r="R365" s="1169"/>
      <c r="S365" s="1282"/>
      <c r="T365" s="1171"/>
      <c r="U365" s="1128"/>
      <c r="V365" s="1169"/>
      <c r="W365" s="1177"/>
      <c r="X365" s="1177"/>
      <c r="Y365" s="1169"/>
      <c r="Z365" s="1169">
        <f t="shared" si="629"/>
        <v>0</v>
      </c>
      <c r="AA365" s="1169"/>
      <c r="AB365" s="1172">
        <f t="shared" si="528"/>
        <v>0</v>
      </c>
      <c r="AC365" s="1171"/>
      <c r="AD365" s="1128"/>
      <c r="AE365" s="1169"/>
      <c r="AF365" s="1177"/>
      <c r="AG365" s="1177"/>
      <c r="AH365" s="1169"/>
      <c r="AI365" s="1169">
        <f t="shared" si="630"/>
        <v>0</v>
      </c>
      <c r="AJ365" s="1169"/>
      <c r="AK365" s="1173"/>
      <c r="AL365" s="1171"/>
      <c r="AM365" s="1128"/>
      <c r="AN365" s="1170"/>
      <c r="AO365" s="1175"/>
      <c r="AP365" s="1175"/>
      <c r="AQ365" s="1170"/>
      <c r="AR365" s="1170">
        <f t="shared" si="631"/>
        <v>0</v>
      </c>
      <c r="AS365" s="1170"/>
      <c r="AT365" s="1170"/>
      <c r="AU365" s="1174"/>
      <c r="AV365" s="1128"/>
      <c r="AW365" s="1169"/>
      <c r="AX365" s="1177"/>
      <c r="AY365" s="1177"/>
      <c r="AZ365" s="1169"/>
      <c r="BA365" s="1169">
        <f t="shared" si="632"/>
        <v>0</v>
      </c>
      <c r="BB365" s="1169"/>
      <c r="BC365" s="1177">
        <f t="shared" si="574"/>
        <v>0</v>
      </c>
      <c r="BD365" s="1027"/>
      <c r="BE365" s="1024"/>
      <c r="BF365" s="1024"/>
    </row>
    <row r="366" s="1008" customFormat="1" ht="20.25" customHeight="1">
      <c r="A366" s="999">
        <f t="shared" si="521"/>
        <v>0</v>
      </c>
      <c r="B366" s="1202" t="s">
        <v>436</v>
      </c>
      <c r="C366" s="1202"/>
      <c r="D366" s="1202"/>
      <c r="E366" s="1164">
        <f t="shared" si="634"/>
        <v>0</v>
      </c>
      <c r="F366" s="1164">
        <f>S366+AA366+AJ366+AS366+BB366</f>
        <v>0</v>
      </c>
      <c r="G366" s="1165">
        <f t="shared" si="626"/>
        <v>0</v>
      </c>
      <c r="H366" s="1277"/>
      <c r="I366" s="1167">
        <f t="shared" si="635"/>
        <v>0</v>
      </c>
      <c r="J366" s="1167">
        <f t="shared" si="636"/>
        <v>0</v>
      </c>
      <c r="K366" s="1168">
        <f t="shared" si="627"/>
        <v>0</v>
      </c>
      <c r="L366" s="1128"/>
      <c r="M366" s="1169"/>
      <c r="N366" s="1177"/>
      <c r="O366" s="1169"/>
      <c r="P366" s="1169"/>
      <c r="Q366" s="1169">
        <f t="shared" si="628"/>
        <v>0</v>
      </c>
      <c r="S366" s="1169"/>
      <c r="T366" s="1171"/>
      <c r="U366" s="1128"/>
      <c r="V366" s="1169"/>
      <c r="W366" s="1177"/>
      <c r="X366" s="1177"/>
      <c r="Y366" s="1169"/>
      <c r="Z366" s="1169">
        <f t="shared" si="629"/>
        <v>0</v>
      </c>
      <c r="AA366" s="1169"/>
      <c r="AB366" s="1172">
        <f t="shared" si="528"/>
        <v>0</v>
      </c>
      <c r="AC366" s="1171"/>
      <c r="AD366" s="1128"/>
      <c r="AE366" s="1169"/>
      <c r="AF366" s="1177"/>
      <c r="AG366" s="1177"/>
      <c r="AH366" s="1169"/>
      <c r="AI366" s="1169">
        <f t="shared" si="630"/>
        <v>0</v>
      </c>
      <c r="AJ366" s="1169"/>
      <c r="AK366" s="1173"/>
      <c r="AL366" s="1171"/>
      <c r="AM366" s="1128"/>
      <c r="AN366" s="1170"/>
      <c r="AO366" s="1175"/>
      <c r="AP366" s="1175"/>
      <c r="AQ366" s="1170"/>
      <c r="AR366" s="1170">
        <f t="shared" si="631"/>
        <v>0</v>
      </c>
      <c r="AS366" s="1170"/>
      <c r="AT366" s="1170"/>
      <c r="AU366" s="1174"/>
      <c r="AV366" s="1128"/>
      <c r="AW366" s="1169"/>
      <c r="AX366" s="1177"/>
      <c r="AY366" s="1177"/>
      <c r="AZ366" s="1169"/>
      <c r="BA366" s="1169">
        <f t="shared" si="632"/>
        <v>0</v>
      </c>
      <c r="BB366" s="1169"/>
      <c r="BC366" s="1177">
        <f t="shared" si="574"/>
        <v>0</v>
      </c>
      <c r="BD366" s="1027"/>
      <c r="BE366" s="1024"/>
      <c r="BF366" s="1024"/>
    </row>
    <row r="367" s="1008" customFormat="1">
      <c r="A367" s="999" t="str">
        <f t="shared" si="521"/>
        <v xml:space="preserve">Кузнецова Е.В.</v>
      </c>
      <c r="B367" s="1202" t="s">
        <v>78</v>
      </c>
      <c r="C367" s="1223"/>
      <c r="D367" s="1223"/>
      <c r="E367" s="1164">
        <f t="shared" si="634"/>
        <v>0</v>
      </c>
      <c r="F367" s="1164">
        <f t="shared" ref="F367:F402" si="637">R367+AA367+AJ367+AS367+BB367</f>
        <v>0</v>
      </c>
      <c r="G367" s="1165">
        <f t="shared" si="626"/>
        <v>0</v>
      </c>
      <c r="H367" s="1277"/>
      <c r="I367" s="1167">
        <f t="shared" si="635"/>
        <v>0</v>
      </c>
      <c r="J367" s="1167">
        <f t="shared" si="636"/>
        <v>0</v>
      </c>
      <c r="K367" s="1168">
        <f t="shared" si="627"/>
        <v>0</v>
      </c>
      <c r="L367" s="1128"/>
      <c r="M367" s="1169"/>
      <c r="N367" s="1177"/>
      <c r="O367" s="1169"/>
      <c r="P367" s="1169"/>
      <c r="Q367" s="1169">
        <f t="shared" si="628"/>
        <v>0</v>
      </c>
      <c r="R367" s="1169"/>
      <c r="S367" s="1170"/>
      <c r="T367" s="1171"/>
      <c r="U367" s="1128"/>
      <c r="V367" s="1169"/>
      <c r="W367" s="1177"/>
      <c r="X367" s="1177"/>
      <c r="Y367" s="1169"/>
      <c r="Z367" s="1169">
        <f t="shared" si="629"/>
        <v>0</v>
      </c>
      <c r="AA367" s="1169"/>
      <c r="AB367" s="1172">
        <f t="shared" si="528"/>
        <v>0</v>
      </c>
      <c r="AC367" s="1171"/>
      <c r="AD367" s="1128"/>
      <c r="AE367" s="1169"/>
      <c r="AF367" s="1177"/>
      <c r="AG367" s="1177"/>
      <c r="AH367" s="1169"/>
      <c r="AI367" s="1169">
        <f t="shared" si="630"/>
        <v>0</v>
      </c>
      <c r="AJ367" s="1169"/>
      <c r="AK367" s="1173"/>
      <c r="AL367" s="1171"/>
      <c r="AM367" s="1128"/>
      <c r="AN367" s="1170"/>
      <c r="AO367" s="1175"/>
      <c r="AP367" s="1175"/>
      <c r="AQ367" s="1170"/>
      <c r="AR367" s="1170">
        <f t="shared" si="631"/>
        <v>0</v>
      </c>
      <c r="AS367" s="1170"/>
      <c r="AT367" s="1170"/>
      <c r="AU367" s="1174"/>
      <c r="AV367" s="1128"/>
      <c r="AW367" s="1169"/>
      <c r="AX367" s="1177"/>
      <c r="AY367" s="1177"/>
      <c r="AZ367" s="1169"/>
      <c r="BA367" s="1169">
        <f t="shared" si="632"/>
        <v>0</v>
      </c>
      <c r="BB367" s="1169"/>
      <c r="BC367" s="1177">
        <f t="shared" si="574"/>
        <v>0</v>
      </c>
      <c r="BD367" s="1027"/>
      <c r="BE367" s="1024"/>
      <c r="BF367" s="1024"/>
    </row>
    <row r="368" s="1008" customFormat="1" ht="22.5">
      <c r="A368" s="999">
        <f t="shared" ref="A368:A393" si="638">A271</f>
        <v>0</v>
      </c>
      <c r="B368" s="1205" t="s">
        <v>22</v>
      </c>
      <c r="C368" s="1205"/>
      <c r="D368" s="1205"/>
      <c r="E368" s="1183">
        <f t="shared" si="634"/>
        <v>0</v>
      </c>
      <c r="F368" s="1183">
        <f t="shared" si="637"/>
        <v>0</v>
      </c>
      <c r="G368" s="1184">
        <f>SUM(G355:G367)</f>
        <v>0</v>
      </c>
      <c r="H368" s="1280"/>
      <c r="I368" s="1186">
        <f t="shared" si="635"/>
        <v>0</v>
      </c>
      <c r="J368" s="1186">
        <f t="shared" si="636"/>
        <v>0</v>
      </c>
      <c r="K368" s="1187">
        <f>SUM(K355:K367)</f>
        <v>0</v>
      </c>
      <c r="L368" s="1128"/>
      <c r="M368" s="1096">
        <f t="shared" ref="M368:R368" si="639">SUM(M355:M367)</f>
        <v>0</v>
      </c>
      <c r="N368" s="1096">
        <f t="shared" si="639"/>
        <v>0</v>
      </c>
      <c r="O368" s="1096">
        <f>SUM(O355:O367)</f>
        <v>0</v>
      </c>
      <c r="P368" s="1096">
        <f t="shared" si="639"/>
        <v>0</v>
      </c>
      <c r="Q368" s="1096">
        <f t="shared" si="639"/>
        <v>0</v>
      </c>
      <c r="R368" s="1096">
        <f t="shared" si="639"/>
        <v>0</v>
      </c>
      <c r="S368" s="1170"/>
      <c r="T368" s="1189"/>
      <c r="U368" s="1128"/>
      <c r="V368" s="1096">
        <f t="shared" ref="V368:AA368" si="640">SUM(V355:V367)</f>
        <v>0</v>
      </c>
      <c r="W368" s="1096">
        <f t="shared" si="640"/>
        <v>0</v>
      </c>
      <c r="X368" s="1096">
        <f t="shared" si="640"/>
        <v>0</v>
      </c>
      <c r="Y368" s="1096">
        <f t="shared" si="640"/>
        <v>0</v>
      </c>
      <c r="Z368" s="1096">
        <f t="shared" si="640"/>
        <v>0</v>
      </c>
      <c r="AA368" s="1096">
        <f t="shared" si="640"/>
        <v>0</v>
      </c>
      <c r="AB368" s="1172">
        <f t="shared" ref="AB368:AB396" si="641">Z368+AA368</f>
        <v>0</v>
      </c>
      <c r="AC368" s="1189"/>
      <c r="AD368" s="1128"/>
      <c r="AE368" s="1096">
        <f t="shared" ref="AE368:AJ368" si="642">SUM(AE355:AE367)</f>
        <v>0</v>
      </c>
      <c r="AF368" s="1096">
        <f t="shared" si="642"/>
        <v>0</v>
      </c>
      <c r="AG368" s="1096">
        <f t="shared" si="642"/>
        <v>0</v>
      </c>
      <c r="AH368" s="1096">
        <f t="shared" si="642"/>
        <v>0</v>
      </c>
      <c r="AI368" s="1096">
        <f t="shared" si="642"/>
        <v>0</v>
      </c>
      <c r="AJ368" s="1096">
        <f t="shared" si="642"/>
        <v>0</v>
      </c>
      <c r="AK368" s="1173"/>
      <c r="AL368" s="1189"/>
      <c r="AM368" s="1128"/>
      <c r="AN368" s="1190">
        <f t="shared" ref="AN368:AS368" si="643">SUM(AN355:AN367)</f>
        <v>0</v>
      </c>
      <c r="AO368" s="1190">
        <f t="shared" si="643"/>
        <v>0</v>
      </c>
      <c r="AP368" s="1190">
        <f t="shared" si="643"/>
        <v>0</v>
      </c>
      <c r="AQ368" s="1190">
        <f t="shared" si="643"/>
        <v>0</v>
      </c>
      <c r="AR368" s="1190">
        <f t="shared" si="643"/>
        <v>0</v>
      </c>
      <c r="AS368" s="1190">
        <f t="shared" si="643"/>
        <v>0</v>
      </c>
      <c r="AT368" s="1170"/>
      <c r="AU368" s="1191"/>
      <c r="AV368" s="1128"/>
      <c r="AW368" s="1096">
        <f t="shared" ref="AW368:BB368" si="644">SUM(AW355:AW367)</f>
        <v>0</v>
      </c>
      <c r="AX368" s="1096">
        <f t="shared" si="644"/>
        <v>0</v>
      </c>
      <c r="AY368" s="1096">
        <f t="shared" si="644"/>
        <v>0</v>
      </c>
      <c r="AZ368" s="1096">
        <f t="shared" si="644"/>
        <v>0</v>
      </c>
      <c r="BA368" s="1096">
        <f t="shared" si="644"/>
        <v>0</v>
      </c>
      <c r="BB368" s="1096">
        <f t="shared" si="644"/>
        <v>0</v>
      </c>
      <c r="BC368" s="1281">
        <f t="shared" si="574"/>
        <v>0</v>
      </c>
      <c r="BD368" s="1027"/>
      <c r="BE368" s="1024"/>
      <c r="BF368" s="1024"/>
    </row>
    <row r="369" s="1008" customFormat="1">
      <c r="A369" s="999" t="str">
        <f t="shared" si="638"/>
        <v xml:space="preserve">Титякова Т.А.</v>
      </c>
      <c r="B369" s="1202" t="s">
        <v>26</v>
      </c>
      <c r="C369" s="1202"/>
      <c r="D369" s="1202"/>
      <c r="E369" s="1164">
        <f t="shared" si="634"/>
        <v>0</v>
      </c>
      <c r="F369" s="1164">
        <f t="shared" si="637"/>
        <v>0</v>
      </c>
      <c r="G369" s="1165">
        <f t="shared" ref="G369:G394" si="645">E369+F369</f>
        <v>0</v>
      </c>
      <c r="H369" s="1277"/>
      <c r="I369" s="1167">
        <f t="shared" si="635"/>
        <v>0</v>
      </c>
      <c r="J369" s="1167">
        <f t="shared" si="636"/>
        <v>0</v>
      </c>
      <c r="K369" s="1168">
        <f t="shared" ref="K369:K394" si="646">I369+J369</f>
        <v>0</v>
      </c>
      <c r="L369" s="1128"/>
      <c r="M369" s="1169"/>
      <c r="N369" s="1177"/>
      <c r="O369" s="1169"/>
      <c r="P369" s="1169"/>
      <c r="Q369" s="1169">
        <f t="shared" ref="Q369:Q394" si="647">SUM(M369:P369)</f>
        <v>0</v>
      </c>
      <c r="R369" s="1169"/>
      <c r="S369" s="1170"/>
      <c r="T369" s="1171"/>
      <c r="U369" s="1128"/>
      <c r="V369" s="1169"/>
      <c r="W369" s="1177"/>
      <c r="X369" s="1177"/>
      <c r="Y369" s="1169"/>
      <c r="Z369" s="1169">
        <f t="shared" ref="Z369:Z394" si="648">SUM(V369:Y369)</f>
        <v>0</v>
      </c>
      <c r="AA369" s="1169"/>
      <c r="AB369" s="1172">
        <f t="shared" si="641"/>
        <v>0</v>
      </c>
      <c r="AC369" s="1171"/>
      <c r="AD369" s="1128"/>
      <c r="AE369" s="1169"/>
      <c r="AF369" s="1177"/>
      <c r="AG369" s="1177"/>
      <c r="AH369" s="1169"/>
      <c r="AI369" s="1169">
        <f t="shared" ref="AI369:AI394" si="649">SUM(AE369:AH369)</f>
        <v>0</v>
      </c>
      <c r="AJ369" s="1169"/>
      <c r="AK369" s="1173"/>
      <c r="AL369" s="1171"/>
      <c r="AM369" s="1128"/>
      <c r="AN369" s="1170"/>
      <c r="AO369" s="1175"/>
      <c r="AP369" s="1175"/>
      <c r="AQ369" s="1170"/>
      <c r="AR369" s="1170">
        <f t="shared" ref="AR369:AR394" si="650">SUM(AN369:AQ369)</f>
        <v>0</v>
      </c>
      <c r="AS369" s="1170"/>
      <c r="AT369" s="1170"/>
      <c r="AU369" s="1174"/>
      <c r="AV369" s="1128"/>
      <c r="AW369" s="1169"/>
      <c r="AX369" s="1177"/>
      <c r="AY369" s="1177"/>
      <c r="AZ369" s="1169"/>
      <c r="BA369" s="1169">
        <f t="shared" ref="BA369:BA394" si="651">SUM(AW369:AZ369)</f>
        <v>0</v>
      </c>
      <c r="BB369" s="1169"/>
      <c r="BC369" s="1177">
        <f t="shared" si="574"/>
        <v>0</v>
      </c>
      <c r="BD369" s="1027"/>
      <c r="BE369" s="1024"/>
      <c r="BF369" s="1024"/>
    </row>
    <row r="370" s="1008" customFormat="1">
      <c r="A370" s="999">
        <f t="shared" si="638"/>
        <v>0</v>
      </c>
      <c r="B370" s="1202" t="s">
        <v>439</v>
      </c>
      <c r="C370" s="1202"/>
      <c r="D370" s="1202"/>
      <c r="E370" s="1164">
        <f t="shared" si="634"/>
        <v>0</v>
      </c>
      <c r="F370" s="1164">
        <f t="shared" si="637"/>
        <v>0</v>
      </c>
      <c r="G370" s="1165">
        <f t="shared" si="645"/>
        <v>0</v>
      </c>
      <c r="H370" s="1277"/>
      <c r="I370" s="1167">
        <f t="shared" si="635"/>
        <v>0</v>
      </c>
      <c r="J370" s="1167">
        <f t="shared" si="636"/>
        <v>0</v>
      </c>
      <c r="K370" s="1168">
        <f t="shared" si="646"/>
        <v>0</v>
      </c>
      <c r="L370" s="1128"/>
      <c r="M370" s="1169"/>
      <c r="N370" s="1177"/>
      <c r="O370" s="1169"/>
      <c r="P370" s="1169"/>
      <c r="Q370" s="1169">
        <f t="shared" si="647"/>
        <v>0</v>
      </c>
      <c r="R370" s="1169"/>
      <c r="S370" s="1170"/>
      <c r="T370" s="1171"/>
      <c r="U370" s="1128"/>
      <c r="V370" s="1169"/>
      <c r="W370" s="1177"/>
      <c r="X370" s="1177"/>
      <c r="Y370" s="1169"/>
      <c r="Z370" s="1169">
        <f t="shared" si="648"/>
        <v>0</v>
      </c>
      <c r="AA370" s="1169"/>
      <c r="AB370" s="1172">
        <f t="shared" si="641"/>
        <v>0</v>
      </c>
      <c r="AC370" s="1171"/>
      <c r="AD370" s="1128"/>
      <c r="AE370" s="1169"/>
      <c r="AF370" s="1177"/>
      <c r="AG370" s="1177"/>
      <c r="AH370" s="1169"/>
      <c r="AI370" s="1169">
        <f t="shared" si="649"/>
        <v>0</v>
      </c>
      <c r="AJ370" s="1169"/>
      <c r="AK370" s="1173"/>
      <c r="AL370" s="1171"/>
      <c r="AM370" s="1128"/>
      <c r="AN370" s="1170"/>
      <c r="AO370" s="1175"/>
      <c r="AP370" s="1175"/>
      <c r="AQ370" s="1170"/>
      <c r="AR370" s="1170">
        <f t="shared" si="650"/>
        <v>0</v>
      </c>
      <c r="AS370" s="1170"/>
      <c r="AT370" s="1170"/>
      <c r="AU370" s="1174"/>
      <c r="AV370" s="1128"/>
      <c r="AW370" s="1169"/>
      <c r="AX370" s="1177"/>
      <c r="AY370" s="1177"/>
      <c r="AZ370" s="1169"/>
      <c r="BA370" s="1169">
        <f t="shared" si="651"/>
        <v>0</v>
      </c>
      <c r="BB370" s="1169"/>
      <c r="BC370" s="1177">
        <f t="shared" si="574"/>
        <v>0</v>
      </c>
      <c r="BD370" s="1027"/>
      <c r="BE370" s="1024"/>
      <c r="BF370" s="1024"/>
    </row>
    <row r="371" s="1008" customFormat="1">
      <c r="A371" s="999" t="str">
        <f t="shared" si="638"/>
        <v xml:space="preserve">Стрельникова АГ, Липатова СН</v>
      </c>
      <c r="B371" s="1202" t="s">
        <v>441</v>
      </c>
      <c r="C371" s="1202"/>
      <c r="D371" s="1202"/>
      <c r="E371" s="1164">
        <f t="shared" si="634"/>
        <v>0</v>
      </c>
      <c r="F371" s="1164">
        <f t="shared" si="637"/>
        <v>0</v>
      </c>
      <c r="G371" s="1165">
        <f t="shared" si="645"/>
        <v>0</v>
      </c>
      <c r="H371" s="1277"/>
      <c r="I371" s="1167">
        <f t="shared" si="635"/>
        <v>0</v>
      </c>
      <c r="J371" s="1167">
        <f t="shared" si="636"/>
        <v>0</v>
      </c>
      <c r="K371" s="1168">
        <f t="shared" si="646"/>
        <v>0</v>
      </c>
      <c r="L371" s="1128"/>
      <c r="M371" s="1169"/>
      <c r="N371" s="1177"/>
      <c r="O371" s="1169"/>
      <c r="P371" s="1169"/>
      <c r="Q371" s="1169">
        <f t="shared" si="647"/>
        <v>0</v>
      </c>
      <c r="R371" s="1169"/>
      <c r="S371" s="1170"/>
      <c r="T371" s="1171"/>
      <c r="U371" s="1128"/>
      <c r="V371" s="1169"/>
      <c r="W371" s="1177"/>
      <c r="X371" s="1177"/>
      <c r="Y371" s="1169"/>
      <c r="Z371" s="1169">
        <f t="shared" si="648"/>
        <v>0</v>
      </c>
      <c r="AA371" s="1169"/>
      <c r="AB371" s="1172">
        <f t="shared" si="641"/>
        <v>0</v>
      </c>
      <c r="AC371" s="1171"/>
      <c r="AD371" s="1128"/>
      <c r="AE371" s="1169"/>
      <c r="AF371" s="1177"/>
      <c r="AG371" s="1177"/>
      <c r="AH371" s="1169"/>
      <c r="AI371" s="1169">
        <f t="shared" si="649"/>
        <v>0</v>
      </c>
      <c r="AJ371" s="1169"/>
      <c r="AK371" s="1173"/>
      <c r="AL371" s="1171"/>
      <c r="AM371" s="1128"/>
      <c r="AN371" s="1170"/>
      <c r="AO371" s="1175"/>
      <c r="AP371" s="1175"/>
      <c r="AQ371" s="1170"/>
      <c r="AR371" s="1170">
        <f t="shared" si="650"/>
        <v>0</v>
      </c>
      <c r="AS371" s="1170"/>
      <c r="AT371" s="1170"/>
      <c r="AU371" s="1174"/>
      <c r="AV371" s="1128"/>
      <c r="AW371" s="1169"/>
      <c r="AX371" s="1177"/>
      <c r="AY371" s="1177"/>
      <c r="AZ371" s="1169"/>
      <c r="BA371" s="1169">
        <f t="shared" si="651"/>
        <v>0</v>
      </c>
      <c r="BB371" s="1169"/>
      <c r="BC371" s="1177">
        <f t="shared" si="574"/>
        <v>0</v>
      </c>
      <c r="BD371" s="1027"/>
      <c r="BE371" s="1024"/>
      <c r="BF371" s="1024"/>
    </row>
    <row r="372" s="1008" customFormat="1">
      <c r="A372" s="999" t="str">
        <f t="shared" si="638"/>
        <v xml:space="preserve">Куликова А.Г.</v>
      </c>
      <c r="B372" s="1202" t="s">
        <v>84</v>
      </c>
      <c r="C372" s="1202"/>
      <c r="D372" s="1202"/>
      <c r="E372" s="1164">
        <f t="shared" si="634"/>
        <v>0</v>
      </c>
      <c r="F372" s="1164">
        <f t="shared" ref="F372:F378" si="652">P372+AA372+AJ372+AS372+BB372</f>
        <v>0</v>
      </c>
      <c r="G372" s="1165">
        <f t="shared" si="645"/>
        <v>0</v>
      </c>
      <c r="H372" s="1277"/>
      <c r="I372" s="1167">
        <f t="shared" si="635"/>
        <v>0</v>
      </c>
      <c r="J372" s="1167">
        <f t="shared" si="636"/>
        <v>0</v>
      </c>
      <c r="K372" s="1168">
        <f t="shared" si="646"/>
        <v>0</v>
      </c>
      <c r="L372" s="1128"/>
      <c r="M372" s="1169"/>
      <c r="N372" s="1177"/>
      <c r="O372" s="1169"/>
      <c r="P372" s="1169"/>
      <c r="Q372" s="1169">
        <f t="shared" si="647"/>
        <v>0</v>
      </c>
      <c r="R372" s="1169"/>
      <c r="S372" s="1282"/>
      <c r="T372" s="1171"/>
      <c r="U372" s="1128"/>
      <c r="V372" s="1169"/>
      <c r="W372" s="1177"/>
      <c r="X372" s="1177"/>
      <c r="Y372" s="1169"/>
      <c r="Z372" s="1169">
        <f t="shared" si="648"/>
        <v>0</v>
      </c>
      <c r="AA372" s="1169"/>
      <c r="AB372" s="1172">
        <f t="shared" si="641"/>
        <v>0</v>
      </c>
      <c r="AC372" s="1171"/>
      <c r="AD372" s="1128"/>
      <c r="AE372" s="1169"/>
      <c r="AF372" s="1177"/>
      <c r="AG372" s="1177"/>
      <c r="AH372" s="1169"/>
      <c r="AI372" s="1169">
        <f t="shared" si="649"/>
        <v>0</v>
      </c>
      <c r="AJ372" s="1169"/>
      <c r="AK372" s="1173"/>
      <c r="AL372" s="1171"/>
      <c r="AM372" s="1128"/>
      <c r="AN372" s="1170"/>
      <c r="AO372" s="1175"/>
      <c r="AP372" s="1175"/>
      <c r="AQ372" s="1170"/>
      <c r="AR372" s="1170">
        <f t="shared" si="650"/>
        <v>0</v>
      </c>
      <c r="AS372" s="1170"/>
      <c r="AT372" s="1170"/>
      <c r="AU372" s="1174"/>
      <c r="AV372" s="1128"/>
      <c r="AW372" s="1169"/>
      <c r="AX372" s="1177"/>
      <c r="AY372" s="1177"/>
      <c r="AZ372" s="1169"/>
      <c r="BA372" s="1169">
        <f t="shared" si="651"/>
        <v>0</v>
      </c>
      <c r="BB372" s="1169"/>
      <c r="BC372" s="1177">
        <f t="shared" si="574"/>
        <v>0</v>
      </c>
      <c r="BD372" s="1027"/>
      <c r="BE372" s="1024"/>
      <c r="BF372" s="1024"/>
    </row>
    <row r="373" s="1008" customFormat="1">
      <c r="A373" s="999" t="str">
        <f t="shared" si="638"/>
        <v xml:space="preserve">Жандарова ИВ, Елина С.И.</v>
      </c>
      <c r="B373" s="1202" t="s">
        <v>288</v>
      </c>
      <c r="C373" s="1202"/>
      <c r="D373" s="1202"/>
      <c r="E373" s="1164">
        <f t="shared" si="634"/>
        <v>0</v>
      </c>
      <c r="F373" s="1164">
        <f t="shared" si="652"/>
        <v>0</v>
      </c>
      <c r="G373" s="1165">
        <f t="shared" si="645"/>
        <v>0</v>
      </c>
      <c r="H373" s="1277"/>
      <c r="I373" s="1167">
        <f t="shared" si="635"/>
        <v>0</v>
      </c>
      <c r="J373" s="1167">
        <f t="shared" si="636"/>
        <v>0</v>
      </c>
      <c r="K373" s="1168">
        <f t="shared" si="646"/>
        <v>0</v>
      </c>
      <c r="L373" s="1128"/>
      <c r="M373" s="1169"/>
      <c r="N373" s="1177"/>
      <c r="O373" s="1169"/>
      <c r="P373" s="1169"/>
      <c r="Q373" s="1169">
        <f t="shared" si="647"/>
        <v>0</v>
      </c>
      <c r="R373" s="1169"/>
      <c r="S373" s="1282"/>
      <c r="T373" s="1171"/>
      <c r="U373" s="1128"/>
      <c r="V373" s="1169"/>
      <c r="W373" s="1177"/>
      <c r="X373" s="1177"/>
      <c r="Y373" s="1169"/>
      <c r="Z373" s="1169">
        <f t="shared" si="648"/>
        <v>0</v>
      </c>
      <c r="AA373" s="1169"/>
      <c r="AB373" s="1172">
        <f t="shared" si="641"/>
        <v>0</v>
      </c>
      <c r="AC373" s="1171"/>
      <c r="AD373" s="1128"/>
      <c r="AE373" s="1169"/>
      <c r="AF373" s="1177"/>
      <c r="AG373" s="1177"/>
      <c r="AH373" s="1169"/>
      <c r="AI373" s="1169">
        <f t="shared" si="649"/>
        <v>0</v>
      </c>
      <c r="AJ373" s="1169"/>
      <c r="AK373" s="1173"/>
      <c r="AL373" s="1171"/>
      <c r="AM373" s="1128"/>
      <c r="AN373" s="1170"/>
      <c r="AO373" s="1175"/>
      <c r="AP373" s="1175"/>
      <c r="AQ373" s="1170"/>
      <c r="AR373" s="1170">
        <f t="shared" si="650"/>
        <v>0</v>
      </c>
      <c r="AS373" s="1170"/>
      <c r="AT373" s="1170"/>
      <c r="AU373" s="1174"/>
      <c r="AV373" s="1128"/>
      <c r="AW373" s="1169"/>
      <c r="AX373" s="1177"/>
      <c r="AY373" s="1177"/>
      <c r="AZ373" s="1169"/>
      <c r="BA373" s="1169">
        <f t="shared" si="651"/>
        <v>0</v>
      </c>
      <c r="BB373" s="1169"/>
      <c r="BC373" s="1177">
        <f t="shared" si="574"/>
        <v>0</v>
      </c>
      <c r="BD373" s="1027"/>
      <c r="BE373" s="1024"/>
      <c r="BF373" s="1024"/>
    </row>
    <row r="374" s="1008" customFormat="1">
      <c r="A374" s="999" t="str">
        <f t="shared" si="638"/>
        <v xml:space="preserve">Бояркина Л.Е. Кондратьева АА</v>
      </c>
      <c r="B374" s="1176" t="s">
        <v>445</v>
      </c>
      <c r="C374" s="1176"/>
      <c r="D374" s="1176"/>
      <c r="E374" s="1164">
        <f t="shared" si="634"/>
        <v>0</v>
      </c>
      <c r="F374" s="1164">
        <f t="shared" si="652"/>
        <v>0</v>
      </c>
      <c r="G374" s="1165">
        <f t="shared" si="645"/>
        <v>0</v>
      </c>
      <c r="H374" s="1277"/>
      <c r="I374" s="1167">
        <f t="shared" si="635"/>
        <v>0</v>
      </c>
      <c r="J374" s="1167">
        <f t="shared" si="636"/>
        <v>0</v>
      </c>
      <c r="K374" s="1168">
        <f t="shared" si="646"/>
        <v>0</v>
      </c>
      <c r="L374" s="1128"/>
      <c r="M374" s="1169"/>
      <c r="N374" s="1177"/>
      <c r="O374" s="1169"/>
      <c r="P374" s="1169"/>
      <c r="Q374" s="1169">
        <f t="shared" si="647"/>
        <v>0</v>
      </c>
      <c r="R374" s="1169"/>
      <c r="S374" s="1282"/>
      <c r="T374" s="1171"/>
      <c r="U374" s="1128"/>
      <c r="V374" s="1169"/>
      <c r="W374" s="1177"/>
      <c r="X374" s="1177"/>
      <c r="Y374" s="1169"/>
      <c r="Z374" s="1169">
        <f t="shared" si="648"/>
        <v>0</v>
      </c>
      <c r="AA374" s="1169"/>
      <c r="AB374" s="1172">
        <f t="shared" si="641"/>
        <v>0</v>
      </c>
      <c r="AC374" s="1171"/>
      <c r="AD374" s="1128"/>
      <c r="AE374" s="1169"/>
      <c r="AF374" s="1177"/>
      <c r="AG374" s="1177"/>
      <c r="AH374" s="1169"/>
      <c r="AI374" s="1169">
        <f t="shared" si="649"/>
        <v>0</v>
      </c>
      <c r="AJ374" s="1169"/>
      <c r="AK374" s="1173"/>
      <c r="AL374" s="1171"/>
      <c r="AM374" s="1128"/>
      <c r="AN374" s="1170"/>
      <c r="AO374" s="1175"/>
      <c r="AP374" s="1175"/>
      <c r="AQ374" s="1170"/>
      <c r="AR374" s="1170">
        <f t="shared" si="650"/>
        <v>0</v>
      </c>
      <c r="AS374" s="1170"/>
      <c r="AT374" s="1170"/>
      <c r="AU374" s="1174"/>
      <c r="AV374" s="1128"/>
      <c r="AW374" s="1169"/>
      <c r="AX374" s="1177"/>
      <c r="AY374" s="1177"/>
      <c r="AZ374" s="1169"/>
      <c r="BA374" s="1169">
        <f t="shared" si="651"/>
        <v>0</v>
      </c>
      <c r="BB374" s="1169"/>
      <c r="BC374" s="1177">
        <f t="shared" si="574"/>
        <v>0</v>
      </c>
      <c r="BD374" s="1027"/>
      <c r="BE374" s="1024"/>
      <c r="BF374" s="1024"/>
    </row>
    <row r="375" s="1008" customFormat="1">
      <c r="A375" s="999" t="str">
        <f t="shared" si="638"/>
        <v xml:space="preserve">Трофимчук О.Е., Радченко Т.А.   Куция НЛ  Красносельская (усть-Ивановка)</v>
      </c>
      <c r="B375" s="1176" t="s">
        <v>447</v>
      </c>
      <c r="C375" s="1176"/>
      <c r="D375" s="1176"/>
      <c r="E375" s="1164">
        <f t="shared" si="634"/>
        <v>0</v>
      </c>
      <c r="F375" s="1164">
        <f t="shared" si="652"/>
        <v>0</v>
      </c>
      <c r="G375" s="1165">
        <f t="shared" si="645"/>
        <v>0</v>
      </c>
      <c r="H375" s="1277"/>
      <c r="I375" s="1167">
        <f t="shared" si="635"/>
        <v>0</v>
      </c>
      <c r="J375" s="1167">
        <f t="shared" si="636"/>
        <v>0</v>
      </c>
      <c r="K375" s="1168">
        <f t="shared" si="646"/>
        <v>0</v>
      </c>
      <c r="L375" s="1128"/>
      <c r="M375" s="1169"/>
      <c r="N375" s="1177"/>
      <c r="O375" s="1169"/>
      <c r="P375" s="1169"/>
      <c r="Q375" s="1169">
        <f t="shared" si="647"/>
        <v>0</v>
      </c>
      <c r="R375" s="1169"/>
      <c r="S375" s="1282"/>
      <c r="T375" s="1171"/>
      <c r="U375" s="1128"/>
      <c r="V375" s="1169"/>
      <c r="W375" s="1177"/>
      <c r="X375" s="1177"/>
      <c r="Y375" s="1169"/>
      <c r="Z375" s="1169">
        <f t="shared" si="648"/>
        <v>0</v>
      </c>
      <c r="AA375" s="1169"/>
      <c r="AB375" s="1172">
        <f t="shared" si="641"/>
        <v>0</v>
      </c>
      <c r="AC375" s="1171"/>
      <c r="AD375" s="1128"/>
      <c r="AE375" s="1169"/>
      <c r="AF375" s="1177"/>
      <c r="AG375" s="1177"/>
      <c r="AH375" s="1169"/>
      <c r="AI375" s="1169">
        <f t="shared" si="649"/>
        <v>0</v>
      </c>
      <c r="AJ375" s="1169"/>
      <c r="AK375" s="1173"/>
      <c r="AL375" s="1171"/>
      <c r="AM375" s="1128"/>
      <c r="AN375" s="1170"/>
      <c r="AO375" s="1175"/>
      <c r="AP375" s="1175"/>
      <c r="AQ375" s="1170"/>
      <c r="AR375" s="1170">
        <f t="shared" si="650"/>
        <v>0</v>
      </c>
      <c r="AS375" s="1170"/>
      <c r="AT375" s="1170"/>
      <c r="AU375" s="1174"/>
      <c r="AV375" s="1128"/>
      <c r="AW375" s="1169"/>
      <c r="AX375" s="1177"/>
      <c r="AY375" s="1177"/>
      <c r="AZ375" s="1169"/>
      <c r="BA375" s="1169">
        <f t="shared" si="651"/>
        <v>0</v>
      </c>
      <c r="BB375" s="1169"/>
      <c r="BC375" s="1177">
        <f t="shared" si="574"/>
        <v>0</v>
      </c>
      <c r="BD375" s="1027"/>
      <c r="BE375" s="1024"/>
      <c r="BF375" s="1024"/>
    </row>
    <row r="376" s="1008" customFormat="1">
      <c r="A376" s="999" t="str">
        <f t="shared" si="638"/>
        <v xml:space="preserve">Третьяк О.М.</v>
      </c>
      <c r="B376" s="1176" t="s">
        <v>449</v>
      </c>
      <c r="C376" s="1176"/>
      <c r="D376" s="1176"/>
      <c r="E376" s="1164">
        <f t="shared" si="634"/>
        <v>0</v>
      </c>
      <c r="F376" s="1164">
        <f t="shared" si="652"/>
        <v>0</v>
      </c>
      <c r="G376" s="1165">
        <f t="shared" si="645"/>
        <v>0</v>
      </c>
      <c r="H376" s="1277"/>
      <c r="I376" s="1167">
        <f t="shared" si="635"/>
        <v>0</v>
      </c>
      <c r="J376" s="1167">
        <f t="shared" si="636"/>
        <v>0</v>
      </c>
      <c r="K376" s="1168">
        <f t="shared" si="646"/>
        <v>0</v>
      </c>
      <c r="L376" s="1128"/>
      <c r="M376" s="1169"/>
      <c r="N376" s="1177"/>
      <c r="O376" s="1169"/>
      <c r="P376" s="1169"/>
      <c r="Q376" s="1169">
        <f t="shared" si="647"/>
        <v>0</v>
      </c>
      <c r="R376" s="1169"/>
      <c r="S376" s="1282"/>
      <c r="T376" s="1171"/>
      <c r="U376" s="1128"/>
      <c r="V376" s="1169"/>
      <c r="W376" s="1177"/>
      <c r="X376" s="1177"/>
      <c r="Y376" s="1169"/>
      <c r="Z376" s="1169">
        <f t="shared" si="648"/>
        <v>0</v>
      </c>
      <c r="AA376" s="1169"/>
      <c r="AB376" s="1172">
        <f t="shared" si="641"/>
        <v>0</v>
      </c>
      <c r="AC376" s="1171"/>
      <c r="AD376" s="1128"/>
      <c r="AE376" s="1169"/>
      <c r="AF376" s="1177"/>
      <c r="AG376" s="1177"/>
      <c r="AH376" s="1169"/>
      <c r="AI376" s="1169">
        <f t="shared" si="649"/>
        <v>0</v>
      </c>
      <c r="AJ376" s="1169"/>
      <c r="AK376" s="1173"/>
      <c r="AL376" s="1171"/>
      <c r="AM376" s="1128"/>
      <c r="AN376" s="1170"/>
      <c r="AO376" s="1175"/>
      <c r="AP376" s="1175"/>
      <c r="AQ376" s="1170"/>
      <c r="AR376" s="1170">
        <f t="shared" si="650"/>
        <v>0</v>
      </c>
      <c r="AS376" s="1170"/>
      <c r="AT376" s="1170"/>
      <c r="AU376" s="1174"/>
      <c r="AV376" s="1128"/>
      <c r="AW376" s="1169"/>
      <c r="AX376" s="1177"/>
      <c r="AY376" s="1177"/>
      <c r="AZ376" s="1169"/>
      <c r="BA376" s="1169">
        <f t="shared" si="651"/>
        <v>0</v>
      </c>
      <c r="BB376" s="1169"/>
      <c r="BC376" s="1177">
        <f t="shared" si="574"/>
        <v>0</v>
      </c>
      <c r="BD376" s="1027"/>
      <c r="BE376" s="1024"/>
      <c r="BF376" s="1024"/>
    </row>
    <row r="377" s="1008" customFormat="1">
      <c r="A377" s="999">
        <f t="shared" si="638"/>
        <v>0</v>
      </c>
      <c r="B377" s="1176" t="s">
        <v>450</v>
      </c>
      <c r="C377" s="1176"/>
      <c r="D377" s="1176"/>
      <c r="E377" s="1164">
        <f t="shared" si="634"/>
        <v>0</v>
      </c>
      <c r="F377" s="1164">
        <f t="shared" si="652"/>
        <v>0</v>
      </c>
      <c r="G377" s="1165">
        <f t="shared" si="645"/>
        <v>0</v>
      </c>
      <c r="H377" s="1277"/>
      <c r="I377" s="1167">
        <f t="shared" si="635"/>
        <v>0</v>
      </c>
      <c r="J377" s="1167">
        <f t="shared" si="636"/>
        <v>0</v>
      </c>
      <c r="K377" s="1168">
        <f t="shared" si="646"/>
        <v>0</v>
      </c>
      <c r="L377" s="1128"/>
      <c r="M377" s="1169"/>
      <c r="N377" s="1177"/>
      <c r="O377" s="1169"/>
      <c r="P377" s="1169"/>
      <c r="Q377" s="1169">
        <f t="shared" si="647"/>
        <v>0</v>
      </c>
      <c r="R377" s="1282"/>
      <c r="S377" s="1282"/>
      <c r="T377" s="1171"/>
      <c r="U377" s="1128"/>
      <c r="V377" s="1169"/>
      <c r="W377" s="1177"/>
      <c r="X377" s="1177"/>
      <c r="Y377" s="1169"/>
      <c r="Z377" s="1169">
        <f t="shared" si="648"/>
        <v>0</v>
      </c>
      <c r="AA377" s="1169"/>
      <c r="AB377" s="1172">
        <f t="shared" si="641"/>
        <v>0</v>
      </c>
      <c r="AC377" s="1171"/>
      <c r="AD377" s="1128"/>
      <c r="AE377" s="1169"/>
      <c r="AF377" s="1177"/>
      <c r="AG377" s="1177"/>
      <c r="AH377" s="1169"/>
      <c r="AI377" s="1169">
        <f t="shared" si="649"/>
        <v>0</v>
      </c>
      <c r="AJ377" s="1169"/>
      <c r="AK377" s="1173"/>
      <c r="AL377" s="1171"/>
      <c r="AM377" s="1128"/>
      <c r="AN377" s="1170"/>
      <c r="AO377" s="1175"/>
      <c r="AP377" s="1175"/>
      <c r="AQ377" s="1170"/>
      <c r="AR377" s="1170">
        <f t="shared" si="650"/>
        <v>0</v>
      </c>
      <c r="AS377" s="1170"/>
      <c r="AT377" s="1170"/>
      <c r="AU377" s="1174"/>
      <c r="AV377" s="1128"/>
      <c r="AW377" s="1169"/>
      <c r="AX377" s="1177"/>
      <c r="AY377" s="1177"/>
      <c r="AZ377" s="1169"/>
      <c r="BA377" s="1169">
        <f t="shared" si="651"/>
        <v>0</v>
      </c>
      <c r="BB377" s="1169"/>
      <c r="BC377" s="1177">
        <f t="shared" si="574"/>
        <v>0</v>
      </c>
      <c r="BD377" s="1027"/>
      <c r="BE377" s="1024"/>
      <c r="BF377" s="1024"/>
    </row>
    <row r="378" s="1008" customFormat="1">
      <c r="A378" s="999" t="str">
        <f t="shared" si="638"/>
        <v xml:space="preserve">Бедина и Позднякова</v>
      </c>
      <c r="B378" s="1202" t="s">
        <v>452</v>
      </c>
      <c r="C378" s="1202"/>
      <c r="D378" s="1202"/>
      <c r="E378" s="1164">
        <f t="shared" si="634"/>
        <v>0</v>
      </c>
      <c r="F378" s="1164">
        <f t="shared" si="652"/>
        <v>0</v>
      </c>
      <c r="G378" s="1165">
        <f t="shared" si="645"/>
        <v>0</v>
      </c>
      <c r="H378" s="1277"/>
      <c r="I378" s="1167">
        <f t="shared" si="635"/>
        <v>0</v>
      </c>
      <c r="J378" s="1167">
        <f t="shared" si="636"/>
        <v>0</v>
      </c>
      <c r="K378" s="1168">
        <f t="shared" si="646"/>
        <v>0</v>
      </c>
      <c r="L378" s="1128"/>
      <c r="M378" s="1169"/>
      <c r="N378" s="1177"/>
      <c r="O378" s="1169"/>
      <c r="P378" s="1169"/>
      <c r="Q378" s="1169">
        <f t="shared" si="647"/>
        <v>0</v>
      </c>
      <c r="R378" s="1282"/>
      <c r="S378" s="1282"/>
      <c r="T378" s="1171"/>
      <c r="U378" s="1128"/>
      <c r="V378" s="1169"/>
      <c r="W378" s="1177"/>
      <c r="X378" s="1177"/>
      <c r="Y378" s="1169"/>
      <c r="Z378" s="1169">
        <f t="shared" si="648"/>
        <v>0</v>
      </c>
      <c r="AA378" s="1169"/>
      <c r="AB378" s="1172">
        <f t="shared" si="641"/>
        <v>0</v>
      </c>
      <c r="AC378" s="1171"/>
      <c r="AD378" s="1128"/>
      <c r="AE378" s="1169"/>
      <c r="AF378" s="1177"/>
      <c r="AG378" s="1177"/>
      <c r="AH378" s="1169"/>
      <c r="AI378" s="1169">
        <f t="shared" si="649"/>
        <v>0</v>
      </c>
      <c r="AJ378" s="1169"/>
      <c r="AK378" s="1173"/>
      <c r="AL378" s="1171"/>
      <c r="AM378" s="1128"/>
      <c r="AN378" s="1170"/>
      <c r="AO378" s="1175"/>
      <c r="AP378" s="1175"/>
      <c r="AQ378" s="1170"/>
      <c r="AR378" s="1170">
        <f t="shared" si="650"/>
        <v>0</v>
      </c>
      <c r="AS378" s="1170"/>
      <c r="AT378" s="1170"/>
      <c r="AU378" s="1174"/>
      <c r="AV378" s="1128"/>
      <c r="AW378" s="1169"/>
      <c r="AX378" s="1177"/>
      <c r="AY378" s="1177"/>
      <c r="AZ378" s="1169"/>
      <c r="BA378" s="1169">
        <f t="shared" si="651"/>
        <v>0</v>
      </c>
      <c r="BB378" s="1169"/>
      <c r="BC378" s="1177">
        <f t="shared" si="574"/>
        <v>0</v>
      </c>
      <c r="BD378" s="1027"/>
      <c r="BE378" s="1024"/>
      <c r="BF378" s="1024"/>
    </row>
    <row r="379" s="1008" customFormat="1">
      <c r="A379" s="999" t="str">
        <f t="shared" si="638"/>
        <v xml:space="preserve">Макарова Е.В.</v>
      </c>
      <c r="B379" s="1202" t="s">
        <v>454</v>
      </c>
      <c r="C379" s="1202"/>
      <c r="D379" s="1202"/>
      <c r="E379" s="1164">
        <f t="shared" si="634"/>
        <v>0</v>
      </c>
      <c r="F379" s="1164">
        <f t="shared" si="637"/>
        <v>0</v>
      </c>
      <c r="G379" s="1165">
        <f t="shared" si="645"/>
        <v>0</v>
      </c>
      <c r="H379" s="1277"/>
      <c r="I379" s="1167">
        <f t="shared" si="635"/>
        <v>0</v>
      </c>
      <c r="J379" s="1167">
        <f t="shared" si="636"/>
        <v>0</v>
      </c>
      <c r="K379" s="1168">
        <f t="shared" si="646"/>
        <v>0</v>
      </c>
      <c r="L379" s="1128"/>
      <c r="M379" s="1169"/>
      <c r="N379" s="1177"/>
      <c r="O379" s="1169"/>
      <c r="P379" s="1169"/>
      <c r="Q379" s="1169">
        <f t="shared" si="647"/>
        <v>0</v>
      </c>
      <c r="R379" s="1169"/>
      <c r="S379" s="1170"/>
      <c r="T379" s="1171"/>
      <c r="U379" s="1128"/>
      <c r="V379" s="1169"/>
      <c r="W379" s="1177"/>
      <c r="X379" s="1177"/>
      <c r="Y379" s="1169"/>
      <c r="Z379" s="1169">
        <f t="shared" si="648"/>
        <v>0</v>
      </c>
      <c r="AA379" s="1169"/>
      <c r="AB379" s="1172">
        <f t="shared" si="641"/>
        <v>0</v>
      </c>
      <c r="AC379" s="1171"/>
      <c r="AD379" s="1128"/>
      <c r="AE379" s="1169"/>
      <c r="AF379" s="1177"/>
      <c r="AG379" s="1177"/>
      <c r="AH379" s="1169"/>
      <c r="AI379" s="1169">
        <f t="shared" si="649"/>
        <v>0</v>
      </c>
      <c r="AJ379" s="1169"/>
      <c r="AK379" s="1173"/>
      <c r="AL379" s="1171"/>
      <c r="AM379" s="1128"/>
      <c r="AN379" s="1170"/>
      <c r="AO379" s="1175"/>
      <c r="AP379" s="1175"/>
      <c r="AQ379" s="1170"/>
      <c r="AR379" s="1170">
        <f t="shared" si="650"/>
        <v>0</v>
      </c>
      <c r="AS379" s="1170"/>
      <c r="AT379" s="1170"/>
      <c r="AU379" s="1174"/>
      <c r="AV379" s="1128"/>
      <c r="AW379" s="1169"/>
      <c r="AX379" s="1177"/>
      <c r="AY379" s="1177"/>
      <c r="AZ379" s="1169"/>
      <c r="BA379" s="1169">
        <f t="shared" si="651"/>
        <v>0</v>
      </c>
      <c r="BB379" s="1169"/>
      <c r="BC379" s="1177">
        <f t="shared" si="574"/>
        <v>0</v>
      </c>
      <c r="BD379" s="1027"/>
      <c r="BE379" s="1024"/>
      <c r="BF379" s="1024"/>
    </row>
    <row r="380" s="1008" customFormat="1">
      <c r="A380" s="999" t="str">
        <f t="shared" si="638"/>
        <v xml:space="preserve">Юшкова Н.Г.</v>
      </c>
      <c r="B380" s="1202" t="s">
        <v>311</v>
      </c>
      <c r="C380" s="1202"/>
      <c r="D380" s="1202"/>
      <c r="E380" s="1164">
        <f t="shared" si="634"/>
        <v>0</v>
      </c>
      <c r="F380" s="1164">
        <f t="shared" si="637"/>
        <v>0</v>
      </c>
      <c r="G380" s="1165">
        <f t="shared" si="645"/>
        <v>0</v>
      </c>
      <c r="H380" s="1277"/>
      <c r="I380" s="1167">
        <f t="shared" si="635"/>
        <v>0</v>
      </c>
      <c r="J380" s="1167">
        <f t="shared" si="636"/>
        <v>0</v>
      </c>
      <c r="K380" s="1168">
        <f t="shared" si="646"/>
        <v>0</v>
      </c>
      <c r="L380" s="1128"/>
      <c r="M380" s="1169"/>
      <c r="N380" s="1177"/>
      <c r="O380" s="1169"/>
      <c r="P380" s="1169"/>
      <c r="Q380" s="1169">
        <f t="shared" si="647"/>
        <v>0</v>
      </c>
      <c r="R380" s="1169"/>
      <c r="S380" s="1170"/>
      <c r="T380" s="1171"/>
      <c r="U380" s="1128"/>
      <c r="V380" s="1169"/>
      <c r="W380" s="1177"/>
      <c r="X380" s="1177"/>
      <c r="Y380" s="1169"/>
      <c r="Z380" s="1169">
        <f t="shared" si="648"/>
        <v>0</v>
      </c>
      <c r="AA380" s="1169"/>
      <c r="AB380" s="1172">
        <f t="shared" si="641"/>
        <v>0</v>
      </c>
      <c r="AC380" s="1171"/>
      <c r="AD380" s="1128"/>
      <c r="AE380" s="1169"/>
      <c r="AF380" s="1177"/>
      <c r="AG380" s="1177"/>
      <c r="AH380" s="1169"/>
      <c r="AI380" s="1169">
        <f t="shared" si="649"/>
        <v>0</v>
      </c>
      <c r="AJ380" s="1169"/>
      <c r="AK380" s="1173"/>
      <c r="AL380" s="1171"/>
      <c r="AM380" s="1128"/>
      <c r="AN380" s="1170"/>
      <c r="AO380" s="1175"/>
      <c r="AP380" s="1175"/>
      <c r="AQ380" s="1170"/>
      <c r="AR380" s="1170">
        <f t="shared" si="650"/>
        <v>0</v>
      </c>
      <c r="AS380" s="1170"/>
      <c r="AT380" s="1170"/>
      <c r="AU380" s="1174"/>
      <c r="AV380" s="1128"/>
      <c r="AW380" s="1169"/>
      <c r="AX380" s="1177"/>
      <c r="AY380" s="1177"/>
      <c r="AZ380" s="1169"/>
      <c r="BA380" s="1169">
        <f t="shared" si="651"/>
        <v>0</v>
      </c>
      <c r="BB380" s="1169"/>
      <c r="BC380" s="1177">
        <f t="shared" si="574"/>
        <v>0</v>
      </c>
      <c r="BD380" s="1027"/>
      <c r="BE380" s="1024"/>
      <c r="BF380" s="1024"/>
    </row>
    <row r="381" s="1008" customFormat="1">
      <c r="A381" s="999">
        <f t="shared" si="638"/>
        <v>0</v>
      </c>
      <c r="B381" s="1202" t="s">
        <v>456</v>
      </c>
      <c r="C381" s="1202"/>
      <c r="D381" s="1202"/>
      <c r="E381" s="1164">
        <f t="shared" si="634"/>
        <v>0</v>
      </c>
      <c r="F381" s="1164">
        <f t="shared" si="637"/>
        <v>0</v>
      </c>
      <c r="G381" s="1165">
        <f t="shared" si="645"/>
        <v>0</v>
      </c>
      <c r="H381" s="1277"/>
      <c r="I381" s="1167">
        <f t="shared" si="635"/>
        <v>0</v>
      </c>
      <c r="J381" s="1167">
        <f t="shared" si="636"/>
        <v>0</v>
      </c>
      <c r="K381" s="1168">
        <f t="shared" si="646"/>
        <v>0</v>
      </c>
      <c r="L381" s="1128"/>
      <c r="M381" s="1169"/>
      <c r="N381" s="1177"/>
      <c r="O381" s="1169"/>
      <c r="P381" s="1169"/>
      <c r="Q381" s="1169">
        <f t="shared" si="647"/>
        <v>0</v>
      </c>
      <c r="R381" s="1169"/>
      <c r="S381" s="1170"/>
      <c r="T381" s="1171"/>
      <c r="U381" s="1128"/>
      <c r="V381" s="1169"/>
      <c r="W381" s="1177"/>
      <c r="X381" s="1177"/>
      <c r="Y381" s="1169"/>
      <c r="Z381" s="1169">
        <f t="shared" si="648"/>
        <v>0</v>
      </c>
      <c r="AA381" s="1169"/>
      <c r="AB381" s="1172">
        <f t="shared" si="641"/>
        <v>0</v>
      </c>
      <c r="AC381" s="1171"/>
      <c r="AD381" s="1128"/>
      <c r="AE381" s="1169"/>
      <c r="AF381" s="1177"/>
      <c r="AG381" s="1177"/>
      <c r="AH381" s="1169"/>
      <c r="AI381" s="1169">
        <f t="shared" si="649"/>
        <v>0</v>
      </c>
      <c r="AJ381" s="1169"/>
      <c r="AK381" s="1173"/>
      <c r="AL381" s="1171"/>
      <c r="AM381" s="1128"/>
      <c r="AN381" s="1170"/>
      <c r="AO381" s="1175"/>
      <c r="AP381" s="1175"/>
      <c r="AQ381" s="1170"/>
      <c r="AR381" s="1170">
        <f t="shared" si="650"/>
        <v>0</v>
      </c>
      <c r="AS381" s="1170"/>
      <c r="AT381" s="1170"/>
      <c r="AU381" s="1174"/>
      <c r="AV381" s="1128"/>
      <c r="AW381" s="1169"/>
      <c r="AX381" s="1177"/>
      <c r="AY381" s="1177"/>
      <c r="AZ381" s="1169"/>
      <c r="BA381" s="1169">
        <f t="shared" si="651"/>
        <v>0</v>
      </c>
      <c r="BB381" s="1169"/>
      <c r="BC381" s="1177">
        <f t="shared" si="574"/>
        <v>0</v>
      </c>
      <c r="BD381" s="1027"/>
      <c r="BE381" s="1024"/>
      <c r="BF381" s="1024"/>
    </row>
    <row r="382" s="1008" customFormat="1">
      <c r="A382" s="999">
        <f t="shared" si="638"/>
        <v>0</v>
      </c>
      <c r="B382" s="1202" t="s">
        <v>457</v>
      </c>
      <c r="C382" s="1202"/>
      <c r="D382" s="1202"/>
      <c r="E382" s="1164">
        <f t="shared" si="634"/>
        <v>0</v>
      </c>
      <c r="F382" s="1164">
        <f t="shared" si="637"/>
        <v>0</v>
      </c>
      <c r="G382" s="1165">
        <f t="shared" si="645"/>
        <v>0</v>
      </c>
      <c r="H382" s="1277"/>
      <c r="I382" s="1167">
        <f t="shared" si="635"/>
        <v>0</v>
      </c>
      <c r="J382" s="1167">
        <f t="shared" si="636"/>
        <v>0</v>
      </c>
      <c r="K382" s="1168">
        <f t="shared" si="646"/>
        <v>0</v>
      </c>
      <c r="L382" s="1128"/>
      <c r="M382" s="1169"/>
      <c r="N382" s="1177"/>
      <c r="O382" s="1169"/>
      <c r="P382" s="1169"/>
      <c r="Q382" s="1169">
        <f t="shared" si="647"/>
        <v>0</v>
      </c>
      <c r="R382" s="1169"/>
      <c r="S382" s="1170"/>
      <c r="T382" s="1171"/>
      <c r="U382" s="1128"/>
      <c r="V382" s="1169"/>
      <c r="W382" s="1177"/>
      <c r="X382" s="1177"/>
      <c r="Y382" s="1169"/>
      <c r="Z382" s="1169">
        <f t="shared" si="648"/>
        <v>0</v>
      </c>
      <c r="AA382" s="1169"/>
      <c r="AB382" s="1172">
        <f t="shared" si="641"/>
        <v>0</v>
      </c>
      <c r="AC382" s="1171"/>
      <c r="AD382" s="1128"/>
      <c r="AE382" s="1169"/>
      <c r="AF382" s="1177"/>
      <c r="AG382" s="1177"/>
      <c r="AH382" s="1169"/>
      <c r="AI382" s="1169">
        <f t="shared" si="649"/>
        <v>0</v>
      </c>
      <c r="AJ382" s="1169"/>
      <c r="AK382" s="1173"/>
      <c r="AL382" s="1171"/>
      <c r="AM382" s="1128"/>
      <c r="AN382" s="1170"/>
      <c r="AO382" s="1175"/>
      <c r="AP382" s="1175"/>
      <c r="AQ382" s="1170"/>
      <c r="AR382" s="1170">
        <f t="shared" si="650"/>
        <v>0</v>
      </c>
      <c r="AS382" s="1170"/>
      <c r="AT382" s="1170"/>
      <c r="AU382" s="1174"/>
      <c r="AV382" s="1128"/>
      <c r="AW382" s="1169"/>
      <c r="AX382" s="1177"/>
      <c r="AY382" s="1177"/>
      <c r="AZ382" s="1169"/>
      <c r="BA382" s="1169">
        <f t="shared" si="651"/>
        <v>0</v>
      </c>
      <c r="BB382" s="1169"/>
      <c r="BC382" s="1177">
        <f t="shared" si="574"/>
        <v>0</v>
      </c>
      <c r="BD382" s="1027"/>
      <c r="BE382" s="1024"/>
      <c r="BF382" s="1024"/>
    </row>
    <row r="383" s="1008" customFormat="1">
      <c r="A383" s="999">
        <f t="shared" si="638"/>
        <v>0</v>
      </c>
      <c r="B383" s="1202" t="s">
        <v>458</v>
      </c>
      <c r="C383" s="1202"/>
      <c r="D383" s="1202"/>
      <c r="E383" s="1164">
        <f t="shared" si="634"/>
        <v>0</v>
      </c>
      <c r="F383" s="1164">
        <f t="shared" si="637"/>
        <v>0</v>
      </c>
      <c r="G383" s="1165">
        <f t="shared" si="645"/>
        <v>0</v>
      </c>
      <c r="H383" s="1277"/>
      <c r="I383" s="1167">
        <f t="shared" si="635"/>
        <v>0</v>
      </c>
      <c r="J383" s="1167">
        <f t="shared" si="636"/>
        <v>0</v>
      </c>
      <c r="K383" s="1168">
        <f t="shared" si="646"/>
        <v>0</v>
      </c>
      <c r="L383" s="1128"/>
      <c r="M383" s="1169"/>
      <c r="N383" s="1177"/>
      <c r="O383" s="1169"/>
      <c r="P383" s="1169"/>
      <c r="Q383" s="1169">
        <f t="shared" si="647"/>
        <v>0</v>
      </c>
      <c r="R383" s="1169"/>
      <c r="S383" s="1170"/>
      <c r="T383" s="1171"/>
      <c r="U383" s="1128"/>
      <c r="V383" s="1169"/>
      <c r="W383" s="1177"/>
      <c r="X383" s="1177"/>
      <c r="Y383" s="1169"/>
      <c r="Z383" s="1169">
        <f t="shared" si="648"/>
        <v>0</v>
      </c>
      <c r="AA383" s="1169"/>
      <c r="AB383" s="1172">
        <f t="shared" si="641"/>
        <v>0</v>
      </c>
      <c r="AC383" s="1171"/>
      <c r="AD383" s="1128"/>
      <c r="AE383" s="1169"/>
      <c r="AF383" s="1177"/>
      <c r="AG383" s="1177"/>
      <c r="AH383" s="1169"/>
      <c r="AI383" s="1169">
        <f t="shared" si="649"/>
        <v>0</v>
      </c>
      <c r="AJ383" s="1169"/>
      <c r="AK383" s="1173"/>
      <c r="AL383" s="1171"/>
      <c r="AM383" s="1128"/>
      <c r="AN383" s="1170"/>
      <c r="AO383" s="1175"/>
      <c r="AP383" s="1175"/>
      <c r="AQ383" s="1170"/>
      <c r="AR383" s="1170">
        <f t="shared" si="650"/>
        <v>0</v>
      </c>
      <c r="AS383" s="1170"/>
      <c r="AT383" s="1170"/>
      <c r="AU383" s="1174"/>
      <c r="AV383" s="1128"/>
      <c r="AW383" s="1169"/>
      <c r="AX383" s="1177"/>
      <c r="AY383" s="1177"/>
      <c r="AZ383" s="1169"/>
      <c r="BA383" s="1169">
        <f t="shared" si="651"/>
        <v>0</v>
      </c>
      <c r="BB383" s="1169"/>
      <c r="BC383" s="1177">
        <f t="shared" si="574"/>
        <v>0</v>
      </c>
      <c r="BD383" s="1027"/>
      <c r="BE383" s="1024"/>
      <c r="BF383" s="1024"/>
    </row>
    <row r="384" s="1008" customFormat="1">
      <c r="A384" s="999">
        <f t="shared" si="638"/>
        <v>0</v>
      </c>
      <c r="B384" s="1202" t="s">
        <v>459</v>
      </c>
      <c r="C384" s="1202"/>
      <c r="D384" s="1202"/>
      <c r="E384" s="1164">
        <f t="shared" si="634"/>
        <v>0</v>
      </c>
      <c r="F384" s="1164">
        <f t="shared" si="637"/>
        <v>0</v>
      </c>
      <c r="G384" s="1165">
        <f t="shared" si="645"/>
        <v>0</v>
      </c>
      <c r="H384" s="1277"/>
      <c r="I384" s="1167">
        <f t="shared" si="635"/>
        <v>0</v>
      </c>
      <c r="J384" s="1167">
        <f t="shared" si="636"/>
        <v>0</v>
      </c>
      <c r="K384" s="1168">
        <f t="shared" si="646"/>
        <v>0</v>
      </c>
      <c r="L384" s="1128"/>
      <c r="M384" s="1169"/>
      <c r="N384" s="1177"/>
      <c r="O384" s="1169"/>
      <c r="P384" s="1169"/>
      <c r="Q384" s="1169">
        <f t="shared" si="647"/>
        <v>0</v>
      </c>
      <c r="R384" s="1169"/>
      <c r="S384" s="1170"/>
      <c r="T384" s="1171"/>
      <c r="U384" s="1128"/>
      <c r="V384" s="1169"/>
      <c r="W384" s="1177"/>
      <c r="X384" s="1177"/>
      <c r="Y384" s="1169"/>
      <c r="Z384" s="1169">
        <f t="shared" si="648"/>
        <v>0</v>
      </c>
      <c r="AA384" s="1169"/>
      <c r="AB384" s="1172">
        <f t="shared" si="641"/>
        <v>0</v>
      </c>
      <c r="AC384" s="1171"/>
      <c r="AD384" s="1128"/>
      <c r="AE384" s="1169"/>
      <c r="AF384" s="1177"/>
      <c r="AG384" s="1177"/>
      <c r="AH384" s="1169"/>
      <c r="AI384" s="1169">
        <f t="shared" si="649"/>
        <v>0</v>
      </c>
      <c r="AJ384" s="1169"/>
      <c r="AK384" s="1173"/>
      <c r="AL384" s="1171"/>
      <c r="AM384" s="1128"/>
      <c r="AN384" s="1170"/>
      <c r="AO384" s="1175"/>
      <c r="AP384" s="1175"/>
      <c r="AQ384" s="1170"/>
      <c r="AR384" s="1170">
        <f t="shared" si="650"/>
        <v>0</v>
      </c>
      <c r="AS384" s="1170"/>
      <c r="AT384" s="1170"/>
      <c r="AU384" s="1174"/>
      <c r="AV384" s="1128"/>
      <c r="AW384" s="1169"/>
      <c r="AX384" s="1177"/>
      <c r="AY384" s="1177"/>
      <c r="AZ384" s="1169"/>
      <c r="BA384" s="1169">
        <f t="shared" si="651"/>
        <v>0</v>
      </c>
      <c r="BB384" s="1169"/>
      <c r="BC384" s="1177">
        <f t="shared" si="574"/>
        <v>0</v>
      </c>
      <c r="BD384" s="1027"/>
      <c r="BE384" s="1024"/>
      <c r="BF384" s="1024"/>
    </row>
    <row r="385" s="1008" customFormat="1">
      <c r="A385" s="999">
        <f t="shared" si="638"/>
        <v>0</v>
      </c>
      <c r="B385" s="1202" t="s">
        <v>460</v>
      </c>
      <c r="C385" s="1202"/>
      <c r="D385" s="1202"/>
      <c r="E385" s="1164">
        <f t="shared" si="634"/>
        <v>0</v>
      </c>
      <c r="F385" s="1164">
        <f t="shared" si="637"/>
        <v>0</v>
      </c>
      <c r="G385" s="1165">
        <f t="shared" si="645"/>
        <v>0</v>
      </c>
      <c r="H385" s="1277"/>
      <c r="I385" s="1167">
        <f t="shared" si="635"/>
        <v>0</v>
      </c>
      <c r="J385" s="1167">
        <f t="shared" si="636"/>
        <v>0</v>
      </c>
      <c r="K385" s="1168">
        <f t="shared" si="646"/>
        <v>0</v>
      </c>
      <c r="L385" s="1128"/>
      <c r="M385" s="1169"/>
      <c r="N385" s="1177"/>
      <c r="O385" s="1169"/>
      <c r="P385" s="1169"/>
      <c r="Q385" s="1169">
        <f t="shared" si="647"/>
        <v>0</v>
      </c>
      <c r="R385" s="1169"/>
      <c r="S385" s="1170"/>
      <c r="T385" s="1171"/>
      <c r="U385" s="1128"/>
      <c r="V385" s="1169"/>
      <c r="W385" s="1177"/>
      <c r="X385" s="1177"/>
      <c r="Y385" s="1169"/>
      <c r="Z385" s="1169">
        <f t="shared" si="648"/>
        <v>0</v>
      </c>
      <c r="AA385" s="1169"/>
      <c r="AB385" s="1172">
        <f t="shared" si="641"/>
        <v>0</v>
      </c>
      <c r="AC385" s="1171"/>
      <c r="AD385" s="1128"/>
      <c r="AE385" s="1169"/>
      <c r="AF385" s="1177"/>
      <c r="AG385" s="1177"/>
      <c r="AH385" s="1169"/>
      <c r="AI385" s="1169">
        <f t="shared" si="649"/>
        <v>0</v>
      </c>
      <c r="AJ385" s="1169"/>
      <c r="AK385" s="1173"/>
      <c r="AL385" s="1171"/>
      <c r="AM385" s="1128"/>
      <c r="AN385" s="1170"/>
      <c r="AO385" s="1175"/>
      <c r="AP385" s="1175"/>
      <c r="AQ385" s="1170"/>
      <c r="AR385" s="1170">
        <f t="shared" si="650"/>
        <v>0</v>
      </c>
      <c r="AS385" s="1170"/>
      <c r="AT385" s="1170"/>
      <c r="AU385" s="1174"/>
      <c r="AV385" s="1128"/>
      <c r="AW385" s="1169"/>
      <c r="AX385" s="1177"/>
      <c r="AY385" s="1177"/>
      <c r="AZ385" s="1169"/>
      <c r="BA385" s="1169">
        <f t="shared" si="651"/>
        <v>0</v>
      </c>
      <c r="BB385" s="1169"/>
      <c r="BC385" s="1177">
        <f t="shared" si="574"/>
        <v>0</v>
      </c>
      <c r="BD385" s="1027"/>
      <c r="BE385" s="1024"/>
      <c r="BF385" s="1024"/>
    </row>
    <row r="386" s="1008" customFormat="1">
      <c r="A386" s="999" t="str">
        <f t="shared" si="638"/>
        <v xml:space="preserve">Белова СА</v>
      </c>
      <c r="B386" s="1202" t="s">
        <v>461</v>
      </c>
      <c r="C386" s="1202"/>
      <c r="D386" s="1202"/>
      <c r="E386" s="1164">
        <f t="shared" si="634"/>
        <v>0</v>
      </c>
      <c r="F386" s="1164">
        <f t="shared" si="637"/>
        <v>0</v>
      </c>
      <c r="G386" s="1165">
        <f t="shared" si="645"/>
        <v>0</v>
      </c>
      <c r="H386" s="1277"/>
      <c r="I386" s="1167">
        <f t="shared" si="635"/>
        <v>0</v>
      </c>
      <c r="J386" s="1167">
        <f t="shared" si="636"/>
        <v>0</v>
      </c>
      <c r="K386" s="1168">
        <f t="shared" si="646"/>
        <v>0</v>
      </c>
      <c r="L386" s="1128"/>
      <c r="M386" s="1169"/>
      <c r="N386" s="1177"/>
      <c r="O386" s="1169"/>
      <c r="P386" s="1169"/>
      <c r="Q386" s="1169">
        <f t="shared" si="647"/>
        <v>0</v>
      </c>
      <c r="R386" s="1169"/>
      <c r="S386" s="1170"/>
      <c r="T386" s="1171"/>
      <c r="U386" s="1128"/>
      <c r="V386" s="1169"/>
      <c r="W386" s="1177"/>
      <c r="X386" s="1177"/>
      <c r="Y386" s="1169"/>
      <c r="Z386" s="1169">
        <f t="shared" si="648"/>
        <v>0</v>
      </c>
      <c r="AA386" s="1169"/>
      <c r="AB386" s="1172">
        <f t="shared" si="641"/>
        <v>0</v>
      </c>
      <c r="AC386" s="1171"/>
      <c r="AD386" s="1128"/>
      <c r="AE386" s="1169"/>
      <c r="AF386" s="1177"/>
      <c r="AG386" s="1177"/>
      <c r="AH386" s="1169"/>
      <c r="AI386" s="1169">
        <f t="shared" si="649"/>
        <v>0</v>
      </c>
      <c r="AJ386" s="1169"/>
      <c r="AK386" s="1173"/>
      <c r="AL386" s="1171"/>
      <c r="AM386" s="1128"/>
      <c r="AN386" s="1170"/>
      <c r="AO386" s="1175"/>
      <c r="AP386" s="1175"/>
      <c r="AQ386" s="1170"/>
      <c r="AR386" s="1170">
        <f t="shared" si="650"/>
        <v>0</v>
      </c>
      <c r="AS386" s="1170"/>
      <c r="AT386" s="1170"/>
      <c r="AU386" s="1174"/>
      <c r="AV386" s="1128"/>
      <c r="AW386" s="1169"/>
      <c r="AX386" s="1177"/>
      <c r="AY386" s="1177"/>
      <c r="AZ386" s="1169"/>
      <c r="BA386" s="1169">
        <f t="shared" si="651"/>
        <v>0</v>
      </c>
      <c r="BB386" s="1169"/>
      <c r="BC386" s="1177">
        <f t="shared" si="574"/>
        <v>0</v>
      </c>
      <c r="BD386" s="1027"/>
      <c r="BE386" s="1024"/>
      <c r="BF386" s="1024"/>
    </row>
    <row r="387" s="1008" customFormat="1">
      <c r="A387" s="999">
        <f t="shared" si="638"/>
        <v>0</v>
      </c>
      <c r="B387" s="1202" t="s">
        <v>462</v>
      </c>
      <c r="C387" s="1202"/>
      <c r="D387" s="1202"/>
      <c r="E387" s="1164">
        <f t="shared" si="634"/>
        <v>0</v>
      </c>
      <c r="F387" s="1164">
        <f t="shared" si="637"/>
        <v>0</v>
      </c>
      <c r="G387" s="1165">
        <f t="shared" si="645"/>
        <v>0</v>
      </c>
      <c r="H387" s="1277"/>
      <c r="I387" s="1167">
        <f t="shared" si="635"/>
        <v>0</v>
      </c>
      <c r="J387" s="1167">
        <f t="shared" si="636"/>
        <v>0</v>
      </c>
      <c r="K387" s="1168">
        <f t="shared" si="646"/>
        <v>0</v>
      </c>
      <c r="L387" s="1128"/>
      <c r="M387" s="1169"/>
      <c r="N387" s="1177"/>
      <c r="O387" s="1169"/>
      <c r="P387" s="1169"/>
      <c r="Q387" s="1169">
        <f t="shared" si="647"/>
        <v>0</v>
      </c>
      <c r="R387" s="1169"/>
      <c r="S387" s="1170"/>
      <c r="T387" s="1171"/>
      <c r="U387" s="1128"/>
      <c r="V387" s="1169"/>
      <c r="W387" s="1177"/>
      <c r="X387" s="1177"/>
      <c r="Y387" s="1169"/>
      <c r="Z387" s="1169">
        <f t="shared" si="648"/>
        <v>0</v>
      </c>
      <c r="AA387" s="1169"/>
      <c r="AB387" s="1172">
        <f t="shared" si="641"/>
        <v>0</v>
      </c>
      <c r="AC387" s="1171"/>
      <c r="AD387" s="1128"/>
      <c r="AE387" s="1169"/>
      <c r="AF387" s="1177"/>
      <c r="AG387" s="1177"/>
      <c r="AH387" s="1169"/>
      <c r="AI387" s="1169">
        <f t="shared" si="649"/>
        <v>0</v>
      </c>
      <c r="AJ387" s="1169"/>
      <c r="AK387" s="1173"/>
      <c r="AL387" s="1171"/>
      <c r="AM387" s="1128"/>
      <c r="AN387" s="1170"/>
      <c r="AO387" s="1175"/>
      <c r="AP387" s="1175"/>
      <c r="AQ387" s="1170"/>
      <c r="AR387" s="1170">
        <f t="shared" si="650"/>
        <v>0</v>
      </c>
      <c r="AS387" s="1170"/>
      <c r="AT387" s="1170"/>
      <c r="AU387" s="1174"/>
      <c r="AV387" s="1128"/>
      <c r="AW387" s="1169"/>
      <c r="AX387" s="1177"/>
      <c r="AY387" s="1177"/>
      <c r="AZ387" s="1169"/>
      <c r="BA387" s="1169">
        <f t="shared" si="651"/>
        <v>0</v>
      </c>
      <c r="BB387" s="1169"/>
      <c r="BC387" s="1177">
        <f t="shared" si="574"/>
        <v>0</v>
      </c>
      <c r="BD387" s="1027"/>
      <c r="BE387" s="1024"/>
      <c r="BF387" s="1024"/>
    </row>
    <row r="388" s="1008" customFormat="1">
      <c r="A388" s="999">
        <f t="shared" si="638"/>
        <v>0</v>
      </c>
      <c r="B388" s="1202" t="s">
        <v>463</v>
      </c>
      <c r="C388" s="1202"/>
      <c r="D388" s="1202"/>
      <c r="E388" s="1164">
        <f t="shared" si="634"/>
        <v>0</v>
      </c>
      <c r="F388" s="1164">
        <f t="shared" si="637"/>
        <v>0</v>
      </c>
      <c r="G388" s="1165">
        <f t="shared" si="645"/>
        <v>0</v>
      </c>
      <c r="H388" s="1277"/>
      <c r="I388" s="1167">
        <f t="shared" si="635"/>
        <v>0</v>
      </c>
      <c r="J388" s="1167">
        <f t="shared" si="636"/>
        <v>0</v>
      </c>
      <c r="K388" s="1168">
        <f t="shared" si="646"/>
        <v>0</v>
      </c>
      <c r="L388" s="1128"/>
      <c r="M388" s="1169"/>
      <c r="N388" s="1177"/>
      <c r="O388" s="1169"/>
      <c r="P388" s="1169"/>
      <c r="Q388" s="1169">
        <f t="shared" si="647"/>
        <v>0</v>
      </c>
      <c r="R388" s="1169"/>
      <c r="S388" s="1170"/>
      <c r="T388" s="1171"/>
      <c r="U388" s="1128"/>
      <c r="V388" s="1169"/>
      <c r="W388" s="1177"/>
      <c r="X388" s="1177"/>
      <c r="Y388" s="1169"/>
      <c r="Z388" s="1169">
        <f t="shared" si="648"/>
        <v>0</v>
      </c>
      <c r="AA388" s="1169"/>
      <c r="AB388" s="1172">
        <f t="shared" si="641"/>
        <v>0</v>
      </c>
      <c r="AC388" s="1171"/>
      <c r="AD388" s="1128"/>
      <c r="AE388" s="1169"/>
      <c r="AF388" s="1177"/>
      <c r="AG388" s="1177"/>
      <c r="AH388" s="1169"/>
      <c r="AI388" s="1169">
        <f t="shared" si="649"/>
        <v>0</v>
      </c>
      <c r="AJ388" s="1169"/>
      <c r="AK388" s="1173"/>
      <c r="AL388" s="1171"/>
      <c r="AM388" s="1128"/>
      <c r="AN388" s="1170"/>
      <c r="AO388" s="1175"/>
      <c r="AP388" s="1175"/>
      <c r="AQ388" s="1170"/>
      <c r="AR388" s="1170">
        <f t="shared" si="650"/>
        <v>0</v>
      </c>
      <c r="AS388" s="1170"/>
      <c r="AT388" s="1170"/>
      <c r="AU388" s="1174"/>
      <c r="AV388" s="1128"/>
      <c r="AW388" s="1169"/>
      <c r="AX388" s="1177"/>
      <c r="AY388" s="1177"/>
      <c r="AZ388" s="1169"/>
      <c r="BA388" s="1169">
        <f t="shared" si="651"/>
        <v>0</v>
      </c>
      <c r="BB388" s="1169"/>
      <c r="BC388" s="1177">
        <f t="shared" si="574"/>
        <v>0</v>
      </c>
      <c r="BD388" s="1027"/>
      <c r="BE388" s="1024"/>
      <c r="BF388" s="1024"/>
    </row>
    <row r="389" s="1000" customFormat="1">
      <c r="A389" s="999">
        <f t="shared" si="638"/>
        <v>0</v>
      </c>
      <c r="B389" s="1202" t="s">
        <v>464</v>
      </c>
      <c r="C389" s="1202"/>
      <c r="D389" s="1202"/>
      <c r="E389" s="1164">
        <f t="shared" si="634"/>
        <v>0</v>
      </c>
      <c r="F389" s="1164">
        <f t="shared" si="637"/>
        <v>0</v>
      </c>
      <c r="G389" s="1165">
        <f t="shared" si="645"/>
        <v>0</v>
      </c>
      <c r="H389" s="1277"/>
      <c r="I389" s="1167">
        <f t="shared" si="635"/>
        <v>0</v>
      </c>
      <c r="J389" s="1167">
        <f t="shared" si="636"/>
        <v>0</v>
      </c>
      <c r="K389" s="1168">
        <f t="shared" si="646"/>
        <v>0</v>
      </c>
      <c r="L389" s="1128"/>
      <c r="M389" s="1169"/>
      <c r="N389" s="1177"/>
      <c r="O389" s="1169"/>
      <c r="P389" s="1169"/>
      <c r="Q389" s="1169">
        <f t="shared" si="647"/>
        <v>0</v>
      </c>
      <c r="R389" s="1169"/>
      <c r="S389" s="1170"/>
      <c r="T389" s="1171"/>
      <c r="U389" s="1128"/>
      <c r="V389" s="1169"/>
      <c r="W389" s="1177"/>
      <c r="X389" s="1177"/>
      <c r="Y389" s="1169"/>
      <c r="Z389" s="1169">
        <f t="shared" si="648"/>
        <v>0</v>
      </c>
      <c r="AA389" s="1169"/>
      <c r="AB389" s="1172">
        <f t="shared" si="641"/>
        <v>0</v>
      </c>
      <c r="AC389" s="1171"/>
      <c r="AD389" s="1128"/>
      <c r="AE389" s="1169"/>
      <c r="AF389" s="1177"/>
      <c r="AG389" s="1177"/>
      <c r="AH389" s="1169"/>
      <c r="AI389" s="1169">
        <f t="shared" si="649"/>
        <v>0</v>
      </c>
      <c r="AJ389" s="1169"/>
      <c r="AK389" s="1173"/>
      <c r="AL389" s="1171"/>
      <c r="AM389" s="1128"/>
      <c r="AN389" s="1170"/>
      <c r="AO389" s="1175"/>
      <c r="AP389" s="1175"/>
      <c r="AQ389" s="1170"/>
      <c r="AR389" s="1170">
        <f t="shared" si="650"/>
        <v>0</v>
      </c>
      <c r="AS389" s="1170"/>
      <c r="AT389" s="1170"/>
      <c r="AU389" s="1174"/>
      <c r="AV389" s="1241"/>
      <c r="AW389" s="1169"/>
      <c r="AX389" s="1177"/>
      <c r="AY389" s="1177"/>
      <c r="AZ389" s="1169"/>
      <c r="BA389" s="1169">
        <f t="shared" si="651"/>
        <v>0</v>
      </c>
      <c r="BB389" s="1169"/>
      <c r="BC389" s="1177">
        <f t="shared" si="574"/>
        <v>0</v>
      </c>
      <c r="BD389" s="1027"/>
      <c r="BE389" s="1029"/>
      <c r="BF389" s="1029"/>
    </row>
    <row r="390" s="1000" customFormat="1">
      <c r="A390" s="999">
        <f t="shared" si="638"/>
        <v>0</v>
      </c>
      <c r="B390" s="1202" t="s">
        <v>465</v>
      </c>
      <c r="C390" s="1202"/>
      <c r="D390" s="1202"/>
      <c r="E390" s="1164">
        <f t="shared" si="634"/>
        <v>0</v>
      </c>
      <c r="F390" s="1164">
        <f t="shared" si="637"/>
        <v>0</v>
      </c>
      <c r="G390" s="1165">
        <f t="shared" si="645"/>
        <v>0</v>
      </c>
      <c r="H390" s="1277"/>
      <c r="I390" s="1167">
        <f t="shared" si="635"/>
        <v>0</v>
      </c>
      <c r="J390" s="1167">
        <f t="shared" si="636"/>
        <v>0</v>
      </c>
      <c r="K390" s="1168">
        <f t="shared" si="646"/>
        <v>0</v>
      </c>
      <c r="L390" s="1128"/>
      <c r="M390" s="1169"/>
      <c r="N390" s="1177"/>
      <c r="O390" s="1169"/>
      <c r="P390" s="1169"/>
      <c r="Q390" s="1169">
        <f t="shared" si="647"/>
        <v>0</v>
      </c>
      <c r="R390" s="1169"/>
      <c r="S390" s="1170"/>
      <c r="T390" s="1171"/>
      <c r="U390" s="1128"/>
      <c r="V390" s="1169"/>
      <c r="W390" s="1177"/>
      <c r="X390" s="1177"/>
      <c r="Y390" s="1169"/>
      <c r="Z390" s="1169">
        <f t="shared" si="648"/>
        <v>0</v>
      </c>
      <c r="AA390" s="1169"/>
      <c r="AB390" s="1172">
        <f t="shared" si="641"/>
        <v>0</v>
      </c>
      <c r="AC390" s="1171"/>
      <c r="AD390" s="1128"/>
      <c r="AE390" s="1169"/>
      <c r="AF390" s="1177"/>
      <c r="AG390" s="1177"/>
      <c r="AH390" s="1169"/>
      <c r="AI390" s="1169">
        <f t="shared" si="649"/>
        <v>0</v>
      </c>
      <c r="AJ390" s="1169"/>
      <c r="AK390" s="1173"/>
      <c r="AL390" s="1171"/>
      <c r="AM390" s="1128"/>
      <c r="AN390" s="1170"/>
      <c r="AO390" s="1175"/>
      <c r="AP390" s="1175"/>
      <c r="AQ390" s="1170"/>
      <c r="AR390" s="1170">
        <f t="shared" si="650"/>
        <v>0</v>
      </c>
      <c r="AS390" s="1170"/>
      <c r="AT390" s="1170"/>
      <c r="AU390" s="1174"/>
      <c r="AV390" s="1241"/>
      <c r="AW390" s="1169"/>
      <c r="AX390" s="1177"/>
      <c r="AY390" s="1177"/>
      <c r="AZ390" s="1169"/>
      <c r="BA390" s="1169">
        <f t="shared" si="651"/>
        <v>0</v>
      </c>
      <c r="BB390" s="1169"/>
      <c r="BC390" s="1177">
        <f t="shared" si="574"/>
        <v>0</v>
      </c>
      <c r="BD390" s="1027"/>
      <c r="BE390" s="1029"/>
      <c r="BF390" s="1029"/>
    </row>
    <row r="391" s="1000" customFormat="1">
      <c r="A391" s="999">
        <f t="shared" si="638"/>
        <v>0</v>
      </c>
      <c r="B391" s="1202" t="s">
        <v>303</v>
      </c>
      <c r="C391" s="1202"/>
      <c r="D391" s="1202"/>
      <c r="E391" s="1164">
        <f t="shared" si="634"/>
        <v>0</v>
      </c>
      <c r="F391" s="1164">
        <f t="shared" si="637"/>
        <v>0</v>
      </c>
      <c r="G391" s="1165">
        <f t="shared" si="645"/>
        <v>0</v>
      </c>
      <c r="H391" s="1277"/>
      <c r="I391" s="1167">
        <f t="shared" si="635"/>
        <v>0</v>
      </c>
      <c r="J391" s="1167">
        <f t="shared" si="636"/>
        <v>0</v>
      </c>
      <c r="K391" s="1168">
        <f t="shared" si="646"/>
        <v>0</v>
      </c>
      <c r="L391" s="1128"/>
      <c r="M391" s="1169"/>
      <c r="N391" s="1177"/>
      <c r="O391" s="1169"/>
      <c r="P391" s="1169"/>
      <c r="Q391" s="1169">
        <f t="shared" si="647"/>
        <v>0</v>
      </c>
      <c r="R391" s="1169"/>
      <c r="S391" s="1170"/>
      <c r="T391" s="1171"/>
      <c r="U391" s="1128"/>
      <c r="V391" s="1169"/>
      <c r="W391" s="1177"/>
      <c r="X391" s="1177"/>
      <c r="Y391" s="1169"/>
      <c r="Z391" s="1169">
        <f t="shared" si="648"/>
        <v>0</v>
      </c>
      <c r="AA391" s="1169"/>
      <c r="AB391" s="1172">
        <f t="shared" si="641"/>
        <v>0</v>
      </c>
      <c r="AC391" s="1171"/>
      <c r="AD391" s="1128"/>
      <c r="AE391" s="1169"/>
      <c r="AF391" s="1177"/>
      <c r="AG391" s="1177"/>
      <c r="AH391" s="1169"/>
      <c r="AI391" s="1169">
        <f t="shared" si="649"/>
        <v>0</v>
      </c>
      <c r="AJ391" s="1169"/>
      <c r="AK391" s="1173"/>
      <c r="AL391" s="1171"/>
      <c r="AM391" s="1128"/>
      <c r="AN391" s="1170"/>
      <c r="AO391" s="1175"/>
      <c r="AP391" s="1175"/>
      <c r="AQ391" s="1170"/>
      <c r="AR391" s="1170">
        <f t="shared" si="650"/>
        <v>0</v>
      </c>
      <c r="AS391" s="1170"/>
      <c r="AT391" s="1170"/>
      <c r="AU391" s="1174"/>
      <c r="AV391" s="1241"/>
      <c r="AW391" s="1169"/>
      <c r="AX391" s="1177"/>
      <c r="AY391" s="1177"/>
      <c r="AZ391" s="1169"/>
      <c r="BA391" s="1169">
        <f t="shared" si="651"/>
        <v>0</v>
      </c>
      <c r="BB391" s="1169"/>
      <c r="BC391" s="1177">
        <f t="shared" si="574"/>
        <v>0</v>
      </c>
      <c r="BD391" s="1027"/>
      <c r="BE391" s="1029"/>
      <c r="BF391" s="1029"/>
    </row>
    <row r="392" s="1000" customFormat="1">
      <c r="A392" s="999">
        <f t="shared" si="638"/>
        <v>0</v>
      </c>
      <c r="B392" s="1202" t="s">
        <v>304</v>
      </c>
      <c r="C392" s="1202"/>
      <c r="D392" s="1202"/>
      <c r="E392" s="1164">
        <f t="shared" si="634"/>
        <v>0</v>
      </c>
      <c r="F392" s="1164">
        <f t="shared" si="637"/>
        <v>0</v>
      </c>
      <c r="G392" s="1165">
        <f t="shared" si="645"/>
        <v>0</v>
      </c>
      <c r="H392" s="1277"/>
      <c r="I392" s="1167">
        <f t="shared" si="635"/>
        <v>0</v>
      </c>
      <c r="J392" s="1167">
        <f t="shared" si="636"/>
        <v>0</v>
      </c>
      <c r="K392" s="1168">
        <f t="shared" si="646"/>
        <v>0</v>
      </c>
      <c r="L392" s="1128"/>
      <c r="M392" s="1169"/>
      <c r="N392" s="1177"/>
      <c r="O392" s="1169"/>
      <c r="P392" s="1169"/>
      <c r="Q392" s="1169">
        <f t="shared" si="647"/>
        <v>0</v>
      </c>
      <c r="R392" s="1169"/>
      <c r="S392" s="1170"/>
      <c r="T392" s="1171"/>
      <c r="U392" s="1128"/>
      <c r="V392" s="1169"/>
      <c r="W392" s="1177"/>
      <c r="X392" s="1177"/>
      <c r="Y392" s="1169"/>
      <c r="Z392" s="1169">
        <f t="shared" si="648"/>
        <v>0</v>
      </c>
      <c r="AA392" s="1169"/>
      <c r="AB392" s="1172">
        <f t="shared" si="641"/>
        <v>0</v>
      </c>
      <c r="AC392" s="1171"/>
      <c r="AD392" s="1128"/>
      <c r="AE392" s="1169"/>
      <c r="AF392" s="1177"/>
      <c r="AG392" s="1177"/>
      <c r="AH392" s="1169"/>
      <c r="AI392" s="1169">
        <f t="shared" si="649"/>
        <v>0</v>
      </c>
      <c r="AJ392" s="1169"/>
      <c r="AK392" s="1173"/>
      <c r="AL392" s="1171"/>
      <c r="AM392" s="1128"/>
      <c r="AN392" s="1170"/>
      <c r="AO392" s="1175"/>
      <c r="AP392" s="1175"/>
      <c r="AQ392" s="1170"/>
      <c r="AR392" s="1170">
        <f t="shared" si="650"/>
        <v>0</v>
      </c>
      <c r="AS392" s="1170"/>
      <c r="AT392" s="1170"/>
      <c r="AU392" s="1174"/>
      <c r="AV392" s="1241"/>
      <c r="AW392" s="1169"/>
      <c r="AX392" s="1177"/>
      <c r="AY392" s="1177"/>
      <c r="AZ392" s="1169"/>
      <c r="BA392" s="1169">
        <f t="shared" si="651"/>
        <v>0</v>
      </c>
      <c r="BB392" s="1169"/>
      <c r="BC392" s="1177">
        <f t="shared" si="574"/>
        <v>0</v>
      </c>
      <c r="BD392" s="1027"/>
      <c r="BE392" s="1029"/>
      <c r="BF392" s="1029"/>
    </row>
    <row r="393" ht="18.75" customHeight="1">
      <c r="A393" s="999" t="str">
        <f t="shared" si="638"/>
        <v xml:space="preserve">Радченко Т.А.</v>
      </c>
      <c r="B393" s="1202" t="s">
        <v>467</v>
      </c>
      <c r="C393" s="1202"/>
      <c r="D393" s="1202"/>
      <c r="E393" s="1164">
        <f t="shared" si="634"/>
        <v>0</v>
      </c>
      <c r="F393" s="1164">
        <f t="shared" si="637"/>
        <v>0</v>
      </c>
      <c r="G393" s="1165">
        <f t="shared" si="645"/>
        <v>0</v>
      </c>
      <c r="H393" s="1279" t="e">
        <f t="shared" ref="H335:H398" si="653">G393/$G$299</f>
        <v>#DIV/0!</v>
      </c>
      <c r="I393" s="1167">
        <f t="shared" si="635"/>
        <v>0</v>
      </c>
      <c r="J393" s="1167">
        <f t="shared" si="636"/>
        <v>0</v>
      </c>
      <c r="K393" s="1168">
        <f t="shared" si="646"/>
        <v>0</v>
      </c>
      <c r="L393" s="1128"/>
      <c r="M393" s="1169"/>
      <c r="N393" s="1177"/>
      <c r="O393" s="1169"/>
      <c r="P393" s="1169"/>
      <c r="Q393" s="1169">
        <f t="shared" si="647"/>
        <v>0</v>
      </c>
      <c r="R393" s="1169"/>
      <c r="S393" s="1170"/>
      <c r="T393" s="1171"/>
      <c r="U393" s="1128"/>
      <c r="V393" s="1169"/>
      <c r="W393" s="1177"/>
      <c r="X393" s="1177"/>
      <c r="Y393" s="1169"/>
      <c r="Z393" s="1169">
        <f t="shared" si="648"/>
        <v>0</v>
      </c>
      <c r="AA393" s="1169"/>
      <c r="AB393" s="1172">
        <f t="shared" si="641"/>
        <v>0</v>
      </c>
      <c r="AC393" s="1171"/>
      <c r="AD393" s="1128"/>
      <c r="AE393" s="1169"/>
      <c r="AF393" s="1177"/>
      <c r="AG393" s="1177"/>
      <c r="AH393" s="1169"/>
      <c r="AI393" s="1169">
        <f t="shared" si="649"/>
        <v>0</v>
      </c>
      <c r="AJ393" s="1169"/>
      <c r="AK393" s="1173"/>
      <c r="AL393" s="1171"/>
      <c r="AM393" s="1128"/>
      <c r="AN393" s="1170"/>
      <c r="AO393" s="1175"/>
      <c r="AP393" s="1175"/>
      <c r="AQ393" s="1170"/>
      <c r="AR393" s="1170">
        <f t="shared" si="650"/>
        <v>0</v>
      </c>
      <c r="AS393" s="1170"/>
      <c r="AT393" s="1170"/>
      <c r="AU393" s="1174"/>
      <c r="AV393" s="1241"/>
      <c r="AW393" s="1169"/>
      <c r="AX393" s="1177"/>
      <c r="AY393" s="1177"/>
      <c r="AZ393" s="1169"/>
      <c r="BA393" s="1169">
        <f t="shared" si="651"/>
        <v>0</v>
      </c>
      <c r="BB393" s="1169"/>
      <c r="BC393" s="1177">
        <f t="shared" si="574"/>
        <v>0</v>
      </c>
      <c r="BD393" s="1027"/>
      <c r="BE393" s="1029"/>
      <c r="BF393" s="1029"/>
    </row>
    <row r="394" s="1000" customFormat="1">
      <c r="A394" s="999"/>
      <c r="B394" s="1202" t="s">
        <v>469</v>
      </c>
      <c r="C394" s="1202"/>
      <c r="D394" s="1202"/>
      <c r="E394" s="1164">
        <f t="shared" si="634"/>
        <v>0</v>
      </c>
      <c r="F394" s="1164">
        <f t="shared" si="637"/>
        <v>0</v>
      </c>
      <c r="G394" s="1165">
        <f t="shared" si="645"/>
        <v>0</v>
      </c>
      <c r="H394" s="1277"/>
      <c r="I394" s="1167">
        <f t="shared" si="635"/>
        <v>0</v>
      </c>
      <c r="J394" s="1167">
        <f t="shared" si="636"/>
        <v>0</v>
      </c>
      <c r="K394" s="1168">
        <f t="shared" si="646"/>
        <v>0</v>
      </c>
      <c r="L394" s="1128"/>
      <c r="M394" s="1169"/>
      <c r="N394" s="1177"/>
      <c r="O394" s="1169"/>
      <c r="P394" s="1169"/>
      <c r="Q394" s="1169">
        <f t="shared" si="647"/>
        <v>0</v>
      </c>
      <c r="R394" s="1169"/>
      <c r="S394" s="1170"/>
      <c r="T394" s="1171"/>
      <c r="U394" s="1128"/>
      <c r="V394" s="1169"/>
      <c r="W394" s="1177"/>
      <c r="X394" s="1177"/>
      <c r="Y394" s="1169"/>
      <c r="Z394" s="1169">
        <f t="shared" si="648"/>
        <v>0</v>
      </c>
      <c r="AA394" s="1169"/>
      <c r="AB394" s="1172">
        <f t="shared" si="641"/>
        <v>0</v>
      </c>
      <c r="AC394" s="1171"/>
      <c r="AD394" s="1128"/>
      <c r="AE394" s="1169"/>
      <c r="AF394" s="1177"/>
      <c r="AG394" s="1177"/>
      <c r="AH394" s="1169"/>
      <c r="AI394" s="1169">
        <f t="shared" si="649"/>
        <v>0</v>
      </c>
      <c r="AJ394" s="1169"/>
      <c r="AK394" s="1173"/>
      <c r="AL394" s="1171"/>
      <c r="AM394" s="1128"/>
      <c r="AN394" s="1170"/>
      <c r="AO394" s="1175"/>
      <c r="AP394" s="1175"/>
      <c r="AQ394" s="1170"/>
      <c r="AR394" s="1170">
        <f t="shared" si="650"/>
        <v>0</v>
      </c>
      <c r="AS394" s="1170"/>
      <c r="AT394" s="1170"/>
      <c r="AU394" s="1174"/>
      <c r="AV394" s="1241"/>
      <c r="AW394" s="1169"/>
      <c r="AX394" s="1177"/>
      <c r="AY394" s="1177"/>
      <c r="AZ394" s="1169"/>
      <c r="BA394" s="1169">
        <f t="shared" si="651"/>
        <v>0</v>
      </c>
      <c r="BB394" s="1169"/>
      <c r="BC394" s="1177">
        <f t="shared" si="574"/>
        <v>0</v>
      </c>
      <c r="BD394" s="1027"/>
      <c r="BE394" s="1029"/>
      <c r="BF394" s="1029"/>
    </row>
    <row r="395" s="1000" customFormat="1" ht="22.5">
      <c r="A395" s="999"/>
      <c r="B395" s="1205" t="s">
        <v>27</v>
      </c>
      <c r="C395" s="1205"/>
      <c r="D395" s="1205"/>
      <c r="E395" s="1183">
        <f t="shared" si="634"/>
        <v>0</v>
      </c>
      <c r="F395" s="1183">
        <f t="shared" si="637"/>
        <v>0</v>
      </c>
      <c r="G395" s="1184">
        <f>SUM(G369:G394)</f>
        <v>0</v>
      </c>
      <c r="H395" s="1280"/>
      <c r="I395" s="1186">
        <f t="shared" si="635"/>
        <v>0</v>
      </c>
      <c r="J395" s="1186">
        <f t="shared" si="636"/>
        <v>0</v>
      </c>
      <c r="K395" s="1187">
        <f>SUM(K369:K394)</f>
        <v>0</v>
      </c>
      <c r="L395" s="1210"/>
      <c r="M395" s="1213">
        <f t="shared" ref="M395:R395" si="654">SUM(M369:M394)</f>
        <v>0</v>
      </c>
      <c r="N395" s="1213">
        <f t="shared" si="654"/>
        <v>0</v>
      </c>
      <c r="O395" s="1213">
        <f t="shared" si="654"/>
        <v>0</v>
      </c>
      <c r="P395" s="1213">
        <f t="shared" si="654"/>
        <v>0</v>
      </c>
      <c r="Q395" s="1213">
        <f t="shared" si="654"/>
        <v>0</v>
      </c>
      <c r="R395" s="1213">
        <f t="shared" si="654"/>
        <v>0</v>
      </c>
      <c r="S395" s="1170"/>
      <c r="T395" s="1214"/>
      <c r="U395" s="1210">
        <f t="shared" ref="U395:AA395" si="655">SUM(U369:U394)</f>
        <v>0</v>
      </c>
      <c r="V395" s="1209">
        <f t="shared" si="655"/>
        <v>0</v>
      </c>
      <c r="W395" s="1209">
        <f t="shared" si="655"/>
        <v>0</v>
      </c>
      <c r="X395" s="1209">
        <f t="shared" si="655"/>
        <v>0</v>
      </c>
      <c r="Y395" s="1209">
        <f t="shared" si="655"/>
        <v>0</v>
      </c>
      <c r="Z395" s="1209">
        <f t="shared" si="655"/>
        <v>0</v>
      </c>
      <c r="AA395" s="1209">
        <f t="shared" si="655"/>
        <v>0</v>
      </c>
      <c r="AB395" s="1172">
        <f t="shared" si="641"/>
        <v>0</v>
      </c>
      <c r="AC395" s="1208"/>
      <c r="AD395" s="1210">
        <f t="shared" ref="AD395:AJ395" si="656">SUM(AD369:AD394)</f>
        <v>0</v>
      </c>
      <c r="AE395" s="1209">
        <f t="shared" si="656"/>
        <v>0</v>
      </c>
      <c r="AF395" s="1209">
        <f t="shared" si="656"/>
        <v>0</v>
      </c>
      <c r="AG395" s="1209">
        <f t="shared" si="656"/>
        <v>0</v>
      </c>
      <c r="AH395" s="1209">
        <f t="shared" si="656"/>
        <v>0</v>
      </c>
      <c r="AI395" s="1209">
        <f t="shared" si="656"/>
        <v>0</v>
      </c>
      <c r="AJ395" s="1209">
        <f t="shared" si="656"/>
        <v>0</v>
      </c>
      <c r="AK395" s="1173"/>
      <c r="AL395" s="1208"/>
      <c r="AM395" s="1128"/>
      <c r="AN395" s="1190">
        <f t="shared" ref="AN395:AS395" si="657">SUM(AN369:AN394)</f>
        <v>0</v>
      </c>
      <c r="AO395" s="1190">
        <f t="shared" si="657"/>
        <v>0</v>
      </c>
      <c r="AP395" s="1190">
        <f t="shared" si="657"/>
        <v>0</v>
      </c>
      <c r="AQ395" s="1190">
        <f t="shared" si="657"/>
        <v>0</v>
      </c>
      <c r="AR395" s="1190">
        <f t="shared" si="657"/>
        <v>0</v>
      </c>
      <c r="AS395" s="1190">
        <f t="shared" si="657"/>
        <v>0</v>
      </c>
      <c r="AT395" s="1170"/>
      <c r="AU395" s="1191"/>
      <c r="AV395" s="1241"/>
      <c r="AW395" s="1096">
        <f t="shared" ref="AW395:BB395" si="658">SUM(AW369:AW394)</f>
        <v>0</v>
      </c>
      <c r="AX395" s="1096">
        <f t="shared" si="658"/>
        <v>0</v>
      </c>
      <c r="AY395" s="1096">
        <f t="shared" si="658"/>
        <v>0</v>
      </c>
      <c r="AZ395" s="1096">
        <f t="shared" si="658"/>
        <v>0</v>
      </c>
      <c r="BA395" s="1096">
        <f t="shared" si="658"/>
        <v>0</v>
      </c>
      <c r="BB395" s="1096">
        <f t="shared" si="658"/>
        <v>0</v>
      </c>
      <c r="BC395" s="1281">
        <f t="shared" si="574"/>
        <v>0</v>
      </c>
      <c r="BD395" s="1027"/>
      <c r="BE395" s="1029"/>
      <c r="BF395" s="1029"/>
    </row>
    <row r="396" s="1000" customFormat="1" ht="22.5">
      <c r="A396" s="999"/>
      <c r="B396" s="1205" t="s">
        <v>481</v>
      </c>
      <c r="C396" s="1205"/>
      <c r="D396" s="1205"/>
      <c r="E396" s="1183">
        <f t="shared" si="634"/>
        <v>0</v>
      </c>
      <c r="F396" s="1183">
        <f t="shared" si="637"/>
        <v>0</v>
      </c>
      <c r="G396" s="1220">
        <f>G395+G368+G354+G345</f>
        <v>0</v>
      </c>
      <c r="H396" s="1283"/>
      <c r="I396" s="1186">
        <f t="shared" si="635"/>
        <v>0</v>
      </c>
      <c r="J396" s="1186">
        <f t="shared" si="636"/>
        <v>0</v>
      </c>
      <c r="K396" s="1222">
        <f>K395+K368+K354+K345</f>
        <v>0</v>
      </c>
      <c r="L396" s="1197"/>
      <c r="M396" s="1096">
        <f t="shared" ref="M396:R396" si="659">M395+M368+M354+M345</f>
        <v>0</v>
      </c>
      <c r="N396" s="1096">
        <f t="shared" si="659"/>
        <v>0</v>
      </c>
      <c r="O396" s="1096">
        <f t="shared" si="659"/>
        <v>0</v>
      </c>
      <c r="P396" s="1096">
        <f t="shared" si="659"/>
        <v>0</v>
      </c>
      <c r="Q396" s="1096">
        <f>Q395+Q368+Q354+Q345</f>
        <v>0</v>
      </c>
      <c r="R396" s="1096">
        <f t="shared" si="659"/>
        <v>0</v>
      </c>
      <c r="S396" s="1170"/>
      <c r="T396" s="1189"/>
      <c r="U396" s="1190">
        <f t="shared" ref="U396:AA396" si="660">U395+U368+U354+U345</f>
        <v>0</v>
      </c>
      <c r="V396" s="1096">
        <f t="shared" si="660"/>
        <v>0</v>
      </c>
      <c r="W396" s="1096">
        <f t="shared" si="660"/>
        <v>0</v>
      </c>
      <c r="X396" s="1096">
        <f t="shared" si="660"/>
        <v>0</v>
      </c>
      <c r="Y396" s="1096">
        <f t="shared" si="660"/>
        <v>0</v>
      </c>
      <c r="Z396" s="1096">
        <f t="shared" si="660"/>
        <v>0</v>
      </c>
      <c r="AA396" s="1096">
        <f t="shared" si="660"/>
        <v>0</v>
      </c>
      <c r="AB396" s="1172">
        <f t="shared" si="641"/>
        <v>0</v>
      </c>
      <c r="AC396" s="1189"/>
      <c r="AD396" s="1197">
        <f t="shared" ref="AD396:AJ396" si="661">AD395+AD368+AD354+AD345</f>
        <v>0</v>
      </c>
      <c r="AE396" s="1096">
        <f t="shared" si="661"/>
        <v>0</v>
      </c>
      <c r="AF396" s="1096">
        <f t="shared" si="661"/>
        <v>0</v>
      </c>
      <c r="AG396" s="1096">
        <f t="shared" si="661"/>
        <v>0</v>
      </c>
      <c r="AH396" s="1096">
        <f t="shared" si="661"/>
        <v>0</v>
      </c>
      <c r="AI396" s="1096">
        <f t="shared" si="661"/>
        <v>0</v>
      </c>
      <c r="AJ396" s="1096">
        <f t="shared" si="661"/>
        <v>0</v>
      </c>
      <c r="AK396" s="1173"/>
      <c r="AL396" s="1189"/>
      <c r="AM396" s="1197">
        <f t="shared" ref="AM396:AS396" si="662">AM395+AM368+AM354+AM345</f>
        <v>0</v>
      </c>
      <c r="AN396" s="1190">
        <f t="shared" si="662"/>
        <v>0</v>
      </c>
      <c r="AO396" s="1190">
        <f t="shared" si="662"/>
        <v>0</v>
      </c>
      <c r="AP396" s="1190">
        <f t="shared" si="662"/>
        <v>0</v>
      </c>
      <c r="AQ396" s="1190">
        <f t="shared" si="662"/>
        <v>0</v>
      </c>
      <c r="AR396" s="1190">
        <f t="shared" si="662"/>
        <v>0</v>
      </c>
      <c r="AS396" s="1190">
        <f t="shared" si="662"/>
        <v>0</v>
      </c>
      <c r="AT396" s="1170"/>
      <c r="AU396" s="1191"/>
      <c r="AV396" s="1190">
        <f t="shared" ref="AV396:BB396" si="663">AV395+AV368+AV354+AV345</f>
        <v>0</v>
      </c>
      <c r="AW396" s="1096">
        <f t="shared" si="663"/>
        <v>0</v>
      </c>
      <c r="AX396" s="1096">
        <f t="shared" si="663"/>
        <v>0</v>
      </c>
      <c r="AY396" s="1096">
        <f t="shared" si="663"/>
        <v>0</v>
      </c>
      <c r="AZ396" s="1096">
        <f t="shared" si="663"/>
        <v>0</v>
      </c>
      <c r="BA396" s="1096">
        <f t="shared" si="663"/>
        <v>0</v>
      </c>
      <c r="BB396" s="1096">
        <f t="shared" si="663"/>
        <v>0</v>
      </c>
      <c r="BC396" s="1281">
        <f t="shared" si="574"/>
        <v>0</v>
      </c>
      <c r="BD396" s="1027"/>
      <c r="BE396" s="1029"/>
      <c r="BF396" s="1029"/>
    </row>
    <row r="397" s="1284" customFormat="1">
      <c r="A397" s="1285"/>
      <c r="B397" s="1286"/>
      <c r="C397" s="1286"/>
      <c r="D397" s="1286"/>
      <c r="E397" s="1287"/>
      <c r="F397" s="1287"/>
      <c r="G397" s="1287"/>
      <c r="H397" s="1288"/>
      <c r="I397" s="1289"/>
      <c r="J397" s="1289"/>
      <c r="K397" s="1167"/>
      <c r="L397" s="1024"/>
      <c r="M397" s="1290"/>
      <c r="N397" s="1290"/>
      <c r="O397" s="1290"/>
      <c r="P397" s="1290"/>
      <c r="Q397" s="1290"/>
      <c r="R397" s="1290"/>
      <c r="S397" s="1170"/>
      <c r="T397" s="1291"/>
      <c r="U397" s="1024"/>
      <c r="V397" s="1292"/>
      <c r="W397" s="1292"/>
      <c r="X397" s="1292"/>
      <c r="Y397" s="1292"/>
      <c r="Z397" s="1292"/>
      <c r="AA397" s="1292"/>
      <c r="AB397" s="1170"/>
      <c r="AC397" s="1291"/>
      <c r="AD397" s="1024"/>
      <c r="AE397" s="1292"/>
      <c r="AF397" s="1292"/>
      <c r="AG397" s="1292"/>
      <c r="AH397" s="1292"/>
      <c r="AI397" s="1292"/>
      <c r="AJ397" s="1292"/>
      <c r="AK397" s="1173"/>
      <c r="AL397" s="1291"/>
      <c r="AM397" s="1024"/>
      <c r="AN397" s="1292"/>
      <c r="AO397" s="1292"/>
      <c r="AP397" s="1292"/>
      <c r="AQ397" s="1292"/>
      <c r="AR397" s="1292"/>
      <c r="AS397" s="1292"/>
      <c r="AT397" s="1170"/>
      <c r="AU397" s="1293"/>
      <c r="AV397" s="1029"/>
      <c r="AW397" s="1292"/>
      <c r="AX397" s="1292"/>
      <c r="AY397" s="1292"/>
      <c r="AZ397" s="1292"/>
      <c r="BA397" s="1292"/>
      <c r="BB397" s="1292"/>
      <c r="BC397" s="1175"/>
      <c r="BD397" s="1027"/>
      <c r="BE397" s="1029"/>
      <c r="BF397" s="1029"/>
      <c r="BG397" s="1294"/>
      <c r="BH397" s="1294"/>
      <c r="BI397" s="1294"/>
      <c r="BJ397" s="1294"/>
      <c r="BK397" s="1294"/>
      <c r="BL397" s="1294"/>
      <c r="BM397" s="1294"/>
      <c r="BN397" s="1294"/>
      <c r="BO397" s="1294"/>
      <c r="BP397" s="1294"/>
      <c r="BQ397" s="1294"/>
      <c r="BR397" s="1294"/>
      <c r="BS397" s="1294"/>
      <c r="BT397" s="1294"/>
      <c r="BU397" s="1294"/>
      <c r="BV397" s="1294"/>
      <c r="BW397" s="1294"/>
      <c r="BX397" s="1294"/>
      <c r="BY397" s="1294"/>
      <c r="BZ397" s="1294"/>
      <c r="CA397" s="1294"/>
      <c r="CB397" s="1294"/>
      <c r="CC397" s="1294"/>
      <c r="CD397" s="1294"/>
      <c r="CE397" s="1294"/>
      <c r="CF397" s="1294"/>
      <c r="CG397" s="1294"/>
      <c r="CH397" s="1294"/>
      <c r="CI397" s="1294"/>
      <c r="CJ397" s="1294"/>
      <c r="CK397" s="1294"/>
      <c r="CL397" s="1294"/>
      <c r="CM397" s="1294"/>
      <c r="CN397" s="1294"/>
      <c r="CO397" s="1294"/>
      <c r="CP397" s="1294"/>
      <c r="CQ397" s="1294"/>
      <c r="CR397" s="1294"/>
      <c r="CS397" s="1294"/>
      <c r="CT397" s="1294"/>
      <c r="CU397" s="1294"/>
      <c r="CV397" s="1294"/>
      <c r="CW397" s="1294"/>
      <c r="CX397" s="1294"/>
    </row>
    <row r="398" s="1284" customFormat="1">
      <c r="A398" s="1285"/>
      <c r="B398" s="1286"/>
      <c r="C398" s="1286"/>
      <c r="D398" s="1286"/>
      <c r="E398" s="1287"/>
      <c r="F398" s="1287"/>
      <c r="G398" s="1287"/>
      <c r="H398" s="1288"/>
      <c r="I398" s="1289"/>
      <c r="J398" s="1289"/>
      <c r="K398" s="1167"/>
      <c r="L398" s="1024"/>
      <c r="M398" s="1290"/>
      <c r="N398" s="1290"/>
      <c r="O398" s="1290"/>
      <c r="P398" s="1290"/>
      <c r="Q398" s="1290"/>
      <c r="R398" s="1290"/>
      <c r="S398" s="1170"/>
      <c r="T398" s="1291"/>
      <c r="U398" s="1024"/>
      <c r="V398" s="1292"/>
      <c r="W398" s="1292"/>
      <c r="X398" s="1292"/>
      <c r="Y398" s="1292"/>
      <c r="Z398" s="1292"/>
      <c r="AA398" s="1292"/>
      <c r="AB398" s="1170"/>
      <c r="AC398" s="1291"/>
      <c r="AD398" s="1024"/>
      <c r="AE398" s="1290"/>
      <c r="AF398" s="1290"/>
      <c r="AG398" s="1290"/>
      <c r="AH398" s="1290"/>
      <c r="AI398" s="1290"/>
      <c r="AJ398" s="1290"/>
      <c r="AK398" s="1173"/>
      <c r="AL398" s="1291"/>
      <c r="AM398" s="1024"/>
      <c r="AN398" s="1290"/>
      <c r="AO398" s="1290"/>
      <c r="AP398" s="1290"/>
      <c r="AQ398" s="1290"/>
      <c r="AR398" s="1290"/>
      <c r="AS398" s="1290"/>
      <c r="AT398" s="1170"/>
      <c r="AU398" s="1293"/>
      <c r="AV398" s="1029"/>
      <c r="AW398" s="1292"/>
      <c r="AX398" s="1292"/>
      <c r="AY398" s="1292"/>
      <c r="AZ398" s="1292"/>
      <c r="BA398" s="1292"/>
      <c r="BB398" s="1292"/>
      <c r="BC398" s="1175"/>
      <c r="BD398" s="1027"/>
      <c r="BE398" s="1029"/>
      <c r="BF398" s="1029"/>
      <c r="BG398" s="1294"/>
      <c r="BH398" s="1294"/>
      <c r="BI398" s="1294"/>
      <c r="BJ398" s="1294"/>
      <c r="BK398" s="1294"/>
      <c r="BL398" s="1294"/>
      <c r="BM398" s="1294"/>
      <c r="BN398" s="1294"/>
      <c r="BO398" s="1294"/>
      <c r="BP398" s="1294"/>
      <c r="BQ398" s="1294"/>
      <c r="BR398" s="1294"/>
      <c r="BS398" s="1294"/>
      <c r="BT398" s="1294"/>
      <c r="BU398" s="1294"/>
      <c r="BV398" s="1294"/>
      <c r="BW398" s="1294"/>
      <c r="BX398" s="1294"/>
      <c r="BY398" s="1294"/>
      <c r="BZ398" s="1294"/>
      <c r="CA398" s="1294"/>
      <c r="CB398" s="1294"/>
      <c r="CC398" s="1294"/>
      <c r="CD398" s="1294"/>
      <c r="CE398" s="1294"/>
      <c r="CF398" s="1294"/>
      <c r="CG398" s="1294"/>
      <c r="CH398" s="1294"/>
      <c r="CI398" s="1294"/>
      <c r="CJ398" s="1294"/>
      <c r="CK398" s="1294"/>
      <c r="CL398" s="1294"/>
      <c r="CM398" s="1294"/>
      <c r="CN398" s="1294"/>
      <c r="CO398" s="1294"/>
      <c r="CP398" s="1294"/>
      <c r="CQ398" s="1294"/>
      <c r="CR398" s="1294"/>
      <c r="CS398" s="1294"/>
      <c r="CT398" s="1294"/>
      <c r="CU398" s="1294"/>
      <c r="CV398" s="1294"/>
      <c r="CW398" s="1294"/>
      <c r="CX398" s="1294"/>
    </row>
    <row r="399" s="1106" customFormat="1" ht="32.25" customHeight="1">
      <c r="A399" s="1181"/>
      <c r="B399" s="1295" t="s">
        <v>482</v>
      </c>
      <c r="C399" s="1295"/>
      <c r="D399" s="1295"/>
      <c r="E399" s="1113" t="s">
        <v>347</v>
      </c>
      <c r="F399" s="1114"/>
      <c r="G399" s="1114"/>
      <c r="H399" s="1115"/>
      <c r="I399" s="1235" t="s">
        <v>335</v>
      </c>
      <c r="J399" s="1236"/>
      <c r="K399" s="1237"/>
      <c r="L399" s="1119"/>
      <c r="M399" s="1120" t="s">
        <v>127</v>
      </c>
      <c r="N399" s="1121"/>
      <c r="O399" s="1121"/>
      <c r="P399" s="1121"/>
      <c r="Q399" s="1121"/>
      <c r="R399" s="1122"/>
      <c r="S399" s="1123"/>
      <c r="T399" s="1124"/>
      <c r="U399" s="1125"/>
      <c r="V399" s="1120" t="s">
        <v>325</v>
      </c>
      <c r="W399" s="1121"/>
      <c r="X399" s="1121"/>
      <c r="Y399" s="1121"/>
      <c r="Z399" s="1121"/>
      <c r="AA399" s="1122"/>
      <c r="AB399" s="1115"/>
      <c r="AC399" s="1126"/>
      <c r="AD399" s="1125"/>
      <c r="AE399" s="1120" t="s">
        <v>311</v>
      </c>
      <c r="AF399" s="1121"/>
      <c r="AG399" s="1121"/>
      <c r="AH399" s="1121"/>
      <c r="AI399" s="1121"/>
      <c r="AJ399" s="1122"/>
      <c r="AK399" s="1127"/>
      <c r="AL399" s="1126"/>
      <c r="AM399" s="1128"/>
      <c r="AN399" s="1043" t="s">
        <v>327</v>
      </c>
      <c r="AO399" s="1044"/>
      <c r="AP399" s="1044"/>
      <c r="AQ399" s="1044"/>
      <c r="AR399" s="1044"/>
      <c r="AS399" s="1045"/>
      <c r="AT399" s="1129"/>
      <c r="AU399" s="1130"/>
      <c r="AV399" s="1131"/>
      <c r="AW399" s="1043" t="s">
        <v>349</v>
      </c>
      <c r="AX399" s="1044"/>
      <c r="AY399" s="1044"/>
      <c r="AZ399" s="1044"/>
      <c r="BA399" s="1044"/>
      <c r="BB399" s="1045"/>
      <c r="BC399" s="1029"/>
      <c r="BD399" s="1296"/>
      <c r="BE399" s="1297"/>
      <c r="BF399" s="1297"/>
    </row>
    <row r="400" ht="18.75" customHeight="1">
      <c r="A400" s="1110"/>
      <c r="B400" s="1134" t="s">
        <v>350</v>
      </c>
      <c r="C400" s="1134"/>
      <c r="D400" s="1134"/>
      <c r="E400" s="1135" t="s">
        <v>332</v>
      </c>
      <c r="F400" s="1135" t="s">
        <v>333</v>
      </c>
      <c r="G400" s="1136" t="s">
        <v>334</v>
      </c>
      <c r="H400" s="1137" t="s">
        <v>341</v>
      </c>
      <c r="I400" s="1138"/>
      <c r="J400" s="1138"/>
      <c r="K400" s="1139"/>
      <c r="L400" s="1119"/>
      <c r="M400" s="1073" t="s">
        <v>336</v>
      </c>
      <c r="N400" s="1073" t="s">
        <v>337</v>
      </c>
      <c r="O400" s="1073" t="s">
        <v>338</v>
      </c>
      <c r="P400" s="1073" t="s">
        <v>344</v>
      </c>
      <c r="Q400" s="1073" t="s">
        <v>351</v>
      </c>
      <c r="R400" s="1140" t="s">
        <v>339</v>
      </c>
      <c r="S400" s="1141" t="s">
        <v>340</v>
      </c>
      <c r="T400" s="1142"/>
      <c r="U400" s="1128"/>
      <c r="V400" s="1073" t="s">
        <v>336</v>
      </c>
      <c r="W400" s="1073" t="s">
        <v>337</v>
      </c>
      <c r="X400" s="1073" t="s">
        <v>338</v>
      </c>
      <c r="Y400" s="1073" t="s">
        <v>344</v>
      </c>
      <c r="Z400" s="1073" t="s">
        <v>351</v>
      </c>
      <c r="AA400" s="1140" t="s">
        <v>339</v>
      </c>
      <c r="AB400" s="1143" t="str">
        <f>S400</f>
        <v xml:space="preserve">Итого (спирт+наркотики+растворы+перевязка)</v>
      </c>
      <c r="AC400" s="1142"/>
      <c r="AD400" s="1128"/>
      <c r="AE400" s="1073" t="s">
        <v>336</v>
      </c>
      <c r="AF400" s="1073" t="s">
        <v>337</v>
      </c>
      <c r="AG400" s="1073" t="s">
        <v>338</v>
      </c>
      <c r="AH400" s="1073" t="s">
        <v>344</v>
      </c>
      <c r="AI400" s="1073" t="s">
        <v>351</v>
      </c>
      <c r="AJ400" s="1140" t="s">
        <v>339</v>
      </c>
      <c r="AK400" s="1141" t="s">
        <v>340</v>
      </c>
      <c r="AL400" s="1142"/>
      <c r="AM400" s="1128"/>
      <c r="AN400" s="1144" t="s">
        <v>336</v>
      </c>
      <c r="AO400" s="1144" t="s">
        <v>337</v>
      </c>
      <c r="AP400" s="1144" t="s">
        <v>338</v>
      </c>
      <c r="AQ400" s="1073" t="s">
        <v>344</v>
      </c>
      <c r="AR400" s="1073" t="s">
        <v>351</v>
      </c>
      <c r="AS400" s="1140" t="s">
        <v>339</v>
      </c>
      <c r="AT400" s="1145"/>
      <c r="AU400" s="1146"/>
      <c r="AV400" s="1131"/>
      <c r="AW400" s="1144" t="s">
        <v>336</v>
      </c>
      <c r="AX400" s="1144" t="s">
        <v>337</v>
      </c>
      <c r="AY400" s="1144" t="s">
        <v>338</v>
      </c>
      <c r="AZ400" s="1073" t="s">
        <v>344</v>
      </c>
      <c r="BA400" s="1073" t="s">
        <v>351</v>
      </c>
      <c r="BB400" s="1140" t="s">
        <v>339</v>
      </c>
      <c r="BC400" s="1147"/>
      <c r="BD400" s="1132"/>
      <c r="BE400" s="1133"/>
      <c r="BF400" s="1133"/>
    </row>
    <row r="401" ht="39.75" customHeight="1">
      <c r="A401" s="1110"/>
      <c r="B401" s="1149"/>
      <c r="C401" s="1149"/>
      <c r="D401" s="1149"/>
      <c r="E401" s="1150"/>
      <c r="F401" s="1150"/>
      <c r="G401" s="1151"/>
      <c r="H401" s="1152"/>
      <c r="I401" s="1153" t="s">
        <v>342</v>
      </c>
      <c r="J401" s="1154" t="s">
        <v>339</v>
      </c>
      <c r="K401" s="1155" t="s">
        <v>335</v>
      </c>
      <c r="L401" s="1119"/>
      <c r="M401" s="1095"/>
      <c r="N401" s="1095"/>
      <c r="O401" s="1095"/>
      <c r="P401" s="1095"/>
      <c r="Q401" s="1095"/>
      <c r="R401" s="1123"/>
      <c r="S401" s="1156"/>
      <c r="T401" s="1124"/>
      <c r="U401" s="1128"/>
      <c r="V401" s="1095"/>
      <c r="W401" s="1095"/>
      <c r="X401" s="1095"/>
      <c r="Y401" s="1095"/>
      <c r="Z401" s="1095"/>
      <c r="AA401" s="1123"/>
      <c r="AB401" s="1157"/>
      <c r="AC401" s="1124"/>
      <c r="AD401" s="1128"/>
      <c r="AE401" s="1095"/>
      <c r="AF401" s="1095"/>
      <c r="AG401" s="1095"/>
      <c r="AH401" s="1095"/>
      <c r="AI401" s="1095"/>
      <c r="AJ401" s="1123"/>
      <c r="AK401" s="1156"/>
      <c r="AL401" s="1124"/>
      <c r="AM401" s="1128"/>
      <c r="AN401" s="1158"/>
      <c r="AO401" s="1158"/>
      <c r="AP401" s="1158"/>
      <c r="AQ401" s="1095"/>
      <c r="AR401" s="1095"/>
      <c r="AS401" s="1123"/>
      <c r="AT401" s="1159"/>
      <c r="AU401" s="1160"/>
      <c r="AV401" s="1131"/>
      <c r="AW401" s="1158"/>
      <c r="AX401" s="1158"/>
      <c r="AY401" s="1158"/>
      <c r="AZ401" s="1095"/>
      <c r="BA401" s="1095"/>
      <c r="BB401" s="1123"/>
      <c r="BC401" s="1161"/>
      <c r="BD401" s="1132"/>
      <c r="BE401" s="1133"/>
      <c r="BF401" s="1133"/>
    </row>
    <row r="402" s="1000" customFormat="1">
      <c r="A402" s="999" t="str">
        <f t="shared" ref="A402:A465" si="664">A304</f>
        <v xml:space="preserve">Павельева Л.Г.</v>
      </c>
      <c r="B402" s="1162" t="s">
        <v>178</v>
      </c>
      <c r="C402" s="1162"/>
      <c r="D402" s="1163"/>
      <c r="E402" s="1164">
        <f t="shared" si="634"/>
        <v>0</v>
      </c>
      <c r="F402" s="1164">
        <f t="shared" si="637"/>
        <v>0</v>
      </c>
      <c r="G402" s="1165">
        <f t="shared" ref="G402:G409" si="665">E402+F402</f>
        <v>0</v>
      </c>
      <c r="H402" s="1166"/>
      <c r="I402" s="1298">
        <f t="shared" si="635"/>
        <v>0</v>
      </c>
      <c r="J402" s="1298">
        <f t="shared" si="636"/>
        <v>0</v>
      </c>
      <c r="K402" s="1168">
        <f t="shared" ref="K402:K409" si="666">I402+J402</f>
        <v>0</v>
      </c>
      <c r="L402" s="1128"/>
      <c r="M402" s="1169"/>
      <c r="N402" s="1169"/>
      <c r="O402" s="1169"/>
      <c r="P402" s="1169"/>
      <c r="Q402" s="1169">
        <f t="shared" ref="Q402:Q409" si="667">SUM(M402:P402)</f>
        <v>0</v>
      </c>
      <c r="R402" s="1169"/>
      <c r="S402" s="1170"/>
      <c r="T402" s="1171"/>
      <c r="U402" s="1128"/>
      <c r="V402" s="1169"/>
      <c r="W402" s="1169"/>
      <c r="X402" s="1169"/>
      <c r="Y402" s="1169"/>
      <c r="Z402" s="1169">
        <f t="shared" ref="Z402:Z409" si="668">SUM(V402:Y402)</f>
        <v>0</v>
      </c>
      <c r="AA402" s="1169"/>
      <c r="AB402" s="1172">
        <f t="shared" ref="AB402:AB465" si="669">Z402+AA402</f>
        <v>0</v>
      </c>
      <c r="AC402" s="1171"/>
      <c r="AD402" s="1128"/>
      <c r="AE402" s="1169"/>
      <c r="AF402" s="1169"/>
      <c r="AG402" s="1169"/>
      <c r="AH402" s="1169"/>
      <c r="AI402" s="1169">
        <f t="shared" ref="AI402:AI409" si="670">SUM(AE402:AH402)</f>
        <v>0</v>
      </c>
      <c r="AJ402" s="1169"/>
      <c r="AK402" s="1173"/>
      <c r="AL402" s="1171"/>
      <c r="AM402" s="1128"/>
      <c r="AN402" s="1170"/>
      <c r="AO402" s="1170"/>
      <c r="AP402" s="1170"/>
      <c r="AQ402" s="1170"/>
      <c r="AR402" s="1170">
        <f t="shared" ref="AR402:AR409" si="671">SUM(AN402:AQ402)</f>
        <v>0</v>
      </c>
      <c r="AS402" s="1170"/>
      <c r="AT402" s="1170"/>
      <c r="AU402" s="1174"/>
      <c r="AV402" s="1241"/>
      <c r="AW402" s="1169"/>
      <c r="AX402" s="1169"/>
      <c r="AY402" s="1169"/>
      <c r="AZ402" s="1169"/>
      <c r="BA402" s="1169">
        <f t="shared" ref="BA402:BA409" si="672">SUM(AW402:AZ402)</f>
        <v>0</v>
      </c>
      <c r="BB402" s="1169"/>
      <c r="BC402" s="1175"/>
      <c r="BD402" s="1027"/>
      <c r="BE402" s="1029"/>
      <c r="BF402" s="1029"/>
    </row>
    <row r="403" s="1000" customFormat="1">
      <c r="A403" s="999" t="str">
        <f t="shared" si="664"/>
        <v xml:space="preserve">Губаренко О.Н.</v>
      </c>
      <c r="B403" s="1176" t="s">
        <v>354</v>
      </c>
      <c r="C403" s="1176"/>
      <c r="D403" s="1163"/>
      <c r="E403" s="1164">
        <f t="shared" si="634"/>
        <v>0</v>
      </c>
      <c r="F403" s="1164">
        <f t="shared" si="634"/>
        <v>0</v>
      </c>
      <c r="G403" s="1165">
        <f t="shared" si="665"/>
        <v>0</v>
      </c>
      <c r="H403" s="1166"/>
      <c r="I403" s="1298">
        <f t="shared" si="635"/>
        <v>0</v>
      </c>
      <c r="J403" s="1298">
        <f t="shared" si="635"/>
        <v>0</v>
      </c>
      <c r="K403" s="1168">
        <f t="shared" si="666"/>
        <v>0</v>
      </c>
      <c r="L403" s="1128"/>
      <c r="M403" s="1169"/>
      <c r="N403" s="1177"/>
      <c r="O403" s="1169"/>
      <c r="P403" s="1169"/>
      <c r="Q403" s="1169">
        <f t="shared" si="667"/>
        <v>0</v>
      </c>
      <c r="R403" s="1169"/>
      <c r="S403" s="1170"/>
      <c r="T403" s="1171"/>
      <c r="U403" s="1128"/>
      <c r="V403" s="1169"/>
      <c r="W403" s="1177"/>
      <c r="X403" s="1177"/>
      <c r="Y403" s="1169"/>
      <c r="Z403" s="1169">
        <f t="shared" si="668"/>
        <v>0</v>
      </c>
      <c r="AA403" s="1169"/>
      <c r="AB403" s="1172">
        <f t="shared" si="669"/>
        <v>0</v>
      </c>
      <c r="AC403" s="1171"/>
      <c r="AD403" s="1128"/>
      <c r="AE403" s="1169"/>
      <c r="AF403" s="1177"/>
      <c r="AG403" s="1177"/>
      <c r="AH403" s="1169"/>
      <c r="AI403" s="1169">
        <f t="shared" si="670"/>
        <v>0</v>
      </c>
      <c r="AJ403" s="1169"/>
      <c r="AK403" s="1173"/>
      <c r="AL403" s="1171"/>
      <c r="AM403" s="1128"/>
      <c r="AN403" s="1170"/>
      <c r="AO403" s="1175"/>
      <c r="AP403" s="1175"/>
      <c r="AQ403" s="1170"/>
      <c r="AR403" s="1170">
        <f t="shared" si="671"/>
        <v>0</v>
      </c>
      <c r="AS403" s="1170"/>
      <c r="AT403" s="1170"/>
      <c r="AU403" s="1174"/>
      <c r="AV403" s="1241"/>
      <c r="AW403" s="1169"/>
      <c r="AX403" s="1177"/>
      <c r="AY403" s="1177"/>
      <c r="AZ403" s="1169"/>
      <c r="BA403" s="1169">
        <f t="shared" si="672"/>
        <v>0</v>
      </c>
      <c r="BB403" s="1169"/>
      <c r="BC403" s="1175"/>
      <c r="BD403" s="1027"/>
      <c r="BE403" s="1029"/>
      <c r="BF403" s="1029"/>
    </row>
    <row r="404" s="1000" customFormat="1">
      <c r="A404" s="999" t="str">
        <f t="shared" si="664"/>
        <v xml:space="preserve">Петрюк Е.В.</v>
      </c>
      <c r="B404" s="1176" t="s">
        <v>181</v>
      </c>
      <c r="C404" s="1176"/>
      <c r="D404" s="1163"/>
      <c r="E404" s="1164">
        <f t="shared" si="634"/>
        <v>0</v>
      </c>
      <c r="F404" s="1164">
        <f t="shared" si="634"/>
        <v>0</v>
      </c>
      <c r="G404" s="1165">
        <f t="shared" si="665"/>
        <v>0</v>
      </c>
      <c r="H404" s="1166"/>
      <c r="I404" s="1298">
        <f t="shared" si="635"/>
        <v>0</v>
      </c>
      <c r="J404" s="1298">
        <f t="shared" si="635"/>
        <v>0</v>
      </c>
      <c r="K404" s="1168">
        <f t="shared" si="666"/>
        <v>0</v>
      </c>
      <c r="L404" s="1128"/>
      <c r="M404" s="1169"/>
      <c r="N404" s="1177"/>
      <c r="O404" s="1169"/>
      <c r="P404" s="1169"/>
      <c r="Q404" s="1169">
        <f t="shared" si="667"/>
        <v>0</v>
      </c>
      <c r="R404" s="1169"/>
      <c r="S404" s="1170"/>
      <c r="T404" s="1171"/>
      <c r="U404" s="1128"/>
      <c r="V404" s="1169"/>
      <c r="W404" s="1177"/>
      <c r="X404" s="1177"/>
      <c r="Y404" s="1169"/>
      <c r="Z404" s="1169">
        <f t="shared" si="668"/>
        <v>0</v>
      </c>
      <c r="AA404" s="1169"/>
      <c r="AB404" s="1172">
        <f t="shared" si="669"/>
        <v>0</v>
      </c>
      <c r="AC404" s="1171"/>
      <c r="AD404" s="1128"/>
      <c r="AE404" s="1169"/>
      <c r="AF404" s="1177"/>
      <c r="AG404" s="1177"/>
      <c r="AH404" s="1169"/>
      <c r="AI404" s="1169">
        <f t="shared" si="670"/>
        <v>0</v>
      </c>
      <c r="AJ404" s="1169"/>
      <c r="AK404" s="1173"/>
      <c r="AL404" s="1171"/>
      <c r="AM404" s="1128"/>
      <c r="AN404" s="1170"/>
      <c r="AO404" s="1175"/>
      <c r="AP404" s="1175"/>
      <c r="AQ404" s="1170"/>
      <c r="AR404" s="1170">
        <f t="shared" si="671"/>
        <v>0</v>
      </c>
      <c r="AS404" s="1170"/>
      <c r="AT404" s="1170"/>
      <c r="AU404" s="1174"/>
      <c r="AV404" s="1241"/>
      <c r="AW404" s="1169"/>
      <c r="AX404" s="1177"/>
      <c r="AY404" s="1177"/>
      <c r="AZ404" s="1169"/>
      <c r="BA404" s="1169">
        <f t="shared" si="672"/>
        <v>0</v>
      </c>
      <c r="BB404" s="1169"/>
      <c r="BC404" s="1175"/>
      <c r="BD404" s="1027"/>
      <c r="BE404" s="1029"/>
      <c r="BF404" s="1029"/>
    </row>
    <row r="405" s="1000" customFormat="1" ht="18.75" customHeight="1">
      <c r="A405" s="999" t="str">
        <f t="shared" si="664"/>
        <v xml:space="preserve">Кутько И.Г.</v>
      </c>
      <c r="B405" s="1176" t="s">
        <v>357</v>
      </c>
      <c r="C405" s="1176"/>
      <c r="D405" s="1163"/>
      <c r="E405" s="1164">
        <f t="shared" si="634"/>
        <v>0</v>
      </c>
      <c r="F405" s="1164">
        <f t="shared" si="634"/>
        <v>0</v>
      </c>
      <c r="G405" s="1165">
        <f t="shared" si="665"/>
        <v>0</v>
      </c>
      <c r="H405" s="1166"/>
      <c r="I405" s="1298">
        <f t="shared" si="635"/>
        <v>0</v>
      </c>
      <c r="J405" s="1298">
        <f t="shared" si="635"/>
        <v>0</v>
      </c>
      <c r="K405" s="1168">
        <f t="shared" si="666"/>
        <v>0</v>
      </c>
      <c r="L405" s="1128"/>
      <c r="M405" s="1169"/>
      <c r="N405" s="1177"/>
      <c r="O405" s="1169"/>
      <c r="P405" s="1169"/>
      <c r="Q405" s="1169">
        <f t="shared" si="667"/>
        <v>0</v>
      </c>
      <c r="R405" s="1169"/>
      <c r="S405" s="1170"/>
      <c r="T405" s="1171"/>
      <c r="U405" s="1128"/>
      <c r="V405" s="1169"/>
      <c r="W405" s="1177"/>
      <c r="X405" s="1177"/>
      <c r="Y405" s="1169"/>
      <c r="Z405" s="1169">
        <f t="shared" si="668"/>
        <v>0</v>
      </c>
      <c r="AA405" s="1169"/>
      <c r="AB405" s="1172">
        <f t="shared" si="669"/>
        <v>0</v>
      </c>
      <c r="AC405" s="1171"/>
      <c r="AD405" s="1128"/>
      <c r="AE405" s="1169"/>
      <c r="AF405" s="1177"/>
      <c r="AG405" s="1177"/>
      <c r="AH405" s="1169"/>
      <c r="AI405" s="1169">
        <f t="shared" si="670"/>
        <v>0</v>
      </c>
      <c r="AJ405" s="1169"/>
      <c r="AK405" s="1173"/>
      <c r="AL405" s="1171"/>
      <c r="AM405" s="1128"/>
      <c r="AN405" s="1170"/>
      <c r="AO405" s="1175"/>
      <c r="AP405" s="1175"/>
      <c r="AQ405" s="1170"/>
      <c r="AR405" s="1170">
        <f t="shared" si="671"/>
        <v>0</v>
      </c>
      <c r="AS405" s="1170"/>
      <c r="AT405" s="1170"/>
      <c r="AU405" s="1174"/>
      <c r="AV405" s="1241"/>
      <c r="AW405" s="1169"/>
      <c r="AX405" s="1177"/>
      <c r="AY405" s="1177"/>
      <c r="AZ405" s="1169"/>
      <c r="BA405" s="1169">
        <f t="shared" si="672"/>
        <v>0</v>
      </c>
      <c r="BB405" s="1169"/>
      <c r="BC405" s="1175"/>
      <c r="BD405" s="1027"/>
      <c r="BE405" s="1029"/>
      <c r="BF405" s="1029"/>
    </row>
    <row r="406" s="1000" customFormat="1">
      <c r="A406" s="999" t="str">
        <f t="shared" si="664"/>
        <v xml:space="preserve">Елина С.И.</v>
      </c>
      <c r="B406" s="1176" t="s">
        <v>183</v>
      </c>
      <c r="C406" s="1176"/>
      <c r="D406" s="1163"/>
      <c r="E406" s="1164">
        <f t="shared" si="634"/>
        <v>0</v>
      </c>
      <c r="F406" s="1164">
        <f t="shared" si="634"/>
        <v>0</v>
      </c>
      <c r="G406" s="1165">
        <f t="shared" si="665"/>
        <v>0</v>
      </c>
      <c r="H406" s="1166"/>
      <c r="I406" s="1298">
        <f t="shared" si="635"/>
        <v>0</v>
      </c>
      <c r="J406" s="1298">
        <f t="shared" si="635"/>
        <v>0</v>
      </c>
      <c r="K406" s="1168">
        <f t="shared" si="666"/>
        <v>0</v>
      </c>
      <c r="L406" s="1128"/>
      <c r="M406" s="1169"/>
      <c r="N406" s="1177"/>
      <c r="O406" s="1169"/>
      <c r="P406" s="1169"/>
      <c r="Q406" s="1169">
        <f t="shared" si="667"/>
        <v>0</v>
      </c>
      <c r="R406" s="1169"/>
      <c r="S406" s="1170"/>
      <c r="T406" s="1171"/>
      <c r="U406" s="1128"/>
      <c r="V406" s="1169"/>
      <c r="W406" s="1177"/>
      <c r="X406" s="1177"/>
      <c r="Y406" s="1169"/>
      <c r="Z406" s="1169">
        <f t="shared" si="668"/>
        <v>0</v>
      </c>
      <c r="AA406" s="1169"/>
      <c r="AB406" s="1172">
        <f t="shared" si="669"/>
        <v>0</v>
      </c>
      <c r="AC406" s="1171"/>
      <c r="AD406" s="1128"/>
      <c r="AE406" s="1169"/>
      <c r="AF406" s="1177"/>
      <c r="AG406" s="1177"/>
      <c r="AH406" s="1169"/>
      <c r="AI406" s="1169">
        <f t="shared" si="670"/>
        <v>0</v>
      </c>
      <c r="AJ406" s="1169"/>
      <c r="AK406" s="1173"/>
      <c r="AL406" s="1171"/>
      <c r="AM406" s="1128"/>
      <c r="AN406" s="1170"/>
      <c r="AO406" s="1175"/>
      <c r="AP406" s="1175"/>
      <c r="AQ406" s="1170"/>
      <c r="AR406" s="1170">
        <f t="shared" si="671"/>
        <v>0</v>
      </c>
      <c r="AS406" s="1170"/>
      <c r="AT406" s="1170"/>
      <c r="AU406" s="1174"/>
      <c r="AV406" s="1241"/>
      <c r="AW406" s="1169"/>
      <c r="AX406" s="1177"/>
      <c r="AY406" s="1177"/>
      <c r="AZ406" s="1169"/>
      <c r="BA406" s="1169">
        <f t="shared" si="672"/>
        <v>0</v>
      </c>
      <c r="BB406" s="1169"/>
      <c r="BC406" s="1175"/>
      <c r="BD406" s="1027"/>
      <c r="BE406" s="1029"/>
      <c r="BF406" s="1029"/>
    </row>
    <row r="407" s="1000" customFormat="1">
      <c r="A407" s="999" t="str">
        <f t="shared" si="664"/>
        <v xml:space="preserve">Никитина О.Г.</v>
      </c>
      <c r="B407" s="1176" t="s">
        <v>184</v>
      </c>
      <c r="C407" s="1176"/>
      <c r="D407" s="1163"/>
      <c r="E407" s="1164">
        <f t="shared" si="634"/>
        <v>0</v>
      </c>
      <c r="F407" s="1164">
        <f t="shared" si="634"/>
        <v>0</v>
      </c>
      <c r="G407" s="1165">
        <f t="shared" si="665"/>
        <v>0</v>
      </c>
      <c r="H407" s="1166"/>
      <c r="I407" s="1298">
        <f t="shared" si="635"/>
        <v>0</v>
      </c>
      <c r="J407" s="1298">
        <f t="shared" si="635"/>
        <v>0</v>
      </c>
      <c r="K407" s="1168">
        <f t="shared" si="666"/>
        <v>0</v>
      </c>
      <c r="L407" s="1128"/>
      <c r="M407" s="1169"/>
      <c r="N407" s="1177"/>
      <c r="O407" s="1169"/>
      <c r="P407" s="1169"/>
      <c r="Q407" s="1169">
        <f t="shared" si="667"/>
        <v>0</v>
      </c>
      <c r="R407" s="1169"/>
      <c r="S407" s="1170"/>
      <c r="T407" s="1171"/>
      <c r="U407" s="1128"/>
      <c r="V407" s="1169"/>
      <c r="W407" s="1177"/>
      <c r="X407" s="1177"/>
      <c r="Y407" s="1169"/>
      <c r="Z407" s="1169">
        <f t="shared" si="668"/>
        <v>0</v>
      </c>
      <c r="AA407" s="1169"/>
      <c r="AB407" s="1172">
        <f t="shared" si="669"/>
        <v>0</v>
      </c>
      <c r="AC407" s="1171"/>
      <c r="AD407" s="1128"/>
      <c r="AE407" s="1169"/>
      <c r="AF407" s="1177"/>
      <c r="AG407" s="1177"/>
      <c r="AH407" s="1169"/>
      <c r="AI407" s="1169">
        <f t="shared" si="670"/>
        <v>0</v>
      </c>
      <c r="AJ407" s="1169"/>
      <c r="AK407" s="1173"/>
      <c r="AL407" s="1171"/>
      <c r="AM407" s="1128"/>
      <c r="AN407" s="1170"/>
      <c r="AO407" s="1175"/>
      <c r="AP407" s="1175"/>
      <c r="AQ407" s="1170"/>
      <c r="AR407" s="1170">
        <f t="shared" si="671"/>
        <v>0</v>
      </c>
      <c r="AS407" s="1170"/>
      <c r="AT407" s="1170"/>
      <c r="AU407" s="1174"/>
      <c r="AV407" s="1241"/>
      <c r="AW407" s="1169"/>
      <c r="AX407" s="1177"/>
      <c r="AY407" s="1177"/>
      <c r="AZ407" s="1169"/>
      <c r="BA407" s="1169">
        <f t="shared" si="672"/>
        <v>0</v>
      </c>
      <c r="BB407" s="1169"/>
      <c r="BC407" s="1175"/>
      <c r="BD407" s="1027"/>
      <c r="BE407" s="1029"/>
      <c r="BF407" s="1029"/>
    </row>
    <row r="408" ht="18.75" customHeight="1">
      <c r="A408" s="999" t="str">
        <f t="shared" si="664"/>
        <v xml:space="preserve">Судакова Е.С.</v>
      </c>
      <c r="B408" s="1178" t="s">
        <v>361</v>
      </c>
      <c r="C408" s="1179"/>
      <c r="D408" s="1163"/>
      <c r="E408" s="1164">
        <f t="shared" si="634"/>
        <v>0</v>
      </c>
      <c r="F408" s="1164">
        <f t="shared" si="634"/>
        <v>0</v>
      </c>
      <c r="G408" s="1165">
        <f t="shared" si="665"/>
        <v>0</v>
      </c>
      <c r="H408" s="1266"/>
      <c r="I408" s="1298">
        <f t="shared" si="635"/>
        <v>0</v>
      </c>
      <c r="J408" s="1298">
        <f t="shared" si="635"/>
        <v>0</v>
      </c>
      <c r="K408" s="1168">
        <f t="shared" si="666"/>
        <v>0</v>
      </c>
      <c r="L408" s="1128"/>
      <c r="M408" s="1169"/>
      <c r="N408" s="1177"/>
      <c r="O408" s="1169"/>
      <c r="P408" s="1169"/>
      <c r="Q408" s="1169">
        <f t="shared" si="667"/>
        <v>0</v>
      </c>
      <c r="R408" s="1169"/>
      <c r="S408" s="1170"/>
      <c r="T408" s="1171"/>
      <c r="U408" s="1128"/>
      <c r="V408" s="1169"/>
      <c r="W408" s="1177"/>
      <c r="X408" s="1177"/>
      <c r="Y408" s="1169"/>
      <c r="Z408" s="1169">
        <f t="shared" si="668"/>
        <v>0</v>
      </c>
      <c r="AA408" s="1169"/>
      <c r="AB408" s="1172">
        <f t="shared" si="669"/>
        <v>0</v>
      </c>
      <c r="AC408" s="1171"/>
      <c r="AD408" s="1128"/>
      <c r="AE408" s="1169"/>
      <c r="AF408" s="1177"/>
      <c r="AG408" s="1177"/>
      <c r="AH408" s="1169"/>
      <c r="AI408" s="1169">
        <f t="shared" si="670"/>
        <v>0</v>
      </c>
      <c r="AJ408" s="1169"/>
      <c r="AK408" s="1173"/>
      <c r="AL408" s="1171"/>
      <c r="AM408" s="1128"/>
      <c r="AN408" s="1170"/>
      <c r="AO408" s="1175"/>
      <c r="AP408" s="1175"/>
      <c r="AQ408" s="1170"/>
      <c r="AR408" s="1170">
        <f t="shared" si="671"/>
        <v>0</v>
      </c>
      <c r="AS408" s="1170"/>
      <c r="AT408" s="1170"/>
      <c r="AU408" s="1174"/>
      <c r="AV408" s="1241"/>
      <c r="AW408" s="1169"/>
      <c r="AX408" s="1177"/>
      <c r="AY408" s="1177"/>
      <c r="AZ408" s="1169"/>
      <c r="BA408" s="1169">
        <f t="shared" si="672"/>
        <v>0</v>
      </c>
      <c r="BB408" s="1169"/>
      <c r="BC408" s="1175"/>
      <c r="BD408" s="1027"/>
      <c r="BE408" s="1029"/>
      <c r="BF408" s="1029"/>
    </row>
    <row r="409" s="1000" customFormat="1">
      <c r="A409" s="999" t="str">
        <f t="shared" si="664"/>
        <v xml:space="preserve">Осипова А.А.</v>
      </c>
      <c r="B409" s="1176" t="s">
        <v>185</v>
      </c>
      <c r="C409" s="1176"/>
      <c r="D409" s="1163"/>
      <c r="E409" s="1164">
        <f t="shared" si="634"/>
        <v>0</v>
      </c>
      <c r="F409" s="1164">
        <f t="shared" si="634"/>
        <v>0</v>
      </c>
      <c r="G409" s="1165">
        <f t="shared" si="665"/>
        <v>0</v>
      </c>
      <c r="H409" s="1166"/>
      <c r="I409" s="1298">
        <f t="shared" si="635"/>
        <v>0</v>
      </c>
      <c r="J409" s="1298">
        <f t="shared" si="635"/>
        <v>0</v>
      </c>
      <c r="K409" s="1168">
        <f t="shared" si="666"/>
        <v>0</v>
      </c>
      <c r="L409" s="1128"/>
      <c r="M409" s="1169"/>
      <c r="N409" s="1177"/>
      <c r="O409" s="1169"/>
      <c r="P409" s="1169"/>
      <c r="Q409" s="1169">
        <f t="shared" si="667"/>
        <v>0</v>
      </c>
      <c r="R409" s="1169"/>
      <c r="S409" s="1170"/>
      <c r="T409" s="1171"/>
      <c r="U409" s="1128"/>
      <c r="V409" s="1169"/>
      <c r="W409" s="1177"/>
      <c r="X409" s="1177"/>
      <c r="Y409" s="1169"/>
      <c r="Z409" s="1169">
        <f t="shared" si="668"/>
        <v>0</v>
      </c>
      <c r="AA409" s="1169"/>
      <c r="AB409" s="1172">
        <f t="shared" si="669"/>
        <v>0</v>
      </c>
      <c r="AC409" s="1171"/>
      <c r="AD409" s="1128"/>
      <c r="AE409" s="1169"/>
      <c r="AF409" s="1177"/>
      <c r="AG409" s="1177"/>
      <c r="AH409" s="1169"/>
      <c r="AI409" s="1169">
        <f t="shared" si="670"/>
        <v>0</v>
      </c>
      <c r="AJ409" s="1169"/>
      <c r="AK409" s="1173"/>
      <c r="AL409" s="1171"/>
      <c r="AM409" s="1128"/>
      <c r="AN409" s="1170"/>
      <c r="AO409" s="1175"/>
      <c r="AP409" s="1175"/>
      <c r="AQ409" s="1170"/>
      <c r="AR409" s="1170">
        <f t="shared" si="671"/>
        <v>0</v>
      </c>
      <c r="AS409" s="1170"/>
      <c r="AT409" s="1170"/>
      <c r="AU409" s="1174"/>
      <c r="AV409" s="1241"/>
      <c r="AW409" s="1169"/>
      <c r="AX409" s="1177"/>
      <c r="AY409" s="1177"/>
      <c r="AZ409" s="1169"/>
      <c r="BA409" s="1169">
        <f t="shared" si="672"/>
        <v>0</v>
      </c>
      <c r="BB409" s="1169"/>
      <c r="BC409" s="1175"/>
      <c r="BD409" s="1027"/>
      <c r="BE409" s="1029"/>
      <c r="BF409" s="1029"/>
    </row>
    <row r="410" s="1106" customFormat="1" ht="22.5">
      <c r="A410" s="999">
        <f t="shared" si="664"/>
        <v>0</v>
      </c>
      <c r="B410" s="1182" t="s">
        <v>363</v>
      </c>
      <c r="C410" s="1182"/>
      <c r="D410" s="1182"/>
      <c r="E410" s="1183">
        <f t="shared" si="634"/>
        <v>0</v>
      </c>
      <c r="F410" s="1183">
        <f t="shared" si="634"/>
        <v>0</v>
      </c>
      <c r="G410" s="1184">
        <f>SUM(G402:G409)</f>
        <v>0</v>
      </c>
      <c r="H410" s="1185"/>
      <c r="I410" s="1299">
        <f t="shared" si="635"/>
        <v>0</v>
      </c>
      <c r="J410" s="1299">
        <f t="shared" si="635"/>
        <v>0</v>
      </c>
      <c r="K410" s="1187">
        <f>SUM(K402:K409)</f>
        <v>0</v>
      </c>
      <c r="L410" s="1197"/>
      <c r="M410" s="1096">
        <f t="shared" ref="M410:R410" si="673">SUM(M402:M409)</f>
        <v>0</v>
      </c>
      <c r="N410" s="1096">
        <f t="shared" si="673"/>
        <v>0</v>
      </c>
      <c r="O410" s="1096">
        <f t="shared" si="673"/>
        <v>0</v>
      </c>
      <c r="P410" s="1096">
        <f t="shared" si="673"/>
        <v>0</v>
      </c>
      <c r="Q410" s="1096">
        <f t="shared" si="673"/>
        <v>0</v>
      </c>
      <c r="R410" s="1096">
        <f t="shared" si="673"/>
        <v>0</v>
      </c>
      <c r="S410" s="1170"/>
      <c r="T410" s="1189"/>
      <c r="U410" s="1128"/>
      <c r="V410" s="1096">
        <f t="shared" ref="V410:AA410" si="674">SUM(V402:V409)</f>
        <v>0</v>
      </c>
      <c r="W410" s="1096">
        <f t="shared" si="674"/>
        <v>0</v>
      </c>
      <c r="X410" s="1096">
        <f t="shared" si="674"/>
        <v>0</v>
      </c>
      <c r="Y410" s="1096">
        <f t="shared" si="674"/>
        <v>0</v>
      </c>
      <c r="Z410" s="1096">
        <f t="shared" si="674"/>
        <v>0</v>
      </c>
      <c r="AA410" s="1096">
        <f t="shared" si="674"/>
        <v>0</v>
      </c>
      <c r="AB410" s="1172">
        <f t="shared" si="669"/>
        <v>0</v>
      </c>
      <c r="AC410" s="1189"/>
      <c r="AD410" s="1125"/>
      <c r="AE410" s="1096">
        <f t="shared" ref="AE410:AJ410" si="675">SUM(AE402:AE409)</f>
        <v>0</v>
      </c>
      <c r="AF410" s="1096">
        <f t="shared" si="675"/>
        <v>0</v>
      </c>
      <c r="AG410" s="1096">
        <f t="shared" si="675"/>
        <v>0</v>
      </c>
      <c r="AH410" s="1096">
        <f t="shared" si="675"/>
        <v>0</v>
      </c>
      <c r="AI410" s="1096">
        <f t="shared" si="675"/>
        <v>0</v>
      </c>
      <c r="AJ410" s="1096">
        <f t="shared" si="675"/>
        <v>0</v>
      </c>
      <c r="AK410" s="1173"/>
      <c r="AL410" s="1189"/>
      <c r="AM410" s="1125"/>
      <c r="AN410" s="1190">
        <f t="shared" ref="AN410:AS410" si="676">SUM(AN402:AN409)</f>
        <v>0</v>
      </c>
      <c r="AO410" s="1190">
        <f t="shared" si="676"/>
        <v>0</v>
      </c>
      <c r="AP410" s="1190">
        <f t="shared" si="676"/>
        <v>0</v>
      </c>
      <c r="AQ410" s="1190">
        <f t="shared" si="676"/>
        <v>0</v>
      </c>
      <c r="AR410" s="1190">
        <f t="shared" si="676"/>
        <v>0</v>
      </c>
      <c r="AS410" s="1190">
        <f t="shared" si="676"/>
        <v>0</v>
      </c>
      <c r="AT410" s="1170"/>
      <c r="AU410" s="1191"/>
      <c r="AV410" s="1245"/>
      <c r="AW410" s="1096">
        <f t="shared" ref="AW410:BB410" si="677">SUM(AW402:AW409)</f>
        <v>0</v>
      </c>
      <c r="AX410" s="1096">
        <f t="shared" si="677"/>
        <v>0</v>
      </c>
      <c r="AY410" s="1096">
        <f t="shared" si="677"/>
        <v>0</v>
      </c>
      <c r="AZ410" s="1096">
        <f t="shared" si="677"/>
        <v>0</v>
      </c>
      <c r="BA410" s="1096">
        <f t="shared" si="677"/>
        <v>0</v>
      </c>
      <c r="BB410" s="1096">
        <f t="shared" si="677"/>
        <v>0</v>
      </c>
      <c r="BC410" s="1175"/>
      <c r="BD410" s="1052"/>
      <c r="BE410" s="1051"/>
      <c r="BF410" s="1051"/>
    </row>
    <row r="411" s="1000" customFormat="1">
      <c r="A411" s="999">
        <f t="shared" si="664"/>
        <v>0</v>
      </c>
      <c r="B411" s="1176" t="s">
        <v>364</v>
      </c>
      <c r="C411" s="1176"/>
      <c r="D411" s="1176"/>
      <c r="E411" s="1164">
        <f t="shared" si="634"/>
        <v>0</v>
      </c>
      <c r="F411" s="1164">
        <f t="shared" si="634"/>
        <v>0</v>
      </c>
      <c r="G411" s="1165">
        <f t="shared" ref="G411:G423" si="678">E411+F411</f>
        <v>0</v>
      </c>
      <c r="H411" s="1166"/>
      <c r="I411" s="1298">
        <f t="shared" si="635"/>
        <v>0</v>
      </c>
      <c r="J411" s="1298">
        <f t="shared" si="635"/>
        <v>0</v>
      </c>
      <c r="K411" s="1168">
        <f t="shared" ref="K411:K423" si="679">I411+J411</f>
        <v>0</v>
      </c>
      <c r="L411" s="1128"/>
      <c r="M411" s="1169"/>
      <c r="N411" s="1177"/>
      <c r="O411" s="1169"/>
      <c r="P411" s="1169"/>
      <c r="Q411" s="1169">
        <f t="shared" ref="Q411:Q423" si="680">SUM(M411:P411)</f>
        <v>0</v>
      </c>
      <c r="R411" s="1169"/>
      <c r="S411" s="1170"/>
      <c r="T411" s="1171"/>
      <c r="U411" s="1128"/>
      <c r="V411" s="1169"/>
      <c r="W411" s="1177"/>
      <c r="X411" s="1177"/>
      <c r="Y411" s="1169"/>
      <c r="Z411" s="1169">
        <f t="shared" ref="Z411:Z423" si="681">SUM(V411:Y411)</f>
        <v>0</v>
      </c>
      <c r="AA411" s="1169"/>
      <c r="AB411" s="1172">
        <f t="shared" si="669"/>
        <v>0</v>
      </c>
      <c r="AC411" s="1171"/>
      <c r="AD411" s="1128"/>
      <c r="AE411" s="1169"/>
      <c r="AF411" s="1177"/>
      <c r="AG411" s="1177"/>
      <c r="AH411" s="1169"/>
      <c r="AI411" s="1169">
        <f t="shared" ref="AI411:AI423" si="682">SUM(AE411:AH411)</f>
        <v>0</v>
      </c>
      <c r="AJ411" s="1169"/>
      <c r="AK411" s="1173"/>
      <c r="AL411" s="1171"/>
      <c r="AM411" s="1128"/>
      <c r="AN411" s="1170"/>
      <c r="AO411" s="1175"/>
      <c r="AP411" s="1175"/>
      <c r="AQ411" s="1170"/>
      <c r="AR411" s="1170">
        <f t="shared" ref="AR411:AR423" si="683">SUM(AN411:AQ411)</f>
        <v>0</v>
      </c>
      <c r="AS411" s="1170"/>
      <c r="AT411" s="1170"/>
      <c r="AU411" s="1174"/>
      <c r="AV411" s="1241"/>
      <c r="AW411" s="1169"/>
      <c r="AX411" s="1177"/>
      <c r="AY411" s="1177"/>
      <c r="AZ411" s="1169"/>
      <c r="BA411" s="1169">
        <f t="shared" ref="BA411:BA423" si="684">SUM(AW411:AZ411)</f>
        <v>0</v>
      </c>
      <c r="BB411" s="1169"/>
      <c r="BC411" s="1175"/>
      <c r="BD411" s="1027"/>
      <c r="BE411" s="1029"/>
      <c r="BF411" s="1029"/>
    </row>
    <row r="412" s="1000" customFormat="1">
      <c r="A412" s="999" t="str">
        <f t="shared" si="664"/>
        <v xml:space="preserve">Сметанина О.В.</v>
      </c>
      <c r="B412" s="1176" t="s">
        <v>195</v>
      </c>
      <c r="C412" s="1176"/>
      <c r="D412" s="1163"/>
      <c r="E412" s="1164">
        <f t="shared" si="634"/>
        <v>0</v>
      </c>
      <c r="F412" s="1164">
        <f t="shared" si="634"/>
        <v>0</v>
      </c>
      <c r="G412" s="1165">
        <f t="shared" si="678"/>
        <v>0</v>
      </c>
      <c r="H412" s="1166"/>
      <c r="I412" s="1298">
        <f t="shared" si="635"/>
        <v>0</v>
      </c>
      <c r="J412" s="1298">
        <f t="shared" si="635"/>
        <v>0</v>
      </c>
      <c r="K412" s="1168">
        <f t="shared" si="679"/>
        <v>0</v>
      </c>
      <c r="L412" s="1128"/>
      <c r="M412" s="1169"/>
      <c r="N412" s="1177"/>
      <c r="O412" s="1169"/>
      <c r="P412" s="1169"/>
      <c r="Q412" s="1169">
        <f t="shared" si="680"/>
        <v>0</v>
      </c>
      <c r="R412" s="1169"/>
      <c r="S412" s="1170"/>
      <c r="T412" s="1171"/>
      <c r="U412" s="1128"/>
      <c r="V412" s="1169"/>
      <c r="W412" s="1177"/>
      <c r="X412" s="1177"/>
      <c r="Y412" s="1169"/>
      <c r="Z412" s="1169">
        <f t="shared" si="681"/>
        <v>0</v>
      </c>
      <c r="AA412" s="1169"/>
      <c r="AB412" s="1172">
        <f t="shared" si="669"/>
        <v>0</v>
      </c>
      <c r="AC412" s="1171"/>
      <c r="AD412" s="1128"/>
      <c r="AE412" s="1169"/>
      <c r="AF412" s="1177"/>
      <c r="AG412" s="1177"/>
      <c r="AH412" s="1169"/>
      <c r="AI412" s="1169">
        <f t="shared" si="682"/>
        <v>0</v>
      </c>
      <c r="AJ412" s="1169"/>
      <c r="AK412" s="1173"/>
      <c r="AL412" s="1171"/>
      <c r="AM412" s="1128"/>
      <c r="AN412" s="1170"/>
      <c r="AO412" s="1175"/>
      <c r="AP412" s="1175"/>
      <c r="AQ412" s="1170"/>
      <c r="AR412" s="1170">
        <f t="shared" si="683"/>
        <v>0</v>
      </c>
      <c r="AS412" s="1170"/>
      <c r="AT412" s="1170"/>
      <c r="AU412" s="1174"/>
      <c r="AV412" s="1241"/>
      <c r="AW412" s="1169"/>
      <c r="AX412" s="1177"/>
      <c r="AY412" s="1177"/>
      <c r="AZ412" s="1169"/>
      <c r="BA412" s="1169">
        <f t="shared" si="684"/>
        <v>0</v>
      </c>
      <c r="BB412" s="1169"/>
      <c r="BC412" s="1175"/>
      <c r="BD412" s="1027"/>
      <c r="BE412" s="1029"/>
      <c r="BF412" s="1029"/>
    </row>
    <row r="413" s="1000" customFormat="1">
      <c r="A413" s="999" t="str">
        <f t="shared" si="664"/>
        <v xml:space="preserve">Козенко С.С.</v>
      </c>
      <c r="B413" s="1176" t="s">
        <v>196</v>
      </c>
      <c r="C413" s="1176"/>
      <c r="D413" s="1163"/>
      <c r="E413" s="1164">
        <f t="shared" si="634"/>
        <v>0</v>
      </c>
      <c r="F413" s="1164">
        <f t="shared" si="634"/>
        <v>0</v>
      </c>
      <c r="G413" s="1165">
        <f t="shared" si="678"/>
        <v>0</v>
      </c>
      <c r="H413" s="1166"/>
      <c r="I413" s="1298">
        <f t="shared" si="635"/>
        <v>0</v>
      </c>
      <c r="J413" s="1298">
        <f t="shared" si="635"/>
        <v>0</v>
      </c>
      <c r="K413" s="1168">
        <f t="shared" si="679"/>
        <v>0</v>
      </c>
      <c r="L413" s="1128"/>
      <c r="M413" s="1169"/>
      <c r="N413" s="1177"/>
      <c r="O413" s="1169"/>
      <c r="P413" s="1169"/>
      <c r="Q413" s="1169">
        <f t="shared" si="680"/>
        <v>0</v>
      </c>
      <c r="R413" s="1169"/>
      <c r="S413" s="1170"/>
      <c r="T413" s="1171"/>
      <c r="U413" s="1128"/>
      <c r="V413" s="1169"/>
      <c r="W413" s="1177"/>
      <c r="X413" s="1177"/>
      <c r="Y413" s="1169"/>
      <c r="Z413" s="1169">
        <f t="shared" si="681"/>
        <v>0</v>
      </c>
      <c r="AA413" s="1169"/>
      <c r="AB413" s="1172">
        <f t="shared" si="669"/>
        <v>0</v>
      </c>
      <c r="AC413" s="1171"/>
      <c r="AD413" s="1128"/>
      <c r="AE413" s="1169"/>
      <c r="AF413" s="1177"/>
      <c r="AG413" s="1177"/>
      <c r="AH413" s="1169"/>
      <c r="AI413" s="1169">
        <f t="shared" si="682"/>
        <v>0</v>
      </c>
      <c r="AJ413" s="1169"/>
      <c r="AK413" s="1173"/>
      <c r="AL413" s="1171"/>
      <c r="AM413" s="1128"/>
      <c r="AN413" s="1170"/>
      <c r="AO413" s="1175"/>
      <c r="AP413" s="1175"/>
      <c r="AQ413" s="1170"/>
      <c r="AR413" s="1170">
        <f t="shared" si="683"/>
        <v>0</v>
      </c>
      <c r="AS413" s="1170"/>
      <c r="AT413" s="1170"/>
      <c r="AU413" s="1174"/>
      <c r="AV413" s="1241"/>
      <c r="AW413" s="1169"/>
      <c r="AX413" s="1177"/>
      <c r="AY413" s="1177"/>
      <c r="AZ413" s="1169"/>
      <c r="BA413" s="1169">
        <f t="shared" si="684"/>
        <v>0</v>
      </c>
      <c r="BB413" s="1169"/>
      <c r="BC413" s="1175"/>
      <c r="BD413" s="1027"/>
      <c r="BE413" s="1029"/>
      <c r="BF413" s="1029"/>
    </row>
    <row r="414" s="1000" customFormat="1">
      <c r="A414" s="999">
        <f t="shared" si="664"/>
        <v>0</v>
      </c>
      <c r="B414" s="1193" t="s">
        <v>367</v>
      </c>
      <c r="C414" s="1193"/>
      <c r="D414" s="1193"/>
      <c r="E414" s="1164">
        <f t="shared" si="634"/>
        <v>0</v>
      </c>
      <c r="F414" s="1164">
        <f t="shared" si="634"/>
        <v>0</v>
      </c>
      <c r="G414" s="1165">
        <f t="shared" si="678"/>
        <v>0</v>
      </c>
      <c r="H414" s="1166"/>
      <c r="I414" s="1298">
        <f t="shared" si="635"/>
        <v>0</v>
      </c>
      <c r="J414" s="1298">
        <f t="shared" si="635"/>
        <v>0</v>
      </c>
      <c r="K414" s="1168">
        <f t="shared" si="679"/>
        <v>0</v>
      </c>
      <c r="L414" s="1128"/>
      <c r="M414" s="1169"/>
      <c r="N414" s="1177"/>
      <c r="O414" s="1169"/>
      <c r="P414" s="1169"/>
      <c r="Q414" s="1169">
        <f t="shared" si="680"/>
        <v>0</v>
      </c>
      <c r="R414" s="1169"/>
      <c r="S414" s="1170"/>
      <c r="T414" s="1171"/>
      <c r="U414" s="1128"/>
      <c r="V414" s="1169"/>
      <c r="W414" s="1177"/>
      <c r="X414" s="1177"/>
      <c r="Y414" s="1169"/>
      <c r="Z414" s="1169">
        <f t="shared" si="681"/>
        <v>0</v>
      </c>
      <c r="AA414" s="1169"/>
      <c r="AB414" s="1172">
        <f t="shared" si="669"/>
        <v>0</v>
      </c>
      <c r="AC414" s="1171"/>
      <c r="AD414" s="1128"/>
      <c r="AE414" s="1169"/>
      <c r="AF414" s="1177"/>
      <c r="AG414" s="1177"/>
      <c r="AH414" s="1169"/>
      <c r="AI414" s="1169">
        <f t="shared" si="682"/>
        <v>0</v>
      </c>
      <c r="AJ414" s="1169"/>
      <c r="AK414" s="1173"/>
      <c r="AL414" s="1171"/>
      <c r="AM414" s="1128"/>
      <c r="AN414" s="1170"/>
      <c r="AO414" s="1175"/>
      <c r="AP414" s="1175"/>
      <c r="AQ414" s="1170"/>
      <c r="AR414" s="1170">
        <f t="shared" si="683"/>
        <v>0</v>
      </c>
      <c r="AS414" s="1170"/>
      <c r="AT414" s="1170"/>
      <c r="AU414" s="1174"/>
      <c r="AV414" s="1241"/>
      <c r="AW414" s="1169"/>
      <c r="AX414" s="1177"/>
      <c r="AY414" s="1177"/>
      <c r="AZ414" s="1169"/>
      <c r="BA414" s="1169">
        <f t="shared" si="684"/>
        <v>0</v>
      </c>
      <c r="BB414" s="1169"/>
      <c r="BC414" s="1175"/>
      <c r="BD414" s="1027"/>
      <c r="BE414" s="1029"/>
      <c r="BF414" s="1029"/>
    </row>
    <row r="415" s="1000" customFormat="1" ht="18" customHeight="1">
      <c r="A415" s="999" t="str">
        <f t="shared" si="664"/>
        <v xml:space="preserve">Разумец Е.Г.</v>
      </c>
      <c r="B415" s="1176" t="s">
        <v>201</v>
      </c>
      <c r="C415" s="1176"/>
      <c r="D415" s="1163"/>
      <c r="E415" s="1164">
        <f t="shared" si="634"/>
        <v>0</v>
      </c>
      <c r="F415" s="1164">
        <f t="shared" si="634"/>
        <v>0</v>
      </c>
      <c r="G415" s="1165">
        <f t="shared" si="678"/>
        <v>0</v>
      </c>
      <c r="H415" s="1166"/>
      <c r="I415" s="1298">
        <f t="shared" si="635"/>
        <v>0</v>
      </c>
      <c r="J415" s="1298">
        <f t="shared" si="635"/>
        <v>0</v>
      </c>
      <c r="K415" s="1168">
        <f t="shared" si="679"/>
        <v>0</v>
      </c>
      <c r="L415" s="1128"/>
      <c r="M415" s="1169"/>
      <c r="N415" s="1177"/>
      <c r="O415" s="1169"/>
      <c r="P415" s="1169"/>
      <c r="Q415" s="1169">
        <f t="shared" si="680"/>
        <v>0</v>
      </c>
      <c r="R415" s="1169"/>
      <c r="S415" s="1170"/>
      <c r="T415" s="1171"/>
      <c r="U415" s="1128"/>
      <c r="V415" s="1169"/>
      <c r="W415" s="1177"/>
      <c r="X415" s="1177"/>
      <c r="Y415" s="1169"/>
      <c r="Z415" s="1169">
        <f t="shared" si="681"/>
        <v>0</v>
      </c>
      <c r="AA415" s="1169"/>
      <c r="AB415" s="1172">
        <f t="shared" si="669"/>
        <v>0</v>
      </c>
      <c r="AC415" s="1171"/>
      <c r="AD415" s="1128"/>
      <c r="AE415" s="1169"/>
      <c r="AF415" s="1177"/>
      <c r="AG415" s="1177"/>
      <c r="AH415" s="1169"/>
      <c r="AI415" s="1169">
        <f t="shared" si="682"/>
        <v>0</v>
      </c>
      <c r="AJ415" s="1169"/>
      <c r="AK415" s="1173"/>
      <c r="AL415" s="1171"/>
      <c r="AM415" s="1128"/>
      <c r="AN415" s="1170"/>
      <c r="AO415" s="1175"/>
      <c r="AP415" s="1175"/>
      <c r="AQ415" s="1170"/>
      <c r="AR415" s="1170">
        <f t="shared" si="683"/>
        <v>0</v>
      </c>
      <c r="AS415" s="1170"/>
      <c r="AT415" s="1170"/>
      <c r="AU415" s="1174"/>
      <c r="AV415" s="1241"/>
      <c r="AW415" s="1169"/>
      <c r="AX415" s="1177"/>
      <c r="AY415" s="1177"/>
      <c r="AZ415" s="1169"/>
      <c r="BA415" s="1169">
        <f t="shared" si="684"/>
        <v>0</v>
      </c>
      <c r="BB415" s="1169"/>
      <c r="BC415" s="1175"/>
      <c r="BD415" s="1027"/>
      <c r="BE415" s="1029"/>
      <c r="BF415" s="1029"/>
    </row>
    <row r="416" s="1000" customFormat="1" ht="18" customHeight="1">
      <c r="A416" s="999" t="str">
        <f t="shared" si="664"/>
        <v xml:space="preserve">Шарова Т.М.</v>
      </c>
      <c r="B416" s="1176" t="s">
        <v>203</v>
      </c>
      <c r="C416" s="1176"/>
      <c r="D416" s="1163"/>
      <c r="E416" s="1164">
        <f t="shared" si="634"/>
        <v>0</v>
      </c>
      <c r="F416" s="1164">
        <f t="shared" si="634"/>
        <v>0</v>
      </c>
      <c r="G416" s="1165">
        <f t="shared" si="678"/>
        <v>0</v>
      </c>
      <c r="H416" s="1166"/>
      <c r="I416" s="1298">
        <f t="shared" si="635"/>
        <v>0</v>
      </c>
      <c r="J416" s="1298">
        <f t="shared" si="635"/>
        <v>0</v>
      </c>
      <c r="K416" s="1168">
        <f t="shared" si="679"/>
        <v>0</v>
      </c>
      <c r="L416" s="1128"/>
      <c r="M416" s="1169"/>
      <c r="N416" s="1177"/>
      <c r="O416" s="1300"/>
      <c r="P416" s="1169"/>
      <c r="Q416" s="1169">
        <f t="shared" si="680"/>
        <v>0</v>
      </c>
      <c r="R416" s="1169"/>
      <c r="S416" s="1170"/>
      <c r="T416" s="1171"/>
      <c r="U416" s="1128"/>
      <c r="V416" s="1169"/>
      <c r="W416" s="1177"/>
      <c r="X416" s="1177"/>
      <c r="Y416" s="1169"/>
      <c r="Z416" s="1169">
        <f t="shared" si="681"/>
        <v>0</v>
      </c>
      <c r="AA416" s="1169"/>
      <c r="AB416" s="1172">
        <f t="shared" si="669"/>
        <v>0</v>
      </c>
      <c r="AC416" s="1171"/>
      <c r="AD416" s="1128"/>
      <c r="AE416" s="1169"/>
      <c r="AF416" s="1177"/>
      <c r="AG416" s="1177"/>
      <c r="AH416" s="1169"/>
      <c r="AI416" s="1169">
        <f t="shared" si="682"/>
        <v>0</v>
      </c>
      <c r="AJ416" s="1169"/>
      <c r="AK416" s="1173"/>
      <c r="AL416" s="1171"/>
      <c r="AM416" s="1128"/>
      <c r="AN416" s="1170"/>
      <c r="AO416" s="1175"/>
      <c r="AP416" s="1175"/>
      <c r="AQ416" s="1170"/>
      <c r="AR416" s="1170">
        <f t="shared" si="683"/>
        <v>0</v>
      </c>
      <c r="AS416" s="1170"/>
      <c r="AT416" s="1170"/>
      <c r="AU416" s="1174"/>
      <c r="AV416" s="1241"/>
      <c r="AW416" s="1169"/>
      <c r="AX416" s="1177"/>
      <c r="AY416" s="1177"/>
      <c r="AZ416" s="1169"/>
      <c r="BA416" s="1169">
        <f t="shared" si="684"/>
        <v>0</v>
      </c>
      <c r="BB416" s="1169"/>
      <c r="BC416" s="1175"/>
      <c r="BD416" s="1027"/>
      <c r="BE416" s="1029"/>
      <c r="BF416" s="1029"/>
    </row>
    <row r="417" s="1000" customFormat="1" ht="18" customHeight="1">
      <c r="A417" s="999" t="str">
        <f t="shared" si="664"/>
        <v xml:space="preserve">Крошка С.С.</v>
      </c>
      <c r="B417" s="1176" t="s">
        <v>204</v>
      </c>
      <c r="C417" s="1194"/>
      <c r="D417" s="1163"/>
      <c r="E417" s="1164">
        <f t="shared" si="634"/>
        <v>0</v>
      </c>
      <c r="F417" s="1164">
        <f t="shared" si="634"/>
        <v>0</v>
      </c>
      <c r="G417" s="1165">
        <f t="shared" si="678"/>
        <v>0</v>
      </c>
      <c r="H417" s="1166"/>
      <c r="I417" s="1298">
        <f t="shared" si="635"/>
        <v>0</v>
      </c>
      <c r="J417" s="1298">
        <f t="shared" si="635"/>
        <v>0</v>
      </c>
      <c r="K417" s="1168">
        <f t="shared" si="679"/>
        <v>0</v>
      </c>
      <c r="L417" s="1128"/>
      <c r="M417" s="1169"/>
      <c r="N417" s="1177"/>
      <c r="O417" s="1169"/>
      <c r="P417" s="1169"/>
      <c r="Q417" s="1169">
        <f t="shared" si="680"/>
        <v>0</v>
      </c>
      <c r="R417" s="1169"/>
      <c r="S417" s="1170"/>
      <c r="T417" s="1171"/>
      <c r="U417" s="1128"/>
      <c r="V417" s="1169"/>
      <c r="W417" s="1177"/>
      <c r="X417" s="1177"/>
      <c r="Y417" s="1169"/>
      <c r="Z417" s="1169">
        <f t="shared" si="681"/>
        <v>0</v>
      </c>
      <c r="AA417" s="1169"/>
      <c r="AB417" s="1172">
        <f t="shared" si="669"/>
        <v>0</v>
      </c>
      <c r="AC417" s="1171"/>
      <c r="AD417" s="1128"/>
      <c r="AE417" s="1169"/>
      <c r="AF417" s="1177"/>
      <c r="AG417" s="1177"/>
      <c r="AH417" s="1169"/>
      <c r="AI417" s="1169">
        <f t="shared" si="682"/>
        <v>0</v>
      </c>
      <c r="AJ417" s="1169"/>
      <c r="AK417" s="1173"/>
      <c r="AL417" s="1171"/>
      <c r="AM417" s="1128"/>
      <c r="AN417" s="1170"/>
      <c r="AO417" s="1175"/>
      <c r="AP417" s="1175"/>
      <c r="AQ417" s="1170"/>
      <c r="AR417" s="1170">
        <f t="shared" si="683"/>
        <v>0</v>
      </c>
      <c r="AS417" s="1170"/>
      <c r="AT417" s="1170"/>
      <c r="AU417" s="1174"/>
      <c r="AV417" s="1241"/>
      <c r="AW417" s="1169"/>
      <c r="AX417" s="1177"/>
      <c r="AY417" s="1177"/>
      <c r="AZ417" s="1169"/>
      <c r="BA417" s="1169">
        <f t="shared" si="684"/>
        <v>0</v>
      </c>
      <c r="BB417" s="1169"/>
      <c r="BC417" s="1175"/>
      <c r="BD417" s="1027"/>
      <c r="BE417" s="1029"/>
      <c r="BF417" s="1029"/>
    </row>
    <row r="418" s="1000" customFormat="1" ht="18" customHeight="1">
      <c r="A418" s="999" t="str">
        <f t="shared" si="664"/>
        <v xml:space="preserve">Козлитина Н.В.</v>
      </c>
      <c r="B418" s="1176" t="s">
        <v>205</v>
      </c>
      <c r="C418" s="1176"/>
      <c r="D418" s="1163"/>
      <c r="E418" s="1164">
        <f t="shared" si="634"/>
        <v>0</v>
      </c>
      <c r="F418" s="1164">
        <f t="shared" si="634"/>
        <v>0</v>
      </c>
      <c r="G418" s="1165">
        <f t="shared" si="678"/>
        <v>0</v>
      </c>
      <c r="H418" s="1166"/>
      <c r="I418" s="1298">
        <f t="shared" si="635"/>
        <v>0</v>
      </c>
      <c r="J418" s="1298">
        <f t="shared" si="635"/>
        <v>0</v>
      </c>
      <c r="K418" s="1168">
        <f t="shared" si="679"/>
        <v>0</v>
      </c>
      <c r="L418" s="1128"/>
      <c r="M418" s="1169"/>
      <c r="N418" s="1177"/>
      <c r="O418" s="1169"/>
      <c r="P418" s="1169"/>
      <c r="Q418" s="1169">
        <f t="shared" si="680"/>
        <v>0</v>
      </c>
      <c r="R418" s="1169"/>
      <c r="S418" s="1170"/>
      <c r="T418" s="1171"/>
      <c r="U418" s="1128"/>
      <c r="V418" s="1169"/>
      <c r="W418" s="1177"/>
      <c r="X418" s="1177"/>
      <c r="Y418" s="1169"/>
      <c r="Z418" s="1169">
        <f t="shared" si="681"/>
        <v>0</v>
      </c>
      <c r="AA418" s="1169"/>
      <c r="AB418" s="1172">
        <f t="shared" si="669"/>
        <v>0</v>
      </c>
      <c r="AC418" s="1171"/>
      <c r="AD418" s="1128"/>
      <c r="AE418" s="1169"/>
      <c r="AF418" s="1177"/>
      <c r="AG418" s="1177"/>
      <c r="AH418" s="1169"/>
      <c r="AI418" s="1169">
        <f t="shared" si="682"/>
        <v>0</v>
      </c>
      <c r="AJ418" s="1169"/>
      <c r="AK418" s="1173"/>
      <c r="AL418" s="1171"/>
      <c r="AM418" s="1128"/>
      <c r="AN418" s="1170"/>
      <c r="AO418" s="1175"/>
      <c r="AP418" s="1175"/>
      <c r="AQ418" s="1170"/>
      <c r="AR418" s="1170">
        <f t="shared" si="683"/>
        <v>0</v>
      </c>
      <c r="AS418" s="1170"/>
      <c r="AT418" s="1170"/>
      <c r="AU418" s="1174"/>
      <c r="AV418" s="1241"/>
      <c r="AW418" s="1169"/>
      <c r="AX418" s="1177"/>
      <c r="AY418" s="1177"/>
      <c r="AZ418" s="1169"/>
      <c r="BA418" s="1169">
        <f t="shared" si="684"/>
        <v>0</v>
      </c>
      <c r="BB418" s="1169"/>
      <c r="BC418" s="1175"/>
      <c r="BD418" s="1027"/>
      <c r="BE418" s="1029"/>
      <c r="BF418" s="1029"/>
    </row>
    <row r="419" s="1000" customFormat="1" ht="18" customHeight="1">
      <c r="A419" s="999" t="str">
        <f t="shared" si="664"/>
        <v xml:space="preserve">Баженова И.В.</v>
      </c>
      <c r="B419" s="1176" t="s">
        <v>206</v>
      </c>
      <c r="C419" s="1176"/>
      <c r="D419" s="1163"/>
      <c r="E419" s="1164">
        <f t="shared" si="634"/>
        <v>0</v>
      </c>
      <c r="F419" s="1164">
        <f t="shared" si="634"/>
        <v>0</v>
      </c>
      <c r="G419" s="1165">
        <f t="shared" si="678"/>
        <v>0</v>
      </c>
      <c r="H419" s="1166"/>
      <c r="I419" s="1298">
        <f t="shared" si="635"/>
        <v>0</v>
      </c>
      <c r="J419" s="1298">
        <f t="shared" si="635"/>
        <v>0</v>
      </c>
      <c r="K419" s="1168">
        <f t="shared" si="679"/>
        <v>0</v>
      </c>
      <c r="L419" s="1128"/>
      <c r="M419" s="1169"/>
      <c r="N419" s="1177"/>
      <c r="O419" s="1169"/>
      <c r="P419" s="1169"/>
      <c r="Q419" s="1169">
        <f t="shared" si="680"/>
        <v>0</v>
      </c>
      <c r="R419" s="1169"/>
      <c r="S419" s="1170"/>
      <c r="T419" s="1171"/>
      <c r="U419" s="1128"/>
      <c r="V419" s="1169"/>
      <c r="W419" s="1177"/>
      <c r="X419" s="1177"/>
      <c r="Y419" s="1169"/>
      <c r="Z419" s="1169">
        <f t="shared" si="681"/>
        <v>0</v>
      </c>
      <c r="AA419" s="1169"/>
      <c r="AB419" s="1172">
        <f t="shared" si="669"/>
        <v>0</v>
      </c>
      <c r="AC419" s="1171"/>
      <c r="AD419" s="1128"/>
      <c r="AE419" s="1169"/>
      <c r="AF419" s="1177"/>
      <c r="AG419" s="1177"/>
      <c r="AH419" s="1169"/>
      <c r="AI419" s="1169">
        <f t="shared" si="682"/>
        <v>0</v>
      </c>
      <c r="AJ419" s="1169"/>
      <c r="AK419" s="1173"/>
      <c r="AL419" s="1171"/>
      <c r="AM419" s="1128"/>
      <c r="AN419" s="1170"/>
      <c r="AO419" s="1175"/>
      <c r="AP419" s="1175"/>
      <c r="AQ419" s="1170"/>
      <c r="AR419" s="1170">
        <f t="shared" si="683"/>
        <v>0</v>
      </c>
      <c r="AS419" s="1170"/>
      <c r="AT419" s="1170"/>
      <c r="AU419" s="1174"/>
      <c r="AV419" s="1241"/>
      <c r="AW419" s="1169"/>
      <c r="AX419" s="1177"/>
      <c r="AY419" s="1177"/>
      <c r="AZ419" s="1169"/>
      <c r="BA419" s="1169">
        <f t="shared" si="684"/>
        <v>0</v>
      </c>
      <c r="BB419" s="1169"/>
      <c r="BC419" s="1175"/>
      <c r="BD419" s="1027"/>
      <c r="BE419" s="1029"/>
      <c r="BF419" s="1029"/>
    </row>
    <row r="420" s="1000" customFormat="1" ht="18" customHeight="1">
      <c r="A420" s="999" t="str">
        <f t="shared" si="664"/>
        <v xml:space="preserve">Герингер О.А.</v>
      </c>
      <c r="B420" s="1176" t="s">
        <v>207</v>
      </c>
      <c r="C420" s="1194"/>
      <c r="D420" s="1163"/>
      <c r="E420" s="1164">
        <f t="shared" si="634"/>
        <v>0</v>
      </c>
      <c r="F420" s="1164">
        <f t="shared" si="634"/>
        <v>0</v>
      </c>
      <c r="G420" s="1165">
        <f t="shared" si="678"/>
        <v>0</v>
      </c>
      <c r="H420" s="1166"/>
      <c r="I420" s="1298">
        <f t="shared" si="635"/>
        <v>0</v>
      </c>
      <c r="J420" s="1298">
        <f t="shared" si="635"/>
        <v>0</v>
      </c>
      <c r="K420" s="1168">
        <f t="shared" si="679"/>
        <v>0</v>
      </c>
      <c r="L420" s="1128"/>
      <c r="M420" s="1169"/>
      <c r="N420" s="1177"/>
      <c r="O420" s="1169"/>
      <c r="P420" s="1169"/>
      <c r="Q420" s="1169">
        <f t="shared" si="680"/>
        <v>0</v>
      </c>
      <c r="R420" s="1169"/>
      <c r="S420" s="1170"/>
      <c r="T420" s="1171"/>
      <c r="U420" s="1128"/>
      <c r="V420" s="1169"/>
      <c r="W420" s="1177"/>
      <c r="X420" s="1177"/>
      <c r="Y420" s="1169"/>
      <c r="Z420" s="1169">
        <f t="shared" si="681"/>
        <v>0</v>
      </c>
      <c r="AA420" s="1169"/>
      <c r="AB420" s="1172">
        <f t="shared" si="669"/>
        <v>0</v>
      </c>
      <c r="AC420" s="1171"/>
      <c r="AD420" s="1128"/>
      <c r="AE420" s="1169"/>
      <c r="AF420" s="1177"/>
      <c r="AG420" s="1177"/>
      <c r="AH420" s="1169"/>
      <c r="AI420" s="1169">
        <f t="shared" si="682"/>
        <v>0</v>
      </c>
      <c r="AJ420" s="1169"/>
      <c r="AK420" s="1173"/>
      <c r="AL420" s="1171"/>
      <c r="AM420" s="1128"/>
      <c r="AN420" s="1170"/>
      <c r="AO420" s="1175"/>
      <c r="AP420" s="1175"/>
      <c r="AQ420" s="1170"/>
      <c r="AR420" s="1170">
        <f t="shared" si="683"/>
        <v>0</v>
      </c>
      <c r="AS420" s="1170"/>
      <c r="AT420" s="1170"/>
      <c r="AU420" s="1174"/>
      <c r="AV420" s="1241"/>
      <c r="AW420" s="1169"/>
      <c r="AX420" s="1177"/>
      <c r="AY420" s="1177"/>
      <c r="AZ420" s="1169"/>
      <c r="BA420" s="1169">
        <f t="shared" si="684"/>
        <v>0</v>
      </c>
      <c r="BB420" s="1169"/>
      <c r="BC420" s="1175"/>
      <c r="BD420" s="1027"/>
      <c r="BE420" s="1029"/>
      <c r="BF420" s="1029"/>
    </row>
    <row r="421" s="1000" customFormat="1" ht="18" customHeight="1">
      <c r="A421" s="999" t="str">
        <f t="shared" si="664"/>
        <v xml:space="preserve">Ничипуренко И.А.</v>
      </c>
      <c r="B421" s="1176" t="s">
        <v>375</v>
      </c>
      <c r="C421" s="1176"/>
      <c r="D421" s="1163"/>
      <c r="E421" s="1164">
        <f t="shared" si="634"/>
        <v>0</v>
      </c>
      <c r="F421" s="1164">
        <f t="shared" si="634"/>
        <v>0</v>
      </c>
      <c r="G421" s="1165">
        <f t="shared" si="678"/>
        <v>0</v>
      </c>
      <c r="H421" s="1166"/>
      <c r="I421" s="1298">
        <f t="shared" si="635"/>
        <v>0</v>
      </c>
      <c r="J421" s="1298">
        <f t="shared" si="635"/>
        <v>0</v>
      </c>
      <c r="K421" s="1168">
        <f t="shared" si="679"/>
        <v>0</v>
      </c>
      <c r="L421" s="1128"/>
      <c r="M421" s="1169"/>
      <c r="N421" s="1177"/>
      <c r="O421" s="1169"/>
      <c r="P421" s="1169"/>
      <c r="Q421" s="1169">
        <f t="shared" si="680"/>
        <v>0</v>
      </c>
      <c r="R421" s="1169"/>
      <c r="S421" s="1170"/>
      <c r="T421" s="1171"/>
      <c r="U421" s="1128"/>
      <c r="V421" s="1169"/>
      <c r="W421" s="1177"/>
      <c r="X421" s="1177"/>
      <c r="Y421" s="1169"/>
      <c r="Z421" s="1169">
        <f t="shared" si="681"/>
        <v>0</v>
      </c>
      <c r="AA421" s="1169"/>
      <c r="AB421" s="1172">
        <f t="shared" si="669"/>
        <v>0</v>
      </c>
      <c r="AC421" s="1171"/>
      <c r="AD421" s="1128"/>
      <c r="AE421" s="1169"/>
      <c r="AF421" s="1177"/>
      <c r="AG421" s="1177"/>
      <c r="AH421" s="1169"/>
      <c r="AI421" s="1169">
        <f t="shared" si="682"/>
        <v>0</v>
      </c>
      <c r="AJ421" s="1169"/>
      <c r="AK421" s="1173"/>
      <c r="AL421" s="1171"/>
      <c r="AM421" s="1128"/>
      <c r="AN421" s="1170"/>
      <c r="AO421" s="1175"/>
      <c r="AP421" s="1175"/>
      <c r="AQ421" s="1170"/>
      <c r="AR421" s="1170">
        <f t="shared" si="683"/>
        <v>0</v>
      </c>
      <c r="AS421" s="1170"/>
      <c r="AT421" s="1170"/>
      <c r="AU421" s="1174"/>
      <c r="AV421" s="1241"/>
      <c r="AW421" s="1169"/>
      <c r="AX421" s="1177"/>
      <c r="AY421" s="1177"/>
      <c r="AZ421" s="1169"/>
      <c r="BA421" s="1169">
        <f t="shared" si="684"/>
        <v>0</v>
      </c>
      <c r="BB421" s="1169"/>
      <c r="BC421" s="1175"/>
      <c r="BD421" s="1027"/>
      <c r="BE421" s="1029"/>
      <c r="BF421" s="1029"/>
    </row>
    <row r="422" s="1000" customFormat="1" ht="18" customHeight="1">
      <c r="A422" s="999" t="str">
        <f t="shared" si="664"/>
        <v xml:space="preserve">Дылыкова А.А. Закусова О.А. Бондаренко НФ</v>
      </c>
      <c r="B422" s="1176" t="s">
        <v>210</v>
      </c>
      <c r="C422" s="1176"/>
      <c r="D422" s="1163"/>
      <c r="E422" s="1164">
        <f t="shared" ref="E422:F485" si="685">Q422+Z422+AI422+AR422+BA422</f>
        <v>0</v>
      </c>
      <c r="F422" s="1164">
        <f t="shared" si="685"/>
        <v>0</v>
      </c>
      <c r="G422" s="1165">
        <f t="shared" si="678"/>
        <v>0</v>
      </c>
      <c r="H422" s="1166"/>
      <c r="I422" s="1298">
        <f t="shared" si="635"/>
        <v>0</v>
      </c>
      <c r="J422" s="1298">
        <f t="shared" si="635"/>
        <v>0</v>
      </c>
      <c r="K422" s="1168">
        <f t="shared" si="679"/>
        <v>0</v>
      </c>
      <c r="L422" s="1128"/>
      <c r="M422" s="1169"/>
      <c r="N422" s="1177"/>
      <c r="O422" s="1169"/>
      <c r="P422" s="1169"/>
      <c r="Q422" s="1169">
        <f t="shared" si="680"/>
        <v>0</v>
      </c>
      <c r="R422" s="1169"/>
      <c r="S422" s="1170"/>
      <c r="T422" s="1171"/>
      <c r="U422" s="1128"/>
      <c r="V422" s="1169"/>
      <c r="W422" s="1177"/>
      <c r="X422" s="1177"/>
      <c r="Y422" s="1169"/>
      <c r="Z422" s="1169">
        <f t="shared" si="681"/>
        <v>0</v>
      </c>
      <c r="AA422" s="1169"/>
      <c r="AB422" s="1172">
        <f t="shared" si="669"/>
        <v>0</v>
      </c>
      <c r="AC422" s="1171"/>
      <c r="AD422" s="1128"/>
      <c r="AE422" s="1169"/>
      <c r="AF422" s="1177"/>
      <c r="AG422" s="1177"/>
      <c r="AH422" s="1169"/>
      <c r="AI422" s="1169">
        <f t="shared" si="682"/>
        <v>0</v>
      </c>
      <c r="AJ422" s="1169"/>
      <c r="AK422" s="1173"/>
      <c r="AL422" s="1171"/>
      <c r="AM422" s="1128"/>
      <c r="AN422" s="1170"/>
      <c r="AO422" s="1175"/>
      <c r="AP422" s="1175"/>
      <c r="AQ422" s="1170"/>
      <c r="AR422" s="1170">
        <f t="shared" si="683"/>
        <v>0</v>
      </c>
      <c r="AS422" s="1170"/>
      <c r="AT422" s="1170"/>
      <c r="AU422" s="1174"/>
      <c r="AV422" s="1241"/>
      <c r="AW422" s="1169"/>
      <c r="AX422" s="1177"/>
      <c r="AY422" s="1177"/>
      <c r="AZ422" s="1169"/>
      <c r="BA422" s="1169">
        <f t="shared" si="684"/>
        <v>0</v>
      </c>
      <c r="BB422" s="1169"/>
      <c r="BC422" s="1175"/>
      <c r="BD422" s="1027"/>
      <c r="BE422" s="1029"/>
      <c r="BF422" s="1029"/>
    </row>
    <row r="423" s="1000" customFormat="1" ht="18" customHeight="1">
      <c r="A423" s="999" t="str">
        <f t="shared" si="664"/>
        <v xml:space="preserve">Мазуренко А.Н.</v>
      </c>
      <c r="B423" s="1176" t="s">
        <v>211</v>
      </c>
      <c r="C423" s="1176"/>
      <c r="D423" s="1163"/>
      <c r="E423" s="1164">
        <f t="shared" si="685"/>
        <v>0</v>
      </c>
      <c r="F423" s="1164">
        <f t="shared" si="685"/>
        <v>0</v>
      </c>
      <c r="G423" s="1165">
        <f t="shared" si="678"/>
        <v>0</v>
      </c>
      <c r="H423" s="1166"/>
      <c r="I423" s="1298">
        <f t="shared" si="635"/>
        <v>0</v>
      </c>
      <c r="J423" s="1298">
        <f t="shared" si="635"/>
        <v>0</v>
      </c>
      <c r="K423" s="1168">
        <f t="shared" si="679"/>
        <v>0</v>
      </c>
      <c r="L423" s="1128"/>
      <c r="M423" s="1169"/>
      <c r="N423" s="1177"/>
      <c r="O423" s="1169"/>
      <c r="P423" s="1169"/>
      <c r="Q423" s="1169">
        <f t="shared" si="680"/>
        <v>0</v>
      </c>
      <c r="R423" s="1169"/>
      <c r="S423" s="1170"/>
      <c r="T423" s="1171"/>
      <c r="U423" s="1128"/>
      <c r="V423" s="1169"/>
      <c r="W423" s="1177"/>
      <c r="X423" s="1177"/>
      <c r="Y423" s="1169"/>
      <c r="Z423" s="1169">
        <f t="shared" si="681"/>
        <v>0</v>
      </c>
      <c r="AA423" s="1169"/>
      <c r="AB423" s="1172">
        <f t="shared" si="669"/>
        <v>0</v>
      </c>
      <c r="AC423" s="1171"/>
      <c r="AD423" s="1128"/>
      <c r="AE423" s="1169"/>
      <c r="AF423" s="1177"/>
      <c r="AG423" s="1177"/>
      <c r="AH423" s="1169"/>
      <c r="AI423" s="1169">
        <f t="shared" si="682"/>
        <v>0</v>
      </c>
      <c r="AJ423" s="1169"/>
      <c r="AK423" s="1173"/>
      <c r="AL423" s="1171"/>
      <c r="AM423" s="1128"/>
      <c r="AN423" s="1170"/>
      <c r="AO423" s="1175"/>
      <c r="AP423" s="1175"/>
      <c r="AQ423" s="1170"/>
      <c r="AR423" s="1170">
        <f t="shared" si="683"/>
        <v>0</v>
      </c>
      <c r="AS423" s="1170"/>
      <c r="AT423" s="1170"/>
      <c r="AU423" s="1174"/>
      <c r="AV423" s="1241"/>
      <c r="AW423" s="1169"/>
      <c r="AX423" s="1177"/>
      <c r="AY423" s="1177"/>
      <c r="AZ423" s="1169"/>
      <c r="BA423" s="1169">
        <f t="shared" si="684"/>
        <v>0</v>
      </c>
      <c r="BB423" s="1169"/>
      <c r="BC423" s="1175"/>
      <c r="BD423" s="1027"/>
      <c r="BE423" s="1029"/>
      <c r="BF423" s="1029"/>
    </row>
    <row r="424" s="1106" customFormat="1" ht="18" customHeight="1">
      <c r="A424" s="999">
        <f t="shared" si="664"/>
        <v>0</v>
      </c>
      <c r="B424" s="1182" t="s">
        <v>363</v>
      </c>
      <c r="C424" s="1182"/>
      <c r="D424" s="1182"/>
      <c r="E424" s="1183">
        <f t="shared" si="685"/>
        <v>0</v>
      </c>
      <c r="F424" s="1183">
        <f t="shared" si="685"/>
        <v>0</v>
      </c>
      <c r="G424" s="1184">
        <f>SUM(G411:G423)</f>
        <v>0</v>
      </c>
      <c r="H424" s="1185"/>
      <c r="I424" s="1299">
        <f t="shared" si="635"/>
        <v>0</v>
      </c>
      <c r="J424" s="1299">
        <f t="shared" si="635"/>
        <v>0</v>
      </c>
      <c r="K424" s="1187">
        <f>SUM(K411:K423)</f>
        <v>0</v>
      </c>
      <c r="L424" s="1197"/>
      <c r="M424" s="1096">
        <f t="shared" ref="M424:R424" si="686">SUM(M411:M423)</f>
        <v>0</v>
      </c>
      <c r="N424" s="1096">
        <f t="shared" si="686"/>
        <v>0</v>
      </c>
      <c r="O424" s="1096">
        <f t="shared" si="686"/>
        <v>0</v>
      </c>
      <c r="P424" s="1096">
        <f t="shared" si="686"/>
        <v>0</v>
      </c>
      <c r="Q424" s="1096">
        <f t="shared" si="686"/>
        <v>0</v>
      </c>
      <c r="R424" s="1096">
        <f t="shared" si="686"/>
        <v>0</v>
      </c>
      <c r="S424" s="1170"/>
      <c r="T424" s="1189"/>
      <c r="U424" s="1128"/>
      <c r="V424" s="1096">
        <f t="shared" ref="V424:AA424" si="687">SUM(V411:V423)</f>
        <v>0</v>
      </c>
      <c r="W424" s="1096">
        <f t="shared" si="687"/>
        <v>0</v>
      </c>
      <c r="X424" s="1096">
        <f t="shared" si="687"/>
        <v>0</v>
      </c>
      <c r="Y424" s="1096">
        <f t="shared" si="687"/>
        <v>0</v>
      </c>
      <c r="Z424" s="1096">
        <f t="shared" si="687"/>
        <v>0</v>
      </c>
      <c r="AA424" s="1096">
        <f t="shared" si="687"/>
        <v>0</v>
      </c>
      <c r="AB424" s="1172">
        <f t="shared" si="669"/>
        <v>0</v>
      </c>
      <c r="AC424" s="1189"/>
      <c r="AD424" s="1125"/>
      <c r="AE424" s="1096">
        <f t="shared" ref="AE424:AJ424" si="688">SUM(AE411:AE423)</f>
        <v>0</v>
      </c>
      <c r="AF424" s="1096">
        <f t="shared" si="688"/>
        <v>0</v>
      </c>
      <c r="AG424" s="1096">
        <f t="shared" si="688"/>
        <v>0</v>
      </c>
      <c r="AH424" s="1096">
        <f t="shared" si="688"/>
        <v>0</v>
      </c>
      <c r="AI424" s="1096">
        <f t="shared" si="688"/>
        <v>0</v>
      </c>
      <c r="AJ424" s="1096">
        <f t="shared" si="688"/>
        <v>0</v>
      </c>
      <c r="AK424" s="1173"/>
      <c r="AL424" s="1189"/>
      <c r="AM424" s="1125"/>
      <c r="AN424" s="1190">
        <f t="shared" ref="AN424:AS424" si="689">SUM(AN411:AN423)</f>
        <v>0</v>
      </c>
      <c r="AO424" s="1190">
        <f t="shared" si="689"/>
        <v>0</v>
      </c>
      <c r="AP424" s="1190">
        <f t="shared" si="689"/>
        <v>0</v>
      </c>
      <c r="AQ424" s="1190">
        <f t="shared" si="689"/>
        <v>0</v>
      </c>
      <c r="AR424" s="1190">
        <f t="shared" si="689"/>
        <v>0</v>
      </c>
      <c r="AS424" s="1190">
        <f t="shared" si="689"/>
        <v>0</v>
      </c>
      <c r="AT424" s="1170"/>
      <c r="AU424" s="1191"/>
      <c r="AV424" s="1245"/>
      <c r="AW424" s="1096">
        <f t="shared" ref="AW424:BB424" si="690">SUM(AW411:AW423)</f>
        <v>0</v>
      </c>
      <c r="AX424" s="1096">
        <f t="shared" si="690"/>
        <v>0</v>
      </c>
      <c r="AY424" s="1096">
        <f t="shared" si="690"/>
        <v>0</v>
      </c>
      <c r="AZ424" s="1096">
        <f t="shared" si="690"/>
        <v>0</v>
      </c>
      <c r="BA424" s="1096">
        <f t="shared" si="690"/>
        <v>0</v>
      </c>
      <c r="BB424" s="1096">
        <f t="shared" si="690"/>
        <v>0</v>
      </c>
      <c r="BC424" s="1175"/>
      <c r="BD424" s="1052"/>
      <c r="BE424" s="1051"/>
      <c r="BF424" s="1051"/>
    </row>
    <row r="425" s="1000" customFormat="1" ht="18" customHeight="1">
      <c r="A425" s="999" t="str">
        <f t="shared" si="664"/>
        <v xml:space="preserve">Румак В.Н, Стоянова ЕП</v>
      </c>
      <c r="B425" s="1176" t="s">
        <v>379</v>
      </c>
      <c r="C425" s="1176"/>
      <c r="D425" s="1163"/>
      <c r="E425" s="1164">
        <f t="shared" si="685"/>
        <v>0</v>
      </c>
      <c r="F425" s="1164">
        <f t="shared" si="685"/>
        <v>0</v>
      </c>
      <c r="G425" s="1165">
        <f t="shared" ref="G425:G429" si="691">E425+F425</f>
        <v>0</v>
      </c>
      <c r="H425" s="1166"/>
      <c r="I425" s="1298">
        <f t="shared" si="635"/>
        <v>0</v>
      </c>
      <c r="J425" s="1298">
        <f t="shared" si="635"/>
        <v>0</v>
      </c>
      <c r="K425" s="1168">
        <f t="shared" ref="K425:K429" si="692">I425+J425</f>
        <v>0</v>
      </c>
      <c r="L425" s="1128"/>
      <c r="M425" s="1169"/>
      <c r="N425" s="1177"/>
      <c r="O425" s="1169"/>
      <c r="P425" s="1169"/>
      <c r="Q425" s="1169">
        <f t="shared" ref="Q425:Q429" si="693">SUM(M425:P425)</f>
        <v>0</v>
      </c>
      <c r="R425" s="1169"/>
      <c r="S425" s="1170"/>
      <c r="T425" s="1171"/>
      <c r="U425" s="1128"/>
      <c r="V425" s="1169"/>
      <c r="W425" s="1177"/>
      <c r="X425" s="1177"/>
      <c r="Y425" s="1169"/>
      <c r="Z425" s="1169">
        <f t="shared" ref="Z425:Z429" si="694">SUM(V425:Y425)</f>
        <v>0</v>
      </c>
      <c r="AA425" s="1169"/>
      <c r="AB425" s="1172">
        <f t="shared" si="669"/>
        <v>0</v>
      </c>
      <c r="AC425" s="1171"/>
      <c r="AD425" s="1128"/>
      <c r="AE425" s="1169"/>
      <c r="AF425" s="1177"/>
      <c r="AG425" s="1177"/>
      <c r="AH425" s="1169"/>
      <c r="AI425" s="1169">
        <f t="shared" ref="AI425:AI429" si="695">SUM(AE425:AH425)</f>
        <v>0</v>
      </c>
      <c r="AJ425" s="1169"/>
      <c r="AK425" s="1173"/>
      <c r="AL425" s="1171"/>
      <c r="AM425" s="1128"/>
      <c r="AN425" s="1170"/>
      <c r="AO425" s="1175"/>
      <c r="AP425" s="1175"/>
      <c r="AQ425" s="1170"/>
      <c r="AR425" s="1170">
        <f t="shared" ref="AR425:AR429" si="696">SUM(AN425:AQ425)</f>
        <v>0</v>
      </c>
      <c r="AS425" s="1170"/>
      <c r="AT425" s="1170"/>
      <c r="AU425" s="1174"/>
      <c r="AV425" s="1241"/>
      <c r="AW425" s="1169"/>
      <c r="AX425" s="1177"/>
      <c r="AY425" s="1177"/>
      <c r="AZ425" s="1169"/>
      <c r="BA425" s="1169">
        <f t="shared" ref="BA425:BA429" si="697">SUM(AW425:AZ425)</f>
        <v>0</v>
      </c>
      <c r="BB425" s="1169"/>
      <c r="BC425" s="1175"/>
      <c r="BD425" s="1027"/>
      <c r="BE425" s="1029"/>
      <c r="BF425" s="1029"/>
    </row>
    <row r="426" s="1000" customFormat="1" ht="18" customHeight="1">
      <c r="A426" s="999" t="str">
        <f t="shared" si="664"/>
        <v xml:space="preserve">Голубцова О.В.</v>
      </c>
      <c r="B426" s="1176" t="s">
        <v>381</v>
      </c>
      <c r="C426" s="1176"/>
      <c r="D426" s="1176"/>
      <c r="E426" s="1164">
        <f t="shared" si="685"/>
        <v>0</v>
      </c>
      <c r="F426" s="1164">
        <f t="shared" si="685"/>
        <v>0</v>
      </c>
      <c r="G426" s="1165">
        <f t="shared" si="691"/>
        <v>0</v>
      </c>
      <c r="H426" s="1166"/>
      <c r="I426" s="1298">
        <f t="shared" si="635"/>
        <v>0</v>
      </c>
      <c r="J426" s="1298">
        <f t="shared" si="635"/>
        <v>0</v>
      </c>
      <c r="K426" s="1168">
        <f t="shared" si="692"/>
        <v>0</v>
      </c>
      <c r="L426" s="1128"/>
      <c r="M426" s="1169"/>
      <c r="N426" s="1177"/>
      <c r="O426" s="1169"/>
      <c r="P426" s="1169"/>
      <c r="Q426" s="1169">
        <f t="shared" si="693"/>
        <v>0</v>
      </c>
      <c r="R426" s="1169"/>
      <c r="S426" s="1170"/>
      <c r="T426" s="1171"/>
      <c r="U426" s="1128"/>
      <c r="V426" s="1169"/>
      <c r="W426" s="1177"/>
      <c r="X426" s="1177"/>
      <c r="Y426" s="1169"/>
      <c r="Z426" s="1169">
        <f t="shared" si="694"/>
        <v>0</v>
      </c>
      <c r="AA426" s="1169"/>
      <c r="AB426" s="1172">
        <f t="shared" si="669"/>
        <v>0</v>
      </c>
      <c r="AC426" s="1171"/>
      <c r="AD426" s="1128"/>
      <c r="AE426" s="1169"/>
      <c r="AF426" s="1177"/>
      <c r="AG426" s="1177"/>
      <c r="AH426" s="1169"/>
      <c r="AI426" s="1169">
        <f t="shared" si="695"/>
        <v>0</v>
      </c>
      <c r="AJ426" s="1169"/>
      <c r="AK426" s="1173"/>
      <c r="AL426" s="1171"/>
      <c r="AM426" s="1128"/>
      <c r="AN426" s="1170"/>
      <c r="AO426" s="1175"/>
      <c r="AP426" s="1175"/>
      <c r="AQ426" s="1170"/>
      <c r="AR426" s="1170">
        <f t="shared" si="696"/>
        <v>0</v>
      </c>
      <c r="AS426" s="1170"/>
      <c r="AT426" s="1170"/>
      <c r="AU426" s="1174"/>
      <c r="AV426" s="1241"/>
      <c r="AW426" s="1169"/>
      <c r="AX426" s="1177"/>
      <c r="AY426" s="1177"/>
      <c r="AZ426" s="1169"/>
      <c r="BA426" s="1169">
        <f t="shared" si="697"/>
        <v>0</v>
      </c>
      <c r="BB426" s="1169"/>
      <c r="BC426" s="1175"/>
      <c r="BD426" s="1027"/>
      <c r="BE426" s="1029"/>
      <c r="BF426" s="1029"/>
    </row>
    <row r="427" s="1000" customFormat="1" ht="18" customHeight="1">
      <c r="A427" s="999" t="str">
        <f t="shared" si="664"/>
        <v xml:space="preserve">Бородулина М.П.</v>
      </c>
      <c r="B427" s="1176" t="s">
        <v>383</v>
      </c>
      <c r="C427" s="1176"/>
      <c r="D427" s="1163"/>
      <c r="E427" s="1164">
        <f t="shared" si="685"/>
        <v>0</v>
      </c>
      <c r="F427" s="1164">
        <f t="shared" si="685"/>
        <v>0</v>
      </c>
      <c r="G427" s="1165">
        <f t="shared" si="691"/>
        <v>0</v>
      </c>
      <c r="H427" s="1166"/>
      <c r="I427" s="1298">
        <f t="shared" si="635"/>
        <v>0</v>
      </c>
      <c r="J427" s="1298">
        <f t="shared" si="635"/>
        <v>0</v>
      </c>
      <c r="K427" s="1168">
        <f t="shared" si="692"/>
        <v>0</v>
      </c>
      <c r="L427" s="1128"/>
      <c r="M427" s="1169"/>
      <c r="N427" s="1177"/>
      <c r="O427" s="1169"/>
      <c r="P427" s="1169"/>
      <c r="Q427" s="1169">
        <f t="shared" si="693"/>
        <v>0</v>
      </c>
      <c r="R427" s="1169"/>
      <c r="S427" s="1170"/>
      <c r="T427" s="1171"/>
      <c r="U427" s="1128"/>
      <c r="V427" s="1169"/>
      <c r="W427" s="1177"/>
      <c r="X427" s="1177"/>
      <c r="Y427" s="1169"/>
      <c r="Z427" s="1169">
        <f t="shared" si="694"/>
        <v>0</v>
      </c>
      <c r="AA427" s="1169"/>
      <c r="AB427" s="1172">
        <f t="shared" si="669"/>
        <v>0</v>
      </c>
      <c r="AC427" s="1171"/>
      <c r="AD427" s="1128"/>
      <c r="AE427" s="1169"/>
      <c r="AF427" s="1177"/>
      <c r="AG427" s="1177"/>
      <c r="AH427" s="1169"/>
      <c r="AI427" s="1169">
        <f t="shared" si="695"/>
        <v>0</v>
      </c>
      <c r="AJ427" s="1169"/>
      <c r="AK427" s="1173"/>
      <c r="AL427" s="1171"/>
      <c r="AM427" s="1128"/>
      <c r="AN427" s="1170"/>
      <c r="AO427" s="1175"/>
      <c r="AP427" s="1175"/>
      <c r="AQ427" s="1170"/>
      <c r="AR427" s="1170">
        <f t="shared" si="696"/>
        <v>0</v>
      </c>
      <c r="AS427" s="1170"/>
      <c r="AT427" s="1170"/>
      <c r="AU427" s="1174"/>
      <c r="AV427" s="1241"/>
      <c r="AW427" s="1169"/>
      <c r="AX427" s="1177"/>
      <c r="AY427" s="1177"/>
      <c r="AZ427" s="1169"/>
      <c r="BA427" s="1169">
        <f t="shared" si="697"/>
        <v>0</v>
      </c>
      <c r="BB427" s="1169"/>
      <c r="BC427" s="1175"/>
      <c r="BD427" s="1027"/>
      <c r="BE427" s="1029"/>
      <c r="BF427" s="1029"/>
    </row>
    <row r="428" s="1000" customFormat="1" ht="18" customHeight="1">
      <c r="A428" s="999" t="str">
        <f t="shared" si="664"/>
        <v xml:space="preserve">Буханова Т.И. Мансурова А.Г.</v>
      </c>
      <c r="B428" s="1176" t="s">
        <v>385</v>
      </c>
      <c r="C428" s="1196"/>
      <c r="D428" s="1196"/>
      <c r="E428" s="1164">
        <f t="shared" si="685"/>
        <v>0</v>
      </c>
      <c r="F428" s="1164">
        <f t="shared" si="685"/>
        <v>0</v>
      </c>
      <c r="G428" s="1165">
        <f t="shared" si="691"/>
        <v>0</v>
      </c>
      <c r="H428" s="1166"/>
      <c r="I428" s="1298">
        <f t="shared" si="635"/>
        <v>0</v>
      </c>
      <c r="J428" s="1298">
        <f t="shared" si="635"/>
        <v>0</v>
      </c>
      <c r="K428" s="1168">
        <f t="shared" si="692"/>
        <v>0</v>
      </c>
      <c r="L428" s="1128"/>
      <c r="M428" s="1169"/>
      <c r="N428" s="1177"/>
      <c r="O428" s="1169"/>
      <c r="P428" s="1169"/>
      <c r="Q428" s="1169">
        <f t="shared" si="693"/>
        <v>0</v>
      </c>
      <c r="R428" s="1169"/>
      <c r="S428" s="1170"/>
      <c r="T428" s="1171"/>
      <c r="U428" s="1128"/>
      <c r="V428" s="1169"/>
      <c r="W428" s="1177"/>
      <c r="X428" s="1177"/>
      <c r="Y428" s="1169"/>
      <c r="Z428" s="1169">
        <f t="shared" si="694"/>
        <v>0</v>
      </c>
      <c r="AA428" s="1169"/>
      <c r="AB428" s="1172">
        <f t="shared" si="669"/>
        <v>0</v>
      </c>
      <c r="AC428" s="1171"/>
      <c r="AD428" s="1128"/>
      <c r="AE428" s="1169"/>
      <c r="AF428" s="1177"/>
      <c r="AG428" s="1177"/>
      <c r="AH428" s="1169"/>
      <c r="AI428" s="1169">
        <f t="shared" si="695"/>
        <v>0</v>
      </c>
      <c r="AJ428" s="1169"/>
      <c r="AK428" s="1173"/>
      <c r="AL428" s="1171"/>
      <c r="AM428" s="1128"/>
      <c r="AN428" s="1170"/>
      <c r="AO428" s="1175"/>
      <c r="AP428" s="1175"/>
      <c r="AQ428" s="1170"/>
      <c r="AR428" s="1170">
        <f t="shared" si="696"/>
        <v>0</v>
      </c>
      <c r="AS428" s="1170"/>
      <c r="AT428" s="1170"/>
      <c r="AU428" s="1174"/>
      <c r="AV428" s="1241"/>
      <c r="AW428" s="1169"/>
      <c r="AX428" s="1177"/>
      <c r="AY428" s="1177"/>
      <c r="AZ428" s="1169"/>
      <c r="BA428" s="1169">
        <f t="shared" si="697"/>
        <v>0</v>
      </c>
      <c r="BB428" s="1169"/>
      <c r="BC428" s="1175"/>
      <c r="BD428" s="1027"/>
      <c r="BE428" s="1029"/>
      <c r="BF428" s="1029"/>
    </row>
    <row r="429" s="1000" customFormat="1" ht="18" customHeight="1">
      <c r="A429" s="999" t="str">
        <f t="shared" si="664"/>
        <v xml:space="preserve">Мирошник Е.В.</v>
      </c>
      <c r="B429" s="1176" t="s">
        <v>387</v>
      </c>
      <c r="C429" s="1176"/>
      <c r="D429" s="1176"/>
      <c r="E429" s="1164">
        <f t="shared" si="685"/>
        <v>0</v>
      </c>
      <c r="F429" s="1164">
        <f t="shared" si="685"/>
        <v>0</v>
      </c>
      <c r="G429" s="1165">
        <f t="shared" si="691"/>
        <v>0</v>
      </c>
      <c r="H429" s="1166"/>
      <c r="I429" s="1298">
        <f t="shared" ref="I429:J492" si="698">E429-Z429</f>
        <v>0</v>
      </c>
      <c r="J429" s="1298">
        <f t="shared" si="698"/>
        <v>0</v>
      </c>
      <c r="K429" s="1168">
        <f t="shared" si="692"/>
        <v>0</v>
      </c>
      <c r="L429" s="1128"/>
      <c r="M429" s="1169"/>
      <c r="N429" s="1177"/>
      <c r="O429" s="1169"/>
      <c r="P429" s="1169"/>
      <c r="Q429" s="1169">
        <f t="shared" si="693"/>
        <v>0</v>
      </c>
      <c r="R429" s="1169"/>
      <c r="S429" s="1170"/>
      <c r="T429" s="1171"/>
      <c r="U429" s="1128"/>
      <c r="V429" s="1169"/>
      <c r="W429" s="1177"/>
      <c r="X429" s="1177"/>
      <c r="Y429" s="1169"/>
      <c r="Z429" s="1169">
        <f t="shared" si="694"/>
        <v>0</v>
      </c>
      <c r="AA429" s="1169"/>
      <c r="AB429" s="1172">
        <f t="shared" si="669"/>
        <v>0</v>
      </c>
      <c r="AC429" s="1171"/>
      <c r="AD429" s="1128"/>
      <c r="AE429" s="1169"/>
      <c r="AF429" s="1177"/>
      <c r="AG429" s="1177"/>
      <c r="AH429" s="1169"/>
      <c r="AI429" s="1169">
        <f t="shared" si="695"/>
        <v>0</v>
      </c>
      <c r="AJ429" s="1169"/>
      <c r="AK429" s="1173"/>
      <c r="AL429" s="1171"/>
      <c r="AM429" s="1128"/>
      <c r="AN429" s="1170"/>
      <c r="AO429" s="1175"/>
      <c r="AP429" s="1175"/>
      <c r="AQ429" s="1170"/>
      <c r="AR429" s="1170">
        <f t="shared" si="696"/>
        <v>0</v>
      </c>
      <c r="AS429" s="1170"/>
      <c r="AT429" s="1170"/>
      <c r="AU429" s="1174"/>
      <c r="AV429" s="1241"/>
      <c r="AW429" s="1169"/>
      <c r="AX429" s="1177"/>
      <c r="AY429" s="1177"/>
      <c r="AZ429" s="1169"/>
      <c r="BA429" s="1169">
        <f t="shared" si="697"/>
        <v>0</v>
      </c>
      <c r="BB429" s="1169"/>
      <c r="BC429" s="1175"/>
      <c r="BD429" s="1027"/>
      <c r="BE429" s="1029"/>
      <c r="BF429" s="1029"/>
    </row>
    <row r="430" s="1106" customFormat="1" ht="18" customHeight="1">
      <c r="A430" s="999">
        <f t="shared" si="664"/>
        <v>0</v>
      </c>
      <c r="B430" s="1182" t="s">
        <v>388</v>
      </c>
      <c r="C430" s="1182"/>
      <c r="D430" s="1182"/>
      <c r="E430" s="1183">
        <f t="shared" si="685"/>
        <v>0</v>
      </c>
      <c r="F430" s="1183">
        <f t="shared" si="685"/>
        <v>0</v>
      </c>
      <c r="G430" s="1184">
        <f>SUM(G425:G429)</f>
        <v>0</v>
      </c>
      <c r="H430" s="1185"/>
      <c r="I430" s="1299">
        <f t="shared" si="698"/>
        <v>0</v>
      </c>
      <c r="J430" s="1299">
        <f t="shared" si="698"/>
        <v>0</v>
      </c>
      <c r="K430" s="1187">
        <f>SUM(K425:K429)</f>
        <v>0</v>
      </c>
      <c r="L430" s="1197"/>
      <c r="M430" s="1096">
        <f t="shared" ref="M430:R430" si="699">SUM(M425:M429)</f>
        <v>0</v>
      </c>
      <c r="N430" s="1096">
        <f t="shared" si="699"/>
        <v>0</v>
      </c>
      <c r="O430" s="1096">
        <f t="shared" si="699"/>
        <v>0</v>
      </c>
      <c r="P430" s="1096">
        <f t="shared" si="699"/>
        <v>0</v>
      </c>
      <c r="Q430" s="1096">
        <f t="shared" si="699"/>
        <v>0</v>
      </c>
      <c r="R430" s="1096">
        <f t="shared" si="699"/>
        <v>0</v>
      </c>
      <c r="S430" s="1170"/>
      <c r="T430" s="1189"/>
      <c r="U430" s="1197"/>
      <c r="V430" s="1096">
        <f t="shared" ref="V430:AA430" si="700">SUM(V425:V429)</f>
        <v>0</v>
      </c>
      <c r="W430" s="1096">
        <f t="shared" si="700"/>
        <v>0</v>
      </c>
      <c r="X430" s="1096">
        <f t="shared" si="700"/>
        <v>0</v>
      </c>
      <c r="Y430" s="1096">
        <f t="shared" si="700"/>
        <v>0</v>
      </c>
      <c r="Z430" s="1096">
        <f t="shared" si="700"/>
        <v>0</v>
      </c>
      <c r="AA430" s="1096">
        <f t="shared" si="700"/>
        <v>0</v>
      </c>
      <c r="AB430" s="1172">
        <f t="shared" si="669"/>
        <v>0</v>
      </c>
      <c r="AC430" s="1189"/>
      <c r="AD430" s="1197"/>
      <c r="AE430" s="1096">
        <f t="shared" ref="AE430:AJ430" si="701">SUM(AE425:AE429)</f>
        <v>0</v>
      </c>
      <c r="AF430" s="1096">
        <f t="shared" si="701"/>
        <v>0</v>
      </c>
      <c r="AG430" s="1096">
        <f t="shared" si="701"/>
        <v>0</v>
      </c>
      <c r="AH430" s="1096">
        <f t="shared" si="701"/>
        <v>0</v>
      </c>
      <c r="AI430" s="1096">
        <f t="shared" si="701"/>
        <v>0</v>
      </c>
      <c r="AJ430" s="1096">
        <f t="shared" si="701"/>
        <v>0</v>
      </c>
      <c r="AK430" s="1173"/>
      <c r="AL430" s="1189"/>
      <c r="AM430" s="1197"/>
      <c r="AN430" s="1190">
        <f t="shared" ref="AN430:AS430" si="702">SUM(AN425:AN429)</f>
        <v>0</v>
      </c>
      <c r="AO430" s="1190">
        <f t="shared" si="702"/>
        <v>0</v>
      </c>
      <c r="AP430" s="1190">
        <f t="shared" si="702"/>
        <v>0</v>
      </c>
      <c r="AQ430" s="1190">
        <f t="shared" si="702"/>
        <v>0</v>
      </c>
      <c r="AR430" s="1190">
        <f t="shared" si="702"/>
        <v>0</v>
      </c>
      <c r="AS430" s="1190">
        <f t="shared" si="702"/>
        <v>0</v>
      </c>
      <c r="AT430" s="1170"/>
      <c r="AU430" s="1191"/>
      <c r="AV430" s="1197">
        <f t="shared" ref="AV430:BB430" si="703">SUM(AV425:AV429)</f>
        <v>0</v>
      </c>
      <c r="AW430" s="1096">
        <f t="shared" si="703"/>
        <v>0</v>
      </c>
      <c r="AX430" s="1096">
        <f t="shared" si="703"/>
        <v>0</v>
      </c>
      <c r="AY430" s="1096">
        <f t="shared" si="703"/>
        <v>0</v>
      </c>
      <c r="AZ430" s="1096">
        <f t="shared" si="703"/>
        <v>0</v>
      </c>
      <c r="BA430" s="1096">
        <f t="shared" si="703"/>
        <v>0</v>
      </c>
      <c r="BB430" s="1096">
        <f t="shared" si="703"/>
        <v>0</v>
      </c>
      <c r="BC430" s="1175"/>
      <c r="BD430" s="1052"/>
      <c r="BE430" s="1051"/>
      <c r="BF430" s="1051"/>
    </row>
    <row r="431" s="1000" customFormat="1" ht="18" customHeight="1">
      <c r="A431" s="999" t="str">
        <f t="shared" si="664"/>
        <v xml:space="preserve">Зиненко Ю.А. Шаповалова Т.Ю.</v>
      </c>
      <c r="B431" s="1176" t="s">
        <v>390</v>
      </c>
      <c r="C431" s="1198"/>
      <c r="D431" s="1163"/>
      <c r="E431" s="1164">
        <f t="shared" si="685"/>
        <v>0</v>
      </c>
      <c r="F431" s="1164">
        <f t="shared" si="685"/>
        <v>0</v>
      </c>
      <c r="G431" s="1165">
        <f t="shared" ref="G431:G433" si="704">E431+F431</f>
        <v>0</v>
      </c>
      <c r="H431" s="1166"/>
      <c r="I431" s="1298">
        <f t="shared" si="698"/>
        <v>0</v>
      </c>
      <c r="J431" s="1298">
        <f t="shared" si="698"/>
        <v>0</v>
      </c>
      <c r="K431" s="1168">
        <f t="shared" ref="K431:K433" si="705">I431+J431</f>
        <v>0</v>
      </c>
      <c r="L431" s="1197"/>
      <c r="M431" s="1169"/>
      <c r="N431" s="1199"/>
      <c r="O431" s="1169"/>
      <c r="P431" s="1169"/>
      <c r="Q431" s="1169">
        <f t="shared" ref="Q431:Q433" si="706">SUM(M431:P431)</f>
        <v>0</v>
      </c>
      <c r="R431" s="1169"/>
      <c r="S431" s="1170"/>
      <c r="T431" s="1171"/>
      <c r="U431" s="1128"/>
      <c r="V431" s="1169"/>
      <c r="W431" s="1199"/>
      <c r="X431" s="1199"/>
      <c r="Y431" s="1169"/>
      <c r="Z431" s="1169">
        <f t="shared" ref="Z431:Z433" si="707">SUM(V431:Y431)</f>
        <v>0</v>
      </c>
      <c r="AA431" s="1169"/>
      <c r="AB431" s="1172">
        <f t="shared" si="669"/>
        <v>0</v>
      </c>
      <c r="AC431" s="1171"/>
      <c r="AD431" s="1128"/>
      <c r="AE431" s="1169"/>
      <c r="AF431" s="1199"/>
      <c r="AG431" s="1199"/>
      <c r="AH431" s="1169"/>
      <c r="AI431" s="1169">
        <f t="shared" ref="AI431:AI433" si="708">SUM(AE431:AH431)</f>
        <v>0</v>
      </c>
      <c r="AJ431" s="1169"/>
      <c r="AK431" s="1173"/>
      <c r="AL431" s="1171"/>
      <c r="AM431" s="1128"/>
      <c r="AN431" s="1170"/>
      <c r="AO431" s="1200"/>
      <c r="AP431" s="1200"/>
      <c r="AQ431" s="1170"/>
      <c r="AR431" s="1170">
        <f t="shared" ref="AR431:AR433" si="709">SUM(AN431:AQ431)</f>
        <v>0</v>
      </c>
      <c r="AS431" s="1170"/>
      <c r="AT431" s="1170"/>
      <c r="AU431" s="1174"/>
      <c r="AV431" s="1241"/>
      <c r="AW431" s="1169"/>
      <c r="AX431" s="1199"/>
      <c r="AY431" s="1199"/>
      <c r="AZ431" s="1169"/>
      <c r="BA431" s="1169">
        <f t="shared" ref="BA431:BA433" si="710">SUM(AW431:AZ431)</f>
        <v>0</v>
      </c>
      <c r="BB431" s="1169"/>
      <c r="BC431" s="1175"/>
      <c r="BD431" s="1027"/>
      <c r="BE431" s="1029"/>
      <c r="BF431" s="1029"/>
    </row>
    <row r="432" s="1000" customFormat="1" ht="18" customHeight="1">
      <c r="A432" s="999" t="str">
        <f t="shared" si="664"/>
        <v xml:space="preserve">Майорова И.В.</v>
      </c>
      <c r="B432" s="1176" t="s">
        <v>392</v>
      </c>
      <c r="C432" s="1198"/>
      <c r="D432" s="1163"/>
      <c r="E432" s="1164">
        <f t="shared" si="685"/>
        <v>0</v>
      </c>
      <c r="F432" s="1164">
        <f t="shared" si="685"/>
        <v>0</v>
      </c>
      <c r="G432" s="1165">
        <f t="shared" si="704"/>
        <v>0</v>
      </c>
      <c r="H432" s="1166"/>
      <c r="I432" s="1298">
        <f t="shared" si="698"/>
        <v>0</v>
      </c>
      <c r="J432" s="1298">
        <f t="shared" si="698"/>
        <v>0</v>
      </c>
      <c r="K432" s="1168">
        <f t="shared" si="705"/>
        <v>0</v>
      </c>
      <c r="L432" s="1197"/>
      <c r="M432" s="1169"/>
      <c r="N432" s="1177"/>
      <c r="O432" s="1169"/>
      <c r="P432" s="1169"/>
      <c r="Q432" s="1169">
        <f t="shared" si="706"/>
        <v>0</v>
      </c>
      <c r="R432" s="1169"/>
      <c r="S432" s="1170"/>
      <c r="T432" s="1171"/>
      <c r="U432" s="1128"/>
      <c r="V432" s="1169"/>
      <c r="W432" s="1177"/>
      <c r="X432" s="1177"/>
      <c r="Y432" s="1169"/>
      <c r="Z432" s="1169">
        <f t="shared" si="707"/>
        <v>0</v>
      </c>
      <c r="AA432" s="1169"/>
      <c r="AB432" s="1172">
        <f t="shared" si="669"/>
        <v>0</v>
      </c>
      <c r="AC432" s="1171"/>
      <c r="AD432" s="1128"/>
      <c r="AE432" s="1169"/>
      <c r="AF432" s="1177"/>
      <c r="AG432" s="1177"/>
      <c r="AH432" s="1169"/>
      <c r="AI432" s="1169">
        <f t="shared" si="708"/>
        <v>0</v>
      </c>
      <c r="AJ432" s="1169"/>
      <c r="AK432" s="1173"/>
      <c r="AL432" s="1171"/>
      <c r="AM432" s="1128"/>
      <c r="AN432" s="1170"/>
      <c r="AO432" s="1175"/>
      <c r="AP432" s="1175"/>
      <c r="AQ432" s="1170"/>
      <c r="AR432" s="1170">
        <f t="shared" si="709"/>
        <v>0</v>
      </c>
      <c r="AS432" s="1170"/>
      <c r="AT432" s="1170"/>
      <c r="AU432" s="1174"/>
      <c r="AV432" s="1241"/>
      <c r="AW432" s="1169"/>
      <c r="AX432" s="1177"/>
      <c r="AY432" s="1177"/>
      <c r="AZ432" s="1169"/>
      <c r="BA432" s="1169">
        <f t="shared" si="710"/>
        <v>0</v>
      </c>
      <c r="BB432" s="1169"/>
      <c r="BC432" s="1175"/>
      <c r="BD432" s="1027"/>
      <c r="BE432" s="1029"/>
      <c r="BF432" s="1029"/>
    </row>
    <row r="433" s="1000" customFormat="1" ht="18" customHeight="1">
      <c r="A433" s="999" t="str">
        <f t="shared" si="664"/>
        <v xml:space="preserve">Гребенюк Ю.С.,  Молчанова Н.М.</v>
      </c>
      <c r="B433" s="1176" t="s">
        <v>265</v>
      </c>
      <c r="C433" s="1131"/>
      <c r="D433" s="1201"/>
      <c r="E433" s="1164">
        <f t="shared" si="685"/>
        <v>0</v>
      </c>
      <c r="F433" s="1164">
        <f t="shared" si="685"/>
        <v>0</v>
      </c>
      <c r="G433" s="1165">
        <f t="shared" si="704"/>
        <v>0</v>
      </c>
      <c r="H433" s="1166"/>
      <c r="I433" s="1298">
        <f t="shared" si="698"/>
        <v>0</v>
      </c>
      <c r="J433" s="1298">
        <f t="shared" si="698"/>
        <v>0</v>
      </c>
      <c r="K433" s="1168">
        <f t="shared" si="705"/>
        <v>0</v>
      </c>
      <c r="L433" s="1128"/>
      <c r="M433" s="1169"/>
      <c r="N433" s="1177"/>
      <c r="O433" s="1169"/>
      <c r="P433" s="1169"/>
      <c r="Q433" s="1169">
        <f t="shared" si="706"/>
        <v>0</v>
      </c>
      <c r="R433" s="1169"/>
      <c r="S433" s="1170"/>
      <c r="T433" s="1171"/>
      <c r="U433" s="1128"/>
      <c r="V433" s="1169"/>
      <c r="W433" s="1177"/>
      <c r="X433" s="1177"/>
      <c r="Y433" s="1169"/>
      <c r="Z433" s="1169">
        <f t="shared" si="707"/>
        <v>0</v>
      </c>
      <c r="AA433" s="1169"/>
      <c r="AB433" s="1172">
        <f t="shared" si="669"/>
        <v>0</v>
      </c>
      <c r="AC433" s="1171"/>
      <c r="AD433" s="1128"/>
      <c r="AE433" s="1169"/>
      <c r="AF433" s="1177"/>
      <c r="AG433" s="1177"/>
      <c r="AH433" s="1169"/>
      <c r="AI433" s="1169">
        <f t="shared" si="708"/>
        <v>0</v>
      </c>
      <c r="AJ433" s="1169"/>
      <c r="AK433" s="1173"/>
      <c r="AL433" s="1171"/>
      <c r="AM433" s="1128"/>
      <c r="AN433" s="1170"/>
      <c r="AO433" s="1175"/>
      <c r="AP433" s="1175"/>
      <c r="AQ433" s="1170"/>
      <c r="AR433" s="1170">
        <f t="shared" si="709"/>
        <v>0</v>
      </c>
      <c r="AS433" s="1170"/>
      <c r="AT433" s="1170"/>
      <c r="AU433" s="1174"/>
      <c r="AV433" s="1241"/>
      <c r="AW433" s="1169"/>
      <c r="AX433" s="1177"/>
      <c r="AY433" s="1177"/>
      <c r="AZ433" s="1169"/>
      <c r="BA433" s="1169">
        <f t="shared" si="710"/>
        <v>0</v>
      </c>
      <c r="BB433" s="1169"/>
      <c r="BC433" s="1175"/>
      <c r="BD433" s="1027"/>
      <c r="BE433" s="1029"/>
      <c r="BF433" s="1029"/>
    </row>
    <row r="434" s="1106" customFormat="1" ht="18" customHeight="1">
      <c r="A434" s="999">
        <f t="shared" si="664"/>
        <v>0</v>
      </c>
      <c r="B434" s="1182" t="s">
        <v>394</v>
      </c>
      <c r="C434" s="1182"/>
      <c r="D434" s="1182"/>
      <c r="E434" s="1183">
        <f t="shared" si="685"/>
        <v>0</v>
      </c>
      <c r="F434" s="1183">
        <f t="shared" si="685"/>
        <v>0</v>
      </c>
      <c r="G434" s="1184">
        <f>SUM(G431:G433)</f>
        <v>0</v>
      </c>
      <c r="H434" s="1185"/>
      <c r="I434" s="1299">
        <f t="shared" si="698"/>
        <v>0</v>
      </c>
      <c r="J434" s="1299">
        <f t="shared" si="698"/>
        <v>0</v>
      </c>
      <c r="K434" s="1187">
        <f>SUM(K431:K433)</f>
        <v>0</v>
      </c>
      <c r="L434" s="1197"/>
      <c r="M434" s="1096">
        <f t="shared" ref="M434:R438" si="711">SUM(M431:M433)</f>
        <v>0</v>
      </c>
      <c r="N434" s="1096">
        <f t="shared" si="711"/>
        <v>0</v>
      </c>
      <c r="O434" s="1096">
        <f t="shared" si="711"/>
        <v>0</v>
      </c>
      <c r="P434" s="1096">
        <f t="shared" si="711"/>
        <v>0</v>
      </c>
      <c r="Q434" s="1096">
        <f t="shared" si="711"/>
        <v>0</v>
      </c>
      <c r="R434" s="1096">
        <f t="shared" si="711"/>
        <v>0</v>
      </c>
      <c r="S434" s="1170"/>
      <c r="T434" s="1189"/>
      <c r="U434" s="1128"/>
      <c r="V434" s="1096">
        <f t="shared" ref="V434:AA438" si="712">SUM(V431:V433)</f>
        <v>0</v>
      </c>
      <c r="W434" s="1096">
        <f t="shared" si="712"/>
        <v>0</v>
      </c>
      <c r="X434" s="1096">
        <f t="shared" si="712"/>
        <v>0</v>
      </c>
      <c r="Y434" s="1096">
        <f t="shared" si="712"/>
        <v>0</v>
      </c>
      <c r="Z434" s="1096">
        <f t="shared" si="712"/>
        <v>0</v>
      </c>
      <c r="AA434" s="1096">
        <f t="shared" si="712"/>
        <v>0</v>
      </c>
      <c r="AB434" s="1172">
        <f t="shared" si="669"/>
        <v>0</v>
      </c>
      <c r="AC434" s="1189"/>
      <c r="AD434" s="1125"/>
      <c r="AE434" s="1096">
        <f t="shared" ref="AE434:AJ438" si="713">SUM(AE431:AE433)</f>
        <v>0</v>
      </c>
      <c r="AF434" s="1096">
        <f t="shared" si="713"/>
        <v>0</v>
      </c>
      <c r="AG434" s="1096">
        <f t="shared" si="713"/>
        <v>0</v>
      </c>
      <c r="AH434" s="1096">
        <f t="shared" si="713"/>
        <v>0</v>
      </c>
      <c r="AI434" s="1096">
        <f t="shared" si="713"/>
        <v>0</v>
      </c>
      <c r="AJ434" s="1096">
        <f t="shared" si="713"/>
        <v>0</v>
      </c>
      <c r="AK434" s="1173"/>
      <c r="AL434" s="1189"/>
      <c r="AM434" s="1125"/>
      <c r="AN434" s="1190">
        <f t="shared" ref="AN434:AS438" si="714">SUM(AN431:AN433)</f>
        <v>0</v>
      </c>
      <c r="AO434" s="1190">
        <f t="shared" si="714"/>
        <v>0</v>
      </c>
      <c r="AP434" s="1190">
        <f t="shared" si="714"/>
        <v>0</v>
      </c>
      <c r="AQ434" s="1190">
        <f t="shared" si="714"/>
        <v>0</v>
      </c>
      <c r="AR434" s="1190">
        <f t="shared" si="714"/>
        <v>0</v>
      </c>
      <c r="AS434" s="1190">
        <f t="shared" si="714"/>
        <v>0</v>
      </c>
      <c r="AT434" s="1170"/>
      <c r="AU434" s="1191"/>
      <c r="AV434" s="1245"/>
      <c r="AW434" s="1096">
        <f t="shared" ref="AW434:BB438" si="715">SUM(AW431:AW433)</f>
        <v>0</v>
      </c>
      <c r="AX434" s="1096">
        <f t="shared" si="715"/>
        <v>0</v>
      </c>
      <c r="AY434" s="1096">
        <f t="shared" si="715"/>
        <v>0</v>
      </c>
      <c r="AZ434" s="1096">
        <f t="shared" si="715"/>
        <v>0</v>
      </c>
      <c r="BA434" s="1096">
        <f t="shared" si="715"/>
        <v>0</v>
      </c>
      <c r="BB434" s="1096">
        <f t="shared" si="715"/>
        <v>0</v>
      </c>
      <c r="BC434" s="1175"/>
      <c r="BD434" s="1052"/>
      <c r="BE434" s="1051"/>
      <c r="BF434" s="1051"/>
    </row>
    <row r="435" s="1000" customFormat="1" ht="18" customHeight="1">
      <c r="A435" s="999" t="str">
        <f t="shared" si="664"/>
        <v xml:space="preserve">Шевченко ЕА, Мацак ЕН</v>
      </c>
      <c r="B435" s="1202" t="s">
        <v>50</v>
      </c>
      <c r="C435" s="1203"/>
      <c r="D435" s="1201"/>
      <c r="E435" s="1164">
        <f t="shared" si="685"/>
        <v>0</v>
      </c>
      <c r="F435" s="1164">
        <f t="shared" si="685"/>
        <v>0</v>
      </c>
      <c r="G435" s="1165">
        <f t="shared" ref="G435:G437" si="716">E435+F435</f>
        <v>0</v>
      </c>
      <c r="H435" s="1166"/>
      <c r="I435" s="1298">
        <f t="shared" si="698"/>
        <v>0</v>
      </c>
      <c r="J435" s="1298">
        <f t="shared" si="698"/>
        <v>0</v>
      </c>
      <c r="K435" s="1168">
        <f t="shared" ref="K435:K437" si="717">I435+J435</f>
        <v>0</v>
      </c>
      <c r="L435" s="1128"/>
      <c r="M435" s="1169"/>
      <c r="N435" s="1177"/>
      <c r="O435" s="1169"/>
      <c r="P435" s="1169"/>
      <c r="Q435" s="1169">
        <f t="shared" ref="Q435:Q437" si="718">SUM(M435:P435)</f>
        <v>0</v>
      </c>
      <c r="R435" s="1169"/>
      <c r="S435" s="1170"/>
      <c r="T435" s="1171"/>
      <c r="U435" s="1128"/>
      <c r="V435" s="1169"/>
      <c r="W435" s="1177"/>
      <c r="X435" s="1177"/>
      <c r="Y435" s="1169"/>
      <c r="Z435" s="1169">
        <f t="shared" ref="Z435:Z437" si="719">SUM(V435:Y435)</f>
        <v>0</v>
      </c>
      <c r="AA435" s="1169"/>
      <c r="AB435" s="1172">
        <f t="shared" si="669"/>
        <v>0</v>
      </c>
      <c r="AC435" s="1171"/>
      <c r="AD435" s="1128"/>
      <c r="AE435" s="1169"/>
      <c r="AF435" s="1177"/>
      <c r="AG435" s="1177"/>
      <c r="AH435" s="1169"/>
      <c r="AI435" s="1169">
        <f t="shared" ref="AI435:AI437" si="720">SUM(AE435:AH435)</f>
        <v>0</v>
      </c>
      <c r="AJ435" s="1169"/>
      <c r="AK435" s="1173"/>
      <c r="AL435" s="1171"/>
      <c r="AM435" s="1128"/>
      <c r="AN435" s="1170"/>
      <c r="AO435" s="1175"/>
      <c r="AP435" s="1175"/>
      <c r="AQ435" s="1170"/>
      <c r="AR435" s="1170">
        <f t="shared" ref="AR435:AR437" si="721">SUM(AN435:AQ435)</f>
        <v>0</v>
      </c>
      <c r="AS435" s="1170"/>
      <c r="AT435" s="1170"/>
      <c r="AU435" s="1174"/>
      <c r="AV435" s="1241"/>
      <c r="AW435" s="1169"/>
      <c r="AX435" s="1177"/>
      <c r="AY435" s="1177"/>
      <c r="AZ435" s="1169"/>
      <c r="BA435" s="1169">
        <f t="shared" ref="BA435:BA437" si="722">SUM(AW435:AZ435)</f>
        <v>0</v>
      </c>
      <c r="BB435" s="1169"/>
      <c r="BC435" s="1175"/>
      <c r="BD435" s="1027"/>
      <c r="BE435" s="1029"/>
      <c r="BF435" s="1029"/>
    </row>
    <row r="436" s="1000" customFormat="1" ht="18" customHeight="1">
      <c r="A436" s="999" t="str">
        <f t="shared" si="664"/>
        <v xml:space="preserve">Лещенко О.А.</v>
      </c>
      <c r="B436" s="1202" t="s">
        <v>397</v>
      </c>
      <c r="C436" s="1203"/>
      <c r="D436" s="1201"/>
      <c r="E436" s="1164">
        <f t="shared" si="685"/>
        <v>0</v>
      </c>
      <c r="F436" s="1164">
        <f t="shared" si="685"/>
        <v>0</v>
      </c>
      <c r="G436" s="1165">
        <f t="shared" si="716"/>
        <v>0</v>
      </c>
      <c r="H436" s="1166"/>
      <c r="I436" s="1298">
        <f t="shared" si="698"/>
        <v>0</v>
      </c>
      <c r="J436" s="1298">
        <f t="shared" si="698"/>
        <v>0</v>
      </c>
      <c r="K436" s="1168">
        <f t="shared" si="717"/>
        <v>0</v>
      </c>
      <c r="L436" s="1128"/>
      <c r="M436" s="1169"/>
      <c r="N436" s="1177"/>
      <c r="O436" s="1169"/>
      <c r="P436" s="1169"/>
      <c r="Q436" s="1169">
        <f t="shared" si="718"/>
        <v>0</v>
      </c>
      <c r="R436" s="1169"/>
      <c r="S436" s="1170"/>
      <c r="T436" s="1171"/>
      <c r="U436" s="1128"/>
      <c r="V436" s="1169"/>
      <c r="W436" s="1177"/>
      <c r="X436" s="1177"/>
      <c r="Y436" s="1169"/>
      <c r="Z436" s="1169">
        <f t="shared" si="719"/>
        <v>0</v>
      </c>
      <c r="AA436" s="1169"/>
      <c r="AB436" s="1172">
        <f t="shared" si="669"/>
        <v>0</v>
      </c>
      <c r="AC436" s="1171"/>
      <c r="AD436" s="1128"/>
      <c r="AE436" s="1169"/>
      <c r="AF436" s="1177"/>
      <c r="AG436" s="1177"/>
      <c r="AH436" s="1169"/>
      <c r="AI436" s="1169">
        <f t="shared" si="720"/>
        <v>0</v>
      </c>
      <c r="AJ436" s="1169"/>
      <c r="AK436" s="1173"/>
      <c r="AL436" s="1171"/>
      <c r="AM436" s="1128"/>
      <c r="AN436" s="1170"/>
      <c r="AO436" s="1175"/>
      <c r="AP436" s="1175"/>
      <c r="AQ436" s="1170"/>
      <c r="AR436" s="1170">
        <f t="shared" si="721"/>
        <v>0</v>
      </c>
      <c r="AS436" s="1170"/>
      <c r="AT436" s="1170"/>
      <c r="AU436" s="1174"/>
      <c r="AV436" s="1241"/>
      <c r="AW436" s="1169"/>
      <c r="AX436" s="1177"/>
      <c r="AY436" s="1177"/>
      <c r="AZ436" s="1169"/>
      <c r="BA436" s="1169">
        <f t="shared" si="722"/>
        <v>0</v>
      </c>
      <c r="BB436" s="1169"/>
      <c r="BC436" s="1175"/>
      <c r="BD436" s="1027"/>
      <c r="BE436" s="1029"/>
      <c r="BF436" s="1029"/>
    </row>
    <row r="437" s="1000" customFormat="1" ht="18" customHeight="1">
      <c r="A437" s="999" t="str">
        <f t="shared" si="664"/>
        <v xml:space="preserve">Павленко И.В.</v>
      </c>
      <c r="B437" s="1202" t="s">
        <v>399</v>
      </c>
      <c r="C437" s="1204"/>
      <c r="D437" s="1201"/>
      <c r="E437" s="1164">
        <f t="shared" si="685"/>
        <v>0</v>
      </c>
      <c r="F437" s="1164">
        <f t="shared" si="685"/>
        <v>0</v>
      </c>
      <c r="G437" s="1165">
        <f t="shared" si="716"/>
        <v>0</v>
      </c>
      <c r="H437" s="1166"/>
      <c r="I437" s="1298">
        <f t="shared" si="698"/>
        <v>0</v>
      </c>
      <c r="J437" s="1298">
        <f t="shared" si="698"/>
        <v>0</v>
      </c>
      <c r="K437" s="1168">
        <f t="shared" si="717"/>
        <v>0</v>
      </c>
      <c r="L437" s="1128"/>
      <c r="M437" s="1169"/>
      <c r="N437" s="1177"/>
      <c r="O437" s="1169"/>
      <c r="P437" s="1169"/>
      <c r="Q437" s="1169">
        <f t="shared" si="718"/>
        <v>0</v>
      </c>
      <c r="R437" s="1169"/>
      <c r="S437" s="1170"/>
      <c r="T437" s="1171"/>
      <c r="U437" s="1128"/>
      <c r="V437" s="1169"/>
      <c r="W437" s="1177"/>
      <c r="X437" s="1177"/>
      <c r="Y437" s="1169"/>
      <c r="Z437" s="1169">
        <f t="shared" si="719"/>
        <v>0</v>
      </c>
      <c r="AA437" s="1169"/>
      <c r="AB437" s="1172">
        <f t="shared" si="669"/>
        <v>0</v>
      </c>
      <c r="AC437" s="1171"/>
      <c r="AD437" s="1128"/>
      <c r="AE437" s="1169"/>
      <c r="AF437" s="1177"/>
      <c r="AG437" s="1177"/>
      <c r="AH437" s="1169"/>
      <c r="AI437" s="1169">
        <f t="shared" si="720"/>
        <v>0</v>
      </c>
      <c r="AJ437" s="1169"/>
      <c r="AK437" s="1173"/>
      <c r="AL437" s="1171"/>
      <c r="AM437" s="1128"/>
      <c r="AN437" s="1170"/>
      <c r="AO437" s="1175"/>
      <c r="AP437" s="1175"/>
      <c r="AQ437" s="1170"/>
      <c r="AR437" s="1170">
        <f t="shared" si="721"/>
        <v>0</v>
      </c>
      <c r="AS437" s="1170"/>
      <c r="AT437" s="1170"/>
      <c r="AU437" s="1174"/>
      <c r="AV437" s="1241"/>
      <c r="AW437" s="1169"/>
      <c r="AX437" s="1177"/>
      <c r="AY437" s="1177"/>
      <c r="AZ437" s="1169"/>
      <c r="BA437" s="1169">
        <f t="shared" si="722"/>
        <v>0</v>
      </c>
      <c r="BB437" s="1169"/>
      <c r="BC437" s="1175"/>
      <c r="BD437" s="1027"/>
      <c r="BE437" s="1029"/>
      <c r="BF437" s="1029"/>
    </row>
    <row r="438" s="1106" customFormat="1" ht="18" customHeight="1">
      <c r="A438" s="999">
        <f t="shared" si="664"/>
        <v>0</v>
      </c>
      <c r="B438" s="1205" t="s">
        <v>363</v>
      </c>
      <c r="C438" s="1205"/>
      <c r="D438" s="1205"/>
      <c r="E438" s="1183">
        <f t="shared" si="685"/>
        <v>0</v>
      </c>
      <c r="F438" s="1183">
        <f t="shared" si="685"/>
        <v>0</v>
      </c>
      <c r="G438" s="1184">
        <f>SUM(G435:G437)</f>
        <v>0</v>
      </c>
      <c r="H438" s="1185"/>
      <c r="I438" s="1299">
        <f t="shared" si="698"/>
        <v>0</v>
      </c>
      <c r="J438" s="1299">
        <f t="shared" si="698"/>
        <v>0</v>
      </c>
      <c r="K438" s="1187">
        <f>SUM(K435:K437)</f>
        <v>0</v>
      </c>
      <c r="L438" s="1197"/>
      <c r="M438" s="1096">
        <f t="shared" si="711"/>
        <v>0</v>
      </c>
      <c r="N438" s="1096">
        <f t="shared" si="711"/>
        <v>0</v>
      </c>
      <c r="O438" s="1096">
        <f t="shared" si="711"/>
        <v>0</v>
      </c>
      <c r="P438" s="1096">
        <f t="shared" si="711"/>
        <v>0</v>
      </c>
      <c r="Q438" s="1096">
        <f t="shared" si="711"/>
        <v>0</v>
      </c>
      <c r="R438" s="1096">
        <f t="shared" si="711"/>
        <v>0</v>
      </c>
      <c r="S438" s="1170"/>
      <c r="T438" s="1189"/>
      <c r="U438" s="1128"/>
      <c r="V438" s="1096">
        <f t="shared" si="712"/>
        <v>0</v>
      </c>
      <c r="W438" s="1096">
        <f t="shared" si="712"/>
        <v>0</v>
      </c>
      <c r="X438" s="1096">
        <f t="shared" si="712"/>
        <v>0</v>
      </c>
      <c r="Y438" s="1096">
        <f t="shared" si="712"/>
        <v>0</v>
      </c>
      <c r="Z438" s="1096">
        <f t="shared" si="712"/>
        <v>0</v>
      </c>
      <c r="AA438" s="1096">
        <f t="shared" si="712"/>
        <v>0</v>
      </c>
      <c r="AB438" s="1172">
        <f t="shared" si="669"/>
        <v>0</v>
      </c>
      <c r="AC438" s="1189"/>
      <c r="AD438" s="1125"/>
      <c r="AE438" s="1096">
        <f t="shared" si="713"/>
        <v>0</v>
      </c>
      <c r="AF438" s="1096">
        <f t="shared" si="713"/>
        <v>0</v>
      </c>
      <c r="AG438" s="1096">
        <f t="shared" si="713"/>
        <v>0</v>
      </c>
      <c r="AH438" s="1096">
        <f t="shared" si="713"/>
        <v>0</v>
      </c>
      <c r="AI438" s="1096">
        <f t="shared" si="713"/>
        <v>0</v>
      </c>
      <c r="AJ438" s="1096">
        <f t="shared" si="713"/>
        <v>0</v>
      </c>
      <c r="AK438" s="1173"/>
      <c r="AL438" s="1189"/>
      <c r="AM438" s="1125"/>
      <c r="AN438" s="1190">
        <f t="shared" si="714"/>
        <v>0</v>
      </c>
      <c r="AO438" s="1190">
        <f t="shared" si="714"/>
        <v>0</v>
      </c>
      <c r="AP438" s="1190">
        <f t="shared" si="714"/>
        <v>0</v>
      </c>
      <c r="AQ438" s="1190">
        <f t="shared" si="714"/>
        <v>0</v>
      </c>
      <c r="AR438" s="1190">
        <f t="shared" si="714"/>
        <v>0</v>
      </c>
      <c r="AS438" s="1190">
        <f t="shared" si="714"/>
        <v>0</v>
      </c>
      <c r="AT438" s="1170"/>
      <c r="AU438" s="1191"/>
      <c r="AV438" s="1245"/>
      <c r="AW438" s="1096">
        <f t="shared" si="715"/>
        <v>0</v>
      </c>
      <c r="AX438" s="1096">
        <f t="shared" si="715"/>
        <v>0</v>
      </c>
      <c r="AY438" s="1096">
        <f t="shared" si="715"/>
        <v>0</v>
      </c>
      <c r="AZ438" s="1096">
        <f t="shared" si="715"/>
        <v>0</v>
      </c>
      <c r="BA438" s="1096">
        <f t="shared" si="715"/>
        <v>0</v>
      </c>
      <c r="BB438" s="1096">
        <f t="shared" si="715"/>
        <v>0</v>
      </c>
      <c r="BC438" s="1175"/>
      <c r="BD438" s="1052"/>
      <c r="BE438" s="1051"/>
      <c r="BF438" s="1051"/>
    </row>
    <row r="439" s="1106" customFormat="1" ht="18" customHeight="1">
      <c r="A439" s="999">
        <f t="shared" si="664"/>
        <v>0</v>
      </c>
      <c r="B439" s="1205" t="s">
        <v>400</v>
      </c>
      <c r="C439" s="1205"/>
      <c r="D439" s="1205"/>
      <c r="E439" s="1183">
        <f t="shared" si="685"/>
        <v>0</v>
      </c>
      <c r="F439" s="1183">
        <f t="shared" si="685"/>
        <v>0</v>
      </c>
      <c r="G439" s="1184">
        <f>G438+G434+G430+G424+G410</f>
        <v>0</v>
      </c>
      <c r="H439" s="1185"/>
      <c r="I439" s="1299">
        <f t="shared" si="698"/>
        <v>0</v>
      </c>
      <c r="J439" s="1299">
        <f t="shared" si="698"/>
        <v>0</v>
      </c>
      <c r="K439" s="1187">
        <f>K438+K434+K430+K424+K410</f>
        <v>0</v>
      </c>
      <c r="L439" s="1210"/>
      <c r="M439" s="1209">
        <f t="shared" ref="M439:R439" si="723">M438+M434+M430+M424+M410</f>
        <v>0</v>
      </c>
      <c r="N439" s="1209">
        <f t="shared" si="723"/>
        <v>0</v>
      </c>
      <c r="O439" s="1209">
        <f t="shared" si="723"/>
        <v>0</v>
      </c>
      <c r="P439" s="1209">
        <f t="shared" si="723"/>
        <v>0</v>
      </c>
      <c r="Q439" s="1209">
        <f t="shared" si="723"/>
        <v>0</v>
      </c>
      <c r="R439" s="1209">
        <f t="shared" si="723"/>
        <v>0</v>
      </c>
      <c r="S439" s="1170"/>
      <c r="T439" s="1208"/>
      <c r="U439" s="1211">
        <f t="shared" ref="U439:AA439" si="724">U438+U434+U430+U424+U410</f>
        <v>0</v>
      </c>
      <c r="V439" s="1209">
        <f t="shared" si="724"/>
        <v>0</v>
      </c>
      <c r="W439" s="1209">
        <f t="shared" si="724"/>
        <v>0</v>
      </c>
      <c r="X439" s="1209">
        <f t="shared" si="724"/>
        <v>0</v>
      </c>
      <c r="Y439" s="1209">
        <f t="shared" si="724"/>
        <v>0</v>
      </c>
      <c r="Z439" s="1209">
        <f t="shared" si="724"/>
        <v>0</v>
      </c>
      <c r="AA439" s="1209">
        <f t="shared" si="724"/>
        <v>0</v>
      </c>
      <c r="AB439" s="1172">
        <f t="shared" si="669"/>
        <v>0</v>
      </c>
      <c r="AC439" s="1208"/>
      <c r="AD439" s="1210">
        <f t="shared" ref="AD439:AJ439" si="725">AD438+AD434+AD430+AD424+AD410</f>
        <v>0</v>
      </c>
      <c r="AE439" s="1209">
        <f t="shared" si="725"/>
        <v>0</v>
      </c>
      <c r="AF439" s="1209">
        <f t="shared" si="725"/>
        <v>0</v>
      </c>
      <c r="AG439" s="1209">
        <f t="shared" si="725"/>
        <v>0</v>
      </c>
      <c r="AH439" s="1209">
        <f t="shared" si="725"/>
        <v>0</v>
      </c>
      <c r="AI439" s="1209">
        <f t="shared" si="725"/>
        <v>0</v>
      </c>
      <c r="AJ439" s="1209">
        <f t="shared" si="725"/>
        <v>0</v>
      </c>
      <c r="AK439" s="1173"/>
      <c r="AL439" s="1208"/>
      <c r="AM439" s="1210">
        <f t="shared" ref="AM439:AS439" si="726">AM438+AM434+AM430+AM424+AM410</f>
        <v>0</v>
      </c>
      <c r="AN439" s="1211">
        <f t="shared" si="726"/>
        <v>0</v>
      </c>
      <c r="AO439" s="1211">
        <f t="shared" si="726"/>
        <v>0</v>
      </c>
      <c r="AP439" s="1211">
        <f t="shared" si="726"/>
        <v>0</v>
      </c>
      <c r="AQ439" s="1211">
        <f t="shared" si="726"/>
        <v>0</v>
      </c>
      <c r="AR439" s="1211">
        <f t="shared" si="726"/>
        <v>0</v>
      </c>
      <c r="AS439" s="1211">
        <f t="shared" si="726"/>
        <v>0</v>
      </c>
      <c r="AT439" s="1170"/>
      <c r="AU439" s="1212"/>
      <c r="AV439" s="1211">
        <f t="shared" ref="AV439:BB439" si="727">AV438+AV434+AV430+AV424+AV410</f>
        <v>0</v>
      </c>
      <c r="AW439" s="1209">
        <f t="shared" si="727"/>
        <v>0</v>
      </c>
      <c r="AX439" s="1209">
        <f t="shared" si="727"/>
        <v>0</v>
      </c>
      <c r="AY439" s="1209">
        <f t="shared" si="727"/>
        <v>0</v>
      </c>
      <c r="AZ439" s="1209">
        <f t="shared" si="727"/>
        <v>0</v>
      </c>
      <c r="BA439" s="1209">
        <f t="shared" si="727"/>
        <v>0</v>
      </c>
      <c r="BB439" s="1209">
        <f t="shared" si="727"/>
        <v>0</v>
      </c>
      <c r="BC439" s="1175"/>
      <c r="BD439" s="1052"/>
      <c r="BE439" s="1051"/>
      <c r="BF439" s="1051"/>
    </row>
    <row r="440" s="1000" customFormat="1" ht="18" customHeight="1">
      <c r="A440" s="999" t="str">
        <f t="shared" si="664"/>
        <v xml:space="preserve">Куприянова А.В.</v>
      </c>
      <c r="B440" s="1202" t="s">
        <v>402</v>
      </c>
      <c r="C440" s="1202"/>
      <c r="D440" s="1202"/>
      <c r="E440" s="1164">
        <f t="shared" si="685"/>
        <v>0</v>
      </c>
      <c r="F440" s="1164">
        <f t="shared" si="685"/>
        <v>0</v>
      </c>
      <c r="G440" s="1165">
        <f t="shared" ref="G440:G441" si="728">E440+F440</f>
        <v>0</v>
      </c>
      <c r="H440" s="1166"/>
      <c r="I440" s="1298">
        <f t="shared" si="698"/>
        <v>0</v>
      </c>
      <c r="J440" s="1298">
        <f t="shared" si="698"/>
        <v>0</v>
      </c>
      <c r="K440" s="1168">
        <f t="shared" ref="K440:K441" si="729">I440+J440</f>
        <v>0</v>
      </c>
      <c r="L440" s="1128"/>
      <c r="M440" s="1169"/>
      <c r="N440" s="1177"/>
      <c r="O440" s="1169"/>
      <c r="P440" s="1169"/>
      <c r="Q440" s="1169">
        <f t="shared" ref="Q440:Q441" si="730">SUM(M440:P440)</f>
        <v>0</v>
      </c>
      <c r="R440" s="1169"/>
      <c r="S440" s="1170"/>
      <c r="T440" s="1171"/>
      <c r="U440" s="1128"/>
      <c r="V440" s="1169"/>
      <c r="W440" s="1177"/>
      <c r="X440" s="1177"/>
      <c r="Y440" s="1169"/>
      <c r="Z440" s="1169">
        <f t="shared" ref="Z440:Z441" si="731">SUM(V440:Y440)</f>
        <v>0</v>
      </c>
      <c r="AA440" s="1169"/>
      <c r="AB440" s="1172">
        <f t="shared" si="669"/>
        <v>0</v>
      </c>
      <c r="AC440" s="1171"/>
      <c r="AD440" s="1128"/>
      <c r="AE440" s="1169"/>
      <c r="AF440" s="1177"/>
      <c r="AG440" s="1177"/>
      <c r="AH440" s="1169"/>
      <c r="AI440" s="1169">
        <f t="shared" ref="AI440:AI441" si="732">SUM(AE440:AH440)</f>
        <v>0</v>
      </c>
      <c r="AJ440" s="1169"/>
      <c r="AK440" s="1173"/>
      <c r="AL440" s="1171"/>
      <c r="AM440" s="1128"/>
      <c r="AN440" s="1170"/>
      <c r="AO440" s="1175"/>
      <c r="AP440" s="1175"/>
      <c r="AQ440" s="1170"/>
      <c r="AR440" s="1170">
        <f t="shared" ref="AR440:AR441" si="733">SUM(AN440:AQ440)</f>
        <v>0</v>
      </c>
      <c r="AS440" s="1170"/>
      <c r="AT440" s="1170"/>
      <c r="AU440" s="1174"/>
      <c r="AV440" s="1241"/>
      <c r="AW440" s="1169"/>
      <c r="AX440" s="1177"/>
      <c r="AY440" s="1177"/>
      <c r="AZ440" s="1169"/>
      <c r="BA440" s="1169">
        <f t="shared" ref="BA440:BA441" si="734">SUM(AW440:AZ440)</f>
        <v>0</v>
      </c>
      <c r="BB440" s="1169"/>
      <c r="BC440" s="1175"/>
      <c r="BD440" s="1027"/>
      <c r="BE440" s="1029"/>
      <c r="BF440" s="1029"/>
    </row>
    <row r="441" s="1000" customFormat="1" ht="18" customHeight="1">
      <c r="A441" s="999" t="str">
        <f t="shared" si="664"/>
        <v xml:space="preserve">Попова И.Ю.</v>
      </c>
      <c r="B441" s="1202" t="s">
        <v>404</v>
      </c>
      <c r="C441" s="1202"/>
      <c r="D441" s="1202"/>
      <c r="E441" s="1164">
        <f t="shared" si="685"/>
        <v>0</v>
      </c>
      <c r="F441" s="1164">
        <f t="shared" si="685"/>
        <v>0</v>
      </c>
      <c r="G441" s="1165">
        <f t="shared" si="728"/>
        <v>0</v>
      </c>
      <c r="H441" s="1166"/>
      <c r="I441" s="1298">
        <f t="shared" si="698"/>
        <v>0</v>
      </c>
      <c r="J441" s="1298">
        <f t="shared" si="698"/>
        <v>0</v>
      </c>
      <c r="K441" s="1168">
        <f t="shared" si="729"/>
        <v>0</v>
      </c>
      <c r="L441" s="1128"/>
      <c r="M441" s="1169"/>
      <c r="N441" s="1177"/>
      <c r="O441" s="1169"/>
      <c r="P441" s="1169"/>
      <c r="Q441" s="1169">
        <f t="shared" si="730"/>
        <v>0</v>
      </c>
      <c r="R441" s="1169"/>
      <c r="S441" s="1170"/>
      <c r="T441" s="1171"/>
      <c r="U441" s="1128"/>
      <c r="V441" s="1169"/>
      <c r="W441" s="1177"/>
      <c r="X441" s="1177"/>
      <c r="Y441" s="1169"/>
      <c r="Z441" s="1169">
        <f t="shared" si="731"/>
        <v>0</v>
      </c>
      <c r="AA441" s="1169"/>
      <c r="AB441" s="1172">
        <f t="shared" si="669"/>
        <v>0</v>
      </c>
      <c r="AC441" s="1171"/>
      <c r="AD441" s="1128"/>
      <c r="AE441" s="1169"/>
      <c r="AF441" s="1177"/>
      <c r="AG441" s="1177"/>
      <c r="AH441" s="1169"/>
      <c r="AI441" s="1169">
        <f t="shared" si="732"/>
        <v>0</v>
      </c>
      <c r="AJ441" s="1169"/>
      <c r="AK441" s="1173"/>
      <c r="AL441" s="1171"/>
      <c r="AM441" s="1128"/>
      <c r="AN441" s="1170"/>
      <c r="AO441" s="1175"/>
      <c r="AP441" s="1175"/>
      <c r="AQ441" s="1170"/>
      <c r="AR441" s="1170">
        <f t="shared" si="733"/>
        <v>0</v>
      </c>
      <c r="AS441" s="1170"/>
      <c r="AT441" s="1170"/>
      <c r="AU441" s="1174"/>
      <c r="AV441" s="1241"/>
      <c r="AW441" s="1169"/>
      <c r="AX441" s="1177"/>
      <c r="AY441" s="1177"/>
      <c r="AZ441" s="1169"/>
      <c r="BA441" s="1169">
        <f t="shared" si="734"/>
        <v>0</v>
      </c>
      <c r="BB441" s="1169"/>
      <c r="BC441" s="1175"/>
      <c r="BD441" s="1027"/>
      <c r="BE441" s="1029"/>
      <c r="BF441" s="1029"/>
    </row>
    <row r="442" s="1106" customFormat="1" ht="18" customHeight="1">
      <c r="A442" s="999">
        <f t="shared" si="664"/>
        <v>0</v>
      </c>
      <c r="B442" s="1205" t="s">
        <v>405</v>
      </c>
      <c r="C442" s="1205"/>
      <c r="D442" s="1205"/>
      <c r="E442" s="1183">
        <f t="shared" si="685"/>
        <v>0</v>
      </c>
      <c r="F442" s="1183">
        <f t="shared" si="685"/>
        <v>0</v>
      </c>
      <c r="G442" s="1184">
        <f>G440+G441</f>
        <v>0</v>
      </c>
      <c r="H442" s="1185"/>
      <c r="I442" s="1299">
        <f t="shared" si="698"/>
        <v>0</v>
      </c>
      <c r="J442" s="1299">
        <f t="shared" si="698"/>
        <v>0</v>
      </c>
      <c r="K442" s="1187">
        <f>K440+K441</f>
        <v>0</v>
      </c>
      <c r="L442" s="1210"/>
      <c r="M442" s="1213">
        <f t="shared" ref="M442:R442" si="735">M440+M441</f>
        <v>0</v>
      </c>
      <c r="N442" s="1213">
        <f t="shared" si="735"/>
        <v>0</v>
      </c>
      <c r="O442" s="1213">
        <f t="shared" si="735"/>
        <v>0</v>
      </c>
      <c r="P442" s="1213">
        <f t="shared" si="735"/>
        <v>0</v>
      </c>
      <c r="Q442" s="1213">
        <f t="shared" si="735"/>
        <v>0</v>
      </c>
      <c r="R442" s="1213">
        <f t="shared" si="735"/>
        <v>0</v>
      </c>
      <c r="S442" s="1170"/>
      <c r="T442" s="1214"/>
      <c r="U442" s="1210"/>
      <c r="V442" s="1209">
        <f t="shared" ref="V442:AA442" si="736">V440+V441</f>
        <v>0</v>
      </c>
      <c r="W442" s="1209">
        <f t="shared" si="736"/>
        <v>0</v>
      </c>
      <c r="X442" s="1209">
        <f t="shared" si="736"/>
        <v>0</v>
      </c>
      <c r="Y442" s="1209">
        <f t="shared" si="736"/>
        <v>0</v>
      </c>
      <c r="Z442" s="1209">
        <f t="shared" si="736"/>
        <v>0</v>
      </c>
      <c r="AA442" s="1209">
        <f t="shared" si="736"/>
        <v>0</v>
      </c>
      <c r="AB442" s="1172">
        <f t="shared" si="669"/>
        <v>0</v>
      </c>
      <c r="AC442" s="1208"/>
      <c r="AD442" s="1210"/>
      <c r="AE442" s="1209">
        <f t="shared" ref="AE442:AJ442" si="737">AE440+AE441</f>
        <v>0</v>
      </c>
      <c r="AF442" s="1209">
        <f t="shared" si="737"/>
        <v>0</v>
      </c>
      <c r="AG442" s="1209">
        <f t="shared" si="737"/>
        <v>0</v>
      </c>
      <c r="AH442" s="1209">
        <f t="shared" si="737"/>
        <v>0</v>
      </c>
      <c r="AI442" s="1209">
        <f t="shared" si="737"/>
        <v>0</v>
      </c>
      <c r="AJ442" s="1209">
        <f t="shared" si="737"/>
        <v>0</v>
      </c>
      <c r="AK442" s="1173"/>
      <c r="AL442" s="1208"/>
      <c r="AM442" s="1210"/>
      <c r="AN442" s="1211">
        <f t="shared" ref="AN442:AS442" si="738">AN440+AN441</f>
        <v>0</v>
      </c>
      <c r="AO442" s="1211">
        <f t="shared" si="738"/>
        <v>0</v>
      </c>
      <c r="AP442" s="1211">
        <f t="shared" si="738"/>
        <v>0</v>
      </c>
      <c r="AQ442" s="1211">
        <f t="shared" si="738"/>
        <v>0</v>
      </c>
      <c r="AR442" s="1211">
        <f t="shared" si="738"/>
        <v>0</v>
      </c>
      <c r="AS442" s="1211">
        <f t="shared" si="738"/>
        <v>0</v>
      </c>
      <c r="AT442" s="1170"/>
      <c r="AU442" s="1212"/>
      <c r="AV442" s="1210">
        <f t="shared" ref="AV442:BB442" si="739">AV440+AV441</f>
        <v>0</v>
      </c>
      <c r="AW442" s="1209">
        <f t="shared" si="739"/>
        <v>0</v>
      </c>
      <c r="AX442" s="1209">
        <f t="shared" si="739"/>
        <v>0</v>
      </c>
      <c r="AY442" s="1209">
        <f t="shared" si="739"/>
        <v>0</v>
      </c>
      <c r="AZ442" s="1209">
        <f t="shared" si="739"/>
        <v>0</v>
      </c>
      <c r="BA442" s="1209">
        <f t="shared" si="739"/>
        <v>0</v>
      </c>
      <c r="BB442" s="1209">
        <f t="shared" si="739"/>
        <v>0</v>
      </c>
      <c r="BC442" s="1175"/>
      <c r="BD442" s="1052"/>
      <c r="BE442" s="1051"/>
      <c r="BF442" s="1051"/>
    </row>
    <row r="443" s="1106" customFormat="1" ht="18" customHeight="1">
      <c r="A443" s="999">
        <f t="shared" si="664"/>
        <v>0</v>
      </c>
      <c r="B443" s="1205" t="s">
        <v>406</v>
      </c>
      <c r="C443" s="1205"/>
      <c r="D443" s="1205"/>
      <c r="E443" s="1164">
        <f t="shared" si="685"/>
        <v>0</v>
      </c>
      <c r="F443" s="1164">
        <f t="shared" si="685"/>
        <v>0</v>
      </c>
      <c r="G443" s="1184">
        <f>G439+G442</f>
        <v>0</v>
      </c>
      <c r="H443" s="1185"/>
      <c r="I443" s="1298">
        <f t="shared" si="698"/>
        <v>0</v>
      </c>
      <c r="J443" s="1298">
        <f t="shared" si="698"/>
        <v>0</v>
      </c>
      <c r="K443" s="1187">
        <f>K439+K442</f>
        <v>0</v>
      </c>
      <c r="L443" s="1210"/>
      <c r="M443" s="1209">
        <f t="shared" ref="M443:R443" si="740">M439+M442</f>
        <v>0</v>
      </c>
      <c r="N443" s="1209">
        <f t="shared" si="740"/>
        <v>0</v>
      </c>
      <c r="O443" s="1209">
        <f t="shared" si="740"/>
        <v>0</v>
      </c>
      <c r="P443" s="1209">
        <f t="shared" si="740"/>
        <v>0</v>
      </c>
      <c r="Q443" s="1209">
        <f t="shared" si="740"/>
        <v>0</v>
      </c>
      <c r="R443" s="1209">
        <f t="shared" si="740"/>
        <v>0</v>
      </c>
      <c r="S443" s="1170"/>
      <c r="T443" s="1208"/>
      <c r="U443" s="1211">
        <f t="shared" ref="U443:AA443" si="741">U439+U442</f>
        <v>0</v>
      </c>
      <c r="V443" s="1209">
        <f t="shared" si="741"/>
        <v>0</v>
      </c>
      <c r="W443" s="1209">
        <f t="shared" si="741"/>
        <v>0</v>
      </c>
      <c r="X443" s="1209">
        <f t="shared" si="741"/>
        <v>0</v>
      </c>
      <c r="Y443" s="1209">
        <f t="shared" si="741"/>
        <v>0</v>
      </c>
      <c r="Z443" s="1209">
        <f t="shared" si="741"/>
        <v>0</v>
      </c>
      <c r="AA443" s="1209">
        <f t="shared" si="741"/>
        <v>0</v>
      </c>
      <c r="AB443" s="1172">
        <f t="shared" si="669"/>
        <v>0</v>
      </c>
      <c r="AC443" s="1208"/>
      <c r="AD443" s="1210">
        <f t="shared" ref="AD443:AJ443" si="742">AD439+AD442</f>
        <v>0</v>
      </c>
      <c r="AE443" s="1209">
        <f t="shared" si="742"/>
        <v>0</v>
      </c>
      <c r="AF443" s="1209">
        <f t="shared" si="742"/>
        <v>0</v>
      </c>
      <c r="AG443" s="1209">
        <f t="shared" si="742"/>
        <v>0</v>
      </c>
      <c r="AH443" s="1209">
        <f t="shared" si="742"/>
        <v>0</v>
      </c>
      <c r="AI443" s="1209">
        <f t="shared" si="742"/>
        <v>0</v>
      </c>
      <c r="AJ443" s="1209">
        <f t="shared" si="742"/>
        <v>0</v>
      </c>
      <c r="AK443" s="1173"/>
      <c r="AL443" s="1208"/>
      <c r="AM443" s="1210">
        <f t="shared" ref="AM443:AS443" si="743">AM439+AM442</f>
        <v>0</v>
      </c>
      <c r="AN443" s="1211">
        <f t="shared" si="743"/>
        <v>0</v>
      </c>
      <c r="AO443" s="1211">
        <f t="shared" si="743"/>
        <v>0</v>
      </c>
      <c r="AP443" s="1211">
        <f t="shared" si="743"/>
        <v>0</v>
      </c>
      <c r="AQ443" s="1211">
        <f t="shared" si="743"/>
        <v>0</v>
      </c>
      <c r="AR443" s="1211">
        <f t="shared" si="743"/>
        <v>0</v>
      </c>
      <c r="AS443" s="1211">
        <f t="shared" si="743"/>
        <v>0</v>
      </c>
      <c r="AT443" s="1170"/>
      <c r="AU443" s="1212"/>
      <c r="AV443" s="1211">
        <f t="shared" ref="AV443:BB443" si="744">AV439+AV442</f>
        <v>0</v>
      </c>
      <c r="AW443" s="1209">
        <f t="shared" si="744"/>
        <v>0</v>
      </c>
      <c r="AX443" s="1209">
        <f t="shared" si="744"/>
        <v>0</v>
      </c>
      <c r="AY443" s="1209">
        <f t="shared" si="744"/>
        <v>0</v>
      </c>
      <c r="AZ443" s="1209">
        <f t="shared" si="744"/>
        <v>0</v>
      </c>
      <c r="BA443" s="1209">
        <f t="shared" si="744"/>
        <v>0</v>
      </c>
      <c r="BB443" s="1209">
        <f t="shared" si="744"/>
        <v>0</v>
      </c>
      <c r="BC443" s="1175"/>
      <c r="BD443" s="1052"/>
      <c r="BE443" s="1051"/>
      <c r="BF443" s="1051"/>
    </row>
    <row r="444" s="1000" customFormat="1" ht="18" customHeight="1">
      <c r="A444" s="999">
        <f t="shared" si="664"/>
        <v>0</v>
      </c>
      <c r="B444" s="1202" t="s">
        <v>407</v>
      </c>
      <c r="C444" s="1202"/>
      <c r="D444" s="1202"/>
      <c r="E444" s="1164">
        <f t="shared" si="685"/>
        <v>0</v>
      </c>
      <c r="F444" s="1164">
        <f t="shared" si="685"/>
        <v>0</v>
      </c>
      <c r="G444" s="1165">
        <f t="shared" ref="G444:G451" si="745">E444+F444</f>
        <v>0</v>
      </c>
      <c r="H444" s="1166"/>
      <c r="I444" s="1298">
        <f t="shared" si="698"/>
        <v>0</v>
      </c>
      <c r="J444" s="1298">
        <f t="shared" si="698"/>
        <v>0</v>
      </c>
      <c r="K444" s="1168">
        <f t="shared" ref="K444:K451" si="746">I444+J444</f>
        <v>0</v>
      </c>
      <c r="L444" s="1128"/>
      <c r="M444" s="1169"/>
      <c r="N444" s="1177"/>
      <c r="O444" s="1169"/>
      <c r="P444" s="1169"/>
      <c r="Q444" s="1169">
        <f t="shared" ref="Q444:Q451" si="747">SUM(M444:P444)</f>
        <v>0</v>
      </c>
      <c r="R444" s="1169"/>
      <c r="S444" s="1170"/>
      <c r="T444" s="1171"/>
      <c r="U444" s="1128"/>
      <c r="V444" s="1169"/>
      <c r="W444" s="1177"/>
      <c r="X444" s="1177"/>
      <c r="Y444" s="1169"/>
      <c r="Z444" s="1169">
        <f t="shared" ref="Z444:Z451" si="748">SUM(V444:Y444)</f>
        <v>0</v>
      </c>
      <c r="AA444" s="1169"/>
      <c r="AB444" s="1172">
        <f t="shared" si="669"/>
        <v>0</v>
      </c>
      <c r="AC444" s="1171"/>
      <c r="AD444" s="1128"/>
      <c r="AE444" s="1169"/>
      <c r="AF444" s="1177"/>
      <c r="AG444" s="1177"/>
      <c r="AH444" s="1169"/>
      <c r="AI444" s="1169">
        <f t="shared" ref="AI444:AI451" si="749">SUM(AE444:AH444)</f>
        <v>0</v>
      </c>
      <c r="AJ444" s="1169"/>
      <c r="AK444" s="1173"/>
      <c r="AL444" s="1171"/>
      <c r="AM444" s="1128"/>
      <c r="AN444" s="1170"/>
      <c r="AO444" s="1175"/>
      <c r="AP444" s="1175"/>
      <c r="AQ444" s="1170"/>
      <c r="AR444" s="1170">
        <f t="shared" ref="AR444:AR451" si="750">SUM(AN444:AQ444)</f>
        <v>0</v>
      </c>
      <c r="AS444" s="1170"/>
      <c r="AT444" s="1170"/>
      <c r="AU444" s="1174"/>
      <c r="AV444" s="1241"/>
      <c r="AW444" s="1169"/>
      <c r="AX444" s="1177"/>
      <c r="AY444" s="1177"/>
      <c r="AZ444" s="1169"/>
      <c r="BA444" s="1169">
        <f t="shared" ref="BA444:BA451" si="751">SUM(AW444:AZ444)</f>
        <v>0</v>
      </c>
      <c r="BB444" s="1169"/>
      <c r="BC444" s="1175"/>
      <c r="BD444" s="1027"/>
      <c r="BE444" s="1029"/>
      <c r="BF444" s="1029"/>
    </row>
    <row r="445" s="1000" customFormat="1" ht="18" customHeight="1">
      <c r="A445" s="999" t="str">
        <f t="shared" si="664"/>
        <v xml:space="preserve">Леоненко Г.Н</v>
      </c>
      <c r="B445" s="1202" t="s">
        <v>409</v>
      </c>
      <c r="C445" s="1202"/>
      <c r="D445" s="1202"/>
      <c r="E445" s="1164">
        <f t="shared" si="685"/>
        <v>0</v>
      </c>
      <c r="F445" s="1164">
        <f t="shared" si="685"/>
        <v>0</v>
      </c>
      <c r="G445" s="1165">
        <f t="shared" si="745"/>
        <v>0</v>
      </c>
      <c r="H445" s="1166"/>
      <c r="I445" s="1298">
        <f t="shared" si="698"/>
        <v>0</v>
      </c>
      <c r="J445" s="1298">
        <f t="shared" si="698"/>
        <v>0</v>
      </c>
      <c r="K445" s="1168">
        <f t="shared" si="746"/>
        <v>0</v>
      </c>
      <c r="L445" s="1128"/>
      <c r="M445" s="1169"/>
      <c r="N445" s="1177"/>
      <c r="O445" s="1169"/>
      <c r="P445" s="1169"/>
      <c r="Q445" s="1169">
        <f t="shared" si="747"/>
        <v>0</v>
      </c>
      <c r="R445" s="1169"/>
      <c r="S445" s="1170"/>
      <c r="T445" s="1171"/>
      <c r="U445" s="1128"/>
      <c r="V445" s="1169"/>
      <c r="W445" s="1177"/>
      <c r="X445" s="1177"/>
      <c r="Y445" s="1169"/>
      <c r="Z445" s="1169">
        <f t="shared" si="748"/>
        <v>0</v>
      </c>
      <c r="AA445" s="1169"/>
      <c r="AB445" s="1172">
        <f t="shared" si="669"/>
        <v>0</v>
      </c>
      <c r="AC445" s="1171"/>
      <c r="AD445" s="1128"/>
      <c r="AE445" s="1169"/>
      <c r="AF445" s="1177"/>
      <c r="AG445" s="1177"/>
      <c r="AH445" s="1169"/>
      <c r="AI445" s="1169">
        <f t="shared" si="749"/>
        <v>0</v>
      </c>
      <c r="AJ445" s="1169"/>
      <c r="AK445" s="1173"/>
      <c r="AL445" s="1171"/>
      <c r="AM445" s="1128"/>
      <c r="AN445" s="1170"/>
      <c r="AO445" s="1175"/>
      <c r="AP445" s="1175"/>
      <c r="AQ445" s="1170"/>
      <c r="AR445" s="1170">
        <f t="shared" si="750"/>
        <v>0</v>
      </c>
      <c r="AS445" s="1170"/>
      <c r="AT445" s="1170"/>
      <c r="AU445" s="1174"/>
      <c r="AV445" s="1241"/>
      <c r="AW445" s="1169"/>
      <c r="AX445" s="1177"/>
      <c r="AY445" s="1177"/>
      <c r="AZ445" s="1169"/>
      <c r="BA445" s="1169">
        <f t="shared" si="751"/>
        <v>0</v>
      </c>
      <c r="BB445" s="1169"/>
      <c r="BC445" s="1175"/>
      <c r="BD445" s="1027"/>
      <c r="BE445" s="1029"/>
      <c r="BF445" s="1029"/>
    </row>
    <row r="446" s="1008" customFormat="1" ht="18" customHeight="1">
      <c r="A446" s="999" t="str">
        <f t="shared" si="664"/>
        <v xml:space="preserve">Саяпина О.А.</v>
      </c>
      <c r="B446" s="1202" t="s">
        <v>411</v>
      </c>
      <c r="C446" s="1217"/>
      <c r="D446" s="1217"/>
      <c r="E446" s="1164">
        <f t="shared" si="685"/>
        <v>0</v>
      </c>
      <c r="F446" s="1164">
        <f t="shared" si="685"/>
        <v>0</v>
      </c>
      <c r="G446" s="1165">
        <f t="shared" si="745"/>
        <v>0</v>
      </c>
      <c r="H446" s="1166"/>
      <c r="I446" s="1298">
        <f t="shared" si="698"/>
        <v>0</v>
      </c>
      <c r="J446" s="1298">
        <f t="shared" si="698"/>
        <v>0</v>
      </c>
      <c r="K446" s="1168">
        <f t="shared" si="746"/>
        <v>0</v>
      </c>
      <c r="L446" s="1128"/>
      <c r="M446" s="1169"/>
      <c r="N446" s="1177"/>
      <c r="O446" s="1169"/>
      <c r="P446" s="1169"/>
      <c r="Q446" s="1169">
        <f t="shared" si="747"/>
        <v>0</v>
      </c>
      <c r="R446" s="1169"/>
      <c r="S446" s="1170"/>
      <c r="T446" s="1171"/>
      <c r="U446" s="1128"/>
      <c r="V446" s="1169"/>
      <c r="W446" s="1177"/>
      <c r="X446" s="1177"/>
      <c r="Y446" s="1169"/>
      <c r="Z446" s="1169">
        <f t="shared" si="748"/>
        <v>0</v>
      </c>
      <c r="AA446" s="1169"/>
      <c r="AB446" s="1172">
        <f t="shared" si="669"/>
        <v>0</v>
      </c>
      <c r="AC446" s="1171"/>
      <c r="AD446" s="1128"/>
      <c r="AE446" s="1169"/>
      <c r="AF446" s="1177"/>
      <c r="AG446" s="1177"/>
      <c r="AH446" s="1169"/>
      <c r="AI446" s="1169">
        <f t="shared" si="749"/>
        <v>0</v>
      </c>
      <c r="AJ446" s="1169"/>
      <c r="AK446" s="1173"/>
      <c r="AL446" s="1171"/>
      <c r="AM446" s="1128"/>
      <c r="AN446" s="1170"/>
      <c r="AO446" s="1175"/>
      <c r="AP446" s="1175"/>
      <c r="AQ446" s="1170"/>
      <c r="AR446" s="1170">
        <f t="shared" si="750"/>
        <v>0</v>
      </c>
      <c r="AS446" s="1170"/>
      <c r="AT446" s="1170"/>
      <c r="AU446" s="1174"/>
      <c r="AV446" s="1128"/>
      <c r="AW446" s="1169"/>
      <c r="AX446" s="1177"/>
      <c r="AY446" s="1177"/>
      <c r="AZ446" s="1169"/>
      <c r="BA446" s="1169">
        <f t="shared" si="751"/>
        <v>0</v>
      </c>
      <c r="BB446" s="1169"/>
      <c r="BC446" s="1175"/>
      <c r="BD446" s="1027"/>
      <c r="BE446" s="1024"/>
      <c r="BF446" s="1024"/>
    </row>
    <row r="447" s="1008" customFormat="1" ht="18" customHeight="1">
      <c r="A447" s="999" t="str">
        <f t="shared" si="664"/>
        <v xml:space="preserve">Дегтярева Е.И. Акилова С.В.</v>
      </c>
      <c r="B447" s="1202" t="s">
        <v>413</v>
      </c>
      <c r="C447" s="1217"/>
      <c r="D447" s="1217"/>
      <c r="E447" s="1164">
        <f t="shared" si="685"/>
        <v>0</v>
      </c>
      <c r="F447" s="1164">
        <f t="shared" si="685"/>
        <v>0</v>
      </c>
      <c r="G447" s="1165">
        <f t="shared" si="745"/>
        <v>0</v>
      </c>
      <c r="H447" s="1166"/>
      <c r="I447" s="1298">
        <f t="shared" si="698"/>
        <v>0</v>
      </c>
      <c r="J447" s="1298">
        <f t="shared" si="698"/>
        <v>0</v>
      </c>
      <c r="K447" s="1168">
        <f t="shared" si="746"/>
        <v>0</v>
      </c>
      <c r="L447" s="1128"/>
      <c r="M447" s="1169"/>
      <c r="N447" s="1177"/>
      <c r="O447" s="1169"/>
      <c r="P447" s="1169"/>
      <c r="Q447" s="1169">
        <f t="shared" si="747"/>
        <v>0</v>
      </c>
      <c r="R447" s="1169"/>
      <c r="S447" s="1170"/>
      <c r="T447" s="1171"/>
      <c r="U447" s="1128"/>
      <c r="V447" s="1169"/>
      <c r="W447" s="1177"/>
      <c r="X447" s="1177"/>
      <c r="Y447" s="1169"/>
      <c r="Z447" s="1169">
        <f t="shared" si="748"/>
        <v>0</v>
      </c>
      <c r="AA447" s="1169"/>
      <c r="AB447" s="1172">
        <f t="shared" si="669"/>
        <v>0</v>
      </c>
      <c r="AC447" s="1171"/>
      <c r="AD447" s="1128"/>
      <c r="AE447" s="1169"/>
      <c r="AF447" s="1177"/>
      <c r="AG447" s="1177"/>
      <c r="AH447" s="1169"/>
      <c r="AI447" s="1169">
        <f t="shared" si="749"/>
        <v>0</v>
      </c>
      <c r="AJ447" s="1169"/>
      <c r="AK447" s="1173"/>
      <c r="AL447" s="1171"/>
      <c r="AM447" s="1128"/>
      <c r="AN447" s="1170"/>
      <c r="AO447" s="1175"/>
      <c r="AP447" s="1175"/>
      <c r="AQ447" s="1170"/>
      <c r="AR447" s="1170">
        <f t="shared" si="750"/>
        <v>0</v>
      </c>
      <c r="AS447" s="1170"/>
      <c r="AT447" s="1170"/>
      <c r="AU447" s="1174"/>
      <c r="AV447" s="1128"/>
      <c r="AW447" s="1169"/>
      <c r="AX447" s="1177"/>
      <c r="AY447" s="1177"/>
      <c r="AZ447" s="1169"/>
      <c r="BA447" s="1169">
        <f t="shared" si="751"/>
        <v>0</v>
      </c>
      <c r="BB447" s="1169"/>
      <c r="BC447" s="1175"/>
      <c r="BD447" s="1027"/>
      <c r="BE447" s="1024"/>
      <c r="BF447" s="1024"/>
    </row>
    <row r="448" s="1008" customFormat="1" ht="18" customHeight="1">
      <c r="A448" s="999">
        <f t="shared" si="664"/>
        <v>0</v>
      </c>
      <c r="B448" s="1202" t="s">
        <v>414</v>
      </c>
      <c r="C448" s="1202"/>
      <c r="D448" s="1202"/>
      <c r="E448" s="1164">
        <f t="shared" si="685"/>
        <v>0</v>
      </c>
      <c r="F448" s="1164">
        <f t="shared" si="685"/>
        <v>0</v>
      </c>
      <c r="G448" s="1165">
        <f t="shared" si="745"/>
        <v>0</v>
      </c>
      <c r="H448" s="1166"/>
      <c r="I448" s="1298">
        <f t="shared" si="698"/>
        <v>0</v>
      </c>
      <c r="J448" s="1298">
        <f t="shared" si="698"/>
        <v>0</v>
      </c>
      <c r="K448" s="1168">
        <f t="shared" si="746"/>
        <v>0</v>
      </c>
      <c r="L448" s="1128"/>
      <c r="M448" s="1169"/>
      <c r="N448" s="1177"/>
      <c r="O448" s="1169"/>
      <c r="P448" s="1169"/>
      <c r="Q448" s="1169">
        <f t="shared" si="747"/>
        <v>0</v>
      </c>
      <c r="R448" s="1169"/>
      <c r="S448" s="1170"/>
      <c r="T448" s="1171"/>
      <c r="U448" s="1128"/>
      <c r="V448" s="1169"/>
      <c r="W448" s="1177"/>
      <c r="X448" s="1177"/>
      <c r="Y448" s="1169"/>
      <c r="Z448" s="1169">
        <f t="shared" si="748"/>
        <v>0</v>
      </c>
      <c r="AA448" s="1169"/>
      <c r="AB448" s="1172">
        <f t="shared" si="669"/>
        <v>0</v>
      </c>
      <c r="AC448" s="1171"/>
      <c r="AD448" s="1128"/>
      <c r="AE448" s="1169"/>
      <c r="AF448" s="1177"/>
      <c r="AG448" s="1177"/>
      <c r="AH448" s="1169"/>
      <c r="AI448" s="1169">
        <f t="shared" si="749"/>
        <v>0</v>
      </c>
      <c r="AJ448" s="1169"/>
      <c r="AK448" s="1173"/>
      <c r="AL448" s="1171"/>
      <c r="AM448" s="1128"/>
      <c r="AN448" s="1170"/>
      <c r="AO448" s="1175"/>
      <c r="AP448" s="1175"/>
      <c r="AQ448" s="1170"/>
      <c r="AR448" s="1170">
        <f t="shared" si="750"/>
        <v>0</v>
      </c>
      <c r="AS448" s="1170"/>
      <c r="AT448" s="1170"/>
      <c r="AU448" s="1174"/>
      <c r="AV448" s="1128"/>
      <c r="AW448" s="1169"/>
      <c r="AX448" s="1177"/>
      <c r="AY448" s="1177"/>
      <c r="AZ448" s="1169"/>
      <c r="BA448" s="1169">
        <f t="shared" si="751"/>
        <v>0</v>
      </c>
      <c r="BB448" s="1169"/>
      <c r="BC448" s="1175"/>
      <c r="BD448" s="1027"/>
      <c r="BE448" s="1024"/>
      <c r="BF448" s="1024"/>
    </row>
    <row r="449" s="1008" customFormat="1" ht="18" customHeight="1">
      <c r="A449" s="999" t="str">
        <f t="shared" si="664"/>
        <v xml:space="preserve">Ковалевская О.А.</v>
      </c>
      <c r="B449" s="1202" t="s">
        <v>416</v>
      </c>
      <c r="C449" s="1202"/>
      <c r="D449" s="1202"/>
      <c r="E449" s="1164">
        <f t="shared" si="685"/>
        <v>0</v>
      </c>
      <c r="F449" s="1164">
        <f t="shared" si="685"/>
        <v>0</v>
      </c>
      <c r="G449" s="1165">
        <f t="shared" si="745"/>
        <v>0</v>
      </c>
      <c r="H449" s="1166"/>
      <c r="I449" s="1298">
        <f t="shared" si="698"/>
        <v>0</v>
      </c>
      <c r="J449" s="1298">
        <f t="shared" si="698"/>
        <v>0</v>
      </c>
      <c r="K449" s="1168">
        <f t="shared" si="746"/>
        <v>0</v>
      </c>
      <c r="L449" s="1128"/>
      <c r="M449" s="1169"/>
      <c r="N449" s="1177"/>
      <c r="O449" s="1169"/>
      <c r="P449" s="1169"/>
      <c r="Q449" s="1169">
        <f t="shared" si="747"/>
        <v>0</v>
      </c>
      <c r="R449" s="1169"/>
      <c r="S449" s="1170"/>
      <c r="T449" s="1171"/>
      <c r="U449" s="1128"/>
      <c r="V449" s="1169"/>
      <c r="W449" s="1177"/>
      <c r="X449" s="1177"/>
      <c r="Y449" s="1169"/>
      <c r="Z449" s="1169">
        <f t="shared" si="748"/>
        <v>0</v>
      </c>
      <c r="AA449" s="1169"/>
      <c r="AB449" s="1172">
        <f t="shared" si="669"/>
        <v>0</v>
      </c>
      <c r="AC449" s="1171"/>
      <c r="AD449" s="1128"/>
      <c r="AE449" s="1169"/>
      <c r="AF449" s="1177"/>
      <c r="AG449" s="1177"/>
      <c r="AH449" s="1169"/>
      <c r="AI449" s="1169">
        <f t="shared" si="749"/>
        <v>0</v>
      </c>
      <c r="AJ449" s="1169"/>
      <c r="AK449" s="1173"/>
      <c r="AL449" s="1171"/>
      <c r="AM449" s="1128"/>
      <c r="AN449" s="1170"/>
      <c r="AO449" s="1175"/>
      <c r="AP449" s="1175"/>
      <c r="AQ449" s="1170"/>
      <c r="AR449" s="1170">
        <f t="shared" si="750"/>
        <v>0</v>
      </c>
      <c r="AS449" s="1170"/>
      <c r="AT449" s="1170"/>
      <c r="AU449" s="1174"/>
      <c r="AV449" s="1128"/>
      <c r="AW449" s="1169"/>
      <c r="AX449" s="1177"/>
      <c r="AY449" s="1177"/>
      <c r="AZ449" s="1169"/>
      <c r="BA449" s="1169">
        <f t="shared" si="751"/>
        <v>0</v>
      </c>
      <c r="BB449" s="1169"/>
      <c r="BC449" s="1175"/>
      <c r="BD449" s="1027"/>
      <c r="BE449" s="1024"/>
      <c r="BF449" s="1024"/>
    </row>
    <row r="450" s="1008" customFormat="1" ht="18" customHeight="1">
      <c r="A450" s="999" t="str">
        <f t="shared" si="664"/>
        <v xml:space="preserve">Никонова-Цыганова Н.А. Столберова МИ</v>
      </c>
      <c r="B450" s="1202" t="s">
        <v>80</v>
      </c>
      <c r="C450" s="1218"/>
      <c r="D450" s="1217"/>
      <c r="E450" s="1164">
        <f t="shared" si="685"/>
        <v>0</v>
      </c>
      <c r="F450" s="1164">
        <f t="shared" si="685"/>
        <v>0</v>
      </c>
      <c r="G450" s="1165">
        <f t="shared" si="745"/>
        <v>0</v>
      </c>
      <c r="H450" s="1166"/>
      <c r="I450" s="1298">
        <f t="shared" si="698"/>
        <v>0</v>
      </c>
      <c r="J450" s="1298">
        <f t="shared" si="698"/>
        <v>0</v>
      </c>
      <c r="K450" s="1168">
        <f t="shared" si="746"/>
        <v>0</v>
      </c>
      <c r="L450" s="1128"/>
      <c r="M450" s="1169"/>
      <c r="N450" s="1199"/>
      <c r="O450" s="1169"/>
      <c r="P450" s="1169"/>
      <c r="Q450" s="1169">
        <f t="shared" si="747"/>
        <v>0</v>
      </c>
      <c r="R450" s="1169"/>
      <c r="S450" s="1170"/>
      <c r="T450" s="1171"/>
      <c r="U450" s="1128"/>
      <c r="V450" s="1169"/>
      <c r="W450" s="1199"/>
      <c r="X450" s="1177"/>
      <c r="Y450" s="1169"/>
      <c r="Z450" s="1169">
        <f t="shared" si="748"/>
        <v>0</v>
      </c>
      <c r="AA450" s="1169"/>
      <c r="AB450" s="1172">
        <f t="shared" si="669"/>
        <v>0</v>
      </c>
      <c r="AC450" s="1171"/>
      <c r="AD450" s="1128"/>
      <c r="AE450" s="1169"/>
      <c r="AF450" s="1199"/>
      <c r="AG450" s="1177"/>
      <c r="AH450" s="1169"/>
      <c r="AI450" s="1169">
        <f t="shared" si="749"/>
        <v>0</v>
      </c>
      <c r="AJ450" s="1169"/>
      <c r="AK450" s="1173"/>
      <c r="AL450" s="1171"/>
      <c r="AM450" s="1128"/>
      <c r="AN450" s="1170"/>
      <c r="AO450" s="1200"/>
      <c r="AP450" s="1175"/>
      <c r="AQ450" s="1170"/>
      <c r="AR450" s="1170">
        <f t="shared" si="750"/>
        <v>0</v>
      </c>
      <c r="AS450" s="1170"/>
      <c r="AT450" s="1170"/>
      <c r="AU450" s="1174"/>
      <c r="AV450" s="1128"/>
      <c r="AW450" s="1169"/>
      <c r="AX450" s="1199"/>
      <c r="AY450" s="1177"/>
      <c r="AZ450" s="1169"/>
      <c r="BA450" s="1169">
        <f t="shared" si="751"/>
        <v>0</v>
      </c>
      <c r="BB450" s="1169"/>
      <c r="BC450" s="1175"/>
      <c r="BD450" s="1027"/>
      <c r="BE450" s="1024"/>
      <c r="BF450" s="1024"/>
    </row>
    <row r="451" s="1008" customFormat="1" ht="18" customHeight="1">
      <c r="A451" s="999" t="str">
        <f t="shared" si="664"/>
        <v xml:space="preserve">Шевкунова С.А.</v>
      </c>
      <c r="B451" s="1202" t="s">
        <v>419</v>
      </c>
      <c r="C451" s="1219"/>
      <c r="D451" s="1202"/>
      <c r="E451" s="1164">
        <f t="shared" si="685"/>
        <v>0</v>
      </c>
      <c r="F451" s="1164">
        <f t="shared" si="685"/>
        <v>0</v>
      </c>
      <c r="G451" s="1165">
        <f t="shared" si="745"/>
        <v>0</v>
      </c>
      <c r="H451" s="1166"/>
      <c r="I451" s="1298">
        <f t="shared" si="698"/>
        <v>0</v>
      </c>
      <c r="J451" s="1298">
        <f t="shared" si="698"/>
        <v>0</v>
      </c>
      <c r="K451" s="1168">
        <f t="shared" si="746"/>
        <v>0</v>
      </c>
      <c r="L451" s="1128"/>
      <c r="M451" s="1169"/>
      <c r="N451" s="1177"/>
      <c r="O451" s="1169"/>
      <c r="P451" s="1169"/>
      <c r="Q451" s="1169">
        <f t="shared" si="747"/>
        <v>0</v>
      </c>
      <c r="R451" s="1169"/>
      <c r="S451" s="1170"/>
      <c r="T451" s="1171"/>
      <c r="U451" s="1128"/>
      <c r="V451" s="1169"/>
      <c r="W451" s="1177"/>
      <c r="X451" s="1177"/>
      <c r="Y451" s="1169"/>
      <c r="Z451" s="1169">
        <f t="shared" si="748"/>
        <v>0</v>
      </c>
      <c r="AA451" s="1169"/>
      <c r="AB451" s="1172">
        <f t="shared" si="669"/>
        <v>0</v>
      </c>
      <c r="AC451" s="1171"/>
      <c r="AD451" s="1128"/>
      <c r="AE451" s="1169"/>
      <c r="AF451" s="1177"/>
      <c r="AG451" s="1177"/>
      <c r="AH451" s="1169"/>
      <c r="AI451" s="1169">
        <f t="shared" si="749"/>
        <v>0</v>
      </c>
      <c r="AJ451" s="1169"/>
      <c r="AK451" s="1173"/>
      <c r="AL451" s="1171"/>
      <c r="AM451" s="1128"/>
      <c r="AN451" s="1170"/>
      <c r="AO451" s="1175"/>
      <c r="AP451" s="1175"/>
      <c r="AQ451" s="1170"/>
      <c r="AR451" s="1170">
        <f t="shared" si="750"/>
        <v>0</v>
      </c>
      <c r="AS451" s="1170"/>
      <c r="AT451" s="1170"/>
      <c r="AU451" s="1174"/>
      <c r="AV451" s="1128"/>
      <c r="AW451" s="1169"/>
      <c r="AX451" s="1177"/>
      <c r="AY451" s="1177"/>
      <c r="AZ451" s="1169"/>
      <c r="BA451" s="1169">
        <f t="shared" si="751"/>
        <v>0</v>
      </c>
      <c r="BB451" s="1169"/>
      <c r="BC451" s="1175"/>
      <c r="BD451" s="1027"/>
      <c r="BE451" s="1024"/>
      <c r="BF451" s="1024"/>
    </row>
    <row r="452" s="1008" customFormat="1" ht="18" customHeight="1">
      <c r="A452" s="999" t="str">
        <f t="shared" si="664"/>
        <v xml:space="preserve">Никонова-Цыганова Н.А. Столберова МИ</v>
      </c>
      <c r="B452" s="1205" t="s">
        <v>363</v>
      </c>
      <c r="C452" s="1205"/>
      <c r="D452" s="1205"/>
      <c r="E452" s="1183">
        <f t="shared" si="685"/>
        <v>0</v>
      </c>
      <c r="F452" s="1183">
        <f t="shared" si="685"/>
        <v>0</v>
      </c>
      <c r="G452" s="1220">
        <f>SUM(G444:G451)</f>
        <v>0</v>
      </c>
      <c r="H452" s="1221"/>
      <c r="I452" s="1299">
        <f t="shared" si="698"/>
        <v>0</v>
      </c>
      <c r="J452" s="1299">
        <f t="shared" si="698"/>
        <v>0</v>
      </c>
      <c r="K452" s="1222">
        <f>SUM(K444:K451)</f>
        <v>0</v>
      </c>
      <c r="L452" s="1197"/>
      <c r="M452" s="1096">
        <f t="shared" ref="M452:R452" si="752">SUM(M444:M451)</f>
        <v>0</v>
      </c>
      <c r="N452" s="1096">
        <f t="shared" si="752"/>
        <v>0</v>
      </c>
      <c r="O452" s="1096">
        <f t="shared" si="752"/>
        <v>0</v>
      </c>
      <c r="P452" s="1096">
        <f t="shared" si="752"/>
        <v>0</v>
      </c>
      <c r="Q452" s="1096">
        <f t="shared" si="752"/>
        <v>0</v>
      </c>
      <c r="R452" s="1096">
        <f t="shared" si="752"/>
        <v>0</v>
      </c>
      <c r="S452" s="1170"/>
      <c r="T452" s="1189"/>
      <c r="U452" s="1197"/>
      <c r="V452" s="1096">
        <f t="shared" ref="V452:AA452" si="753">SUM(V444:V451)</f>
        <v>0</v>
      </c>
      <c r="W452" s="1096">
        <f t="shared" si="753"/>
        <v>0</v>
      </c>
      <c r="X452" s="1096">
        <f t="shared" si="753"/>
        <v>0</v>
      </c>
      <c r="Y452" s="1096">
        <f t="shared" si="753"/>
        <v>0</v>
      </c>
      <c r="Z452" s="1096">
        <f t="shared" si="753"/>
        <v>0</v>
      </c>
      <c r="AA452" s="1096">
        <f t="shared" si="753"/>
        <v>0</v>
      </c>
      <c r="AB452" s="1172">
        <f t="shared" si="669"/>
        <v>0</v>
      </c>
      <c r="AC452" s="1189"/>
      <c r="AD452" s="1197"/>
      <c r="AE452" s="1096">
        <f t="shared" ref="AE452:AJ452" si="754">SUM(AE444:AE451)</f>
        <v>0</v>
      </c>
      <c r="AF452" s="1096">
        <f t="shared" si="754"/>
        <v>0</v>
      </c>
      <c r="AG452" s="1096">
        <f t="shared" si="754"/>
        <v>0</v>
      </c>
      <c r="AH452" s="1096">
        <f t="shared" si="754"/>
        <v>0</v>
      </c>
      <c r="AI452" s="1096">
        <f t="shared" si="754"/>
        <v>0</v>
      </c>
      <c r="AJ452" s="1096">
        <f t="shared" si="754"/>
        <v>0</v>
      </c>
      <c r="AK452" s="1173"/>
      <c r="AL452" s="1189"/>
      <c r="AM452" s="1197"/>
      <c r="AN452" s="1190">
        <f t="shared" ref="AN452:AS452" si="755">SUM(AN444:AN451)</f>
        <v>0</v>
      </c>
      <c r="AO452" s="1190">
        <f t="shared" si="755"/>
        <v>0</v>
      </c>
      <c r="AP452" s="1190">
        <f t="shared" si="755"/>
        <v>0</v>
      </c>
      <c r="AQ452" s="1190">
        <f t="shared" si="755"/>
        <v>0</v>
      </c>
      <c r="AR452" s="1190">
        <f t="shared" si="755"/>
        <v>0</v>
      </c>
      <c r="AS452" s="1190">
        <f t="shared" si="755"/>
        <v>0</v>
      </c>
      <c r="AT452" s="1170"/>
      <c r="AU452" s="1191"/>
      <c r="AV452" s="1197">
        <f t="shared" ref="AV452:BB452" si="756">SUM(AV444:AV451)</f>
        <v>0</v>
      </c>
      <c r="AW452" s="1096">
        <f t="shared" si="756"/>
        <v>0</v>
      </c>
      <c r="AX452" s="1096">
        <f t="shared" si="756"/>
        <v>0</v>
      </c>
      <c r="AY452" s="1096">
        <f t="shared" si="756"/>
        <v>0</v>
      </c>
      <c r="AZ452" s="1096">
        <f t="shared" si="756"/>
        <v>0</v>
      </c>
      <c r="BA452" s="1096">
        <f t="shared" si="756"/>
        <v>0</v>
      </c>
      <c r="BB452" s="1096">
        <f t="shared" si="756"/>
        <v>0</v>
      </c>
      <c r="BC452" s="1175"/>
      <c r="BD452" s="1027"/>
      <c r="BE452" s="1024"/>
      <c r="BF452" s="1024"/>
    </row>
    <row r="453" s="1008" customFormat="1" ht="18" customHeight="1">
      <c r="A453" s="999" t="str">
        <f t="shared" si="664"/>
        <v xml:space="preserve">Шеламкова Н.В.</v>
      </c>
      <c r="B453" s="1202" t="s">
        <v>421</v>
      </c>
      <c r="C453" s="1203"/>
      <c r="D453" s="1202"/>
      <c r="E453" s="1164">
        <f t="shared" si="685"/>
        <v>0</v>
      </c>
      <c r="F453" s="1164">
        <f t="shared" si="685"/>
        <v>0</v>
      </c>
      <c r="G453" s="1165">
        <f t="shared" ref="G453:G465" si="757">E453+F453</f>
        <v>0</v>
      </c>
      <c r="H453" s="1166"/>
      <c r="I453" s="1298">
        <f t="shared" si="698"/>
        <v>0</v>
      </c>
      <c r="J453" s="1298">
        <f t="shared" si="698"/>
        <v>0</v>
      </c>
      <c r="K453" s="1168">
        <f t="shared" ref="K453:K465" si="758">I453+J453</f>
        <v>0</v>
      </c>
      <c r="L453" s="1128"/>
      <c r="M453" s="1169"/>
      <c r="N453" s="1177"/>
      <c r="O453" s="1169"/>
      <c r="P453" s="1169"/>
      <c r="Q453" s="1169">
        <f t="shared" ref="Q453:Q465" si="759">SUM(M453:P453)</f>
        <v>0</v>
      </c>
      <c r="R453" s="1169"/>
      <c r="S453" s="1170"/>
      <c r="T453" s="1171"/>
      <c r="U453" s="1128"/>
      <c r="V453" s="1169"/>
      <c r="W453" s="1177"/>
      <c r="X453" s="1177"/>
      <c r="Y453" s="1169"/>
      <c r="Z453" s="1169">
        <f t="shared" ref="Z453:Z465" si="760">SUM(V453:Y453)</f>
        <v>0</v>
      </c>
      <c r="AA453" s="1169"/>
      <c r="AB453" s="1172">
        <f t="shared" si="669"/>
        <v>0</v>
      </c>
      <c r="AC453" s="1171"/>
      <c r="AD453" s="1128"/>
      <c r="AE453" s="1169"/>
      <c r="AF453" s="1177"/>
      <c r="AG453" s="1177"/>
      <c r="AH453" s="1169"/>
      <c r="AI453" s="1169">
        <f t="shared" ref="AI453:AI465" si="761">SUM(AE453:AH453)</f>
        <v>0</v>
      </c>
      <c r="AJ453" s="1169"/>
      <c r="AK453" s="1173"/>
      <c r="AL453" s="1171"/>
      <c r="AM453" s="1128"/>
      <c r="AN453" s="1170"/>
      <c r="AO453" s="1175"/>
      <c r="AP453" s="1175"/>
      <c r="AQ453" s="1170"/>
      <c r="AR453" s="1170">
        <f t="shared" ref="AR453:AR465" si="762">SUM(AN453:AQ453)</f>
        <v>0</v>
      </c>
      <c r="AS453" s="1170"/>
      <c r="AT453" s="1170"/>
      <c r="AU453" s="1174"/>
      <c r="AV453" s="1128"/>
      <c r="AW453" s="1169"/>
      <c r="AX453" s="1177"/>
      <c r="AY453" s="1177"/>
      <c r="AZ453" s="1169"/>
      <c r="BA453" s="1169">
        <f t="shared" ref="BA453:BA465" si="763">SUM(AW453:AZ453)</f>
        <v>0</v>
      </c>
      <c r="BB453" s="1169"/>
      <c r="BC453" s="1175"/>
      <c r="BD453" s="1027"/>
      <c r="BE453" s="1024"/>
      <c r="BF453" s="1024"/>
    </row>
    <row r="454" s="1008" customFormat="1" ht="18" customHeight="1">
      <c r="A454" s="999" t="str">
        <f t="shared" si="664"/>
        <v xml:space="preserve">Буланова О.Н. Сычева Ю.В.</v>
      </c>
      <c r="B454" s="1202" t="s">
        <v>68</v>
      </c>
      <c r="C454" s="1219"/>
      <c r="D454" s="1202"/>
      <c r="E454" s="1164">
        <f t="shared" si="685"/>
        <v>0</v>
      </c>
      <c r="F454" s="1164">
        <f t="shared" si="685"/>
        <v>0</v>
      </c>
      <c r="G454" s="1165">
        <f t="shared" si="757"/>
        <v>0</v>
      </c>
      <c r="H454" s="1166"/>
      <c r="I454" s="1298">
        <f t="shared" si="698"/>
        <v>0</v>
      </c>
      <c r="J454" s="1298">
        <f t="shared" si="698"/>
        <v>0</v>
      </c>
      <c r="K454" s="1168">
        <f t="shared" si="758"/>
        <v>0</v>
      </c>
      <c r="L454" s="1128"/>
      <c r="M454" s="1169"/>
      <c r="N454" s="1177"/>
      <c r="O454" s="1169"/>
      <c r="P454" s="1169"/>
      <c r="Q454" s="1169">
        <f t="shared" si="759"/>
        <v>0</v>
      </c>
      <c r="R454" s="1169"/>
      <c r="S454" s="1170"/>
      <c r="T454" s="1171"/>
      <c r="U454" s="1128"/>
      <c r="V454" s="1169"/>
      <c r="W454" s="1177"/>
      <c r="X454" s="1177"/>
      <c r="Y454" s="1169"/>
      <c r="Z454" s="1169">
        <f t="shared" si="760"/>
        <v>0</v>
      </c>
      <c r="AA454" s="1169"/>
      <c r="AB454" s="1172">
        <f t="shared" si="669"/>
        <v>0</v>
      </c>
      <c r="AC454" s="1171"/>
      <c r="AD454" s="1128"/>
      <c r="AE454" s="1169"/>
      <c r="AF454" s="1177"/>
      <c r="AG454" s="1177"/>
      <c r="AH454" s="1169"/>
      <c r="AI454" s="1169">
        <f t="shared" si="761"/>
        <v>0</v>
      </c>
      <c r="AJ454" s="1169"/>
      <c r="AK454" s="1173"/>
      <c r="AL454" s="1171"/>
      <c r="AM454" s="1128"/>
      <c r="AN454" s="1170"/>
      <c r="AO454" s="1175"/>
      <c r="AP454" s="1175"/>
      <c r="AQ454" s="1170"/>
      <c r="AR454" s="1170">
        <f t="shared" si="762"/>
        <v>0</v>
      </c>
      <c r="AS454" s="1170"/>
      <c r="AT454" s="1170"/>
      <c r="AU454" s="1174"/>
      <c r="AV454" s="1128"/>
      <c r="AW454" s="1169"/>
      <c r="AX454" s="1177"/>
      <c r="AY454" s="1177"/>
      <c r="AZ454" s="1169"/>
      <c r="BA454" s="1169">
        <f t="shared" si="763"/>
        <v>0</v>
      </c>
      <c r="BB454" s="1169"/>
      <c r="BC454" s="1175"/>
      <c r="BD454" s="1027"/>
      <c r="BE454" s="1024"/>
      <c r="BF454" s="1024"/>
    </row>
    <row r="455" s="1008" customFormat="1" ht="18" customHeight="1">
      <c r="A455" s="999" t="str">
        <f t="shared" si="664"/>
        <v xml:space="preserve">Бояринцева Н.А.</v>
      </c>
      <c r="B455" s="1202" t="s">
        <v>289</v>
      </c>
      <c r="C455" s="1202"/>
      <c r="D455" s="1202"/>
      <c r="E455" s="1164">
        <f t="shared" si="685"/>
        <v>0</v>
      </c>
      <c r="F455" s="1164">
        <f t="shared" si="685"/>
        <v>0</v>
      </c>
      <c r="G455" s="1165">
        <f t="shared" si="757"/>
        <v>0</v>
      </c>
      <c r="H455" s="1166"/>
      <c r="I455" s="1298">
        <f t="shared" si="698"/>
        <v>0</v>
      </c>
      <c r="J455" s="1298">
        <f t="shared" si="698"/>
        <v>0</v>
      </c>
      <c r="K455" s="1168">
        <f t="shared" si="758"/>
        <v>0</v>
      </c>
      <c r="L455" s="1128"/>
      <c r="M455" s="1169"/>
      <c r="N455" s="1177"/>
      <c r="O455" s="1169"/>
      <c r="P455" s="1169"/>
      <c r="Q455" s="1169">
        <f t="shared" si="759"/>
        <v>0</v>
      </c>
      <c r="R455" s="1169"/>
      <c r="S455" s="1170"/>
      <c r="T455" s="1171"/>
      <c r="U455" s="1128"/>
      <c r="V455" s="1169"/>
      <c r="W455" s="1177"/>
      <c r="X455" s="1177"/>
      <c r="Y455" s="1169"/>
      <c r="Z455" s="1169">
        <f t="shared" si="760"/>
        <v>0</v>
      </c>
      <c r="AA455" s="1169"/>
      <c r="AB455" s="1172">
        <f t="shared" si="669"/>
        <v>0</v>
      </c>
      <c r="AC455" s="1171"/>
      <c r="AD455" s="1128"/>
      <c r="AE455" s="1169"/>
      <c r="AF455" s="1177"/>
      <c r="AG455" s="1177"/>
      <c r="AH455" s="1169"/>
      <c r="AI455" s="1169">
        <f t="shared" si="761"/>
        <v>0</v>
      </c>
      <c r="AJ455" s="1169"/>
      <c r="AK455" s="1173"/>
      <c r="AL455" s="1171"/>
      <c r="AM455" s="1128"/>
      <c r="AN455" s="1170"/>
      <c r="AO455" s="1175"/>
      <c r="AP455" s="1175"/>
      <c r="AQ455" s="1170"/>
      <c r="AR455" s="1170">
        <f t="shared" si="762"/>
        <v>0</v>
      </c>
      <c r="AS455" s="1170"/>
      <c r="AT455" s="1170"/>
      <c r="AU455" s="1174"/>
      <c r="AV455" s="1128"/>
      <c r="AW455" s="1169"/>
      <c r="AX455" s="1177"/>
      <c r="AY455" s="1177"/>
      <c r="AZ455" s="1169"/>
      <c r="BA455" s="1169">
        <f t="shared" si="763"/>
        <v>0</v>
      </c>
      <c r="BB455" s="1169"/>
      <c r="BC455" s="1175"/>
      <c r="BD455" s="1027"/>
      <c r="BE455" s="1024"/>
      <c r="BF455" s="1024"/>
    </row>
    <row r="456" s="1008" customFormat="1" ht="18" customHeight="1">
      <c r="A456" s="999">
        <f t="shared" si="664"/>
        <v>0</v>
      </c>
      <c r="B456" s="1202" t="s">
        <v>424</v>
      </c>
      <c r="C456" s="1219"/>
      <c r="D456" s="1202"/>
      <c r="E456" s="1164">
        <f t="shared" si="685"/>
        <v>0</v>
      </c>
      <c r="F456" s="1164">
        <f t="shared" si="685"/>
        <v>0</v>
      </c>
      <c r="G456" s="1165">
        <f t="shared" si="757"/>
        <v>0</v>
      </c>
      <c r="H456" s="1166"/>
      <c r="I456" s="1298">
        <f t="shared" si="698"/>
        <v>0</v>
      </c>
      <c r="J456" s="1298">
        <f t="shared" si="698"/>
        <v>0</v>
      </c>
      <c r="K456" s="1168">
        <f t="shared" si="758"/>
        <v>0</v>
      </c>
      <c r="L456" s="1128"/>
      <c r="M456" s="1169"/>
      <c r="N456" s="1177"/>
      <c r="O456" s="1169"/>
      <c r="P456" s="1169"/>
      <c r="Q456" s="1169">
        <f t="shared" si="759"/>
        <v>0</v>
      </c>
      <c r="R456" s="1169"/>
      <c r="S456" s="1170"/>
      <c r="T456" s="1171"/>
      <c r="U456" s="1128"/>
      <c r="V456" s="1169"/>
      <c r="W456" s="1177"/>
      <c r="X456" s="1177"/>
      <c r="Y456" s="1169"/>
      <c r="Z456" s="1169">
        <f t="shared" si="760"/>
        <v>0</v>
      </c>
      <c r="AA456" s="1169"/>
      <c r="AB456" s="1172">
        <f t="shared" si="669"/>
        <v>0</v>
      </c>
      <c r="AC456" s="1171"/>
      <c r="AD456" s="1128"/>
      <c r="AE456" s="1169"/>
      <c r="AF456" s="1177"/>
      <c r="AG456" s="1177"/>
      <c r="AH456" s="1169"/>
      <c r="AI456" s="1169">
        <f t="shared" si="761"/>
        <v>0</v>
      </c>
      <c r="AJ456" s="1169"/>
      <c r="AK456" s="1173"/>
      <c r="AL456" s="1171"/>
      <c r="AM456" s="1128"/>
      <c r="AN456" s="1170"/>
      <c r="AO456" s="1175"/>
      <c r="AP456" s="1175"/>
      <c r="AQ456" s="1170"/>
      <c r="AR456" s="1170">
        <f t="shared" si="762"/>
        <v>0</v>
      </c>
      <c r="AS456" s="1170"/>
      <c r="AT456" s="1170"/>
      <c r="AU456" s="1174"/>
      <c r="AV456" s="1128"/>
      <c r="AW456" s="1169"/>
      <c r="AX456" s="1177"/>
      <c r="AY456" s="1177"/>
      <c r="AZ456" s="1169"/>
      <c r="BA456" s="1169">
        <f t="shared" si="763"/>
        <v>0</v>
      </c>
      <c r="BB456" s="1169"/>
      <c r="BC456" s="1175"/>
      <c r="BD456" s="1027"/>
      <c r="BE456" s="1024"/>
      <c r="BF456" s="1024"/>
    </row>
    <row r="457" s="1008" customFormat="1" ht="18" customHeight="1">
      <c r="A457" s="999" t="str">
        <f t="shared" si="664"/>
        <v xml:space="preserve">Соболева Т.Ю.</v>
      </c>
      <c r="B457" s="1202" t="s">
        <v>426</v>
      </c>
      <c r="C457" s="1202"/>
      <c r="D457" s="1202"/>
      <c r="E457" s="1164">
        <f t="shared" si="685"/>
        <v>0</v>
      </c>
      <c r="F457" s="1164">
        <f t="shared" si="685"/>
        <v>0</v>
      </c>
      <c r="G457" s="1165">
        <f t="shared" si="757"/>
        <v>0</v>
      </c>
      <c r="H457" s="1166"/>
      <c r="I457" s="1298">
        <f t="shared" si="698"/>
        <v>0</v>
      </c>
      <c r="J457" s="1298">
        <f t="shared" si="698"/>
        <v>0</v>
      </c>
      <c r="K457" s="1168">
        <f t="shared" si="758"/>
        <v>0</v>
      </c>
      <c r="L457" s="1128"/>
      <c r="M457" s="1169"/>
      <c r="N457" s="1177"/>
      <c r="O457" s="1169"/>
      <c r="P457" s="1169"/>
      <c r="Q457" s="1169">
        <f t="shared" si="759"/>
        <v>0</v>
      </c>
      <c r="R457" s="1169"/>
      <c r="S457" s="1170"/>
      <c r="T457" s="1171"/>
      <c r="U457" s="1128"/>
      <c r="V457" s="1169"/>
      <c r="W457" s="1177"/>
      <c r="X457" s="1177"/>
      <c r="Y457" s="1169"/>
      <c r="Z457" s="1169">
        <f t="shared" si="760"/>
        <v>0</v>
      </c>
      <c r="AA457" s="1169"/>
      <c r="AB457" s="1172">
        <f t="shared" si="669"/>
        <v>0</v>
      </c>
      <c r="AC457" s="1171"/>
      <c r="AD457" s="1128"/>
      <c r="AE457" s="1169"/>
      <c r="AF457" s="1177"/>
      <c r="AG457" s="1177"/>
      <c r="AH457" s="1169"/>
      <c r="AI457" s="1169">
        <f t="shared" si="761"/>
        <v>0</v>
      </c>
      <c r="AJ457" s="1169"/>
      <c r="AK457" s="1173"/>
      <c r="AL457" s="1171"/>
      <c r="AM457" s="1128"/>
      <c r="AN457" s="1170"/>
      <c r="AO457" s="1175"/>
      <c r="AP457" s="1175"/>
      <c r="AQ457" s="1170"/>
      <c r="AR457" s="1170">
        <f t="shared" si="762"/>
        <v>0</v>
      </c>
      <c r="AS457" s="1170"/>
      <c r="AT457" s="1170"/>
      <c r="AU457" s="1174"/>
      <c r="AV457" s="1128"/>
      <c r="AW457" s="1169"/>
      <c r="AX457" s="1177"/>
      <c r="AY457" s="1177"/>
      <c r="AZ457" s="1169"/>
      <c r="BA457" s="1169">
        <f t="shared" si="763"/>
        <v>0</v>
      </c>
      <c r="BB457" s="1169"/>
      <c r="BC457" s="1175"/>
      <c r="BD457" s="1027"/>
      <c r="BE457" s="1024"/>
      <c r="BF457" s="1024"/>
    </row>
    <row r="458" s="1008" customFormat="1" ht="18" customHeight="1">
      <c r="A458" s="999">
        <f t="shared" si="664"/>
        <v>0</v>
      </c>
      <c r="B458" s="1202" t="s">
        <v>427</v>
      </c>
      <c r="C458" s="1202"/>
      <c r="D458" s="1202"/>
      <c r="E458" s="1164">
        <f t="shared" si="685"/>
        <v>0</v>
      </c>
      <c r="F458" s="1164">
        <f t="shared" si="685"/>
        <v>0</v>
      </c>
      <c r="G458" s="1165">
        <f t="shared" si="757"/>
        <v>0</v>
      </c>
      <c r="H458" s="1166"/>
      <c r="I458" s="1298">
        <f t="shared" si="698"/>
        <v>0</v>
      </c>
      <c r="J458" s="1298">
        <f t="shared" si="698"/>
        <v>0</v>
      </c>
      <c r="K458" s="1168">
        <f t="shared" si="758"/>
        <v>0</v>
      </c>
      <c r="L458" s="1128"/>
      <c r="M458" s="1169"/>
      <c r="N458" s="1177"/>
      <c r="O458" s="1169"/>
      <c r="P458" s="1169"/>
      <c r="Q458" s="1169">
        <f t="shared" si="759"/>
        <v>0</v>
      </c>
      <c r="R458" s="1169"/>
      <c r="S458" s="1170"/>
      <c r="T458" s="1171"/>
      <c r="U458" s="1128"/>
      <c r="V458" s="1169"/>
      <c r="W458" s="1177"/>
      <c r="X458" s="1177"/>
      <c r="Y458" s="1169"/>
      <c r="Z458" s="1169">
        <f t="shared" si="760"/>
        <v>0</v>
      </c>
      <c r="AA458" s="1169"/>
      <c r="AB458" s="1172">
        <f t="shared" si="669"/>
        <v>0</v>
      </c>
      <c r="AC458" s="1171"/>
      <c r="AD458" s="1128"/>
      <c r="AE458" s="1169"/>
      <c r="AF458" s="1177"/>
      <c r="AG458" s="1177"/>
      <c r="AH458" s="1169"/>
      <c r="AI458" s="1169">
        <f t="shared" si="761"/>
        <v>0</v>
      </c>
      <c r="AJ458" s="1169"/>
      <c r="AK458" s="1173"/>
      <c r="AL458" s="1171"/>
      <c r="AM458" s="1128"/>
      <c r="AN458" s="1170"/>
      <c r="AO458" s="1175"/>
      <c r="AP458" s="1175"/>
      <c r="AQ458" s="1170"/>
      <c r="AR458" s="1170">
        <f t="shared" si="762"/>
        <v>0</v>
      </c>
      <c r="AS458" s="1170"/>
      <c r="AT458" s="1170"/>
      <c r="AU458" s="1174"/>
      <c r="AV458" s="1128"/>
      <c r="AW458" s="1169"/>
      <c r="AX458" s="1177"/>
      <c r="AY458" s="1177"/>
      <c r="AZ458" s="1169"/>
      <c r="BA458" s="1169">
        <f t="shared" si="763"/>
        <v>0</v>
      </c>
      <c r="BB458" s="1169"/>
      <c r="BC458" s="1175"/>
      <c r="BD458" s="1027"/>
      <c r="BE458" s="1024"/>
      <c r="BF458" s="1024"/>
    </row>
    <row r="459" s="1008" customFormat="1" ht="18" customHeight="1">
      <c r="A459" s="999" t="str">
        <f t="shared" si="664"/>
        <v xml:space="preserve">Астапова С.А.</v>
      </c>
      <c r="B459" s="1202" t="s">
        <v>73</v>
      </c>
      <c r="C459" s="1202"/>
      <c r="D459" s="1202"/>
      <c r="E459" s="1164">
        <f t="shared" si="685"/>
        <v>0</v>
      </c>
      <c r="F459" s="1164">
        <f t="shared" si="685"/>
        <v>0</v>
      </c>
      <c r="G459" s="1165">
        <f t="shared" si="757"/>
        <v>0</v>
      </c>
      <c r="H459" s="1166"/>
      <c r="I459" s="1298">
        <f t="shared" si="698"/>
        <v>0</v>
      </c>
      <c r="J459" s="1298">
        <f t="shared" si="698"/>
        <v>0</v>
      </c>
      <c r="K459" s="1168">
        <f t="shared" si="758"/>
        <v>0</v>
      </c>
      <c r="L459" s="1128"/>
      <c r="M459" s="1169"/>
      <c r="N459" s="1177"/>
      <c r="O459" s="1169"/>
      <c r="P459" s="1169"/>
      <c r="Q459" s="1169">
        <f t="shared" si="759"/>
        <v>0</v>
      </c>
      <c r="R459" s="1169"/>
      <c r="S459" s="1170"/>
      <c r="T459" s="1171"/>
      <c r="U459" s="1128"/>
      <c r="V459" s="1169"/>
      <c r="W459" s="1177"/>
      <c r="X459" s="1177"/>
      <c r="Y459" s="1169"/>
      <c r="Z459" s="1169">
        <f t="shared" si="760"/>
        <v>0</v>
      </c>
      <c r="AA459" s="1169"/>
      <c r="AB459" s="1172">
        <f t="shared" si="669"/>
        <v>0</v>
      </c>
      <c r="AC459" s="1171"/>
      <c r="AD459" s="1128"/>
      <c r="AE459" s="1169"/>
      <c r="AF459" s="1177"/>
      <c r="AG459" s="1177"/>
      <c r="AH459" s="1169"/>
      <c r="AI459" s="1169">
        <f t="shared" si="761"/>
        <v>0</v>
      </c>
      <c r="AJ459" s="1169"/>
      <c r="AK459" s="1173"/>
      <c r="AL459" s="1171"/>
      <c r="AM459" s="1128"/>
      <c r="AN459" s="1170"/>
      <c r="AO459" s="1175"/>
      <c r="AP459" s="1175"/>
      <c r="AQ459" s="1170"/>
      <c r="AR459" s="1170">
        <f t="shared" si="762"/>
        <v>0</v>
      </c>
      <c r="AS459" s="1170"/>
      <c r="AT459" s="1170"/>
      <c r="AU459" s="1174"/>
      <c r="AV459" s="1128"/>
      <c r="AW459" s="1169"/>
      <c r="AX459" s="1177"/>
      <c r="AY459" s="1177"/>
      <c r="AZ459" s="1169"/>
      <c r="BA459" s="1169">
        <f t="shared" si="763"/>
        <v>0</v>
      </c>
      <c r="BB459" s="1169"/>
      <c r="BC459" s="1175"/>
      <c r="BD459" s="1027"/>
      <c r="BE459" s="1024"/>
      <c r="BF459" s="1024"/>
    </row>
    <row r="460" s="1008" customFormat="1" ht="18" customHeight="1">
      <c r="A460" s="999" t="str">
        <f t="shared" si="664"/>
        <v xml:space="preserve">Кирпа Е.Д.</v>
      </c>
      <c r="B460" s="1202" t="s">
        <v>75</v>
      </c>
      <c r="C460" s="1203"/>
      <c r="D460" s="1202"/>
      <c r="E460" s="1164">
        <f t="shared" si="685"/>
        <v>0</v>
      </c>
      <c r="F460" s="1164">
        <f t="shared" si="685"/>
        <v>0</v>
      </c>
      <c r="G460" s="1165">
        <f t="shared" si="757"/>
        <v>0</v>
      </c>
      <c r="H460" s="1166"/>
      <c r="I460" s="1298">
        <f t="shared" si="698"/>
        <v>0</v>
      </c>
      <c r="J460" s="1298">
        <f t="shared" si="698"/>
        <v>0</v>
      </c>
      <c r="K460" s="1168">
        <f t="shared" si="758"/>
        <v>0</v>
      </c>
      <c r="L460" s="1128"/>
      <c r="M460" s="1169"/>
      <c r="N460" s="1177"/>
      <c r="O460" s="1169"/>
      <c r="P460" s="1169"/>
      <c r="Q460" s="1169">
        <f t="shared" si="759"/>
        <v>0</v>
      </c>
      <c r="R460" s="1169"/>
      <c r="S460" s="1170"/>
      <c r="T460" s="1171"/>
      <c r="U460" s="1128"/>
      <c r="V460" s="1169"/>
      <c r="W460" s="1177"/>
      <c r="X460" s="1177"/>
      <c r="Y460" s="1169"/>
      <c r="Z460" s="1169">
        <f t="shared" si="760"/>
        <v>0</v>
      </c>
      <c r="AA460" s="1169"/>
      <c r="AB460" s="1172">
        <f t="shared" si="669"/>
        <v>0</v>
      </c>
      <c r="AC460" s="1171"/>
      <c r="AD460" s="1128"/>
      <c r="AE460" s="1169"/>
      <c r="AF460" s="1177"/>
      <c r="AG460" s="1177"/>
      <c r="AH460" s="1169"/>
      <c r="AI460" s="1169">
        <f t="shared" si="761"/>
        <v>0</v>
      </c>
      <c r="AJ460" s="1169"/>
      <c r="AK460" s="1173"/>
      <c r="AL460" s="1171"/>
      <c r="AM460" s="1128"/>
      <c r="AN460" s="1170"/>
      <c r="AO460" s="1175"/>
      <c r="AP460" s="1175"/>
      <c r="AQ460" s="1170"/>
      <c r="AR460" s="1170">
        <f t="shared" si="762"/>
        <v>0</v>
      </c>
      <c r="AS460" s="1170"/>
      <c r="AT460" s="1170"/>
      <c r="AU460" s="1174"/>
      <c r="AV460" s="1128"/>
      <c r="AW460" s="1169"/>
      <c r="AX460" s="1177"/>
      <c r="AY460" s="1177"/>
      <c r="AZ460" s="1169"/>
      <c r="BA460" s="1169">
        <f t="shared" si="763"/>
        <v>0</v>
      </c>
      <c r="BB460" s="1169"/>
      <c r="BC460" s="1175"/>
      <c r="BD460" s="1027"/>
      <c r="BE460" s="1024"/>
      <c r="BF460" s="1024"/>
    </row>
    <row r="461" s="1215" customFormat="1" ht="18" customHeight="1">
      <c r="A461" s="999" t="str">
        <f t="shared" si="664"/>
        <v xml:space="preserve">Трофимкина Н.В.</v>
      </c>
      <c r="B461" s="1202" t="s">
        <v>431</v>
      </c>
      <c r="C461" s="1203"/>
      <c r="D461" s="1202"/>
      <c r="E461" s="1164">
        <f t="shared" si="685"/>
        <v>0</v>
      </c>
      <c r="F461" s="1164">
        <f t="shared" si="685"/>
        <v>0</v>
      </c>
      <c r="G461" s="1165">
        <f t="shared" si="757"/>
        <v>0</v>
      </c>
      <c r="H461" s="1166"/>
      <c r="I461" s="1298">
        <f t="shared" si="698"/>
        <v>0</v>
      </c>
      <c r="J461" s="1298">
        <f t="shared" si="698"/>
        <v>0</v>
      </c>
      <c r="K461" s="1168">
        <f t="shared" si="758"/>
        <v>0</v>
      </c>
      <c r="L461" s="1128"/>
      <c r="M461" s="1169"/>
      <c r="N461" s="1177"/>
      <c r="O461" s="1169"/>
      <c r="P461" s="1169"/>
      <c r="Q461" s="1169">
        <f t="shared" si="759"/>
        <v>0</v>
      </c>
      <c r="R461" s="1169"/>
      <c r="S461" s="1170"/>
      <c r="T461" s="1171"/>
      <c r="U461" s="1128"/>
      <c r="V461" s="1169"/>
      <c r="W461" s="1177"/>
      <c r="X461" s="1177"/>
      <c r="Y461" s="1169"/>
      <c r="Z461" s="1169">
        <f t="shared" si="760"/>
        <v>0</v>
      </c>
      <c r="AA461" s="1169"/>
      <c r="AB461" s="1172">
        <f t="shared" si="669"/>
        <v>0</v>
      </c>
      <c r="AC461" s="1171"/>
      <c r="AD461" s="1128"/>
      <c r="AE461" s="1169"/>
      <c r="AF461" s="1177"/>
      <c r="AG461" s="1177"/>
      <c r="AH461" s="1169"/>
      <c r="AI461" s="1169">
        <f t="shared" si="761"/>
        <v>0</v>
      </c>
      <c r="AJ461" s="1169"/>
      <c r="AK461" s="1173"/>
      <c r="AL461" s="1171"/>
      <c r="AM461" s="1128"/>
      <c r="AN461" s="1170"/>
      <c r="AO461" s="1175"/>
      <c r="AP461" s="1175"/>
      <c r="AQ461" s="1170"/>
      <c r="AR461" s="1170">
        <f t="shared" si="762"/>
        <v>0</v>
      </c>
      <c r="AS461" s="1170"/>
      <c r="AT461" s="1170"/>
      <c r="AU461" s="1174"/>
      <c r="AV461" s="1128"/>
      <c r="AW461" s="1169"/>
      <c r="AX461" s="1177"/>
      <c r="AY461" s="1177"/>
      <c r="AZ461" s="1169"/>
      <c r="BA461" s="1169">
        <f t="shared" si="763"/>
        <v>0</v>
      </c>
      <c r="BB461" s="1169"/>
      <c r="BC461" s="1175"/>
      <c r="BD461" s="1027"/>
      <c r="BE461" s="1024"/>
      <c r="BF461" s="1024"/>
      <c r="BG461" s="1008"/>
      <c r="BH461" s="1008"/>
      <c r="BI461" s="1008"/>
      <c r="BJ461" s="1008"/>
      <c r="BK461" s="1008"/>
      <c r="BL461" s="1008"/>
      <c r="BM461" s="1008"/>
    </row>
    <row r="462" s="1215" customFormat="1" ht="18" customHeight="1">
      <c r="A462" s="999" t="str">
        <f t="shared" si="664"/>
        <v xml:space="preserve">Жилкина В.В.</v>
      </c>
      <c r="B462" s="1202" t="s">
        <v>433</v>
      </c>
      <c r="C462" s="1203"/>
      <c r="D462" s="1217"/>
      <c r="E462" s="1164">
        <f t="shared" si="685"/>
        <v>0</v>
      </c>
      <c r="F462" s="1164">
        <f t="shared" si="685"/>
        <v>0</v>
      </c>
      <c r="G462" s="1165">
        <f t="shared" si="757"/>
        <v>0</v>
      </c>
      <c r="H462" s="1166"/>
      <c r="I462" s="1298">
        <f t="shared" si="698"/>
        <v>0</v>
      </c>
      <c r="J462" s="1298">
        <f t="shared" si="698"/>
        <v>0</v>
      </c>
      <c r="K462" s="1168">
        <f t="shared" si="758"/>
        <v>0</v>
      </c>
      <c r="L462" s="1128"/>
      <c r="M462" s="1169"/>
      <c r="N462" s="1177"/>
      <c r="O462" s="1169"/>
      <c r="P462" s="1169"/>
      <c r="Q462" s="1169">
        <f t="shared" si="759"/>
        <v>0</v>
      </c>
      <c r="R462" s="1169"/>
      <c r="S462" s="1170"/>
      <c r="T462" s="1171"/>
      <c r="U462" s="1128"/>
      <c r="V462" s="1169"/>
      <c r="W462" s="1177"/>
      <c r="X462" s="1177"/>
      <c r="Y462" s="1169"/>
      <c r="Z462" s="1169">
        <f t="shared" si="760"/>
        <v>0</v>
      </c>
      <c r="AA462" s="1169"/>
      <c r="AB462" s="1172">
        <f t="shared" si="669"/>
        <v>0</v>
      </c>
      <c r="AC462" s="1171"/>
      <c r="AD462" s="1128"/>
      <c r="AE462" s="1169"/>
      <c r="AF462" s="1177"/>
      <c r="AG462" s="1177"/>
      <c r="AH462" s="1169"/>
      <c r="AI462" s="1169">
        <f t="shared" si="761"/>
        <v>0</v>
      </c>
      <c r="AJ462" s="1169"/>
      <c r="AK462" s="1173"/>
      <c r="AL462" s="1171"/>
      <c r="AM462" s="1128"/>
      <c r="AN462" s="1170"/>
      <c r="AO462" s="1175"/>
      <c r="AP462" s="1175"/>
      <c r="AQ462" s="1170"/>
      <c r="AR462" s="1170">
        <f t="shared" si="762"/>
        <v>0</v>
      </c>
      <c r="AS462" s="1170"/>
      <c r="AT462" s="1170"/>
      <c r="AU462" s="1174"/>
      <c r="AV462" s="1128"/>
      <c r="AW462" s="1169"/>
      <c r="AX462" s="1177"/>
      <c r="AY462" s="1177"/>
      <c r="AZ462" s="1169"/>
      <c r="BA462" s="1169">
        <f t="shared" si="763"/>
        <v>0</v>
      </c>
      <c r="BB462" s="1169"/>
      <c r="BC462" s="1175"/>
      <c r="BD462" s="1027"/>
      <c r="BE462" s="1024"/>
      <c r="BF462" s="1024"/>
      <c r="BG462" s="1008"/>
      <c r="BH462" s="1008"/>
      <c r="BI462" s="1008"/>
      <c r="BJ462" s="1008"/>
      <c r="BK462" s="1008"/>
      <c r="BL462" s="1008"/>
      <c r="BM462" s="1008"/>
    </row>
    <row r="463" s="1215" customFormat="1" ht="18" customHeight="1">
      <c r="A463" s="999" t="str">
        <f t="shared" si="664"/>
        <v xml:space="preserve">Марушенко В.Н. Донцова Н.Г.</v>
      </c>
      <c r="B463" s="1202" t="s">
        <v>435</v>
      </c>
      <c r="C463" s="1203"/>
      <c r="D463" s="1202"/>
      <c r="E463" s="1164">
        <f t="shared" si="685"/>
        <v>0</v>
      </c>
      <c r="F463" s="1164">
        <f t="shared" si="685"/>
        <v>0</v>
      </c>
      <c r="G463" s="1165">
        <f t="shared" si="757"/>
        <v>0</v>
      </c>
      <c r="H463" s="1166"/>
      <c r="I463" s="1298">
        <f t="shared" si="698"/>
        <v>0</v>
      </c>
      <c r="J463" s="1298">
        <f t="shared" si="698"/>
        <v>0</v>
      </c>
      <c r="K463" s="1168">
        <f t="shared" si="758"/>
        <v>0</v>
      </c>
      <c r="L463" s="1128"/>
      <c r="M463" s="1169"/>
      <c r="N463" s="1177"/>
      <c r="O463" s="1169"/>
      <c r="P463" s="1169"/>
      <c r="Q463" s="1169">
        <f t="shared" si="759"/>
        <v>0</v>
      </c>
      <c r="R463" s="1169"/>
      <c r="S463" s="1170"/>
      <c r="T463" s="1171"/>
      <c r="U463" s="1128"/>
      <c r="V463" s="1169"/>
      <c r="W463" s="1177"/>
      <c r="X463" s="1177"/>
      <c r="Y463" s="1169"/>
      <c r="Z463" s="1169">
        <f t="shared" si="760"/>
        <v>0</v>
      </c>
      <c r="AA463" s="1169"/>
      <c r="AB463" s="1172">
        <f t="shared" si="669"/>
        <v>0</v>
      </c>
      <c r="AC463" s="1171"/>
      <c r="AD463" s="1128"/>
      <c r="AE463" s="1169"/>
      <c r="AF463" s="1177"/>
      <c r="AG463" s="1177"/>
      <c r="AH463" s="1169"/>
      <c r="AI463" s="1169">
        <f t="shared" si="761"/>
        <v>0</v>
      </c>
      <c r="AJ463" s="1169"/>
      <c r="AK463" s="1173"/>
      <c r="AL463" s="1171"/>
      <c r="AM463" s="1128"/>
      <c r="AN463" s="1170"/>
      <c r="AO463" s="1175"/>
      <c r="AP463" s="1175"/>
      <c r="AQ463" s="1170"/>
      <c r="AR463" s="1170">
        <f t="shared" si="762"/>
        <v>0</v>
      </c>
      <c r="AS463" s="1170"/>
      <c r="AT463" s="1170"/>
      <c r="AU463" s="1174"/>
      <c r="AV463" s="1128"/>
      <c r="AW463" s="1169"/>
      <c r="AX463" s="1177"/>
      <c r="AY463" s="1177"/>
      <c r="AZ463" s="1169"/>
      <c r="BA463" s="1169">
        <f t="shared" si="763"/>
        <v>0</v>
      </c>
      <c r="BB463" s="1169"/>
      <c r="BC463" s="1175"/>
      <c r="BD463" s="1027"/>
      <c r="BE463" s="1024"/>
      <c r="BF463" s="1024"/>
      <c r="BG463" s="1008"/>
      <c r="BH463" s="1008"/>
      <c r="BI463" s="1008"/>
      <c r="BJ463" s="1008"/>
      <c r="BK463" s="1008"/>
      <c r="BL463" s="1008"/>
      <c r="BM463" s="1008"/>
    </row>
    <row r="464" s="1215" customFormat="1" ht="18" customHeight="1">
      <c r="A464" s="999">
        <f t="shared" si="664"/>
        <v>0</v>
      </c>
      <c r="B464" s="1202" t="s">
        <v>436</v>
      </c>
      <c r="C464" s="1202"/>
      <c r="D464" s="1202"/>
      <c r="E464" s="1164">
        <f t="shared" si="685"/>
        <v>0</v>
      </c>
      <c r="F464" s="1164">
        <f t="shared" si="685"/>
        <v>0</v>
      </c>
      <c r="G464" s="1165">
        <f t="shared" si="757"/>
        <v>0</v>
      </c>
      <c r="H464" s="1166"/>
      <c r="I464" s="1298">
        <f t="shared" si="698"/>
        <v>0</v>
      </c>
      <c r="J464" s="1298">
        <f t="shared" si="698"/>
        <v>0</v>
      </c>
      <c r="K464" s="1168">
        <f t="shared" si="758"/>
        <v>0</v>
      </c>
      <c r="L464" s="1128"/>
      <c r="M464" s="1169"/>
      <c r="N464" s="1177"/>
      <c r="O464" s="1169"/>
      <c r="P464" s="1169"/>
      <c r="Q464" s="1169">
        <f t="shared" si="759"/>
        <v>0</v>
      </c>
      <c r="R464" s="1169"/>
      <c r="S464" s="1170"/>
      <c r="T464" s="1171"/>
      <c r="U464" s="1128"/>
      <c r="V464" s="1169"/>
      <c r="W464" s="1177"/>
      <c r="X464" s="1177"/>
      <c r="Y464" s="1169"/>
      <c r="Z464" s="1169">
        <f t="shared" si="760"/>
        <v>0</v>
      </c>
      <c r="AA464" s="1169"/>
      <c r="AB464" s="1172">
        <f t="shared" si="669"/>
        <v>0</v>
      </c>
      <c r="AC464" s="1171"/>
      <c r="AD464" s="1128"/>
      <c r="AE464" s="1169"/>
      <c r="AF464" s="1177"/>
      <c r="AG464" s="1177"/>
      <c r="AH464" s="1169"/>
      <c r="AI464" s="1169">
        <f t="shared" si="761"/>
        <v>0</v>
      </c>
      <c r="AJ464" s="1169"/>
      <c r="AK464" s="1173"/>
      <c r="AL464" s="1171"/>
      <c r="AM464" s="1128"/>
      <c r="AN464" s="1170"/>
      <c r="AO464" s="1175"/>
      <c r="AP464" s="1175"/>
      <c r="AQ464" s="1170"/>
      <c r="AR464" s="1170">
        <f t="shared" si="762"/>
        <v>0</v>
      </c>
      <c r="AS464" s="1170"/>
      <c r="AT464" s="1170"/>
      <c r="AU464" s="1174"/>
      <c r="AV464" s="1128"/>
      <c r="AW464" s="1169"/>
      <c r="AX464" s="1177"/>
      <c r="AY464" s="1177"/>
      <c r="AZ464" s="1169"/>
      <c r="BA464" s="1169">
        <f t="shared" si="763"/>
        <v>0</v>
      </c>
      <c r="BB464" s="1169"/>
      <c r="BC464" s="1175"/>
      <c r="BD464" s="1027"/>
      <c r="BE464" s="1024"/>
      <c r="BF464" s="1024"/>
      <c r="BG464" s="1008"/>
      <c r="BH464" s="1008"/>
      <c r="BI464" s="1008"/>
      <c r="BJ464" s="1008"/>
      <c r="BK464" s="1008"/>
      <c r="BL464" s="1008"/>
      <c r="BM464" s="1008"/>
    </row>
    <row r="465" s="1215" customFormat="1" ht="18" customHeight="1">
      <c r="A465" s="999" t="str">
        <f t="shared" si="664"/>
        <v xml:space="preserve">Кузнецова Е.В.</v>
      </c>
      <c r="B465" s="1202" t="s">
        <v>78</v>
      </c>
      <c r="C465" s="1223"/>
      <c r="D465" s="1223"/>
      <c r="E465" s="1164">
        <f t="shared" si="685"/>
        <v>0</v>
      </c>
      <c r="F465" s="1164">
        <f t="shared" si="685"/>
        <v>0</v>
      </c>
      <c r="G465" s="1165">
        <f t="shared" si="757"/>
        <v>0</v>
      </c>
      <c r="H465" s="1166"/>
      <c r="I465" s="1298">
        <f t="shared" si="698"/>
        <v>0</v>
      </c>
      <c r="J465" s="1298">
        <f t="shared" si="698"/>
        <v>0</v>
      </c>
      <c r="K465" s="1168">
        <f t="shared" si="758"/>
        <v>0</v>
      </c>
      <c r="L465" s="1128"/>
      <c r="M465" s="1169"/>
      <c r="N465" s="1177"/>
      <c r="O465" s="1169"/>
      <c r="P465" s="1169"/>
      <c r="Q465" s="1169">
        <f t="shared" si="759"/>
        <v>0</v>
      </c>
      <c r="R465" s="1169"/>
      <c r="S465" s="1170"/>
      <c r="T465" s="1171"/>
      <c r="U465" s="1128"/>
      <c r="V465" s="1169"/>
      <c r="W465" s="1177"/>
      <c r="X465" s="1177"/>
      <c r="Y465" s="1169"/>
      <c r="Z465" s="1169">
        <f t="shared" si="760"/>
        <v>0</v>
      </c>
      <c r="AA465" s="1169"/>
      <c r="AB465" s="1172">
        <f t="shared" si="669"/>
        <v>0</v>
      </c>
      <c r="AC465" s="1171"/>
      <c r="AD465" s="1128"/>
      <c r="AE465" s="1169"/>
      <c r="AF465" s="1177"/>
      <c r="AG465" s="1177"/>
      <c r="AH465" s="1169"/>
      <c r="AI465" s="1169">
        <f t="shared" si="761"/>
        <v>0</v>
      </c>
      <c r="AJ465" s="1169"/>
      <c r="AK465" s="1173"/>
      <c r="AL465" s="1171"/>
      <c r="AM465" s="1128"/>
      <c r="AN465" s="1170"/>
      <c r="AO465" s="1175"/>
      <c r="AP465" s="1175"/>
      <c r="AQ465" s="1170"/>
      <c r="AR465" s="1170">
        <f t="shared" si="762"/>
        <v>0</v>
      </c>
      <c r="AS465" s="1170"/>
      <c r="AT465" s="1170"/>
      <c r="AU465" s="1174"/>
      <c r="AV465" s="1128"/>
      <c r="AW465" s="1169"/>
      <c r="AX465" s="1177"/>
      <c r="AY465" s="1177"/>
      <c r="AZ465" s="1169"/>
      <c r="BA465" s="1169">
        <f t="shared" si="763"/>
        <v>0</v>
      </c>
      <c r="BB465" s="1169"/>
      <c r="BC465" s="1175"/>
      <c r="BD465" s="1027"/>
      <c r="BE465" s="1024"/>
      <c r="BF465" s="1024"/>
      <c r="BG465" s="1008"/>
      <c r="BH465" s="1008"/>
      <c r="BI465" s="1008"/>
      <c r="BJ465" s="1008"/>
      <c r="BK465" s="1008"/>
      <c r="BL465" s="1008"/>
      <c r="BM465" s="1008"/>
    </row>
    <row r="466" s="1215" customFormat="1" ht="18" customHeight="1">
      <c r="A466" s="999">
        <f t="shared" ref="A466:A491" si="764">A368</f>
        <v>0</v>
      </c>
      <c r="B466" s="1205" t="s">
        <v>22</v>
      </c>
      <c r="C466" s="1205"/>
      <c r="D466" s="1205"/>
      <c r="E466" s="1183">
        <f t="shared" si="685"/>
        <v>0</v>
      </c>
      <c r="F466" s="1183">
        <f t="shared" si="685"/>
        <v>0</v>
      </c>
      <c r="G466" s="1184">
        <f>SUM(G453:G465)</f>
        <v>0</v>
      </c>
      <c r="H466" s="1185"/>
      <c r="I466" s="1299">
        <f t="shared" si="698"/>
        <v>0</v>
      </c>
      <c r="J466" s="1299">
        <f t="shared" si="698"/>
        <v>0</v>
      </c>
      <c r="K466" s="1187">
        <f>SUM(K453:K465)</f>
        <v>0</v>
      </c>
      <c r="L466" s="1128"/>
      <c r="M466" s="1096">
        <f t="shared" ref="M466:R466" si="765">SUM(M453:M465)</f>
        <v>0</v>
      </c>
      <c r="N466" s="1096">
        <f t="shared" si="765"/>
        <v>0</v>
      </c>
      <c r="O466" s="1096">
        <f t="shared" si="765"/>
        <v>0</v>
      </c>
      <c r="P466" s="1096">
        <f t="shared" si="765"/>
        <v>0</v>
      </c>
      <c r="Q466" s="1096">
        <f t="shared" si="765"/>
        <v>0</v>
      </c>
      <c r="R466" s="1096">
        <f t="shared" si="765"/>
        <v>0</v>
      </c>
      <c r="S466" s="1170"/>
      <c r="T466" s="1189"/>
      <c r="U466" s="1128"/>
      <c r="V466" s="1096">
        <f t="shared" ref="V466:AA466" si="766">SUM(V453:V465)</f>
        <v>0</v>
      </c>
      <c r="W466" s="1096">
        <f t="shared" si="766"/>
        <v>0</v>
      </c>
      <c r="X466" s="1096">
        <f t="shared" si="766"/>
        <v>0</v>
      </c>
      <c r="Y466" s="1096">
        <f t="shared" si="766"/>
        <v>0</v>
      </c>
      <c r="Z466" s="1096">
        <f t="shared" si="766"/>
        <v>0</v>
      </c>
      <c r="AA466" s="1096">
        <f t="shared" si="766"/>
        <v>0</v>
      </c>
      <c r="AB466" s="1172">
        <f t="shared" ref="AB466:AB494" si="767">Z466+AA466</f>
        <v>0</v>
      </c>
      <c r="AC466" s="1189"/>
      <c r="AD466" s="1128"/>
      <c r="AE466" s="1096">
        <f t="shared" ref="AE466:AJ466" si="768">SUM(AE453:AE465)</f>
        <v>0</v>
      </c>
      <c r="AF466" s="1096">
        <f t="shared" si="768"/>
        <v>0</v>
      </c>
      <c r="AG466" s="1096">
        <f t="shared" si="768"/>
        <v>0</v>
      </c>
      <c r="AH466" s="1096">
        <f t="shared" si="768"/>
        <v>0</v>
      </c>
      <c r="AI466" s="1096">
        <f t="shared" si="768"/>
        <v>0</v>
      </c>
      <c r="AJ466" s="1096">
        <f t="shared" si="768"/>
        <v>0</v>
      </c>
      <c r="AK466" s="1173"/>
      <c r="AL466" s="1189"/>
      <c r="AM466" s="1128"/>
      <c r="AN466" s="1190">
        <f t="shared" ref="AN466:AS466" si="769">SUM(AN453:AN465)</f>
        <v>0</v>
      </c>
      <c r="AO466" s="1190">
        <f t="shared" si="769"/>
        <v>0</v>
      </c>
      <c r="AP466" s="1190">
        <f t="shared" si="769"/>
        <v>0</v>
      </c>
      <c r="AQ466" s="1190">
        <f t="shared" si="769"/>
        <v>0</v>
      </c>
      <c r="AR466" s="1190">
        <f t="shared" si="769"/>
        <v>0</v>
      </c>
      <c r="AS466" s="1190">
        <f t="shared" si="769"/>
        <v>0</v>
      </c>
      <c r="AT466" s="1170"/>
      <c r="AU466" s="1191"/>
      <c r="AV466" s="1128"/>
      <c r="AW466" s="1096">
        <f t="shared" ref="AW466:BB466" si="770">SUM(AW453:AW465)</f>
        <v>0</v>
      </c>
      <c r="AX466" s="1096">
        <f t="shared" si="770"/>
        <v>0</v>
      </c>
      <c r="AY466" s="1096">
        <f t="shared" si="770"/>
        <v>0</v>
      </c>
      <c r="AZ466" s="1096">
        <f t="shared" si="770"/>
        <v>0</v>
      </c>
      <c r="BA466" s="1096">
        <f t="shared" si="770"/>
        <v>0</v>
      </c>
      <c r="BB466" s="1096">
        <f t="shared" si="770"/>
        <v>0</v>
      </c>
      <c r="BC466" s="1175"/>
      <c r="BD466" s="1027"/>
      <c r="BE466" s="1024"/>
      <c r="BF466" s="1024"/>
      <c r="BG466" s="1008"/>
      <c r="BH466" s="1008"/>
      <c r="BI466" s="1008"/>
      <c r="BJ466" s="1008"/>
      <c r="BK466" s="1008"/>
      <c r="BL466" s="1008"/>
      <c r="BM466" s="1008"/>
    </row>
    <row r="467" s="1215" customFormat="1" ht="18" customHeight="1">
      <c r="A467" s="999" t="str">
        <f t="shared" si="764"/>
        <v xml:space="preserve">Титякова Т.А.</v>
      </c>
      <c r="B467" s="1202" t="s">
        <v>26</v>
      </c>
      <c r="C467" s="1202"/>
      <c r="D467" s="1202"/>
      <c r="E467" s="1164">
        <f t="shared" si="685"/>
        <v>0</v>
      </c>
      <c r="F467" s="1164">
        <f t="shared" si="685"/>
        <v>0</v>
      </c>
      <c r="G467" s="1165">
        <f t="shared" ref="G467:G492" si="771">E467+F467</f>
        <v>0</v>
      </c>
      <c r="H467" s="1166"/>
      <c r="I467" s="1298">
        <f t="shared" si="698"/>
        <v>0</v>
      </c>
      <c r="J467" s="1298">
        <f t="shared" si="698"/>
        <v>0</v>
      </c>
      <c r="K467" s="1168">
        <f t="shared" ref="K467:K492" si="772">I467+J467</f>
        <v>0</v>
      </c>
      <c r="L467" s="1128"/>
      <c r="M467" s="1169"/>
      <c r="N467" s="1177"/>
      <c r="O467" s="1169"/>
      <c r="P467" s="1169"/>
      <c r="Q467" s="1169">
        <f t="shared" ref="Q467:Q492" si="773">SUM(M467:P467)</f>
        <v>0</v>
      </c>
      <c r="R467" s="1169"/>
      <c r="S467" s="1170"/>
      <c r="T467" s="1171"/>
      <c r="U467" s="1128"/>
      <c r="V467" s="1169"/>
      <c r="W467" s="1177"/>
      <c r="X467" s="1177"/>
      <c r="Y467" s="1169"/>
      <c r="Z467" s="1169">
        <f t="shared" ref="Z467:Z492" si="774">SUM(V467:Y467)</f>
        <v>0</v>
      </c>
      <c r="AA467" s="1169"/>
      <c r="AB467" s="1172">
        <f t="shared" si="767"/>
        <v>0</v>
      </c>
      <c r="AC467" s="1171"/>
      <c r="AD467" s="1128"/>
      <c r="AE467" s="1169"/>
      <c r="AF467" s="1177"/>
      <c r="AG467" s="1177"/>
      <c r="AH467" s="1169"/>
      <c r="AI467" s="1169">
        <f t="shared" ref="AI467:AI492" si="775">SUM(AE467:AH467)</f>
        <v>0</v>
      </c>
      <c r="AJ467" s="1169"/>
      <c r="AK467" s="1173"/>
      <c r="AL467" s="1171"/>
      <c r="AM467" s="1128"/>
      <c r="AN467" s="1170"/>
      <c r="AO467" s="1175"/>
      <c r="AP467" s="1175"/>
      <c r="AQ467" s="1170"/>
      <c r="AR467" s="1170">
        <f t="shared" ref="AR467:AR492" si="776">SUM(AN467:AQ467)</f>
        <v>0</v>
      </c>
      <c r="AS467" s="1170"/>
      <c r="AT467" s="1170"/>
      <c r="AU467" s="1174"/>
      <c r="AV467" s="1128"/>
      <c r="AW467" s="1169"/>
      <c r="AX467" s="1177"/>
      <c r="AY467" s="1177"/>
      <c r="AZ467" s="1169"/>
      <c r="BA467" s="1169">
        <f t="shared" ref="BA467:BA492" si="777">SUM(AW467:AZ467)</f>
        <v>0</v>
      </c>
      <c r="BB467" s="1169"/>
      <c r="BC467" s="1175"/>
      <c r="BD467" s="1027"/>
      <c r="BE467" s="1024"/>
      <c r="BF467" s="1024"/>
      <c r="BG467" s="1008"/>
      <c r="BH467" s="1008"/>
      <c r="BI467" s="1008"/>
      <c r="BJ467" s="1008"/>
      <c r="BK467" s="1008"/>
      <c r="BL467" s="1008"/>
      <c r="BM467" s="1008"/>
    </row>
    <row r="468" s="1215" customFormat="1" ht="18" customHeight="1">
      <c r="A468" s="999">
        <f t="shared" si="764"/>
        <v>0</v>
      </c>
      <c r="B468" s="1202" t="s">
        <v>439</v>
      </c>
      <c r="C468" s="1202"/>
      <c r="D468" s="1202"/>
      <c r="E468" s="1164">
        <f t="shared" si="685"/>
        <v>0</v>
      </c>
      <c r="F468" s="1164">
        <f t="shared" si="685"/>
        <v>0</v>
      </c>
      <c r="G468" s="1165">
        <f t="shared" si="771"/>
        <v>0</v>
      </c>
      <c r="H468" s="1166"/>
      <c r="I468" s="1298">
        <f t="shared" si="698"/>
        <v>0</v>
      </c>
      <c r="J468" s="1298">
        <f t="shared" si="698"/>
        <v>0</v>
      </c>
      <c r="K468" s="1168">
        <f t="shared" si="772"/>
        <v>0</v>
      </c>
      <c r="L468" s="1128"/>
      <c r="M468" s="1169"/>
      <c r="N468" s="1177"/>
      <c r="O468" s="1169"/>
      <c r="P468" s="1169"/>
      <c r="Q468" s="1169">
        <f t="shared" si="773"/>
        <v>0</v>
      </c>
      <c r="R468" s="1169"/>
      <c r="S468" s="1170"/>
      <c r="T468" s="1171"/>
      <c r="U468" s="1128"/>
      <c r="V468" s="1169"/>
      <c r="W468" s="1177"/>
      <c r="X468" s="1177"/>
      <c r="Y468" s="1169"/>
      <c r="Z468" s="1169">
        <f t="shared" si="774"/>
        <v>0</v>
      </c>
      <c r="AA468" s="1169"/>
      <c r="AB468" s="1172">
        <f t="shared" si="767"/>
        <v>0</v>
      </c>
      <c r="AC468" s="1171"/>
      <c r="AD468" s="1128"/>
      <c r="AE468" s="1169"/>
      <c r="AF468" s="1177"/>
      <c r="AG468" s="1177"/>
      <c r="AH468" s="1169"/>
      <c r="AI468" s="1169">
        <f t="shared" si="775"/>
        <v>0</v>
      </c>
      <c r="AJ468" s="1169"/>
      <c r="AK468" s="1173"/>
      <c r="AL468" s="1171"/>
      <c r="AM468" s="1128"/>
      <c r="AN468" s="1170"/>
      <c r="AO468" s="1175"/>
      <c r="AP468" s="1175"/>
      <c r="AQ468" s="1170"/>
      <c r="AR468" s="1170">
        <f t="shared" si="776"/>
        <v>0</v>
      </c>
      <c r="AS468" s="1170"/>
      <c r="AT468" s="1170"/>
      <c r="AU468" s="1174"/>
      <c r="AV468" s="1128"/>
      <c r="AW468" s="1169"/>
      <c r="AX468" s="1177"/>
      <c r="AY468" s="1177"/>
      <c r="AZ468" s="1169"/>
      <c r="BA468" s="1169">
        <f t="shared" si="777"/>
        <v>0</v>
      </c>
      <c r="BB468" s="1169"/>
      <c r="BC468" s="1175"/>
      <c r="BD468" s="1027"/>
      <c r="BE468" s="1024"/>
      <c r="BF468" s="1024"/>
      <c r="BG468" s="1008"/>
      <c r="BH468" s="1008"/>
      <c r="BI468" s="1008"/>
      <c r="BJ468" s="1008"/>
      <c r="BK468" s="1008"/>
      <c r="BL468" s="1008"/>
      <c r="BM468" s="1008"/>
    </row>
    <row r="469" s="1215" customFormat="1" ht="18" customHeight="1">
      <c r="A469" s="999" t="str">
        <f t="shared" si="764"/>
        <v xml:space="preserve">Стрельникова АГ, Липатова СН</v>
      </c>
      <c r="B469" s="1202" t="s">
        <v>441</v>
      </c>
      <c r="C469" s="1202"/>
      <c r="D469" s="1202"/>
      <c r="E469" s="1164">
        <f t="shared" si="685"/>
        <v>0</v>
      </c>
      <c r="F469" s="1164">
        <f t="shared" si="685"/>
        <v>0</v>
      </c>
      <c r="G469" s="1165">
        <f t="shared" si="771"/>
        <v>0</v>
      </c>
      <c r="H469" s="1166"/>
      <c r="I469" s="1298">
        <f t="shared" si="698"/>
        <v>0</v>
      </c>
      <c r="J469" s="1298">
        <f t="shared" si="698"/>
        <v>0</v>
      </c>
      <c r="K469" s="1168">
        <f t="shared" si="772"/>
        <v>0</v>
      </c>
      <c r="L469" s="1128"/>
      <c r="M469" s="1169"/>
      <c r="N469" s="1177"/>
      <c r="O469" s="1169"/>
      <c r="P469" s="1169"/>
      <c r="Q469" s="1169">
        <f t="shared" si="773"/>
        <v>0</v>
      </c>
      <c r="R469" s="1169"/>
      <c r="S469" s="1170"/>
      <c r="T469" s="1171"/>
      <c r="U469" s="1128"/>
      <c r="V469" s="1169"/>
      <c r="W469" s="1177"/>
      <c r="X469" s="1177"/>
      <c r="Y469" s="1169"/>
      <c r="Z469" s="1169">
        <f t="shared" si="774"/>
        <v>0</v>
      </c>
      <c r="AA469" s="1169"/>
      <c r="AB469" s="1172">
        <f t="shared" si="767"/>
        <v>0</v>
      </c>
      <c r="AC469" s="1171"/>
      <c r="AD469" s="1128"/>
      <c r="AE469" s="1169"/>
      <c r="AF469" s="1177"/>
      <c r="AG469" s="1177"/>
      <c r="AH469" s="1169"/>
      <c r="AI469" s="1169">
        <f t="shared" si="775"/>
        <v>0</v>
      </c>
      <c r="AJ469" s="1169"/>
      <c r="AK469" s="1173"/>
      <c r="AL469" s="1171"/>
      <c r="AM469" s="1128"/>
      <c r="AN469" s="1170"/>
      <c r="AO469" s="1175"/>
      <c r="AP469" s="1175"/>
      <c r="AQ469" s="1170"/>
      <c r="AR469" s="1170">
        <f t="shared" si="776"/>
        <v>0</v>
      </c>
      <c r="AS469" s="1170"/>
      <c r="AT469" s="1170"/>
      <c r="AU469" s="1174"/>
      <c r="AV469" s="1128"/>
      <c r="AW469" s="1169"/>
      <c r="AX469" s="1177"/>
      <c r="AY469" s="1177"/>
      <c r="AZ469" s="1169"/>
      <c r="BA469" s="1169">
        <f t="shared" si="777"/>
        <v>0</v>
      </c>
      <c r="BB469" s="1169"/>
      <c r="BC469" s="1175"/>
      <c r="BD469" s="1027"/>
      <c r="BE469" s="1024"/>
      <c r="BF469" s="1024"/>
      <c r="BG469" s="1008"/>
      <c r="BH469" s="1008"/>
      <c r="BI469" s="1008"/>
      <c r="BJ469" s="1008"/>
      <c r="BK469" s="1008"/>
      <c r="BL469" s="1008"/>
      <c r="BM469" s="1008"/>
    </row>
    <row r="470" s="1215" customFormat="1" ht="18" customHeight="1">
      <c r="A470" s="999" t="str">
        <f t="shared" si="764"/>
        <v xml:space="preserve">Куликова А.Г.</v>
      </c>
      <c r="B470" s="1202" t="s">
        <v>84</v>
      </c>
      <c r="C470" s="1202"/>
      <c r="D470" s="1202"/>
      <c r="E470" s="1164">
        <f t="shared" si="685"/>
        <v>0</v>
      </c>
      <c r="F470" s="1164">
        <f t="shared" si="685"/>
        <v>0</v>
      </c>
      <c r="G470" s="1165">
        <f t="shared" si="771"/>
        <v>0</v>
      </c>
      <c r="H470" s="1166"/>
      <c r="I470" s="1298">
        <f t="shared" si="698"/>
        <v>0</v>
      </c>
      <c r="J470" s="1298">
        <f t="shared" si="698"/>
        <v>0</v>
      </c>
      <c r="K470" s="1168">
        <f t="shared" si="772"/>
        <v>0</v>
      </c>
      <c r="L470" s="1128"/>
      <c r="M470" s="1169"/>
      <c r="N470" s="1177"/>
      <c r="O470" s="1169"/>
      <c r="P470" s="1169"/>
      <c r="Q470" s="1169">
        <f t="shared" si="773"/>
        <v>0</v>
      </c>
      <c r="R470" s="1169"/>
      <c r="S470" s="1170"/>
      <c r="T470" s="1171"/>
      <c r="U470" s="1128"/>
      <c r="V470" s="1169"/>
      <c r="W470" s="1177"/>
      <c r="X470" s="1177"/>
      <c r="Y470" s="1169"/>
      <c r="Z470" s="1169">
        <f t="shared" si="774"/>
        <v>0</v>
      </c>
      <c r="AA470" s="1169"/>
      <c r="AB470" s="1172">
        <f t="shared" si="767"/>
        <v>0</v>
      </c>
      <c r="AC470" s="1171"/>
      <c r="AD470" s="1128"/>
      <c r="AE470" s="1169"/>
      <c r="AF470" s="1177"/>
      <c r="AG470" s="1177"/>
      <c r="AH470" s="1169"/>
      <c r="AI470" s="1169">
        <f t="shared" si="775"/>
        <v>0</v>
      </c>
      <c r="AJ470" s="1169"/>
      <c r="AK470" s="1173"/>
      <c r="AL470" s="1171"/>
      <c r="AM470" s="1128"/>
      <c r="AN470" s="1170"/>
      <c r="AO470" s="1175"/>
      <c r="AP470" s="1175"/>
      <c r="AQ470" s="1170"/>
      <c r="AR470" s="1170">
        <f t="shared" si="776"/>
        <v>0</v>
      </c>
      <c r="AS470" s="1170"/>
      <c r="AT470" s="1170"/>
      <c r="AU470" s="1174"/>
      <c r="AV470" s="1128"/>
      <c r="AW470" s="1169"/>
      <c r="AX470" s="1177"/>
      <c r="AY470" s="1177"/>
      <c r="AZ470" s="1169"/>
      <c r="BA470" s="1169">
        <f t="shared" si="777"/>
        <v>0</v>
      </c>
      <c r="BB470" s="1169"/>
      <c r="BC470" s="1175"/>
      <c r="BD470" s="1027"/>
      <c r="BE470" s="1024"/>
      <c r="BF470" s="1024"/>
      <c r="BG470" s="1008"/>
      <c r="BH470" s="1008"/>
      <c r="BI470" s="1008"/>
      <c r="BJ470" s="1008"/>
      <c r="BK470" s="1008"/>
      <c r="BL470" s="1008"/>
      <c r="BM470" s="1008"/>
    </row>
    <row r="471" s="1215" customFormat="1" ht="18" customHeight="1">
      <c r="A471" s="999" t="str">
        <f t="shared" si="764"/>
        <v xml:space="preserve">Жандарова ИВ, Елина С.И.</v>
      </c>
      <c r="B471" s="1202" t="s">
        <v>288</v>
      </c>
      <c r="C471" s="1202"/>
      <c r="D471" s="1202"/>
      <c r="E471" s="1164">
        <f t="shared" si="685"/>
        <v>0</v>
      </c>
      <c r="F471" s="1164">
        <f t="shared" si="685"/>
        <v>0</v>
      </c>
      <c r="G471" s="1165">
        <f t="shared" si="771"/>
        <v>0</v>
      </c>
      <c r="H471" s="1166"/>
      <c r="I471" s="1298">
        <f t="shared" si="698"/>
        <v>0</v>
      </c>
      <c r="J471" s="1298">
        <f t="shared" si="698"/>
        <v>0</v>
      </c>
      <c r="K471" s="1168">
        <f t="shared" si="772"/>
        <v>0</v>
      </c>
      <c r="L471" s="1128"/>
      <c r="M471" s="1169"/>
      <c r="N471" s="1177"/>
      <c r="O471" s="1169"/>
      <c r="P471" s="1169"/>
      <c r="Q471" s="1169">
        <f t="shared" si="773"/>
        <v>0</v>
      </c>
      <c r="R471" s="1169"/>
      <c r="S471" s="1170"/>
      <c r="T471" s="1171"/>
      <c r="U471" s="1128"/>
      <c r="V471" s="1169"/>
      <c r="W471" s="1177"/>
      <c r="X471" s="1177"/>
      <c r="Y471" s="1169"/>
      <c r="Z471" s="1169">
        <f t="shared" si="774"/>
        <v>0</v>
      </c>
      <c r="AA471" s="1169"/>
      <c r="AB471" s="1172">
        <f t="shared" si="767"/>
        <v>0</v>
      </c>
      <c r="AC471" s="1171"/>
      <c r="AD471" s="1128"/>
      <c r="AE471" s="1169"/>
      <c r="AF471" s="1177"/>
      <c r="AG471" s="1177"/>
      <c r="AH471" s="1169"/>
      <c r="AI471" s="1169">
        <f t="shared" si="775"/>
        <v>0</v>
      </c>
      <c r="AJ471" s="1169"/>
      <c r="AK471" s="1173"/>
      <c r="AL471" s="1171"/>
      <c r="AM471" s="1128"/>
      <c r="AN471" s="1170"/>
      <c r="AO471" s="1175"/>
      <c r="AP471" s="1175"/>
      <c r="AQ471" s="1170"/>
      <c r="AR471" s="1170">
        <f t="shared" si="776"/>
        <v>0</v>
      </c>
      <c r="AS471" s="1170"/>
      <c r="AT471" s="1170"/>
      <c r="AU471" s="1174"/>
      <c r="AV471" s="1128"/>
      <c r="AW471" s="1169"/>
      <c r="AX471" s="1177"/>
      <c r="AY471" s="1177"/>
      <c r="AZ471" s="1169"/>
      <c r="BA471" s="1169">
        <f t="shared" si="777"/>
        <v>0</v>
      </c>
      <c r="BB471" s="1169"/>
      <c r="BC471" s="1175"/>
      <c r="BD471" s="1027"/>
      <c r="BE471" s="1024"/>
      <c r="BF471" s="1024"/>
      <c r="BG471" s="1008"/>
      <c r="BH471" s="1008"/>
      <c r="BI471" s="1008"/>
      <c r="BJ471" s="1008"/>
      <c r="BK471" s="1008"/>
      <c r="BL471" s="1008"/>
      <c r="BM471" s="1008"/>
    </row>
    <row r="472" s="1215" customFormat="1" ht="18" customHeight="1">
      <c r="A472" s="999" t="str">
        <f t="shared" si="764"/>
        <v xml:space="preserve">Бояркина Л.Е. Кондратьева АА</v>
      </c>
      <c r="B472" s="1176" t="s">
        <v>445</v>
      </c>
      <c r="C472" s="1176"/>
      <c r="D472" s="1176"/>
      <c r="E472" s="1164">
        <f t="shared" si="685"/>
        <v>0</v>
      </c>
      <c r="F472" s="1164">
        <f t="shared" si="685"/>
        <v>0</v>
      </c>
      <c r="G472" s="1165">
        <f t="shared" si="771"/>
        <v>0</v>
      </c>
      <c r="H472" s="1166"/>
      <c r="I472" s="1298">
        <f t="shared" si="698"/>
        <v>0</v>
      </c>
      <c r="J472" s="1298">
        <f t="shared" si="698"/>
        <v>0</v>
      </c>
      <c r="K472" s="1168">
        <f t="shared" si="772"/>
        <v>0</v>
      </c>
      <c r="L472" s="1128"/>
      <c r="M472" s="1169"/>
      <c r="N472" s="1177"/>
      <c r="O472" s="1169"/>
      <c r="P472" s="1169"/>
      <c r="Q472" s="1169">
        <f t="shared" si="773"/>
        <v>0</v>
      </c>
      <c r="R472" s="1169"/>
      <c r="S472" s="1170"/>
      <c r="T472" s="1171"/>
      <c r="U472" s="1128"/>
      <c r="V472" s="1169"/>
      <c r="W472" s="1177"/>
      <c r="X472" s="1177"/>
      <c r="Y472" s="1169"/>
      <c r="Z472" s="1169">
        <f t="shared" si="774"/>
        <v>0</v>
      </c>
      <c r="AA472" s="1169"/>
      <c r="AB472" s="1172">
        <f t="shared" si="767"/>
        <v>0</v>
      </c>
      <c r="AC472" s="1171"/>
      <c r="AD472" s="1128"/>
      <c r="AE472" s="1169"/>
      <c r="AF472" s="1177"/>
      <c r="AG472" s="1177"/>
      <c r="AH472" s="1169"/>
      <c r="AI472" s="1169">
        <f t="shared" si="775"/>
        <v>0</v>
      </c>
      <c r="AJ472" s="1169"/>
      <c r="AK472" s="1173"/>
      <c r="AL472" s="1171"/>
      <c r="AM472" s="1128"/>
      <c r="AN472" s="1170"/>
      <c r="AO472" s="1175"/>
      <c r="AP472" s="1175"/>
      <c r="AQ472" s="1170"/>
      <c r="AR472" s="1170">
        <f t="shared" si="776"/>
        <v>0</v>
      </c>
      <c r="AS472" s="1170"/>
      <c r="AT472" s="1170"/>
      <c r="AU472" s="1174"/>
      <c r="AV472" s="1128"/>
      <c r="AW472" s="1169"/>
      <c r="AX472" s="1177"/>
      <c r="AY472" s="1177"/>
      <c r="AZ472" s="1169"/>
      <c r="BA472" s="1169">
        <f t="shared" si="777"/>
        <v>0</v>
      </c>
      <c r="BB472" s="1169"/>
      <c r="BC472" s="1175"/>
      <c r="BD472" s="1027"/>
      <c r="BE472" s="1024"/>
      <c r="BF472" s="1024"/>
      <c r="BG472" s="1008"/>
      <c r="BH472" s="1008"/>
      <c r="BI472" s="1008"/>
      <c r="BJ472" s="1008"/>
      <c r="BK472" s="1008"/>
      <c r="BL472" s="1008"/>
      <c r="BM472" s="1008"/>
    </row>
    <row r="473" s="1215" customFormat="1" ht="18" customHeight="1">
      <c r="A473" s="999" t="str">
        <f t="shared" si="764"/>
        <v xml:space="preserve">Трофимчук О.Е., Радченко Т.А.   Куция НЛ  Красносельская (усть-Ивановка)</v>
      </c>
      <c r="B473" s="1176" t="s">
        <v>447</v>
      </c>
      <c r="C473" s="1176"/>
      <c r="D473" s="1176"/>
      <c r="E473" s="1164">
        <f t="shared" si="685"/>
        <v>0</v>
      </c>
      <c r="F473" s="1164">
        <f t="shared" si="685"/>
        <v>0</v>
      </c>
      <c r="G473" s="1165">
        <f t="shared" si="771"/>
        <v>0</v>
      </c>
      <c r="H473" s="1166"/>
      <c r="I473" s="1298">
        <f t="shared" si="698"/>
        <v>0</v>
      </c>
      <c r="J473" s="1298">
        <f t="shared" si="698"/>
        <v>0</v>
      </c>
      <c r="K473" s="1168">
        <f t="shared" si="772"/>
        <v>0</v>
      </c>
      <c r="L473" s="1128"/>
      <c r="M473" s="1169"/>
      <c r="N473" s="1177"/>
      <c r="O473" s="1169"/>
      <c r="P473" s="1169"/>
      <c r="Q473" s="1169">
        <f t="shared" si="773"/>
        <v>0</v>
      </c>
      <c r="R473" s="1169"/>
      <c r="S473" s="1170"/>
      <c r="T473" s="1171"/>
      <c r="U473" s="1128"/>
      <c r="V473" s="1169"/>
      <c r="W473" s="1177"/>
      <c r="X473" s="1177"/>
      <c r="Y473" s="1169"/>
      <c r="Z473" s="1169">
        <f t="shared" si="774"/>
        <v>0</v>
      </c>
      <c r="AA473" s="1169"/>
      <c r="AB473" s="1172">
        <f t="shared" si="767"/>
        <v>0</v>
      </c>
      <c r="AC473" s="1171"/>
      <c r="AD473" s="1128"/>
      <c r="AE473" s="1169"/>
      <c r="AF473" s="1177"/>
      <c r="AG473" s="1177"/>
      <c r="AH473" s="1169"/>
      <c r="AI473" s="1169">
        <f t="shared" si="775"/>
        <v>0</v>
      </c>
      <c r="AJ473" s="1169"/>
      <c r="AK473" s="1173"/>
      <c r="AL473" s="1171"/>
      <c r="AM473" s="1128"/>
      <c r="AN473" s="1170"/>
      <c r="AO473" s="1175"/>
      <c r="AP473" s="1175"/>
      <c r="AQ473" s="1170"/>
      <c r="AR473" s="1170">
        <f t="shared" si="776"/>
        <v>0</v>
      </c>
      <c r="AS473" s="1170"/>
      <c r="AT473" s="1170"/>
      <c r="AU473" s="1174"/>
      <c r="AV473" s="1128"/>
      <c r="AW473" s="1169"/>
      <c r="AX473" s="1177"/>
      <c r="AY473" s="1177"/>
      <c r="AZ473" s="1169"/>
      <c r="BA473" s="1169">
        <f t="shared" si="777"/>
        <v>0</v>
      </c>
      <c r="BB473" s="1169"/>
      <c r="BC473" s="1175"/>
      <c r="BD473" s="1027"/>
      <c r="BE473" s="1024"/>
      <c r="BF473" s="1024"/>
      <c r="BG473" s="1008"/>
      <c r="BH473" s="1008"/>
      <c r="BI473" s="1008"/>
      <c r="BJ473" s="1008"/>
      <c r="BK473" s="1008"/>
      <c r="BL473" s="1008"/>
      <c r="BM473" s="1008"/>
    </row>
    <row r="474" s="1215" customFormat="1" ht="18" customHeight="1">
      <c r="A474" s="999" t="str">
        <f t="shared" si="764"/>
        <v xml:space="preserve">Третьяк О.М.</v>
      </c>
      <c r="B474" s="1176" t="s">
        <v>449</v>
      </c>
      <c r="C474" s="1176"/>
      <c r="D474" s="1176"/>
      <c r="E474" s="1164">
        <f t="shared" si="685"/>
        <v>0</v>
      </c>
      <c r="F474" s="1164">
        <f t="shared" si="685"/>
        <v>0</v>
      </c>
      <c r="G474" s="1165">
        <f t="shared" si="771"/>
        <v>0</v>
      </c>
      <c r="H474" s="1166"/>
      <c r="I474" s="1298">
        <f t="shared" si="698"/>
        <v>0</v>
      </c>
      <c r="J474" s="1298">
        <f t="shared" si="698"/>
        <v>0</v>
      </c>
      <c r="K474" s="1168">
        <f t="shared" si="772"/>
        <v>0</v>
      </c>
      <c r="L474" s="1128"/>
      <c r="M474" s="1169"/>
      <c r="N474" s="1177"/>
      <c r="O474" s="1169"/>
      <c r="P474" s="1169"/>
      <c r="Q474" s="1169">
        <f t="shared" si="773"/>
        <v>0</v>
      </c>
      <c r="R474" s="1169"/>
      <c r="S474" s="1170"/>
      <c r="T474" s="1171"/>
      <c r="U474" s="1128"/>
      <c r="V474" s="1169"/>
      <c r="W474" s="1177"/>
      <c r="X474" s="1177"/>
      <c r="Y474" s="1169"/>
      <c r="Z474" s="1169">
        <f t="shared" si="774"/>
        <v>0</v>
      </c>
      <c r="AA474" s="1169"/>
      <c r="AB474" s="1172">
        <f t="shared" si="767"/>
        <v>0</v>
      </c>
      <c r="AC474" s="1171"/>
      <c r="AD474" s="1128"/>
      <c r="AE474" s="1169"/>
      <c r="AF474" s="1177"/>
      <c r="AG474" s="1177"/>
      <c r="AH474" s="1169"/>
      <c r="AI474" s="1169">
        <f t="shared" si="775"/>
        <v>0</v>
      </c>
      <c r="AJ474" s="1169"/>
      <c r="AK474" s="1173"/>
      <c r="AL474" s="1171"/>
      <c r="AM474" s="1128"/>
      <c r="AN474" s="1170"/>
      <c r="AO474" s="1175"/>
      <c r="AP474" s="1175"/>
      <c r="AQ474" s="1170"/>
      <c r="AR474" s="1170">
        <f t="shared" si="776"/>
        <v>0</v>
      </c>
      <c r="AS474" s="1170"/>
      <c r="AT474" s="1170"/>
      <c r="AU474" s="1174"/>
      <c r="AV474" s="1128"/>
      <c r="AW474" s="1169"/>
      <c r="AX474" s="1177"/>
      <c r="AY474" s="1177"/>
      <c r="AZ474" s="1169"/>
      <c r="BA474" s="1169">
        <f t="shared" si="777"/>
        <v>0</v>
      </c>
      <c r="BB474" s="1169"/>
      <c r="BC474" s="1175"/>
      <c r="BD474" s="1027"/>
      <c r="BE474" s="1024"/>
      <c r="BF474" s="1024"/>
      <c r="BG474" s="1008"/>
      <c r="BH474" s="1008"/>
      <c r="BI474" s="1008"/>
      <c r="BJ474" s="1008"/>
      <c r="BK474" s="1008"/>
      <c r="BL474" s="1008"/>
      <c r="BM474" s="1008"/>
    </row>
    <row r="475" s="1215" customFormat="1" ht="18" customHeight="1">
      <c r="A475" s="999">
        <f t="shared" si="764"/>
        <v>0</v>
      </c>
      <c r="B475" s="1176" t="s">
        <v>450</v>
      </c>
      <c r="C475" s="1176"/>
      <c r="D475" s="1176"/>
      <c r="E475" s="1164">
        <f t="shared" si="685"/>
        <v>0</v>
      </c>
      <c r="F475" s="1164">
        <f t="shared" si="685"/>
        <v>0</v>
      </c>
      <c r="G475" s="1165">
        <f t="shared" si="771"/>
        <v>0</v>
      </c>
      <c r="H475" s="1166"/>
      <c r="I475" s="1298">
        <f t="shared" si="698"/>
        <v>0</v>
      </c>
      <c r="J475" s="1298">
        <f t="shared" si="698"/>
        <v>0</v>
      </c>
      <c r="K475" s="1168">
        <f t="shared" si="772"/>
        <v>0</v>
      </c>
      <c r="L475" s="1128"/>
      <c r="M475" s="1169"/>
      <c r="N475" s="1177"/>
      <c r="O475" s="1169"/>
      <c r="P475" s="1169"/>
      <c r="Q475" s="1169">
        <f t="shared" si="773"/>
        <v>0</v>
      </c>
      <c r="R475" s="1169"/>
      <c r="S475" s="1170"/>
      <c r="T475" s="1171"/>
      <c r="U475" s="1128"/>
      <c r="V475" s="1169"/>
      <c r="W475" s="1177"/>
      <c r="X475" s="1177"/>
      <c r="Y475" s="1169"/>
      <c r="Z475" s="1169">
        <f t="shared" si="774"/>
        <v>0</v>
      </c>
      <c r="AA475" s="1169"/>
      <c r="AB475" s="1172">
        <f t="shared" si="767"/>
        <v>0</v>
      </c>
      <c r="AC475" s="1171"/>
      <c r="AD475" s="1128"/>
      <c r="AE475" s="1169"/>
      <c r="AF475" s="1177"/>
      <c r="AG475" s="1177"/>
      <c r="AH475" s="1169"/>
      <c r="AI475" s="1169">
        <f t="shared" si="775"/>
        <v>0</v>
      </c>
      <c r="AJ475" s="1169"/>
      <c r="AK475" s="1173"/>
      <c r="AL475" s="1171"/>
      <c r="AM475" s="1128"/>
      <c r="AN475" s="1170"/>
      <c r="AO475" s="1175"/>
      <c r="AP475" s="1175"/>
      <c r="AQ475" s="1170"/>
      <c r="AR475" s="1170">
        <f t="shared" si="776"/>
        <v>0</v>
      </c>
      <c r="AS475" s="1170"/>
      <c r="AT475" s="1170"/>
      <c r="AU475" s="1174"/>
      <c r="AV475" s="1128"/>
      <c r="AW475" s="1169"/>
      <c r="AX475" s="1177"/>
      <c r="AY475" s="1177"/>
      <c r="AZ475" s="1169"/>
      <c r="BA475" s="1169">
        <f t="shared" si="777"/>
        <v>0</v>
      </c>
      <c r="BB475" s="1169"/>
      <c r="BC475" s="1175"/>
      <c r="BD475" s="1027"/>
      <c r="BE475" s="1024"/>
      <c r="BF475" s="1024"/>
      <c r="BG475" s="1008"/>
      <c r="BH475" s="1008"/>
      <c r="BI475" s="1008"/>
      <c r="BJ475" s="1008"/>
      <c r="BK475" s="1008"/>
      <c r="BL475" s="1008"/>
      <c r="BM475" s="1008"/>
    </row>
    <row r="476" s="1215" customFormat="1" ht="18" customHeight="1">
      <c r="A476" s="999" t="str">
        <f t="shared" si="764"/>
        <v xml:space="preserve">Бедина и Позднякова</v>
      </c>
      <c r="B476" s="1202" t="s">
        <v>452</v>
      </c>
      <c r="C476" s="1202"/>
      <c r="D476" s="1202"/>
      <c r="E476" s="1164">
        <f t="shared" si="685"/>
        <v>0</v>
      </c>
      <c r="F476" s="1164">
        <f t="shared" si="685"/>
        <v>0</v>
      </c>
      <c r="G476" s="1165">
        <f t="shared" si="771"/>
        <v>0</v>
      </c>
      <c r="H476" s="1166"/>
      <c r="I476" s="1298">
        <f t="shared" si="698"/>
        <v>0</v>
      </c>
      <c r="J476" s="1298">
        <f t="shared" si="698"/>
        <v>0</v>
      </c>
      <c r="K476" s="1168">
        <f t="shared" si="772"/>
        <v>0</v>
      </c>
      <c r="L476" s="1128"/>
      <c r="M476" s="1169"/>
      <c r="N476" s="1177"/>
      <c r="O476" s="1169"/>
      <c r="P476" s="1169"/>
      <c r="Q476" s="1169">
        <f t="shared" si="773"/>
        <v>0</v>
      </c>
      <c r="R476" s="1169"/>
      <c r="S476" s="1170"/>
      <c r="T476" s="1171"/>
      <c r="U476" s="1128"/>
      <c r="V476" s="1169"/>
      <c r="W476" s="1177"/>
      <c r="X476" s="1177"/>
      <c r="Y476" s="1169"/>
      <c r="Z476" s="1169">
        <f t="shared" si="774"/>
        <v>0</v>
      </c>
      <c r="AA476" s="1169"/>
      <c r="AB476" s="1172">
        <f t="shared" si="767"/>
        <v>0</v>
      </c>
      <c r="AC476" s="1171"/>
      <c r="AD476" s="1128"/>
      <c r="AE476" s="1169"/>
      <c r="AF476" s="1177"/>
      <c r="AG476" s="1177"/>
      <c r="AH476" s="1169"/>
      <c r="AI476" s="1169">
        <f t="shared" si="775"/>
        <v>0</v>
      </c>
      <c r="AJ476" s="1169"/>
      <c r="AK476" s="1173"/>
      <c r="AL476" s="1171"/>
      <c r="AM476" s="1128"/>
      <c r="AN476" s="1170"/>
      <c r="AO476" s="1175"/>
      <c r="AP476" s="1175"/>
      <c r="AQ476" s="1170"/>
      <c r="AR476" s="1170">
        <f t="shared" si="776"/>
        <v>0</v>
      </c>
      <c r="AS476" s="1170"/>
      <c r="AT476" s="1170"/>
      <c r="AU476" s="1174"/>
      <c r="AV476" s="1128"/>
      <c r="AW476" s="1169"/>
      <c r="AX476" s="1177"/>
      <c r="AY476" s="1177"/>
      <c r="AZ476" s="1169"/>
      <c r="BA476" s="1169">
        <f t="shared" si="777"/>
        <v>0</v>
      </c>
      <c r="BB476" s="1169"/>
      <c r="BC476" s="1175"/>
      <c r="BD476" s="1027"/>
      <c r="BE476" s="1024"/>
      <c r="BF476" s="1024"/>
      <c r="BG476" s="1008"/>
      <c r="BH476" s="1008"/>
      <c r="BI476" s="1008"/>
      <c r="BJ476" s="1008"/>
      <c r="BK476" s="1008"/>
      <c r="BL476" s="1008"/>
      <c r="BM476" s="1008"/>
    </row>
    <row r="477" s="1215" customFormat="1" ht="18" customHeight="1">
      <c r="A477" s="999" t="str">
        <f t="shared" si="764"/>
        <v xml:space="preserve">Макарова Е.В.</v>
      </c>
      <c r="B477" s="1202" t="s">
        <v>454</v>
      </c>
      <c r="C477" s="1202"/>
      <c r="D477" s="1202"/>
      <c r="E477" s="1164">
        <f t="shared" si="685"/>
        <v>0</v>
      </c>
      <c r="F477" s="1164">
        <f t="shared" si="685"/>
        <v>0</v>
      </c>
      <c r="G477" s="1165">
        <f t="shared" si="771"/>
        <v>0</v>
      </c>
      <c r="H477" s="1166"/>
      <c r="I477" s="1298">
        <f t="shared" si="698"/>
        <v>0</v>
      </c>
      <c r="J477" s="1298">
        <f t="shared" si="698"/>
        <v>0</v>
      </c>
      <c r="K477" s="1168">
        <f t="shared" si="772"/>
        <v>0</v>
      </c>
      <c r="L477" s="1128"/>
      <c r="M477" s="1169"/>
      <c r="N477" s="1177"/>
      <c r="O477" s="1169"/>
      <c r="P477" s="1169"/>
      <c r="Q477" s="1169">
        <f t="shared" si="773"/>
        <v>0</v>
      </c>
      <c r="R477" s="1169"/>
      <c r="S477" s="1170"/>
      <c r="T477" s="1171"/>
      <c r="U477" s="1128"/>
      <c r="V477" s="1169"/>
      <c r="W477" s="1177"/>
      <c r="X477" s="1177"/>
      <c r="Y477" s="1169"/>
      <c r="Z477" s="1169">
        <f t="shared" si="774"/>
        <v>0</v>
      </c>
      <c r="AA477" s="1169"/>
      <c r="AB477" s="1172">
        <f t="shared" si="767"/>
        <v>0</v>
      </c>
      <c r="AC477" s="1171"/>
      <c r="AD477" s="1128"/>
      <c r="AE477" s="1169"/>
      <c r="AF477" s="1177"/>
      <c r="AG477" s="1177"/>
      <c r="AH477" s="1169"/>
      <c r="AI477" s="1169">
        <f t="shared" si="775"/>
        <v>0</v>
      </c>
      <c r="AJ477" s="1169"/>
      <c r="AK477" s="1173"/>
      <c r="AL477" s="1171"/>
      <c r="AM477" s="1128"/>
      <c r="AN477" s="1170"/>
      <c r="AO477" s="1175"/>
      <c r="AP477" s="1175"/>
      <c r="AQ477" s="1170"/>
      <c r="AR477" s="1170">
        <f t="shared" si="776"/>
        <v>0</v>
      </c>
      <c r="AS477" s="1170"/>
      <c r="AT477" s="1170"/>
      <c r="AU477" s="1174"/>
      <c r="AV477" s="1128"/>
      <c r="AW477" s="1169"/>
      <c r="AX477" s="1177"/>
      <c r="AY477" s="1177"/>
      <c r="AZ477" s="1169"/>
      <c r="BA477" s="1169">
        <f t="shared" si="777"/>
        <v>0</v>
      </c>
      <c r="BB477" s="1169"/>
      <c r="BC477" s="1175"/>
      <c r="BD477" s="1027"/>
      <c r="BE477" s="1024"/>
      <c r="BF477" s="1024"/>
      <c r="BG477" s="1008"/>
      <c r="BH477" s="1008"/>
      <c r="BI477" s="1008"/>
      <c r="BJ477" s="1008"/>
      <c r="BK477" s="1008"/>
      <c r="BL477" s="1008"/>
      <c r="BM477" s="1008"/>
    </row>
    <row r="478" s="1215" customFormat="1" ht="18" customHeight="1">
      <c r="A478" s="999" t="str">
        <f t="shared" si="764"/>
        <v xml:space="preserve">Юшкова Н.Г.</v>
      </c>
      <c r="B478" s="1202" t="s">
        <v>311</v>
      </c>
      <c r="C478" s="1202"/>
      <c r="D478" s="1202"/>
      <c r="E478" s="1164">
        <f t="shared" si="685"/>
        <v>0</v>
      </c>
      <c r="F478" s="1164">
        <f t="shared" si="685"/>
        <v>0</v>
      </c>
      <c r="G478" s="1165">
        <f t="shared" si="771"/>
        <v>0</v>
      </c>
      <c r="H478" s="1166"/>
      <c r="I478" s="1298">
        <f t="shared" si="698"/>
        <v>0</v>
      </c>
      <c r="J478" s="1298">
        <f t="shared" si="698"/>
        <v>0</v>
      </c>
      <c r="K478" s="1168">
        <f t="shared" si="772"/>
        <v>0</v>
      </c>
      <c r="L478" s="1128"/>
      <c r="M478" s="1169"/>
      <c r="N478" s="1177"/>
      <c r="O478" s="1169"/>
      <c r="P478" s="1169"/>
      <c r="Q478" s="1169">
        <f t="shared" si="773"/>
        <v>0</v>
      </c>
      <c r="R478" s="1169"/>
      <c r="S478" s="1170"/>
      <c r="T478" s="1171"/>
      <c r="U478" s="1128"/>
      <c r="V478" s="1169"/>
      <c r="W478" s="1177"/>
      <c r="X478" s="1177"/>
      <c r="Y478" s="1169"/>
      <c r="Z478" s="1169">
        <f t="shared" si="774"/>
        <v>0</v>
      </c>
      <c r="AA478" s="1169"/>
      <c r="AB478" s="1172">
        <f t="shared" si="767"/>
        <v>0</v>
      </c>
      <c r="AC478" s="1171"/>
      <c r="AD478" s="1128"/>
      <c r="AE478" s="1169"/>
      <c r="AF478" s="1177"/>
      <c r="AG478" s="1177"/>
      <c r="AH478" s="1169"/>
      <c r="AI478" s="1169">
        <f t="shared" si="775"/>
        <v>0</v>
      </c>
      <c r="AJ478" s="1169"/>
      <c r="AK478" s="1173"/>
      <c r="AL478" s="1171"/>
      <c r="AM478" s="1128"/>
      <c r="AN478" s="1170"/>
      <c r="AO478" s="1175"/>
      <c r="AP478" s="1175"/>
      <c r="AQ478" s="1170"/>
      <c r="AR478" s="1170">
        <f t="shared" si="776"/>
        <v>0</v>
      </c>
      <c r="AS478" s="1170"/>
      <c r="AT478" s="1170"/>
      <c r="AU478" s="1174"/>
      <c r="AV478" s="1128"/>
      <c r="AW478" s="1169"/>
      <c r="AX478" s="1177"/>
      <c r="AY478" s="1177"/>
      <c r="AZ478" s="1169"/>
      <c r="BA478" s="1169">
        <f t="shared" si="777"/>
        <v>0</v>
      </c>
      <c r="BB478" s="1169"/>
      <c r="BC478" s="1175"/>
      <c r="BD478" s="1027"/>
      <c r="BE478" s="1024"/>
      <c r="BF478" s="1024"/>
      <c r="BG478" s="1008"/>
      <c r="BH478" s="1008"/>
      <c r="BI478" s="1008"/>
      <c r="BJ478" s="1008"/>
      <c r="BK478" s="1008"/>
      <c r="BL478" s="1008"/>
      <c r="BM478" s="1008"/>
    </row>
    <row r="479" s="1215" customFormat="1" ht="18" customHeight="1">
      <c r="A479" s="999">
        <f t="shared" si="764"/>
        <v>0</v>
      </c>
      <c r="B479" s="1202" t="s">
        <v>456</v>
      </c>
      <c r="C479" s="1202"/>
      <c r="D479" s="1202"/>
      <c r="E479" s="1164">
        <f t="shared" si="685"/>
        <v>0</v>
      </c>
      <c r="F479" s="1164">
        <f t="shared" si="685"/>
        <v>0</v>
      </c>
      <c r="G479" s="1165">
        <f t="shared" si="771"/>
        <v>0</v>
      </c>
      <c r="H479" s="1166"/>
      <c r="I479" s="1298">
        <f t="shared" si="698"/>
        <v>0</v>
      </c>
      <c r="J479" s="1298">
        <f t="shared" si="698"/>
        <v>0</v>
      </c>
      <c r="K479" s="1168">
        <f t="shared" si="772"/>
        <v>0</v>
      </c>
      <c r="L479" s="1128"/>
      <c r="M479" s="1169"/>
      <c r="N479" s="1177"/>
      <c r="O479" s="1169"/>
      <c r="P479" s="1169"/>
      <c r="Q479" s="1169">
        <f t="shared" si="773"/>
        <v>0</v>
      </c>
      <c r="R479" s="1169"/>
      <c r="S479" s="1170"/>
      <c r="T479" s="1171"/>
      <c r="U479" s="1128"/>
      <c r="V479" s="1169"/>
      <c r="W479" s="1177"/>
      <c r="X479" s="1177"/>
      <c r="Y479" s="1169"/>
      <c r="Z479" s="1169">
        <f t="shared" si="774"/>
        <v>0</v>
      </c>
      <c r="AA479" s="1169"/>
      <c r="AB479" s="1172">
        <f t="shared" si="767"/>
        <v>0</v>
      </c>
      <c r="AC479" s="1171"/>
      <c r="AD479" s="1128"/>
      <c r="AE479" s="1169"/>
      <c r="AF479" s="1177"/>
      <c r="AG479" s="1177"/>
      <c r="AH479" s="1169"/>
      <c r="AI479" s="1169">
        <f t="shared" si="775"/>
        <v>0</v>
      </c>
      <c r="AJ479" s="1169"/>
      <c r="AK479" s="1173"/>
      <c r="AL479" s="1171"/>
      <c r="AM479" s="1128"/>
      <c r="AN479" s="1170"/>
      <c r="AO479" s="1175"/>
      <c r="AP479" s="1175"/>
      <c r="AQ479" s="1170"/>
      <c r="AR479" s="1170">
        <f t="shared" si="776"/>
        <v>0</v>
      </c>
      <c r="AS479" s="1170"/>
      <c r="AT479" s="1170"/>
      <c r="AU479" s="1174"/>
      <c r="AV479" s="1128"/>
      <c r="AW479" s="1169"/>
      <c r="AX479" s="1177"/>
      <c r="AY479" s="1177"/>
      <c r="AZ479" s="1169"/>
      <c r="BA479" s="1169">
        <f t="shared" si="777"/>
        <v>0</v>
      </c>
      <c r="BB479" s="1169"/>
      <c r="BC479" s="1175"/>
      <c r="BD479" s="1027"/>
      <c r="BE479" s="1024"/>
      <c r="BF479" s="1024"/>
      <c r="BG479" s="1008"/>
      <c r="BH479" s="1008"/>
      <c r="BI479" s="1008"/>
      <c r="BJ479" s="1008"/>
      <c r="BK479" s="1008"/>
      <c r="BL479" s="1008"/>
      <c r="BM479" s="1008"/>
    </row>
    <row r="480" ht="18" customHeight="1">
      <c r="A480" s="999">
        <f t="shared" si="764"/>
        <v>0</v>
      </c>
      <c r="B480" s="1202" t="s">
        <v>457</v>
      </c>
      <c r="C480" s="1202"/>
      <c r="D480" s="1202"/>
      <c r="E480" s="1164">
        <f t="shared" si="685"/>
        <v>0</v>
      </c>
      <c r="F480" s="1164">
        <f t="shared" si="685"/>
        <v>0</v>
      </c>
      <c r="G480" s="1165">
        <f t="shared" si="771"/>
        <v>0</v>
      </c>
      <c r="H480" s="1166"/>
      <c r="I480" s="1298">
        <f t="shared" si="698"/>
        <v>0</v>
      </c>
      <c r="J480" s="1298">
        <f t="shared" si="698"/>
        <v>0</v>
      </c>
      <c r="K480" s="1168">
        <f t="shared" si="772"/>
        <v>0</v>
      </c>
      <c r="L480" s="1128"/>
      <c r="M480" s="1169"/>
      <c r="N480" s="1177"/>
      <c r="O480" s="1169"/>
      <c r="P480" s="1169"/>
      <c r="Q480" s="1169">
        <f t="shared" si="773"/>
        <v>0</v>
      </c>
      <c r="R480" s="1169"/>
      <c r="S480" s="1170"/>
      <c r="T480" s="1171"/>
      <c r="U480" s="1128"/>
      <c r="V480" s="1169"/>
      <c r="W480" s="1177"/>
      <c r="X480" s="1177"/>
      <c r="Y480" s="1169"/>
      <c r="Z480" s="1169">
        <f t="shared" si="774"/>
        <v>0</v>
      </c>
      <c r="AA480" s="1169"/>
      <c r="AB480" s="1172">
        <f t="shared" si="767"/>
        <v>0</v>
      </c>
      <c r="AC480" s="1171"/>
      <c r="AD480" s="1128"/>
      <c r="AE480" s="1169"/>
      <c r="AF480" s="1177"/>
      <c r="AG480" s="1177"/>
      <c r="AH480" s="1169"/>
      <c r="AI480" s="1169">
        <f t="shared" si="775"/>
        <v>0</v>
      </c>
      <c r="AJ480" s="1169"/>
      <c r="AK480" s="1173"/>
      <c r="AL480" s="1171"/>
      <c r="AM480" s="1128"/>
      <c r="AN480" s="1170"/>
      <c r="AO480" s="1175"/>
      <c r="AP480" s="1175"/>
      <c r="AQ480" s="1170"/>
      <c r="AR480" s="1170">
        <f t="shared" si="776"/>
        <v>0</v>
      </c>
      <c r="AS480" s="1170"/>
      <c r="AT480" s="1170"/>
      <c r="AU480" s="1174"/>
      <c r="AV480" s="1128"/>
      <c r="AW480" s="1169"/>
      <c r="AX480" s="1177"/>
      <c r="AY480" s="1177"/>
      <c r="AZ480" s="1169"/>
      <c r="BA480" s="1169">
        <f t="shared" si="777"/>
        <v>0</v>
      </c>
      <c r="BB480" s="1169"/>
      <c r="BC480" s="1175"/>
      <c r="BD480" s="1027"/>
      <c r="BE480" s="1029"/>
      <c r="BF480" s="1029"/>
    </row>
    <row r="481" ht="18" customHeight="1">
      <c r="A481" s="999">
        <f t="shared" si="764"/>
        <v>0</v>
      </c>
      <c r="B481" s="1202" t="s">
        <v>458</v>
      </c>
      <c r="C481" s="1202"/>
      <c r="D481" s="1202"/>
      <c r="E481" s="1164">
        <f t="shared" si="685"/>
        <v>0</v>
      </c>
      <c r="F481" s="1164">
        <f t="shared" si="685"/>
        <v>0</v>
      </c>
      <c r="G481" s="1165">
        <f t="shared" si="771"/>
        <v>0</v>
      </c>
      <c r="H481" s="1166"/>
      <c r="I481" s="1298">
        <f t="shared" si="698"/>
        <v>0</v>
      </c>
      <c r="J481" s="1298">
        <f t="shared" si="698"/>
        <v>0</v>
      </c>
      <c r="K481" s="1168">
        <f t="shared" si="772"/>
        <v>0</v>
      </c>
      <c r="L481" s="1128"/>
      <c r="M481" s="1169"/>
      <c r="N481" s="1177"/>
      <c r="O481" s="1169"/>
      <c r="P481" s="1169"/>
      <c r="Q481" s="1169">
        <f t="shared" si="773"/>
        <v>0</v>
      </c>
      <c r="R481" s="1169"/>
      <c r="S481" s="1170"/>
      <c r="T481" s="1171"/>
      <c r="U481" s="1128"/>
      <c r="V481" s="1169"/>
      <c r="W481" s="1177"/>
      <c r="X481" s="1177"/>
      <c r="Y481" s="1169"/>
      <c r="Z481" s="1169">
        <f t="shared" si="774"/>
        <v>0</v>
      </c>
      <c r="AA481" s="1169"/>
      <c r="AB481" s="1172">
        <f t="shared" si="767"/>
        <v>0</v>
      </c>
      <c r="AC481" s="1171"/>
      <c r="AD481" s="1128"/>
      <c r="AE481" s="1169"/>
      <c r="AF481" s="1177"/>
      <c r="AG481" s="1177"/>
      <c r="AH481" s="1169"/>
      <c r="AI481" s="1169">
        <f t="shared" si="775"/>
        <v>0</v>
      </c>
      <c r="AJ481" s="1169"/>
      <c r="AK481" s="1173"/>
      <c r="AL481" s="1171"/>
      <c r="AM481" s="1128"/>
      <c r="AN481" s="1170"/>
      <c r="AO481" s="1175"/>
      <c r="AP481" s="1175"/>
      <c r="AQ481" s="1170"/>
      <c r="AR481" s="1170">
        <f t="shared" si="776"/>
        <v>0</v>
      </c>
      <c r="AS481" s="1170"/>
      <c r="AT481" s="1170"/>
      <c r="AU481" s="1174"/>
      <c r="AV481" s="1128"/>
      <c r="AW481" s="1169"/>
      <c r="AX481" s="1177"/>
      <c r="AY481" s="1177"/>
      <c r="AZ481" s="1169"/>
      <c r="BA481" s="1169">
        <f t="shared" si="777"/>
        <v>0</v>
      </c>
      <c r="BB481" s="1169"/>
      <c r="BC481" s="1175"/>
      <c r="BD481" s="1027"/>
      <c r="BE481" s="1029"/>
      <c r="BF481" s="1029"/>
    </row>
    <row r="482" s="1215" customFormat="1" ht="18" customHeight="1">
      <c r="A482" s="999">
        <f t="shared" si="764"/>
        <v>0</v>
      </c>
      <c r="B482" s="1202" t="s">
        <v>459</v>
      </c>
      <c r="C482" s="1202"/>
      <c r="D482" s="1202"/>
      <c r="E482" s="1164">
        <f t="shared" si="685"/>
        <v>0</v>
      </c>
      <c r="F482" s="1164">
        <f t="shared" si="685"/>
        <v>0</v>
      </c>
      <c r="G482" s="1165">
        <f t="shared" si="771"/>
        <v>0</v>
      </c>
      <c r="H482" s="1166"/>
      <c r="I482" s="1298">
        <f t="shared" si="698"/>
        <v>0</v>
      </c>
      <c r="J482" s="1298">
        <f t="shared" si="698"/>
        <v>0</v>
      </c>
      <c r="K482" s="1168">
        <f t="shared" si="772"/>
        <v>0</v>
      </c>
      <c r="L482" s="1128"/>
      <c r="M482" s="1169"/>
      <c r="N482" s="1177"/>
      <c r="O482" s="1169"/>
      <c r="P482" s="1169"/>
      <c r="Q482" s="1169">
        <f t="shared" si="773"/>
        <v>0</v>
      </c>
      <c r="R482" s="1169"/>
      <c r="S482" s="1170"/>
      <c r="T482" s="1171"/>
      <c r="U482" s="1128"/>
      <c r="V482" s="1169"/>
      <c r="W482" s="1177"/>
      <c r="X482" s="1177"/>
      <c r="Y482" s="1169"/>
      <c r="Z482" s="1169">
        <f t="shared" si="774"/>
        <v>0</v>
      </c>
      <c r="AA482" s="1169"/>
      <c r="AB482" s="1172">
        <f t="shared" si="767"/>
        <v>0</v>
      </c>
      <c r="AC482" s="1171"/>
      <c r="AD482" s="1128"/>
      <c r="AE482" s="1169"/>
      <c r="AF482" s="1177"/>
      <c r="AG482" s="1177"/>
      <c r="AH482" s="1169"/>
      <c r="AI482" s="1169">
        <f t="shared" si="775"/>
        <v>0</v>
      </c>
      <c r="AJ482" s="1169"/>
      <c r="AK482" s="1173"/>
      <c r="AL482" s="1171"/>
      <c r="AM482" s="1128"/>
      <c r="AN482" s="1170"/>
      <c r="AO482" s="1175"/>
      <c r="AP482" s="1175"/>
      <c r="AQ482" s="1170"/>
      <c r="AR482" s="1170">
        <f t="shared" si="776"/>
        <v>0</v>
      </c>
      <c r="AS482" s="1170"/>
      <c r="AT482" s="1170"/>
      <c r="AU482" s="1174"/>
      <c r="AV482" s="1128"/>
      <c r="AW482" s="1169"/>
      <c r="AX482" s="1177"/>
      <c r="AY482" s="1177"/>
      <c r="AZ482" s="1169"/>
      <c r="BA482" s="1169">
        <f t="shared" si="777"/>
        <v>0</v>
      </c>
      <c r="BB482" s="1169"/>
      <c r="BC482" s="1175"/>
      <c r="BD482" s="1027"/>
      <c r="BE482" s="1024"/>
      <c r="BF482" s="1024"/>
      <c r="BG482" s="1008"/>
      <c r="BH482" s="1008"/>
      <c r="BI482" s="1008"/>
      <c r="BJ482" s="1008"/>
      <c r="BK482" s="1008"/>
      <c r="BL482" s="1008"/>
      <c r="BM482" s="1008"/>
    </row>
    <row r="483" s="1215" customFormat="1" ht="18" customHeight="1">
      <c r="A483" s="999">
        <f t="shared" si="764"/>
        <v>0</v>
      </c>
      <c r="B483" s="1202" t="s">
        <v>460</v>
      </c>
      <c r="C483" s="1202"/>
      <c r="D483" s="1202"/>
      <c r="E483" s="1164">
        <f t="shared" si="685"/>
        <v>0</v>
      </c>
      <c r="F483" s="1164">
        <f t="shared" si="685"/>
        <v>0</v>
      </c>
      <c r="G483" s="1165">
        <f t="shared" si="771"/>
        <v>0</v>
      </c>
      <c r="H483" s="1166"/>
      <c r="I483" s="1298">
        <f t="shared" si="698"/>
        <v>0</v>
      </c>
      <c r="J483" s="1298">
        <f t="shared" si="698"/>
        <v>0</v>
      </c>
      <c r="K483" s="1168">
        <f t="shared" si="772"/>
        <v>0</v>
      </c>
      <c r="L483" s="1128"/>
      <c r="M483" s="1169"/>
      <c r="N483" s="1177"/>
      <c r="O483" s="1169"/>
      <c r="P483" s="1169"/>
      <c r="Q483" s="1169">
        <f t="shared" si="773"/>
        <v>0</v>
      </c>
      <c r="R483" s="1169"/>
      <c r="S483" s="1170"/>
      <c r="T483" s="1171"/>
      <c r="U483" s="1128"/>
      <c r="V483" s="1169"/>
      <c r="W483" s="1177"/>
      <c r="X483" s="1177"/>
      <c r="Y483" s="1169"/>
      <c r="Z483" s="1169">
        <f t="shared" si="774"/>
        <v>0</v>
      </c>
      <c r="AA483" s="1169"/>
      <c r="AB483" s="1172">
        <f t="shared" si="767"/>
        <v>0</v>
      </c>
      <c r="AC483" s="1171"/>
      <c r="AD483" s="1128"/>
      <c r="AE483" s="1169"/>
      <c r="AF483" s="1177"/>
      <c r="AG483" s="1177"/>
      <c r="AH483" s="1169"/>
      <c r="AI483" s="1169">
        <f t="shared" si="775"/>
        <v>0</v>
      </c>
      <c r="AJ483" s="1169"/>
      <c r="AK483" s="1173"/>
      <c r="AL483" s="1171"/>
      <c r="AM483" s="1128"/>
      <c r="AN483" s="1170"/>
      <c r="AO483" s="1175"/>
      <c r="AP483" s="1175"/>
      <c r="AQ483" s="1170"/>
      <c r="AR483" s="1170">
        <f t="shared" si="776"/>
        <v>0</v>
      </c>
      <c r="AS483" s="1170"/>
      <c r="AT483" s="1170"/>
      <c r="AU483" s="1174"/>
      <c r="AV483" s="1128"/>
      <c r="AW483" s="1169"/>
      <c r="AX483" s="1177"/>
      <c r="AY483" s="1177"/>
      <c r="AZ483" s="1169"/>
      <c r="BA483" s="1169">
        <f t="shared" si="777"/>
        <v>0</v>
      </c>
      <c r="BB483" s="1169"/>
      <c r="BC483" s="1175"/>
      <c r="BD483" s="1027"/>
      <c r="BE483" s="1024"/>
      <c r="BF483" s="1024"/>
      <c r="BG483" s="1008"/>
      <c r="BH483" s="1008"/>
      <c r="BI483" s="1008"/>
      <c r="BJ483" s="1008"/>
      <c r="BK483" s="1008"/>
      <c r="BL483" s="1008"/>
      <c r="BM483" s="1008"/>
    </row>
    <row r="484" s="1215" customFormat="1" ht="18" customHeight="1">
      <c r="A484" s="999" t="str">
        <f t="shared" si="764"/>
        <v xml:space="preserve">Белова СА</v>
      </c>
      <c r="B484" s="1202" t="s">
        <v>461</v>
      </c>
      <c r="C484" s="1202"/>
      <c r="D484" s="1202"/>
      <c r="E484" s="1164">
        <f t="shared" si="685"/>
        <v>0</v>
      </c>
      <c r="F484" s="1164">
        <f t="shared" si="685"/>
        <v>0</v>
      </c>
      <c r="G484" s="1165">
        <f t="shared" si="771"/>
        <v>0</v>
      </c>
      <c r="H484" s="1166"/>
      <c r="I484" s="1298">
        <f t="shared" si="698"/>
        <v>0</v>
      </c>
      <c r="J484" s="1298">
        <f t="shared" si="698"/>
        <v>0</v>
      </c>
      <c r="K484" s="1168">
        <f t="shared" si="772"/>
        <v>0</v>
      </c>
      <c r="L484" s="1128"/>
      <c r="M484" s="1169"/>
      <c r="N484" s="1177"/>
      <c r="O484" s="1169"/>
      <c r="P484" s="1169"/>
      <c r="Q484" s="1169">
        <f t="shared" si="773"/>
        <v>0</v>
      </c>
      <c r="R484" s="1169"/>
      <c r="S484" s="1170"/>
      <c r="T484" s="1171"/>
      <c r="U484" s="1128"/>
      <c r="V484" s="1169"/>
      <c r="W484" s="1177"/>
      <c r="X484" s="1177"/>
      <c r="Y484" s="1169"/>
      <c r="Z484" s="1169">
        <f t="shared" si="774"/>
        <v>0</v>
      </c>
      <c r="AA484" s="1169"/>
      <c r="AB484" s="1172">
        <f t="shared" si="767"/>
        <v>0</v>
      </c>
      <c r="AC484" s="1171"/>
      <c r="AD484" s="1128"/>
      <c r="AE484" s="1169"/>
      <c r="AF484" s="1177"/>
      <c r="AG484" s="1177"/>
      <c r="AH484" s="1169"/>
      <c r="AI484" s="1169">
        <f t="shared" si="775"/>
        <v>0</v>
      </c>
      <c r="AJ484" s="1169"/>
      <c r="AK484" s="1173"/>
      <c r="AL484" s="1171"/>
      <c r="AM484" s="1128"/>
      <c r="AN484" s="1170"/>
      <c r="AO484" s="1175"/>
      <c r="AP484" s="1175"/>
      <c r="AQ484" s="1170"/>
      <c r="AR484" s="1170">
        <f t="shared" si="776"/>
        <v>0</v>
      </c>
      <c r="AS484" s="1170"/>
      <c r="AT484" s="1170"/>
      <c r="AU484" s="1174"/>
      <c r="AV484" s="1128"/>
      <c r="AW484" s="1169"/>
      <c r="AX484" s="1177"/>
      <c r="AY484" s="1177"/>
      <c r="AZ484" s="1169"/>
      <c r="BA484" s="1169">
        <f t="shared" si="777"/>
        <v>0</v>
      </c>
      <c r="BB484" s="1169"/>
      <c r="BC484" s="1175"/>
      <c r="BD484" s="1027"/>
      <c r="BE484" s="1024"/>
      <c r="BF484" s="1024"/>
      <c r="BG484" s="1008"/>
      <c r="BH484" s="1008"/>
      <c r="BI484" s="1008"/>
      <c r="BJ484" s="1008"/>
      <c r="BK484" s="1008"/>
      <c r="BL484" s="1008"/>
      <c r="BM484" s="1008"/>
    </row>
    <row r="485" s="1215" customFormat="1" ht="18" customHeight="1">
      <c r="A485" s="999">
        <f t="shared" si="764"/>
        <v>0</v>
      </c>
      <c r="B485" s="1202" t="s">
        <v>462</v>
      </c>
      <c r="C485" s="1202"/>
      <c r="D485" s="1202"/>
      <c r="E485" s="1164">
        <f t="shared" si="685"/>
        <v>0</v>
      </c>
      <c r="F485" s="1164">
        <f t="shared" si="685"/>
        <v>0</v>
      </c>
      <c r="G485" s="1165">
        <f t="shared" si="771"/>
        <v>0</v>
      </c>
      <c r="H485" s="1166"/>
      <c r="I485" s="1298">
        <f t="shared" si="698"/>
        <v>0</v>
      </c>
      <c r="J485" s="1298">
        <f t="shared" si="698"/>
        <v>0</v>
      </c>
      <c r="K485" s="1168">
        <f t="shared" si="772"/>
        <v>0</v>
      </c>
      <c r="L485" s="1128"/>
      <c r="M485" s="1169"/>
      <c r="N485" s="1177"/>
      <c r="O485" s="1169"/>
      <c r="P485" s="1169"/>
      <c r="Q485" s="1169">
        <f t="shared" si="773"/>
        <v>0</v>
      </c>
      <c r="R485" s="1169"/>
      <c r="S485" s="1170"/>
      <c r="T485" s="1171"/>
      <c r="U485" s="1128"/>
      <c r="V485" s="1169"/>
      <c r="W485" s="1177"/>
      <c r="X485" s="1177"/>
      <c r="Y485" s="1169"/>
      <c r="Z485" s="1169">
        <f t="shared" si="774"/>
        <v>0</v>
      </c>
      <c r="AA485" s="1169"/>
      <c r="AB485" s="1172">
        <f t="shared" si="767"/>
        <v>0</v>
      </c>
      <c r="AC485" s="1171"/>
      <c r="AD485" s="1128"/>
      <c r="AE485" s="1169"/>
      <c r="AF485" s="1177"/>
      <c r="AG485" s="1177"/>
      <c r="AH485" s="1169"/>
      <c r="AI485" s="1169">
        <f t="shared" si="775"/>
        <v>0</v>
      </c>
      <c r="AJ485" s="1169"/>
      <c r="AK485" s="1173"/>
      <c r="AL485" s="1171"/>
      <c r="AM485" s="1128"/>
      <c r="AN485" s="1170"/>
      <c r="AO485" s="1175"/>
      <c r="AP485" s="1175"/>
      <c r="AQ485" s="1170"/>
      <c r="AR485" s="1170">
        <f t="shared" si="776"/>
        <v>0</v>
      </c>
      <c r="AS485" s="1170"/>
      <c r="AT485" s="1170"/>
      <c r="AU485" s="1174"/>
      <c r="AV485" s="1128"/>
      <c r="AW485" s="1169"/>
      <c r="AX485" s="1177"/>
      <c r="AY485" s="1177"/>
      <c r="AZ485" s="1169"/>
      <c r="BA485" s="1169">
        <f t="shared" si="777"/>
        <v>0</v>
      </c>
      <c r="BB485" s="1169"/>
      <c r="BC485" s="1175"/>
      <c r="BD485" s="1027"/>
      <c r="BE485" s="1024"/>
      <c r="BF485" s="1024"/>
      <c r="BG485" s="1008"/>
      <c r="BH485" s="1008"/>
      <c r="BI485" s="1008"/>
      <c r="BJ485" s="1008"/>
      <c r="BK485" s="1008"/>
      <c r="BL485" s="1008"/>
      <c r="BM485" s="1008"/>
    </row>
    <row r="486" s="1215" customFormat="1" ht="18" customHeight="1">
      <c r="A486" s="999">
        <f t="shared" si="764"/>
        <v>0</v>
      </c>
      <c r="B486" s="1202" t="s">
        <v>463</v>
      </c>
      <c r="C486" s="1202"/>
      <c r="D486" s="1202"/>
      <c r="E486" s="1164">
        <f t="shared" ref="E486:F549" si="778">Q486+Z486+AI486+AR486+BA486</f>
        <v>0</v>
      </c>
      <c r="F486" s="1164">
        <f t="shared" si="778"/>
        <v>0</v>
      </c>
      <c r="G486" s="1165">
        <f t="shared" si="771"/>
        <v>0</v>
      </c>
      <c r="H486" s="1166"/>
      <c r="I486" s="1298">
        <f t="shared" si="698"/>
        <v>0</v>
      </c>
      <c r="J486" s="1298">
        <f t="shared" si="698"/>
        <v>0</v>
      </c>
      <c r="K486" s="1168">
        <f t="shared" si="772"/>
        <v>0</v>
      </c>
      <c r="L486" s="1128"/>
      <c r="M486" s="1169"/>
      <c r="N486" s="1177"/>
      <c r="O486" s="1169"/>
      <c r="P486" s="1169"/>
      <c r="Q486" s="1169">
        <f t="shared" si="773"/>
        <v>0</v>
      </c>
      <c r="R486" s="1169"/>
      <c r="S486" s="1170"/>
      <c r="T486" s="1171"/>
      <c r="U486" s="1128"/>
      <c r="V486" s="1169"/>
      <c r="W486" s="1177"/>
      <c r="X486" s="1177"/>
      <c r="Y486" s="1169"/>
      <c r="Z486" s="1169">
        <f t="shared" si="774"/>
        <v>0</v>
      </c>
      <c r="AA486" s="1169"/>
      <c r="AB486" s="1172">
        <f t="shared" si="767"/>
        <v>0</v>
      </c>
      <c r="AC486" s="1171"/>
      <c r="AD486" s="1128"/>
      <c r="AE486" s="1169"/>
      <c r="AF486" s="1177"/>
      <c r="AG486" s="1177"/>
      <c r="AH486" s="1169"/>
      <c r="AI486" s="1169">
        <f t="shared" si="775"/>
        <v>0</v>
      </c>
      <c r="AJ486" s="1169"/>
      <c r="AK486" s="1173"/>
      <c r="AL486" s="1171"/>
      <c r="AM486" s="1128"/>
      <c r="AN486" s="1170"/>
      <c r="AO486" s="1175"/>
      <c r="AP486" s="1175"/>
      <c r="AQ486" s="1170"/>
      <c r="AR486" s="1170">
        <f t="shared" si="776"/>
        <v>0</v>
      </c>
      <c r="AS486" s="1170"/>
      <c r="AT486" s="1170"/>
      <c r="AU486" s="1174"/>
      <c r="AV486" s="1128"/>
      <c r="AW486" s="1169"/>
      <c r="AX486" s="1177"/>
      <c r="AY486" s="1177"/>
      <c r="AZ486" s="1169"/>
      <c r="BA486" s="1169">
        <f t="shared" si="777"/>
        <v>0</v>
      </c>
      <c r="BB486" s="1169"/>
      <c r="BC486" s="1175"/>
      <c r="BD486" s="1027"/>
      <c r="BE486" s="1024"/>
      <c r="BF486" s="1024"/>
      <c r="BG486" s="1008"/>
      <c r="BH486" s="1008"/>
      <c r="BI486" s="1008"/>
      <c r="BJ486" s="1008"/>
      <c r="BK486" s="1008"/>
      <c r="BL486" s="1008"/>
      <c r="BM486" s="1008"/>
    </row>
    <row r="487" ht="18" customHeight="1">
      <c r="A487" s="999">
        <f t="shared" si="764"/>
        <v>0</v>
      </c>
      <c r="B487" s="1202" t="s">
        <v>464</v>
      </c>
      <c r="C487" s="1202"/>
      <c r="D487" s="1202"/>
      <c r="E487" s="1164">
        <f t="shared" si="778"/>
        <v>0</v>
      </c>
      <c r="F487" s="1164">
        <f t="shared" si="778"/>
        <v>0</v>
      </c>
      <c r="G487" s="1165">
        <f t="shared" si="771"/>
        <v>0</v>
      </c>
      <c r="H487" s="1166"/>
      <c r="I487" s="1298">
        <f t="shared" si="698"/>
        <v>0</v>
      </c>
      <c r="J487" s="1298">
        <f t="shared" si="698"/>
        <v>0</v>
      </c>
      <c r="K487" s="1168">
        <f t="shared" si="772"/>
        <v>0</v>
      </c>
      <c r="L487" s="1128"/>
      <c r="M487" s="1169"/>
      <c r="N487" s="1177"/>
      <c r="O487" s="1169"/>
      <c r="P487" s="1169"/>
      <c r="Q487" s="1169">
        <f t="shared" si="773"/>
        <v>0</v>
      </c>
      <c r="R487" s="1169"/>
      <c r="S487" s="1170"/>
      <c r="T487" s="1171"/>
      <c r="U487" s="1128"/>
      <c r="V487" s="1169"/>
      <c r="W487" s="1177"/>
      <c r="X487" s="1177"/>
      <c r="Y487" s="1169"/>
      <c r="Z487" s="1169">
        <f t="shared" si="774"/>
        <v>0</v>
      </c>
      <c r="AA487" s="1169"/>
      <c r="AB487" s="1172">
        <f t="shared" si="767"/>
        <v>0</v>
      </c>
      <c r="AC487" s="1171"/>
      <c r="AD487" s="1128"/>
      <c r="AE487" s="1169"/>
      <c r="AF487" s="1177"/>
      <c r="AG487" s="1177"/>
      <c r="AH487" s="1169"/>
      <c r="AI487" s="1169">
        <f t="shared" si="775"/>
        <v>0</v>
      </c>
      <c r="AJ487" s="1169"/>
      <c r="AK487" s="1173"/>
      <c r="AL487" s="1171"/>
      <c r="AM487" s="1128"/>
      <c r="AN487" s="1170"/>
      <c r="AO487" s="1175"/>
      <c r="AP487" s="1175"/>
      <c r="AQ487" s="1170"/>
      <c r="AR487" s="1170">
        <f t="shared" si="776"/>
        <v>0</v>
      </c>
      <c r="AS487" s="1170"/>
      <c r="AT487" s="1170"/>
      <c r="AU487" s="1174"/>
      <c r="AV487" s="1241"/>
      <c r="AW487" s="1169"/>
      <c r="AX487" s="1177"/>
      <c r="AY487" s="1177"/>
      <c r="AZ487" s="1169"/>
      <c r="BA487" s="1169">
        <f t="shared" si="777"/>
        <v>0</v>
      </c>
      <c r="BB487" s="1169"/>
      <c r="BC487" s="1175"/>
      <c r="BD487" s="1027"/>
      <c r="BE487" s="1029"/>
      <c r="BF487" s="1029"/>
    </row>
    <row r="488" ht="18" customHeight="1">
      <c r="A488" s="999">
        <f t="shared" si="764"/>
        <v>0</v>
      </c>
      <c r="B488" s="1202" t="s">
        <v>465</v>
      </c>
      <c r="C488" s="1202"/>
      <c r="D488" s="1202"/>
      <c r="E488" s="1164">
        <f t="shared" si="778"/>
        <v>0</v>
      </c>
      <c r="F488" s="1164">
        <f t="shared" si="778"/>
        <v>0</v>
      </c>
      <c r="G488" s="1165">
        <f t="shared" si="771"/>
        <v>0</v>
      </c>
      <c r="H488" s="1166"/>
      <c r="I488" s="1298">
        <f t="shared" si="698"/>
        <v>0</v>
      </c>
      <c r="J488" s="1298">
        <f t="shared" si="698"/>
        <v>0</v>
      </c>
      <c r="K488" s="1168">
        <f t="shared" si="772"/>
        <v>0</v>
      </c>
      <c r="L488" s="1128"/>
      <c r="M488" s="1169"/>
      <c r="N488" s="1177"/>
      <c r="O488" s="1169"/>
      <c r="P488" s="1169"/>
      <c r="Q488" s="1169">
        <f t="shared" si="773"/>
        <v>0</v>
      </c>
      <c r="R488" s="1169"/>
      <c r="S488" s="1170"/>
      <c r="T488" s="1171"/>
      <c r="U488" s="1128"/>
      <c r="V488" s="1169"/>
      <c r="W488" s="1177"/>
      <c r="X488" s="1177"/>
      <c r="Y488" s="1169"/>
      <c r="Z488" s="1169">
        <f t="shared" si="774"/>
        <v>0</v>
      </c>
      <c r="AA488" s="1169"/>
      <c r="AB488" s="1172">
        <f t="shared" si="767"/>
        <v>0</v>
      </c>
      <c r="AC488" s="1171"/>
      <c r="AD488" s="1128"/>
      <c r="AE488" s="1169"/>
      <c r="AF488" s="1177"/>
      <c r="AG488" s="1177"/>
      <c r="AH488" s="1169"/>
      <c r="AI488" s="1169">
        <f t="shared" si="775"/>
        <v>0</v>
      </c>
      <c r="AJ488" s="1169"/>
      <c r="AK488" s="1173"/>
      <c r="AL488" s="1171"/>
      <c r="AM488" s="1128"/>
      <c r="AN488" s="1170"/>
      <c r="AO488" s="1175"/>
      <c r="AP488" s="1175"/>
      <c r="AQ488" s="1170"/>
      <c r="AR488" s="1170">
        <f t="shared" si="776"/>
        <v>0</v>
      </c>
      <c r="AS488" s="1170"/>
      <c r="AT488" s="1170"/>
      <c r="AU488" s="1174"/>
      <c r="AV488" s="1241"/>
      <c r="AW488" s="1169"/>
      <c r="AX488" s="1177"/>
      <c r="AY488" s="1177"/>
      <c r="AZ488" s="1169"/>
      <c r="BA488" s="1169">
        <f t="shared" si="777"/>
        <v>0</v>
      </c>
      <c r="BB488" s="1169"/>
      <c r="BC488" s="1175"/>
      <c r="BD488" s="1027"/>
      <c r="BE488" s="1029"/>
      <c r="BF488" s="1029"/>
    </row>
    <row r="489" ht="18" customHeight="1">
      <c r="A489" s="999">
        <f t="shared" si="764"/>
        <v>0</v>
      </c>
      <c r="B489" s="1202" t="s">
        <v>303</v>
      </c>
      <c r="C489" s="1202"/>
      <c r="D489" s="1202"/>
      <c r="E489" s="1164">
        <f t="shared" si="778"/>
        <v>0</v>
      </c>
      <c r="F489" s="1164">
        <f t="shared" si="778"/>
        <v>0</v>
      </c>
      <c r="G489" s="1165">
        <f t="shared" si="771"/>
        <v>0</v>
      </c>
      <c r="H489" s="1166"/>
      <c r="I489" s="1298">
        <f t="shared" si="698"/>
        <v>0</v>
      </c>
      <c r="J489" s="1298">
        <f t="shared" si="698"/>
        <v>0</v>
      </c>
      <c r="K489" s="1168">
        <f t="shared" si="772"/>
        <v>0</v>
      </c>
      <c r="L489" s="1128"/>
      <c r="M489" s="1169"/>
      <c r="N489" s="1177"/>
      <c r="O489" s="1169"/>
      <c r="P489" s="1169"/>
      <c r="Q489" s="1169">
        <f t="shared" si="773"/>
        <v>0</v>
      </c>
      <c r="R489" s="1169"/>
      <c r="S489" s="1170"/>
      <c r="T489" s="1171"/>
      <c r="U489" s="1128"/>
      <c r="V489" s="1169"/>
      <c r="W489" s="1177"/>
      <c r="X489" s="1177"/>
      <c r="Y489" s="1169"/>
      <c r="Z489" s="1169">
        <f t="shared" si="774"/>
        <v>0</v>
      </c>
      <c r="AA489" s="1169"/>
      <c r="AB489" s="1172">
        <f t="shared" si="767"/>
        <v>0</v>
      </c>
      <c r="AC489" s="1171"/>
      <c r="AD489" s="1128"/>
      <c r="AE489" s="1169"/>
      <c r="AF489" s="1177"/>
      <c r="AG489" s="1177"/>
      <c r="AH489" s="1169"/>
      <c r="AI489" s="1169">
        <f t="shared" si="775"/>
        <v>0</v>
      </c>
      <c r="AJ489" s="1169"/>
      <c r="AK489" s="1173"/>
      <c r="AL489" s="1171"/>
      <c r="AM489" s="1128"/>
      <c r="AN489" s="1170"/>
      <c r="AO489" s="1175"/>
      <c r="AP489" s="1175"/>
      <c r="AQ489" s="1170"/>
      <c r="AR489" s="1170">
        <f t="shared" si="776"/>
        <v>0</v>
      </c>
      <c r="AS489" s="1170"/>
      <c r="AT489" s="1170"/>
      <c r="AU489" s="1174"/>
      <c r="AV489" s="1241"/>
      <c r="AW489" s="1169"/>
      <c r="AX489" s="1177"/>
      <c r="AY489" s="1177"/>
      <c r="AZ489" s="1169"/>
      <c r="BA489" s="1169">
        <f t="shared" si="777"/>
        <v>0</v>
      </c>
      <c r="BB489" s="1169"/>
      <c r="BC489" s="1175"/>
      <c r="BD489" s="1027"/>
      <c r="BE489" s="1029"/>
      <c r="BF489" s="1029"/>
    </row>
    <row r="490" ht="18" customHeight="1">
      <c r="A490" s="999">
        <f t="shared" si="764"/>
        <v>0</v>
      </c>
      <c r="B490" s="1202" t="s">
        <v>304</v>
      </c>
      <c r="C490" s="1202"/>
      <c r="D490" s="1202"/>
      <c r="E490" s="1164">
        <f t="shared" si="778"/>
        <v>0</v>
      </c>
      <c r="F490" s="1164">
        <f t="shared" si="778"/>
        <v>0</v>
      </c>
      <c r="G490" s="1165">
        <f t="shared" si="771"/>
        <v>0</v>
      </c>
      <c r="H490" s="1166"/>
      <c r="I490" s="1298">
        <f t="shared" si="698"/>
        <v>0</v>
      </c>
      <c r="J490" s="1298">
        <f t="shared" si="698"/>
        <v>0</v>
      </c>
      <c r="K490" s="1168">
        <f t="shared" si="772"/>
        <v>0</v>
      </c>
      <c r="L490" s="1128"/>
      <c r="M490" s="1169"/>
      <c r="N490" s="1177"/>
      <c r="O490" s="1169"/>
      <c r="P490" s="1169"/>
      <c r="Q490" s="1169">
        <f t="shared" si="773"/>
        <v>0</v>
      </c>
      <c r="R490" s="1169"/>
      <c r="S490" s="1170"/>
      <c r="T490" s="1171"/>
      <c r="U490" s="1128"/>
      <c r="V490" s="1169"/>
      <c r="W490" s="1177"/>
      <c r="X490" s="1177"/>
      <c r="Y490" s="1169"/>
      <c r="Z490" s="1169">
        <f t="shared" si="774"/>
        <v>0</v>
      </c>
      <c r="AA490" s="1169"/>
      <c r="AB490" s="1172">
        <f t="shared" si="767"/>
        <v>0</v>
      </c>
      <c r="AC490" s="1171"/>
      <c r="AD490" s="1128"/>
      <c r="AE490" s="1169"/>
      <c r="AF490" s="1177"/>
      <c r="AG490" s="1177"/>
      <c r="AH490" s="1169"/>
      <c r="AI490" s="1169">
        <f t="shared" si="775"/>
        <v>0</v>
      </c>
      <c r="AJ490" s="1169"/>
      <c r="AK490" s="1173"/>
      <c r="AL490" s="1171"/>
      <c r="AM490" s="1128"/>
      <c r="AN490" s="1170"/>
      <c r="AO490" s="1175"/>
      <c r="AP490" s="1175"/>
      <c r="AQ490" s="1170"/>
      <c r="AR490" s="1170">
        <f t="shared" si="776"/>
        <v>0</v>
      </c>
      <c r="AS490" s="1170"/>
      <c r="AT490" s="1170"/>
      <c r="AU490" s="1174"/>
      <c r="AV490" s="1241"/>
      <c r="AW490" s="1169"/>
      <c r="AX490" s="1177"/>
      <c r="AY490" s="1177"/>
      <c r="AZ490" s="1169"/>
      <c r="BA490" s="1169">
        <f t="shared" si="777"/>
        <v>0</v>
      </c>
      <c r="BB490" s="1169"/>
      <c r="BC490" s="1175"/>
      <c r="BD490" s="1027"/>
      <c r="BE490" s="1029"/>
      <c r="BF490" s="1029"/>
    </row>
    <row r="491" ht="18" customHeight="1">
      <c r="A491" s="999" t="str">
        <f t="shared" si="764"/>
        <v xml:space="preserve">Радченко Т.А.</v>
      </c>
      <c r="B491" s="1202" t="s">
        <v>467</v>
      </c>
      <c r="C491" s="1202"/>
      <c r="D491" s="1202"/>
      <c r="E491" s="1164">
        <f t="shared" si="778"/>
        <v>0</v>
      </c>
      <c r="F491" s="1164">
        <f t="shared" si="778"/>
        <v>0</v>
      </c>
      <c r="G491" s="1165">
        <f t="shared" si="771"/>
        <v>0</v>
      </c>
      <c r="H491" s="1266" t="e">
        <f t="shared" ref="H463:H526" si="779">G491/$G$299</f>
        <v>#DIV/0!</v>
      </c>
      <c r="I491" s="1298">
        <f t="shared" si="698"/>
        <v>0</v>
      </c>
      <c r="J491" s="1298">
        <f t="shared" si="698"/>
        <v>0</v>
      </c>
      <c r="K491" s="1168">
        <f t="shared" si="772"/>
        <v>0</v>
      </c>
      <c r="L491" s="1128"/>
      <c r="M491" s="1169"/>
      <c r="N491" s="1177"/>
      <c r="O491" s="1169"/>
      <c r="P491" s="1169"/>
      <c r="Q491" s="1169">
        <f t="shared" si="773"/>
        <v>0</v>
      </c>
      <c r="R491" s="1169"/>
      <c r="S491" s="1170"/>
      <c r="T491" s="1171"/>
      <c r="U491" s="1128"/>
      <c r="V491" s="1169"/>
      <c r="W491" s="1177"/>
      <c r="X491" s="1177"/>
      <c r="Y491" s="1169"/>
      <c r="Z491" s="1169">
        <f t="shared" si="774"/>
        <v>0</v>
      </c>
      <c r="AA491" s="1169"/>
      <c r="AB491" s="1172">
        <f t="shared" si="767"/>
        <v>0</v>
      </c>
      <c r="AC491" s="1171"/>
      <c r="AD491" s="1128"/>
      <c r="AE491" s="1169"/>
      <c r="AF491" s="1177"/>
      <c r="AG491" s="1177"/>
      <c r="AH491" s="1169"/>
      <c r="AI491" s="1169">
        <f t="shared" si="775"/>
        <v>0</v>
      </c>
      <c r="AJ491" s="1169"/>
      <c r="AK491" s="1173"/>
      <c r="AL491" s="1171"/>
      <c r="AM491" s="1128"/>
      <c r="AN491" s="1170"/>
      <c r="AO491" s="1175"/>
      <c r="AP491" s="1175"/>
      <c r="AQ491" s="1170"/>
      <c r="AR491" s="1170">
        <f t="shared" si="776"/>
        <v>0</v>
      </c>
      <c r="AS491" s="1170"/>
      <c r="AT491" s="1170"/>
      <c r="AU491" s="1174"/>
      <c r="AV491" s="1241"/>
      <c r="AW491" s="1169"/>
      <c r="AX491" s="1177"/>
      <c r="AY491" s="1177"/>
      <c r="AZ491" s="1169"/>
      <c r="BA491" s="1169">
        <f t="shared" si="777"/>
        <v>0</v>
      </c>
      <c r="BB491" s="1169"/>
      <c r="BC491" s="1175"/>
      <c r="BD491" s="1027"/>
      <c r="BE491" s="1029"/>
      <c r="BF491" s="1029"/>
    </row>
    <row r="492" ht="18" customHeight="1">
      <c r="B492" s="1202" t="s">
        <v>469</v>
      </c>
      <c r="C492" s="1202"/>
      <c r="D492" s="1202"/>
      <c r="E492" s="1164">
        <f t="shared" si="778"/>
        <v>0</v>
      </c>
      <c r="F492" s="1164">
        <f t="shared" si="778"/>
        <v>0</v>
      </c>
      <c r="G492" s="1165">
        <f t="shared" si="771"/>
        <v>0</v>
      </c>
      <c r="H492" s="1166"/>
      <c r="I492" s="1298">
        <f t="shared" si="698"/>
        <v>0</v>
      </c>
      <c r="J492" s="1298">
        <f t="shared" si="698"/>
        <v>0</v>
      </c>
      <c r="K492" s="1168">
        <f t="shared" si="772"/>
        <v>0</v>
      </c>
      <c r="L492" s="1128"/>
      <c r="M492" s="1169"/>
      <c r="N492" s="1177"/>
      <c r="O492" s="1169"/>
      <c r="P492" s="1169"/>
      <c r="Q492" s="1169">
        <f t="shared" si="773"/>
        <v>0</v>
      </c>
      <c r="R492" s="1169"/>
      <c r="S492" s="1170"/>
      <c r="T492" s="1171"/>
      <c r="U492" s="1128"/>
      <c r="V492" s="1169"/>
      <c r="W492" s="1177"/>
      <c r="X492" s="1177"/>
      <c r="Y492" s="1169"/>
      <c r="Z492" s="1169">
        <f t="shared" si="774"/>
        <v>0</v>
      </c>
      <c r="AA492" s="1169"/>
      <c r="AB492" s="1172">
        <f t="shared" si="767"/>
        <v>0</v>
      </c>
      <c r="AC492" s="1171"/>
      <c r="AD492" s="1128"/>
      <c r="AE492" s="1169"/>
      <c r="AF492" s="1177"/>
      <c r="AG492" s="1177"/>
      <c r="AH492" s="1169"/>
      <c r="AI492" s="1169">
        <f t="shared" si="775"/>
        <v>0</v>
      </c>
      <c r="AJ492" s="1169"/>
      <c r="AK492" s="1173"/>
      <c r="AL492" s="1171"/>
      <c r="AM492" s="1128"/>
      <c r="AN492" s="1170"/>
      <c r="AO492" s="1175"/>
      <c r="AP492" s="1175"/>
      <c r="AQ492" s="1170"/>
      <c r="AR492" s="1170">
        <f t="shared" si="776"/>
        <v>0</v>
      </c>
      <c r="AS492" s="1170"/>
      <c r="AT492" s="1170"/>
      <c r="AU492" s="1174"/>
      <c r="AV492" s="1241"/>
      <c r="AW492" s="1169"/>
      <c r="AX492" s="1177"/>
      <c r="AY492" s="1177"/>
      <c r="AZ492" s="1169"/>
      <c r="BA492" s="1169">
        <f t="shared" si="777"/>
        <v>0</v>
      </c>
      <c r="BB492" s="1169"/>
      <c r="BC492" s="1175"/>
      <c r="BD492" s="1027"/>
      <c r="BE492" s="1029"/>
      <c r="BF492" s="1029"/>
    </row>
    <row r="493" s="1180" customFormat="1" ht="18" customHeight="1">
      <c r="A493" s="1181"/>
      <c r="B493" s="1205" t="s">
        <v>27</v>
      </c>
      <c r="C493" s="1205"/>
      <c r="D493" s="1205"/>
      <c r="E493" s="1183">
        <f t="shared" si="778"/>
        <v>0</v>
      </c>
      <c r="F493" s="1183">
        <f t="shared" si="778"/>
        <v>0</v>
      </c>
      <c r="G493" s="1184">
        <f>SUM(G467:G492)</f>
        <v>0</v>
      </c>
      <c r="H493" s="1185"/>
      <c r="I493" s="1299">
        <f t="shared" ref="I493:J556" si="780">E493-Z493</f>
        <v>0</v>
      </c>
      <c r="J493" s="1299">
        <f t="shared" si="780"/>
        <v>0</v>
      </c>
      <c r="K493" s="1187">
        <f>SUM(K467:K492)</f>
        <v>0</v>
      </c>
      <c r="L493" s="1210"/>
      <c r="M493" s="1213">
        <f t="shared" ref="M493:R493" si="781">SUM(M467:M492)</f>
        <v>0</v>
      </c>
      <c r="N493" s="1213">
        <f t="shared" si="781"/>
        <v>0</v>
      </c>
      <c r="O493" s="1213">
        <f t="shared" si="781"/>
        <v>0</v>
      </c>
      <c r="P493" s="1213">
        <f t="shared" si="781"/>
        <v>0</v>
      </c>
      <c r="Q493" s="1213">
        <f t="shared" si="781"/>
        <v>0</v>
      </c>
      <c r="R493" s="1213">
        <f t="shared" si="781"/>
        <v>0</v>
      </c>
      <c r="S493" s="1170"/>
      <c r="T493" s="1214"/>
      <c r="U493" s="1210">
        <f t="shared" ref="U493:AA493" si="782">SUM(U467:U492)</f>
        <v>0</v>
      </c>
      <c r="V493" s="1209">
        <f t="shared" si="782"/>
        <v>0</v>
      </c>
      <c r="W493" s="1209">
        <f t="shared" si="782"/>
        <v>0</v>
      </c>
      <c r="X493" s="1209">
        <f t="shared" si="782"/>
        <v>0</v>
      </c>
      <c r="Y493" s="1209">
        <f t="shared" si="782"/>
        <v>0</v>
      </c>
      <c r="Z493" s="1209">
        <f t="shared" si="782"/>
        <v>0</v>
      </c>
      <c r="AA493" s="1209">
        <f t="shared" si="782"/>
        <v>0</v>
      </c>
      <c r="AB493" s="1172">
        <f t="shared" si="767"/>
        <v>0</v>
      </c>
      <c r="AC493" s="1208"/>
      <c r="AD493" s="1210">
        <f t="shared" ref="AD493:AJ493" si="783">SUM(AD467:AD492)</f>
        <v>0</v>
      </c>
      <c r="AE493" s="1209">
        <f t="shared" si="783"/>
        <v>0</v>
      </c>
      <c r="AF493" s="1209">
        <f t="shared" si="783"/>
        <v>0</v>
      </c>
      <c r="AG493" s="1209">
        <f t="shared" si="783"/>
        <v>0</v>
      </c>
      <c r="AH493" s="1209">
        <f t="shared" si="783"/>
        <v>0</v>
      </c>
      <c r="AI493" s="1209">
        <f t="shared" si="783"/>
        <v>0</v>
      </c>
      <c r="AJ493" s="1209">
        <f t="shared" si="783"/>
        <v>0</v>
      </c>
      <c r="AK493" s="1173"/>
      <c r="AL493" s="1208"/>
      <c r="AM493" s="1128"/>
      <c r="AN493" s="1190">
        <f t="shared" ref="AN493:AS493" si="784">SUM(AN467:AN492)</f>
        <v>0</v>
      </c>
      <c r="AO493" s="1190">
        <f t="shared" si="784"/>
        <v>0</v>
      </c>
      <c r="AP493" s="1190">
        <f t="shared" si="784"/>
        <v>0</v>
      </c>
      <c r="AQ493" s="1190">
        <f t="shared" si="784"/>
        <v>0</v>
      </c>
      <c r="AR493" s="1190">
        <f t="shared" si="784"/>
        <v>0</v>
      </c>
      <c r="AS493" s="1190">
        <f t="shared" si="784"/>
        <v>0</v>
      </c>
      <c r="AT493" s="1170"/>
      <c r="AU493" s="1191"/>
      <c r="AV493" s="1241"/>
      <c r="AW493" s="1096">
        <f t="shared" ref="AW493:BB493" si="785">SUM(AW467:AW492)</f>
        <v>0</v>
      </c>
      <c r="AX493" s="1096">
        <f t="shared" si="785"/>
        <v>0</v>
      </c>
      <c r="AY493" s="1096">
        <f t="shared" si="785"/>
        <v>0</v>
      </c>
      <c r="AZ493" s="1096">
        <f t="shared" si="785"/>
        <v>0</v>
      </c>
      <c r="BA493" s="1096">
        <f t="shared" si="785"/>
        <v>0</v>
      </c>
      <c r="BB493" s="1096">
        <f t="shared" si="785"/>
        <v>0</v>
      </c>
      <c r="BC493" s="1175"/>
      <c r="BD493" s="1052"/>
      <c r="BE493" s="1051"/>
      <c r="BF493" s="1051"/>
      <c r="BG493" s="1106"/>
      <c r="BH493" s="1106"/>
      <c r="BI493" s="1106"/>
      <c r="BJ493" s="1106"/>
      <c r="BK493" s="1106"/>
      <c r="BL493" s="1106"/>
      <c r="BM493" s="1106"/>
    </row>
    <row r="494" s="1180" customFormat="1" ht="22.5">
      <c r="A494" s="1181"/>
      <c r="B494" s="1205" t="s">
        <v>483</v>
      </c>
      <c r="C494" s="1205"/>
      <c r="D494" s="1205"/>
      <c r="E494" s="1183">
        <f t="shared" si="778"/>
        <v>0</v>
      </c>
      <c r="F494" s="1183">
        <f t="shared" si="778"/>
        <v>0</v>
      </c>
      <c r="G494" s="1220">
        <f>G493+G466+G452+G443</f>
        <v>0</v>
      </c>
      <c r="H494" s="1221"/>
      <c r="I494" s="1299">
        <f t="shared" si="780"/>
        <v>0</v>
      </c>
      <c r="J494" s="1299">
        <f t="shared" si="780"/>
        <v>0</v>
      </c>
      <c r="K494" s="1222">
        <f>K493+K466+K452+K443</f>
        <v>0</v>
      </c>
      <c r="L494" s="1197"/>
      <c r="M494" s="1096">
        <f t="shared" ref="M494:R494" si="786">M493+M466+M452+M443</f>
        <v>0</v>
      </c>
      <c r="N494" s="1096">
        <f t="shared" si="786"/>
        <v>0</v>
      </c>
      <c r="O494" s="1096">
        <f t="shared" si="786"/>
        <v>0</v>
      </c>
      <c r="P494" s="1096">
        <f>P493+P466+P452+P443</f>
        <v>0</v>
      </c>
      <c r="Q494" s="1096">
        <f t="shared" si="786"/>
        <v>0</v>
      </c>
      <c r="R494" s="1096">
        <f t="shared" si="786"/>
        <v>0</v>
      </c>
      <c r="S494" s="1170"/>
      <c r="T494" s="1189"/>
      <c r="U494" s="1190">
        <f t="shared" ref="U494:AA494" si="787">U493+U466+U452+U443</f>
        <v>0</v>
      </c>
      <c r="V494" s="1096">
        <f t="shared" si="787"/>
        <v>0</v>
      </c>
      <c r="W494" s="1096">
        <f t="shared" si="787"/>
        <v>0</v>
      </c>
      <c r="X494" s="1096">
        <f t="shared" si="787"/>
        <v>0</v>
      </c>
      <c r="Y494" s="1096">
        <f t="shared" si="787"/>
        <v>0</v>
      </c>
      <c r="Z494" s="1096">
        <f t="shared" si="787"/>
        <v>0</v>
      </c>
      <c r="AA494" s="1096">
        <f t="shared" si="787"/>
        <v>0</v>
      </c>
      <c r="AB494" s="1172">
        <f t="shared" si="767"/>
        <v>0</v>
      </c>
      <c r="AC494" s="1189"/>
      <c r="AD494" s="1197">
        <f t="shared" ref="AD494:AJ494" si="788">AD493+AD466+AD452+AD443</f>
        <v>0</v>
      </c>
      <c r="AE494" s="1096">
        <f t="shared" si="788"/>
        <v>0</v>
      </c>
      <c r="AF494" s="1096">
        <f t="shared" si="788"/>
        <v>0</v>
      </c>
      <c r="AG494" s="1096">
        <f t="shared" si="788"/>
        <v>0</v>
      </c>
      <c r="AH494" s="1096">
        <f t="shared" si="788"/>
        <v>0</v>
      </c>
      <c r="AI494" s="1096">
        <f t="shared" si="788"/>
        <v>0</v>
      </c>
      <c r="AJ494" s="1096">
        <f t="shared" si="788"/>
        <v>0</v>
      </c>
      <c r="AK494" s="1173"/>
      <c r="AL494" s="1189"/>
      <c r="AM494" s="1197">
        <f t="shared" ref="AM494:AS494" si="789">AM493+AM466+AM452+AM443</f>
        <v>0</v>
      </c>
      <c r="AN494" s="1190">
        <f t="shared" si="789"/>
        <v>0</v>
      </c>
      <c r="AO494" s="1190">
        <f t="shared" si="789"/>
        <v>0</v>
      </c>
      <c r="AP494" s="1190">
        <f t="shared" si="789"/>
        <v>0</v>
      </c>
      <c r="AQ494" s="1190">
        <f t="shared" si="789"/>
        <v>0</v>
      </c>
      <c r="AR494" s="1190">
        <f t="shared" si="789"/>
        <v>0</v>
      </c>
      <c r="AS494" s="1190">
        <f t="shared" si="789"/>
        <v>0</v>
      </c>
      <c r="AT494" s="1170"/>
      <c r="AU494" s="1191"/>
      <c r="AV494" s="1190">
        <f t="shared" ref="AV494:BB494" si="790">AV493+AV466+AV452+AV443</f>
        <v>0</v>
      </c>
      <c r="AW494" s="1096">
        <f t="shared" si="790"/>
        <v>0</v>
      </c>
      <c r="AX494" s="1096">
        <f t="shared" si="790"/>
        <v>0</v>
      </c>
      <c r="AY494" s="1096">
        <f t="shared" si="790"/>
        <v>0</v>
      </c>
      <c r="AZ494" s="1096">
        <f t="shared" si="790"/>
        <v>0</v>
      </c>
      <c r="BA494" s="1096">
        <f t="shared" si="790"/>
        <v>0</v>
      </c>
      <c r="BB494" s="1096">
        <f t="shared" si="790"/>
        <v>0</v>
      </c>
      <c r="BC494" s="1175"/>
      <c r="BD494" s="1052"/>
      <c r="BE494" s="1051"/>
      <c r="BF494" s="1051"/>
      <c r="BG494" s="1106"/>
      <c r="BH494" s="1106"/>
      <c r="BI494" s="1106"/>
      <c r="BJ494" s="1106"/>
      <c r="BK494" s="1106"/>
      <c r="BL494" s="1106"/>
      <c r="BM494" s="1106"/>
    </row>
    <row r="495">
      <c r="B495" s="1133"/>
      <c r="C495" s="1133"/>
      <c r="D495" s="1133"/>
      <c r="E495" s="1225"/>
      <c r="F495" s="1225"/>
      <c r="G495" s="1226"/>
      <c r="H495" s="1227"/>
      <c r="I495" s="1228"/>
      <c r="J495" s="1228"/>
      <c r="K495" s="1167"/>
      <c r="L495" s="1024"/>
      <c r="M495" s="1023"/>
      <c r="N495" s="1024"/>
      <c r="O495" s="1023"/>
      <c r="P495" s="1023"/>
      <c r="Q495" s="1024"/>
      <c r="R495" s="1024"/>
      <c r="S495" s="1170"/>
      <c r="T495" s="1025"/>
      <c r="U495" s="1024"/>
      <c r="V495" s="1023"/>
      <c r="W495" s="1024"/>
      <c r="X495" s="1024"/>
      <c r="Y495" s="1023"/>
      <c r="Z495" s="1024"/>
      <c r="AA495" s="1024"/>
      <c r="AB495" s="1170"/>
      <c r="AC495" s="1025"/>
      <c r="AD495" s="1024"/>
      <c r="AE495" s="1023"/>
      <c r="AF495" s="1024"/>
      <c r="AG495" s="1024"/>
      <c r="AH495" s="1023"/>
      <c r="AI495" s="1024"/>
      <c r="AJ495" s="1024"/>
      <c r="AK495" s="1173"/>
      <c r="AL495" s="1025"/>
      <c r="AM495" s="1024"/>
      <c r="AN495" s="1023"/>
      <c r="AO495" s="1024"/>
      <c r="AP495" s="1024"/>
      <c r="AQ495" s="1023"/>
      <c r="AR495" s="1024"/>
      <c r="AS495" s="1024"/>
      <c r="AT495" s="1170"/>
      <c r="AU495" s="1027"/>
      <c r="AV495" s="1029"/>
      <c r="AW495" s="1023"/>
      <c r="AX495" s="1024"/>
      <c r="AY495" s="1024"/>
      <c r="AZ495" s="1023"/>
      <c r="BA495" s="1024"/>
      <c r="BB495" s="1024"/>
      <c r="BC495" s="1175"/>
      <c r="BD495" s="1027"/>
      <c r="BE495" s="1029"/>
      <c r="BF495" s="1029"/>
    </row>
    <row r="496" s="1180" customFormat="1" ht="35.25" customHeight="1">
      <c r="A496" s="1181"/>
      <c r="B496" s="1295" t="s">
        <v>484</v>
      </c>
      <c r="C496" s="1295"/>
      <c r="D496" s="1295"/>
      <c r="E496" s="1113" t="s">
        <v>347</v>
      </c>
      <c r="F496" s="1114"/>
      <c r="G496" s="1114"/>
      <c r="H496" s="1115"/>
      <c r="I496" s="1235" t="s">
        <v>335</v>
      </c>
      <c r="J496" s="1236"/>
      <c r="K496" s="1237"/>
      <c r="L496" s="1119"/>
      <c r="M496" s="1120" t="s">
        <v>127</v>
      </c>
      <c r="N496" s="1121"/>
      <c r="O496" s="1121"/>
      <c r="P496" s="1121"/>
      <c r="Q496" s="1121"/>
      <c r="R496" s="1122"/>
      <c r="S496" s="1123"/>
      <c r="T496" s="1124"/>
      <c r="U496" s="1125"/>
      <c r="V496" s="1120" t="s">
        <v>325</v>
      </c>
      <c r="W496" s="1121"/>
      <c r="X496" s="1121"/>
      <c r="Y496" s="1121"/>
      <c r="Z496" s="1121"/>
      <c r="AA496" s="1122"/>
      <c r="AB496" s="1115"/>
      <c r="AC496" s="1126"/>
      <c r="AD496" s="1125"/>
      <c r="AE496" s="1120" t="s">
        <v>311</v>
      </c>
      <c r="AF496" s="1121"/>
      <c r="AG496" s="1121"/>
      <c r="AH496" s="1121"/>
      <c r="AI496" s="1121"/>
      <c r="AJ496" s="1122"/>
      <c r="AK496" s="1127"/>
      <c r="AL496" s="1126"/>
      <c r="AM496" s="1128"/>
      <c r="AN496" s="1043" t="s">
        <v>327</v>
      </c>
      <c r="AO496" s="1044"/>
      <c r="AP496" s="1044"/>
      <c r="AQ496" s="1044"/>
      <c r="AR496" s="1044"/>
      <c r="AS496" s="1045"/>
      <c r="AT496" s="1129"/>
      <c r="AU496" s="1130"/>
      <c r="AV496" s="1131"/>
      <c r="AW496" s="1043" t="s">
        <v>349</v>
      </c>
      <c r="AX496" s="1044"/>
      <c r="AY496" s="1044"/>
      <c r="AZ496" s="1044"/>
      <c r="BA496" s="1044"/>
      <c r="BB496" s="1045"/>
      <c r="BC496" s="1029"/>
      <c r="BD496" s="1296"/>
      <c r="BE496" s="1297"/>
      <c r="BF496" s="1297"/>
      <c r="BG496" s="1106"/>
      <c r="BH496" s="1106"/>
      <c r="BI496" s="1106"/>
      <c r="BJ496" s="1106"/>
      <c r="BK496" s="1106"/>
      <c r="BL496" s="1106"/>
      <c r="BM496" s="1106"/>
    </row>
    <row r="497" ht="18.75" customHeight="1">
      <c r="A497" s="1110"/>
      <c r="B497" s="1134" t="s">
        <v>350</v>
      </c>
      <c r="C497" s="1134"/>
      <c r="D497" s="1134"/>
      <c r="E497" s="1135" t="s">
        <v>332</v>
      </c>
      <c r="F497" s="1135" t="s">
        <v>333</v>
      </c>
      <c r="G497" s="1136" t="s">
        <v>334</v>
      </c>
      <c r="H497" s="1137" t="s">
        <v>341</v>
      </c>
      <c r="I497" s="1138"/>
      <c r="J497" s="1138"/>
      <c r="K497" s="1139"/>
      <c r="L497" s="1119"/>
      <c r="M497" s="1073" t="s">
        <v>336</v>
      </c>
      <c r="N497" s="1073" t="s">
        <v>337</v>
      </c>
      <c r="O497" s="1073" t="s">
        <v>338</v>
      </c>
      <c r="P497" s="1073" t="s">
        <v>344</v>
      </c>
      <c r="Q497" s="1073" t="s">
        <v>351</v>
      </c>
      <c r="R497" s="1140" t="s">
        <v>339</v>
      </c>
      <c r="S497" s="1141" t="s">
        <v>340</v>
      </c>
      <c r="T497" s="1142"/>
      <c r="U497" s="1128"/>
      <c r="V497" s="1073" t="s">
        <v>336</v>
      </c>
      <c r="W497" s="1073" t="s">
        <v>337</v>
      </c>
      <c r="X497" s="1073" t="s">
        <v>338</v>
      </c>
      <c r="Y497" s="1073" t="s">
        <v>344</v>
      </c>
      <c r="Z497" s="1073" t="s">
        <v>351</v>
      </c>
      <c r="AA497" s="1140" t="s">
        <v>339</v>
      </c>
      <c r="AB497" s="1143" t="str">
        <f>S497</f>
        <v xml:space="preserve">Итого (спирт+наркотики+растворы+перевязка)</v>
      </c>
      <c r="AC497" s="1142"/>
      <c r="AD497" s="1128"/>
      <c r="AE497" s="1073" t="s">
        <v>336</v>
      </c>
      <c r="AF497" s="1073" t="s">
        <v>337</v>
      </c>
      <c r="AG497" s="1073" t="s">
        <v>338</v>
      </c>
      <c r="AH497" s="1073" t="s">
        <v>344</v>
      </c>
      <c r="AI497" s="1073" t="s">
        <v>351</v>
      </c>
      <c r="AJ497" s="1140" t="s">
        <v>339</v>
      </c>
      <c r="AK497" s="1141" t="s">
        <v>340</v>
      </c>
      <c r="AL497" s="1142"/>
      <c r="AM497" s="1128"/>
      <c r="AN497" s="1144" t="s">
        <v>336</v>
      </c>
      <c r="AO497" s="1144" t="s">
        <v>337</v>
      </c>
      <c r="AP497" s="1144" t="s">
        <v>338</v>
      </c>
      <c r="AQ497" s="1073" t="s">
        <v>344</v>
      </c>
      <c r="AR497" s="1073" t="s">
        <v>351</v>
      </c>
      <c r="AS497" s="1140" t="s">
        <v>339</v>
      </c>
      <c r="AT497" s="1145"/>
      <c r="AU497" s="1146"/>
      <c r="AV497" s="1131"/>
      <c r="AW497" s="1144" t="s">
        <v>336</v>
      </c>
      <c r="AX497" s="1144" t="s">
        <v>337</v>
      </c>
      <c r="AY497" s="1144" t="s">
        <v>338</v>
      </c>
      <c r="AZ497" s="1073" t="s">
        <v>344</v>
      </c>
      <c r="BA497" s="1073" t="s">
        <v>351</v>
      </c>
      <c r="BB497" s="1140" t="s">
        <v>339</v>
      </c>
      <c r="BC497" s="1147"/>
      <c r="BD497" s="1132"/>
      <c r="BE497" s="1133"/>
      <c r="BF497" s="1133"/>
    </row>
    <row r="498" ht="39.75" customHeight="1">
      <c r="A498" s="1110"/>
      <c r="B498" s="1149"/>
      <c r="C498" s="1149"/>
      <c r="D498" s="1149"/>
      <c r="E498" s="1150"/>
      <c r="F498" s="1150"/>
      <c r="G498" s="1151"/>
      <c r="H498" s="1152"/>
      <c r="I498" s="1153" t="s">
        <v>342</v>
      </c>
      <c r="J498" s="1154" t="s">
        <v>339</v>
      </c>
      <c r="K498" s="1155" t="s">
        <v>335</v>
      </c>
      <c r="L498" s="1119"/>
      <c r="M498" s="1095"/>
      <c r="N498" s="1095"/>
      <c r="O498" s="1095"/>
      <c r="P498" s="1095"/>
      <c r="Q498" s="1095"/>
      <c r="R498" s="1123"/>
      <c r="S498" s="1156"/>
      <c r="T498" s="1124"/>
      <c r="U498" s="1128"/>
      <c r="V498" s="1095"/>
      <c r="W498" s="1095"/>
      <c r="X498" s="1095"/>
      <c r="Y498" s="1095"/>
      <c r="Z498" s="1095"/>
      <c r="AA498" s="1123"/>
      <c r="AB498" s="1157"/>
      <c r="AC498" s="1124"/>
      <c r="AD498" s="1128"/>
      <c r="AE498" s="1095"/>
      <c r="AF498" s="1095"/>
      <c r="AG498" s="1095"/>
      <c r="AH498" s="1095"/>
      <c r="AI498" s="1095"/>
      <c r="AJ498" s="1123"/>
      <c r="AK498" s="1156"/>
      <c r="AL498" s="1124"/>
      <c r="AM498" s="1128"/>
      <c r="AN498" s="1158"/>
      <c r="AO498" s="1158"/>
      <c r="AP498" s="1158"/>
      <c r="AQ498" s="1095"/>
      <c r="AR498" s="1095"/>
      <c r="AS498" s="1123"/>
      <c r="AT498" s="1159"/>
      <c r="AU498" s="1160"/>
      <c r="AV498" s="1131"/>
      <c r="AW498" s="1158"/>
      <c r="AX498" s="1158"/>
      <c r="AY498" s="1158"/>
      <c r="AZ498" s="1095"/>
      <c r="BA498" s="1095"/>
      <c r="BB498" s="1123"/>
      <c r="BC498" s="1161"/>
      <c r="BD498" s="1132"/>
      <c r="BE498" s="1133"/>
      <c r="BF498" s="1133"/>
    </row>
    <row r="499" ht="18.75" customHeight="1">
      <c r="A499" s="999" t="str">
        <f t="shared" ref="A499:A562" si="791">A402</f>
        <v xml:space="preserve">Павельева Л.Г.</v>
      </c>
      <c r="B499" s="1162" t="s">
        <v>178</v>
      </c>
      <c r="C499" s="1162"/>
      <c r="D499" s="1163"/>
      <c r="E499" s="1164">
        <f t="shared" si="778"/>
        <v>0</v>
      </c>
      <c r="F499" s="1164">
        <f t="shared" ref="F499:F562" si="792">R499+AA499+AJ499+AS499+BB499</f>
        <v>0</v>
      </c>
      <c r="G499" s="1165">
        <f t="shared" ref="G499:G506" si="793">E499+F499</f>
        <v>0</v>
      </c>
      <c r="H499" s="1166"/>
      <c r="I499" s="1167">
        <f t="shared" si="780"/>
        <v>0</v>
      </c>
      <c r="J499" s="1167">
        <f t="shared" ref="J499:J562" si="794">F499-AA499</f>
        <v>0</v>
      </c>
      <c r="K499" s="1168">
        <f t="shared" ref="K499:K506" si="795">I499+J499</f>
        <v>0</v>
      </c>
      <c r="L499" s="1119"/>
      <c r="M499" s="1169"/>
      <c r="N499" s="1169"/>
      <c r="O499" s="1169"/>
      <c r="P499" s="1169"/>
      <c r="Q499" s="1169">
        <f t="shared" ref="Q499:Q506" si="796">SUM(M499:P499)</f>
        <v>0</v>
      </c>
      <c r="R499" s="1169"/>
      <c r="S499" s="1170"/>
      <c r="T499" s="1240"/>
      <c r="U499" s="1119"/>
      <c r="V499" s="1169"/>
      <c r="W499" s="1169"/>
      <c r="X499" s="1169"/>
      <c r="Y499" s="1169"/>
      <c r="Z499" s="1169">
        <f t="shared" ref="Z499:Z506" si="797">SUM(V499:Y499)</f>
        <v>0</v>
      </c>
      <c r="AA499" s="1169"/>
      <c r="AB499" s="1172">
        <f t="shared" ref="AB499:AB562" si="798">Z499+AA499</f>
        <v>0</v>
      </c>
      <c r="AC499" s="1240"/>
      <c r="AD499" s="1119"/>
      <c r="AE499" s="1169"/>
      <c r="AF499" s="1169"/>
      <c r="AG499" s="1169"/>
      <c r="AH499" s="1169"/>
      <c r="AI499" s="1169">
        <f t="shared" ref="AI499:AI506" si="799">SUM(AE499:AH499)</f>
        <v>0</v>
      </c>
      <c r="AJ499" s="1169"/>
      <c r="AK499" s="1173"/>
      <c r="AL499" s="1171"/>
      <c r="AM499" s="1128"/>
      <c r="AN499" s="1170"/>
      <c r="AO499" s="1170"/>
      <c r="AP499" s="1170"/>
      <c r="AQ499" s="1170"/>
      <c r="AR499" s="1170">
        <f t="shared" ref="AR499:AR506" si="800">SUM(AN499:AQ499)</f>
        <v>0</v>
      </c>
      <c r="AS499" s="1170"/>
      <c r="AT499" s="1170"/>
      <c r="AU499" s="1174"/>
      <c r="AV499" s="1241"/>
      <c r="AW499" s="1169"/>
      <c r="AX499" s="1169"/>
      <c r="AY499" s="1169"/>
      <c r="AZ499" s="1169"/>
      <c r="BA499" s="1169">
        <f t="shared" ref="BA499:BA506" si="801">SUM(AW499:AZ499)</f>
        <v>0</v>
      </c>
      <c r="BB499" s="1169"/>
      <c r="BC499" s="1175"/>
      <c r="BD499" s="1027"/>
      <c r="BE499" s="1029"/>
      <c r="BF499" s="1029"/>
    </row>
    <row r="500">
      <c r="A500" s="999" t="str">
        <f t="shared" si="791"/>
        <v xml:space="preserve">Губаренко О.Н.</v>
      </c>
      <c r="B500" s="1176" t="s">
        <v>354</v>
      </c>
      <c r="C500" s="1176"/>
      <c r="D500" s="1163"/>
      <c r="E500" s="1164">
        <f t="shared" si="778"/>
        <v>0</v>
      </c>
      <c r="F500" s="1164">
        <f t="shared" si="792"/>
        <v>0</v>
      </c>
      <c r="G500" s="1165">
        <f t="shared" si="793"/>
        <v>0</v>
      </c>
      <c r="H500" s="1166"/>
      <c r="I500" s="1167">
        <f t="shared" si="780"/>
        <v>0</v>
      </c>
      <c r="J500" s="1167">
        <f t="shared" si="794"/>
        <v>0</v>
      </c>
      <c r="K500" s="1168">
        <f t="shared" si="795"/>
        <v>0</v>
      </c>
      <c r="L500" s="1119"/>
      <c r="M500" s="1169"/>
      <c r="N500" s="1177"/>
      <c r="O500" s="1169"/>
      <c r="P500" s="1169"/>
      <c r="Q500" s="1169">
        <f t="shared" si="796"/>
        <v>0</v>
      </c>
      <c r="R500" s="1169"/>
      <c r="S500" s="1170"/>
      <c r="T500" s="1240"/>
      <c r="U500" s="1119"/>
      <c r="V500" s="1169"/>
      <c r="W500" s="1177"/>
      <c r="X500" s="1177"/>
      <c r="Y500" s="1169"/>
      <c r="Z500" s="1169">
        <f t="shared" si="797"/>
        <v>0</v>
      </c>
      <c r="AA500" s="1169"/>
      <c r="AB500" s="1172">
        <f t="shared" si="798"/>
        <v>0</v>
      </c>
      <c r="AC500" s="1240"/>
      <c r="AD500" s="1119"/>
      <c r="AE500" s="1169"/>
      <c r="AF500" s="1177"/>
      <c r="AG500" s="1177"/>
      <c r="AH500" s="1169"/>
      <c r="AI500" s="1169">
        <f t="shared" si="799"/>
        <v>0</v>
      </c>
      <c r="AJ500" s="1169"/>
      <c r="AK500" s="1173"/>
      <c r="AL500" s="1171"/>
      <c r="AM500" s="1128"/>
      <c r="AN500" s="1170"/>
      <c r="AO500" s="1175"/>
      <c r="AP500" s="1175"/>
      <c r="AQ500" s="1170"/>
      <c r="AR500" s="1170">
        <f t="shared" si="800"/>
        <v>0</v>
      </c>
      <c r="AS500" s="1170"/>
      <c r="AT500" s="1170"/>
      <c r="AU500" s="1174"/>
      <c r="AV500" s="1241"/>
      <c r="AW500" s="1169"/>
      <c r="AX500" s="1177"/>
      <c r="AY500" s="1177"/>
      <c r="AZ500" s="1169"/>
      <c r="BA500" s="1169">
        <f t="shared" si="801"/>
        <v>0</v>
      </c>
      <c r="BB500" s="1169"/>
      <c r="BC500" s="1175"/>
      <c r="BD500" s="1027"/>
      <c r="BE500" s="1029"/>
      <c r="BF500" s="1029"/>
    </row>
    <row r="501">
      <c r="A501" s="999" t="str">
        <f t="shared" si="791"/>
        <v xml:space="preserve">Петрюк Е.В.</v>
      </c>
      <c r="B501" s="1176" t="s">
        <v>181</v>
      </c>
      <c r="C501" s="1176"/>
      <c r="D501" s="1163"/>
      <c r="E501" s="1164">
        <f t="shared" si="778"/>
        <v>0</v>
      </c>
      <c r="F501" s="1164">
        <f t="shared" si="792"/>
        <v>0</v>
      </c>
      <c r="G501" s="1165">
        <f t="shared" si="793"/>
        <v>0</v>
      </c>
      <c r="H501" s="1166"/>
      <c r="I501" s="1167">
        <f t="shared" si="780"/>
        <v>0</v>
      </c>
      <c r="J501" s="1167">
        <f t="shared" si="794"/>
        <v>0</v>
      </c>
      <c r="K501" s="1168">
        <f t="shared" si="795"/>
        <v>0</v>
      </c>
      <c r="L501" s="1119"/>
      <c r="M501" s="1169"/>
      <c r="N501" s="1177"/>
      <c r="O501" s="1169"/>
      <c r="P501" s="1169"/>
      <c r="Q501" s="1169">
        <f t="shared" si="796"/>
        <v>0</v>
      </c>
      <c r="R501" s="1169"/>
      <c r="S501" s="1170"/>
      <c r="T501" s="1240"/>
      <c r="U501" s="1119"/>
      <c r="V501" s="1169"/>
      <c r="W501" s="1177"/>
      <c r="X501" s="1177"/>
      <c r="Y501" s="1169"/>
      <c r="Z501" s="1169">
        <f t="shared" si="797"/>
        <v>0</v>
      </c>
      <c r="AA501" s="1169"/>
      <c r="AB501" s="1172">
        <f t="shared" si="798"/>
        <v>0</v>
      </c>
      <c r="AC501" s="1240"/>
      <c r="AD501" s="1119"/>
      <c r="AE501" s="1169"/>
      <c r="AF501" s="1177"/>
      <c r="AG501" s="1177"/>
      <c r="AH501" s="1169"/>
      <c r="AI501" s="1169">
        <f t="shared" si="799"/>
        <v>0</v>
      </c>
      <c r="AJ501" s="1169"/>
      <c r="AK501" s="1173"/>
      <c r="AL501" s="1171"/>
      <c r="AM501" s="1128"/>
      <c r="AN501" s="1170"/>
      <c r="AO501" s="1175"/>
      <c r="AP501" s="1175"/>
      <c r="AQ501" s="1170"/>
      <c r="AR501" s="1170">
        <f t="shared" si="800"/>
        <v>0</v>
      </c>
      <c r="AS501" s="1170"/>
      <c r="AT501" s="1170"/>
      <c r="AU501" s="1174"/>
      <c r="AV501" s="1241"/>
      <c r="AW501" s="1169"/>
      <c r="AX501" s="1177"/>
      <c r="AY501" s="1177"/>
      <c r="AZ501" s="1169"/>
      <c r="BA501" s="1169">
        <f t="shared" si="801"/>
        <v>0</v>
      </c>
      <c r="BB501" s="1169"/>
      <c r="BC501" s="1175"/>
      <c r="BD501" s="1027"/>
      <c r="BE501" s="1029"/>
      <c r="BF501" s="1029"/>
    </row>
    <row r="502" ht="18.75" customHeight="1">
      <c r="A502" s="999" t="str">
        <f t="shared" si="791"/>
        <v xml:space="preserve">Кутько И.Г.</v>
      </c>
      <c r="B502" s="1176" t="s">
        <v>357</v>
      </c>
      <c r="C502" s="1176"/>
      <c r="D502" s="1163"/>
      <c r="E502" s="1164">
        <f t="shared" si="778"/>
        <v>0</v>
      </c>
      <c r="F502" s="1164">
        <f t="shared" si="792"/>
        <v>0</v>
      </c>
      <c r="G502" s="1165">
        <f t="shared" si="793"/>
        <v>0</v>
      </c>
      <c r="H502" s="1166"/>
      <c r="I502" s="1167">
        <f t="shared" si="780"/>
        <v>0</v>
      </c>
      <c r="J502" s="1167">
        <f t="shared" si="794"/>
        <v>0</v>
      </c>
      <c r="K502" s="1168">
        <f t="shared" si="795"/>
        <v>0</v>
      </c>
      <c r="L502" s="1119"/>
      <c r="M502" s="1169"/>
      <c r="N502" s="1177"/>
      <c r="O502" s="1169"/>
      <c r="P502" s="1169"/>
      <c r="Q502" s="1169">
        <f t="shared" si="796"/>
        <v>0</v>
      </c>
      <c r="R502" s="1169"/>
      <c r="S502" s="1170"/>
      <c r="T502" s="1240"/>
      <c r="U502" s="1119"/>
      <c r="V502" s="1169"/>
      <c r="W502" s="1177"/>
      <c r="X502" s="1177"/>
      <c r="Y502" s="1169"/>
      <c r="Z502" s="1169">
        <f t="shared" si="797"/>
        <v>0</v>
      </c>
      <c r="AA502" s="1169"/>
      <c r="AB502" s="1172">
        <f t="shared" si="798"/>
        <v>0</v>
      </c>
      <c r="AC502" s="1240"/>
      <c r="AD502" s="1119"/>
      <c r="AE502" s="1169"/>
      <c r="AF502" s="1177"/>
      <c r="AG502" s="1177"/>
      <c r="AH502" s="1169"/>
      <c r="AI502" s="1169">
        <f t="shared" si="799"/>
        <v>0</v>
      </c>
      <c r="AJ502" s="1169"/>
      <c r="AK502" s="1173"/>
      <c r="AL502" s="1171"/>
      <c r="AM502" s="1128"/>
      <c r="AN502" s="1170"/>
      <c r="AO502" s="1175"/>
      <c r="AP502" s="1175"/>
      <c r="AQ502" s="1170"/>
      <c r="AR502" s="1170">
        <f t="shared" si="800"/>
        <v>0</v>
      </c>
      <c r="AS502" s="1170"/>
      <c r="AT502" s="1170"/>
      <c r="AU502" s="1174"/>
      <c r="AV502" s="1241"/>
      <c r="AW502" s="1169"/>
      <c r="AX502" s="1177"/>
      <c r="AY502" s="1177"/>
      <c r="AZ502" s="1169"/>
      <c r="BA502" s="1169">
        <f t="shared" si="801"/>
        <v>0</v>
      </c>
      <c r="BB502" s="1169"/>
      <c r="BC502" s="1175"/>
      <c r="BD502" s="1027"/>
      <c r="BE502" s="1029"/>
      <c r="BF502" s="1029"/>
    </row>
    <row r="503">
      <c r="A503" s="999" t="str">
        <f t="shared" si="791"/>
        <v xml:space="preserve">Елина С.И.</v>
      </c>
      <c r="B503" s="1176" t="s">
        <v>183</v>
      </c>
      <c r="C503" s="1176"/>
      <c r="D503" s="1163"/>
      <c r="E503" s="1164">
        <f t="shared" si="778"/>
        <v>0</v>
      </c>
      <c r="F503" s="1164">
        <f t="shared" si="792"/>
        <v>0</v>
      </c>
      <c r="G503" s="1165">
        <f t="shared" si="793"/>
        <v>0</v>
      </c>
      <c r="H503" s="1166"/>
      <c r="I503" s="1167">
        <f t="shared" si="780"/>
        <v>0</v>
      </c>
      <c r="J503" s="1167">
        <f t="shared" si="794"/>
        <v>0</v>
      </c>
      <c r="K503" s="1168">
        <f t="shared" si="795"/>
        <v>0</v>
      </c>
      <c r="L503" s="1119"/>
      <c r="M503" s="1169"/>
      <c r="N503" s="1177"/>
      <c r="O503" s="1169"/>
      <c r="P503" s="1169"/>
      <c r="Q503" s="1169">
        <f t="shared" si="796"/>
        <v>0</v>
      </c>
      <c r="R503" s="1169"/>
      <c r="S503" s="1170"/>
      <c r="T503" s="1240"/>
      <c r="U503" s="1119"/>
      <c r="V503" s="1169"/>
      <c r="W503" s="1177"/>
      <c r="X503" s="1177"/>
      <c r="Y503" s="1169"/>
      <c r="Z503" s="1169">
        <f t="shared" si="797"/>
        <v>0</v>
      </c>
      <c r="AA503" s="1169"/>
      <c r="AB503" s="1172">
        <f t="shared" si="798"/>
        <v>0</v>
      </c>
      <c r="AC503" s="1240"/>
      <c r="AD503" s="1119"/>
      <c r="AE503" s="1169"/>
      <c r="AF503" s="1177"/>
      <c r="AG503" s="1177"/>
      <c r="AH503" s="1169"/>
      <c r="AI503" s="1169">
        <f t="shared" si="799"/>
        <v>0</v>
      </c>
      <c r="AJ503" s="1169"/>
      <c r="AK503" s="1173"/>
      <c r="AL503" s="1171"/>
      <c r="AM503" s="1128"/>
      <c r="AN503" s="1170"/>
      <c r="AO503" s="1175"/>
      <c r="AP503" s="1175"/>
      <c r="AQ503" s="1170"/>
      <c r="AR503" s="1170">
        <f t="shared" si="800"/>
        <v>0</v>
      </c>
      <c r="AS503" s="1170"/>
      <c r="AT503" s="1170"/>
      <c r="AU503" s="1174"/>
      <c r="AV503" s="1241"/>
      <c r="AW503" s="1169"/>
      <c r="AX503" s="1177"/>
      <c r="AY503" s="1177"/>
      <c r="AZ503" s="1169"/>
      <c r="BA503" s="1169">
        <f t="shared" si="801"/>
        <v>0</v>
      </c>
      <c r="BB503" s="1169"/>
      <c r="BC503" s="1175"/>
      <c r="BD503" s="1027"/>
      <c r="BE503" s="1029"/>
      <c r="BF503" s="1029"/>
    </row>
    <row r="504">
      <c r="A504" s="999" t="str">
        <f t="shared" si="791"/>
        <v xml:space="preserve">Никитина О.Г.</v>
      </c>
      <c r="B504" s="1176" t="s">
        <v>184</v>
      </c>
      <c r="C504" s="1176"/>
      <c r="D504" s="1163"/>
      <c r="E504" s="1164">
        <f t="shared" si="778"/>
        <v>0</v>
      </c>
      <c r="F504" s="1164">
        <f t="shared" si="792"/>
        <v>0</v>
      </c>
      <c r="G504" s="1165">
        <f t="shared" si="793"/>
        <v>0</v>
      </c>
      <c r="H504" s="1166"/>
      <c r="I504" s="1167">
        <f t="shared" si="780"/>
        <v>0</v>
      </c>
      <c r="J504" s="1167">
        <f t="shared" si="794"/>
        <v>0</v>
      </c>
      <c r="K504" s="1168">
        <f t="shared" si="795"/>
        <v>0</v>
      </c>
      <c r="L504" s="1119"/>
      <c r="M504" s="1169"/>
      <c r="N504" s="1177"/>
      <c r="O504" s="1169"/>
      <c r="P504" s="1169"/>
      <c r="Q504" s="1169">
        <f t="shared" si="796"/>
        <v>0</v>
      </c>
      <c r="R504" s="1169"/>
      <c r="S504" s="1170"/>
      <c r="T504" s="1240"/>
      <c r="U504" s="1119"/>
      <c r="V504" s="1169"/>
      <c r="W504" s="1177"/>
      <c r="X504" s="1177"/>
      <c r="Y504" s="1169"/>
      <c r="Z504" s="1169">
        <f t="shared" si="797"/>
        <v>0</v>
      </c>
      <c r="AA504" s="1169"/>
      <c r="AB504" s="1172">
        <f t="shared" si="798"/>
        <v>0</v>
      </c>
      <c r="AC504" s="1240"/>
      <c r="AD504" s="1119"/>
      <c r="AE504" s="1169"/>
      <c r="AF504" s="1177"/>
      <c r="AG504" s="1177"/>
      <c r="AH504" s="1169"/>
      <c r="AI504" s="1169">
        <f t="shared" si="799"/>
        <v>0</v>
      </c>
      <c r="AJ504" s="1169"/>
      <c r="AK504" s="1173"/>
      <c r="AL504" s="1171"/>
      <c r="AM504" s="1128"/>
      <c r="AN504" s="1170"/>
      <c r="AO504" s="1175"/>
      <c r="AP504" s="1175"/>
      <c r="AQ504" s="1170"/>
      <c r="AR504" s="1170">
        <f t="shared" si="800"/>
        <v>0</v>
      </c>
      <c r="AS504" s="1170"/>
      <c r="AT504" s="1170"/>
      <c r="AU504" s="1174"/>
      <c r="AV504" s="1241"/>
      <c r="AW504" s="1169"/>
      <c r="AX504" s="1177"/>
      <c r="AY504" s="1177"/>
      <c r="AZ504" s="1169"/>
      <c r="BA504" s="1169">
        <f t="shared" si="801"/>
        <v>0</v>
      </c>
      <c r="BB504" s="1169"/>
      <c r="BC504" s="1175"/>
      <c r="BD504" s="1027"/>
      <c r="BE504" s="1029"/>
      <c r="BF504" s="1029"/>
    </row>
    <row r="505" ht="18.75" customHeight="1">
      <c r="A505" s="999" t="str">
        <f t="shared" si="791"/>
        <v xml:space="preserve">Судакова Е.С.</v>
      </c>
      <c r="B505" s="1178" t="s">
        <v>361</v>
      </c>
      <c r="C505" s="1179"/>
      <c r="D505" s="1163"/>
      <c r="E505" s="1164">
        <f t="shared" si="778"/>
        <v>0</v>
      </c>
      <c r="F505" s="1164">
        <f t="shared" si="792"/>
        <v>0</v>
      </c>
      <c r="G505" s="1165">
        <f t="shared" si="793"/>
        <v>0</v>
      </c>
      <c r="H505" s="1266"/>
      <c r="I505" s="1167">
        <f t="shared" si="780"/>
        <v>0</v>
      </c>
      <c r="J505" s="1167">
        <f t="shared" si="794"/>
        <v>0</v>
      </c>
      <c r="K505" s="1168">
        <f t="shared" si="795"/>
        <v>0</v>
      </c>
      <c r="L505" s="1119"/>
      <c r="M505" s="1169"/>
      <c r="N505" s="1177"/>
      <c r="O505" s="1169"/>
      <c r="P505" s="1169"/>
      <c r="Q505" s="1169">
        <f t="shared" si="796"/>
        <v>0</v>
      </c>
      <c r="R505" s="1169"/>
      <c r="S505" s="1170"/>
      <c r="T505" s="1240"/>
      <c r="U505" s="1119"/>
      <c r="V505" s="1169"/>
      <c r="W505" s="1177"/>
      <c r="X505" s="1177"/>
      <c r="Y505" s="1169"/>
      <c r="Z505" s="1169">
        <f t="shared" si="797"/>
        <v>0</v>
      </c>
      <c r="AA505" s="1169"/>
      <c r="AB505" s="1172">
        <f t="shared" si="798"/>
        <v>0</v>
      </c>
      <c r="AC505" s="1240"/>
      <c r="AD505" s="1119"/>
      <c r="AE505" s="1169"/>
      <c r="AF505" s="1177"/>
      <c r="AG505" s="1177"/>
      <c r="AH505" s="1169"/>
      <c r="AI505" s="1169">
        <f t="shared" si="799"/>
        <v>0</v>
      </c>
      <c r="AJ505" s="1169"/>
      <c r="AK505" s="1173"/>
      <c r="AL505" s="1171"/>
      <c r="AM505" s="1128"/>
      <c r="AN505" s="1170"/>
      <c r="AO505" s="1175"/>
      <c r="AP505" s="1175"/>
      <c r="AQ505" s="1170"/>
      <c r="AR505" s="1170">
        <f t="shared" si="800"/>
        <v>0</v>
      </c>
      <c r="AS505" s="1170"/>
      <c r="AT505" s="1170"/>
      <c r="AU505" s="1174"/>
      <c r="AV505" s="1241"/>
      <c r="AW505" s="1169"/>
      <c r="AX505" s="1177"/>
      <c r="AY505" s="1177"/>
      <c r="AZ505" s="1169"/>
      <c r="BA505" s="1169">
        <f t="shared" si="801"/>
        <v>0</v>
      </c>
      <c r="BB505" s="1169"/>
      <c r="BC505" s="1175"/>
      <c r="BD505" s="1027"/>
      <c r="BE505" s="1029"/>
      <c r="BF505" s="1029"/>
    </row>
    <row r="506">
      <c r="A506" s="999" t="str">
        <f t="shared" si="791"/>
        <v xml:space="preserve">Осипова А.А.</v>
      </c>
      <c r="B506" s="1176" t="s">
        <v>185</v>
      </c>
      <c r="C506" s="1176"/>
      <c r="D506" s="1163"/>
      <c r="E506" s="1164">
        <f t="shared" si="778"/>
        <v>0</v>
      </c>
      <c r="F506" s="1164">
        <f t="shared" si="792"/>
        <v>0</v>
      </c>
      <c r="G506" s="1165">
        <f t="shared" si="793"/>
        <v>0</v>
      </c>
      <c r="H506" s="1166"/>
      <c r="I506" s="1167">
        <f t="shared" si="780"/>
        <v>0</v>
      </c>
      <c r="J506" s="1167">
        <f t="shared" si="794"/>
        <v>0</v>
      </c>
      <c r="K506" s="1168">
        <f t="shared" si="795"/>
        <v>0</v>
      </c>
      <c r="L506" s="1119"/>
      <c r="M506" s="1169"/>
      <c r="N506" s="1177"/>
      <c r="O506" s="1169"/>
      <c r="P506" s="1169"/>
      <c r="Q506" s="1169">
        <f t="shared" si="796"/>
        <v>0</v>
      </c>
      <c r="R506" s="1169"/>
      <c r="S506" s="1170"/>
      <c r="T506" s="1240"/>
      <c r="U506" s="1119"/>
      <c r="V506" s="1169"/>
      <c r="W506" s="1177"/>
      <c r="X506" s="1177"/>
      <c r="Y506" s="1169"/>
      <c r="Z506" s="1169">
        <f t="shared" si="797"/>
        <v>0</v>
      </c>
      <c r="AA506" s="1169"/>
      <c r="AB506" s="1172">
        <f t="shared" si="798"/>
        <v>0</v>
      </c>
      <c r="AC506" s="1240"/>
      <c r="AD506" s="1119"/>
      <c r="AE506" s="1169"/>
      <c r="AF506" s="1177"/>
      <c r="AG506" s="1177"/>
      <c r="AH506" s="1169"/>
      <c r="AI506" s="1169">
        <f t="shared" si="799"/>
        <v>0</v>
      </c>
      <c r="AJ506" s="1169"/>
      <c r="AK506" s="1173"/>
      <c r="AL506" s="1171"/>
      <c r="AM506" s="1128"/>
      <c r="AN506" s="1170"/>
      <c r="AO506" s="1175"/>
      <c r="AP506" s="1175"/>
      <c r="AQ506" s="1170"/>
      <c r="AR506" s="1170">
        <f t="shared" si="800"/>
        <v>0</v>
      </c>
      <c r="AS506" s="1170"/>
      <c r="AT506" s="1170"/>
      <c r="AU506" s="1174"/>
      <c r="AV506" s="1241"/>
      <c r="AW506" s="1169"/>
      <c r="AX506" s="1177"/>
      <c r="AY506" s="1177"/>
      <c r="AZ506" s="1169"/>
      <c r="BA506" s="1169">
        <f t="shared" si="801"/>
        <v>0</v>
      </c>
      <c r="BB506" s="1169"/>
      <c r="BC506" s="1175"/>
      <c r="BD506" s="1027"/>
      <c r="BE506" s="1029"/>
      <c r="BF506" s="1029"/>
    </row>
    <row r="507" s="1180" customFormat="1" ht="22.5">
      <c r="A507" s="999">
        <f t="shared" si="791"/>
        <v>0</v>
      </c>
      <c r="B507" s="1182" t="s">
        <v>363</v>
      </c>
      <c r="C507" s="1182"/>
      <c r="D507" s="1182"/>
      <c r="E507" s="1183">
        <f t="shared" si="778"/>
        <v>0</v>
      </c>
      <c r="F507" s="1183">
        <f t="shared" si="792"/>
        <v>0</v>
      </c>
      <c r="G507" s="1184">
        <f>SUM(G499:G506)</f>
        <v>0</v>
      </c>
      <c r="H507" s="1185"/>
      <c r="I507" s="1186">
        <f t="shared" si="780"/>
        <v>0</v>
      </c>
      <c r="J507" s="1186">
        <f t="shared" si="794"/>
        <v>0</v>
      </c>
      <c r="K507" s="1187">
        <f>SUM(K499:K506)</f>
        <v>0</v>
      </c>
      <c r="L507" s="1188"/>
      <c r="M507" s="1096">
        <f t="shared" ref="M507:R507" si="802">SUM(M499:M506)</f>
        <v>0</v>
      </c>
      <c r="N507" s="1096">
        <f t="shared" si="802"/>
        <v>0</v>
      </c>
      <c r="O507" s="1096">
        <f t="shared" si="802"/>
        <v>0</v>
      </c>
      <c r="P507" s="1096">
        <f t="shared" si="802"/>
        <v>0</v>
      </c>
      <c r="Q507" s="1096">
        <f t="shared" si="802"/>
        <v>0</v>
      </c>
      <c r="R507" s="1096">
        <f t="shared" si="802"/>
        <v>0</v>
      </c>
      <c r="S507" s="1170"/>
      <c r="T507" s="1243"/>
      <c r="U507" s="1119"/>
      <c r="V507" s="1096">
        <f t="shared" ref="V507:AA507" si="803">SUM(V499:V506)</f>
        <v>0</v>
      </c>
      <c r="W507" s="1096">
        <f t="shared" si="803"/>
        <v>0</v>
      </c>
      <c r="X507" s="1096">
        <f t="shared" si="803"/>
        <v>0</v>
      </c>
      <c r="Y507" s="1096">
        <f t="shared" si="803"/>
        <v>0</v>
      </c>
      <c r="Z507" s="1096">
        <f t="shared" si="803"/>
        <v>0</v>
      </c>
      <c r="AA507" s="1096">
        <f t="shared" si="803"/>
        <v>0</v>
      </c>
      <c r="AB507" s="1172">
        <f t="shared" si="798"/>
        <v>0</v>
      </c>
      <c r="AC507" s="1243"/>
      <c r="AD507" s="1244"/>
      <c r="AE507" s="1096">
        <f t="shared" ref="AE507:AJ507" si="804">SUM(AE499:AE506)</f>
        <v>0</v>
      </c>
      <c r="AF507" s="1096">
        <f t="shared" si="804"/>
        <v>0</v>
      </c>
      <c r="AG507" s="1096">
        <f t="shared" si="804"/>
        <v>0</v>
      </c>
      <c r="AH507" s="1096">
        <f t="shared" si="804"/>
        <v>0</v>
      </c>
      <c r="AI507" s="1096">
        <f t="shared" si="804"/>
        <v>0</v>
      </c>
      <c r="AJ507" s="1096">
        <f t="shared" si="804"/>
        <v>0</v>
      </c>
      <c r="AK507" s="1173"/>
      <c r="AL507" s="1189"/>
      <c r="AM507" s="1125"/>
      <c r="AN507" s="1190">
        <f t="shared" ref="AN507:AS507" si="805">SUM(AN499:AN506)</f>
        <v>0</v>
      </c>
      <c r="AO507" s="1190">
        <f t="shared" si="805"/>
        <v>0</v>
      </c>
      <c r="AP507" s="1190">
        <f t="shared" si="805"/>
        <v>0</v>
      </c>
      <c r="AQ507" s="1190">
        <f t="shared" si="805"/>
        <v>0</v>
      </c>
      <c r="AR507" s="1190">
        <f t="shared" si="805"/>
        <v>0</v>
      </c>
      <c r="AS507" s="1190">
        <f t="shared" si="805"/>
        <v>0</v>
      </c>
      <c r="AT507" s="1170"/>
      <c r="AU507" s="1191"/>
      <c r="AV507" s="1245"/>
      <c r="AW507" s="1096">
        <f t="shared" ref="AW507:BB507" si="806">SUM(AW499:AW506)</f>
        <v>0</v>
      </c>
      <c r="AX507" s="1096">
        <f t="shared" si="806"/>
        <v>0</v>
      </c>
      <c r="AY507" s="1096">
        <f t="shared" si="806"/>
        <v>0</v>
      </c>
      <c r="AZ507" s="1096">
        <f t="shared" si="806"/>
        <v>0</v>
      </c>
      <c r="BA507" s="1096">
        <f t="shared" si="806"/>
        <v>0</v>
      </c>
      <c r="BB507" s="1096">
        <f t="shared" si="806"/>
        <v>0</v>
      </c>
      <c r="BC507" s="1175"/>
      <c r="BD507" s="1052"/>
      <c r="BE507" s="1051"/>
      <c r="BF507" s="1051"/>
      <c r="BG507" s="1106"/>
      <c r="BH507" s="1106"/>
      <c r="BI507" s="1106"/>
      <c r="BJ507" s="1106"/>
      <c r="BK507" s="1106"/>
      <c r="BL507" s="1106"/>
      <c r="BM507" s="1106"/>
    </row>
    <row r="508">
      <c r="A508" s="999">
        <f t="shared" si="791"/>
        <v>0</v>
      </c>
      <c r="B508" s="1176" t="s">
        <v>364</v>
      </c>
      <c r="C508" s="1176"/>
      <c r="D508" s="1176"/>
      <c r="E508" s="1164">
        <f t="shared" si="778"/>
        <v>0</v>
      </c>
      <c r="F508" s="1164">
        <f t="shared" si="792"/>
        <v>0</v>
      </c>
      <c r="G508" s="1165">
        <f t="shared" ref="G508:G520" si="807">E508+F508</f>
        <v>0</v>
      </c>
      <c r="H508" s="1166"/>
      <c r="I508" s="1167">
        <f t="shared" si="780"/>
        <v>0</v>
      </c>
      <c r="J508" s="1167">
        <f t="shared" si="794"/>
        <v>0</v>
      </c>
      <c r="K508" s="1168">
        <f t="shared" ref="K508:K520" si="808">I508+J508</f>
        <v>0</v>
      </c>
      <c r="L508" s="1119"/>
      <c r="M508" s="1169"/>
      <c r="N508" s="1177"/>
      <c r="O508" s="1169"/>
      <c r="P508" s="1169"/>
      <c r="Q508" s="1169">
        <f t="shared" ref="Q508:Q520" si="809">SUM(M508:P508)</f>
        <v>0</v>
      </c>
      <c r="R508" s="1169"/>
      <c r="S508" s="1170"/>
      <c r="T508" s="1240"/>
      <c r="U508" s="1119"/>
      <c r="V508" s="1169"/>
      <c r="W508" s="1177"/>
      <c r="X508" s="1177"/>
      <c r="Y508" s="1169"/>
      <c r="Z508" s="1169">
        <f t="shared" ref="Z508:Z520" si="810">SUM(V508:Y508)</f>
        <v>0</v>
      </c>
      <c r="AA508" s="1169"/>
      <c r="AB508" s="1172">
        <f t="shared" si="798"/>
        <v>0</v>
      </c>
      <c r="AC508" s="1240"/>
      <c r="AD508" s="1119"/>
      <c r="AE508" s="1169"/>
      <c r="AF508" s="1177"/>
      <c r="AG508" s="1177"/>
      <c r="AH508" s="1169"/>
      <c r="AI508" s="1169">
        <f t="shared" ref="AI508:AI520" si="811">SUM(AE508:AH508)</f>
        <v>0</v>
      </c>
      <c r="AJ508" s="1169"/>
      <c r="AK508" s="1173"/>
      <c r="AL508" s="1171"/>
      <c r="AM508" s="1128"/>
      <c r="AN508" s="1170"/>
      <c r="AO508" s="1175"/>
      <c r="AP508" s="1175"/>
      <c r="AQ508" s="1170"/>
      <c r="AR508" s="1170">
        <f t="shared" ref="AR508:AR520" si="812">SUM(AN508:AQ508)</f>
        <v>0</v>
      </c>
      <c r="AS508" s="1170"/>
      <c r="AT508" s="1170"/>
      <c r="AU508" s="1174"/>
      <c r="AV508" s="1241"/>
      <c r="AW508" s="1169"/>
      <c r="AX508" s="1177"/>
      <c r="AY508" s="1177"/>
      <c r="AZ508" s="1169"/>
      <c r="BA508" s="1169">
        <f t="shared" ref="BA508:BA520" si="813">SUM(AW508:AZ508)</f>
        <v>0</v>
      </c>
      <c r="BB508" s="1169"/>
      <c r="BC508" s="1175"/>
      <c r="BD508" s="1027"/>
      <c r="BE508" s="1029"/>
      <c r="BF508" s="1029"/>
    </row>
    <row r="509">
      <c r="A509" s="999" t="str">
        <f t="shared" si="791"/>
        <v xml:space="preserve">Сметанина О.В.</v>
      </c>
      <c r="B509" s="1176" t="s">
        <v>195</v>
      </c>
      <c r="C509" s="1176"/>
      <c r="D509" s="1163"/>
      <c r="E509" s="1164">
        <f t="shared" si="778"/>
        <v>0</v>
      </c>
      <c r="F509" s="1164">
        <f t="shared" si="792"/>
        <v>0</v>
      </c>
      <c r="G509" s="1165">
        <f t="shared" si="807"/>
        <v>0</v>
      </c>
      <c r="H509" s="1166"/>
      <c r="I509" s="1167">
        <f t="shared" si="780"/>
        <v>0</v>
      </c>
      <c r="J509" s="1167">
        <f t="shared" si="794"/>
        <v>0</v>
      </c>
      <c r="K509" s="1168">
        <f t="shared" si="808"/>
        <v>0</v>
      </c>
      <c r="L509" s="1119"/>
      <c r="M509" s="1169"/>
      <c r="N509" s="1177"/>
      <c r="O509" s="1169"/>
      <c r="P509" s="1169"/>
      <c r="Q509" s="1169">
        <f t="shared" si="809"/>
        <v>0</v>
      </c>
      <c r="R509" s="1169"/>
      <c r="S509" s="1170"/>
      <c r="T509" s="1240"/>
      <c r="U509" s="1119"/>
      <c r="V509" s="1169"/>
      <c r="W509" s="1177"/>
      <c r="X509" s="1177"/>
      <c r="Y509" s="1169"/>
      <c r="Z509" s="1169">
        <f t="shared" si="810"/>
        <v>0</v>
      </c>
      <c r="AA509" s="1169"/>
      <c r="AB509" s="1172">
        <f t="shared" si="798"/>
        <v>0</v>
      </c>
      <c r="AC509" s="1240"/>
      <c r="AD509" s="1119"/>
      <c r="AE509" s="1169"/>
      <c r="AF509" s="1177"/>
      <c r="AG509" s="1177"/>
      <c r="AH509" s="1169"/>
      <c r="AI509" s="1169">
        <f t="shared" si="811"/>
        <v>0</v>
      </c>
      <c r="AJ509" s="1169"/>
      <c r="AK509" s="1173"/>
      <c r="AL509" s="1171"/>
      <c r="AM509" s="1128"/>
      <c r="AN509" s="1170"/>
      <c r="AO509" s="1175"/>
      <c r="AP509" s="1175"/>
      <c r="AQ509" s="1170"/>
      <c r="AR509" s="1170">
        <f t="shared" si="812"/>
        <v>0</v>
      </c>
      <c r="AS509" s="1170"/>
      <c r="AT509" s="1170"/>
      <c r="AU509" s="1174"/>
      <c r="AV509" s="1241"/>
      <c r="AW509" s="1169"/>
      <c r="AX509" s="1177"/>
      <c r="AY509" s="1177"/>
      <c r="AZ509" s="1169"/>
      <c r="BA509" s="1169">
        <f t="shared" si="813"/>
        <v>0</v>
      </c>
      <c r="BB509" s="1169"/>
      <c r="BC509" s="1175"/>
      <c r="BD509" s="1027"/>
      <c r="BE509" s="1029"/>
      <c r="BF509" s="1029"/>
    </row>
    <row r="510" ht="18.75" customHeight="1">
      <c r="A510" s="999" t="str">
        <f t="shared" si="791"/>
        <v xml:space="preserve">Козенко С.С.</v>
      </c>
      <c r="B510" s="1176" t="s">
        <v>196</v>
      </c>
      <c r="C510" s="1176"/>
      <c r="D510" s="1163"/>
      <c r="E510" s="1164">
        <f t="shared" si="778"/>
        <v>0</v>
      </c>
      <c r="F510" s="1164">
        <f t="shared" si="792"/>
        <v>0</v>
      </c>
      <c r="G510" s="1165">
        <f t="shared" si="807"/>
        <v>0</v>
      </c>
      <c r="H510" s="1166"/>
      <c r="I510" s="1167">
        <f t="shared" si="780"/>
        <v>0</v>
      </c>
      <c r="J510" s="1167">
        <f t="shared" si="794"/>
        <v>0</v>
      </c>
      <c r="K510" s="1168">
        <f t="shared" si="808"/>
        <v>0</v>
      </c>
      <c r="L510" s="1119"/>
      <c r="M510" s="1169"/>
      <c r="N510" s="1177"/>
      <c r="O510" s="1169"/>
      <c r="P510" s="1169"/>
      <c r="Q510" s="1169">
        <f t="shared" si="809"/>
        <v>0</v>
      </c>
      <c r="R510" s="1169"/>
      <c r="S510" s="1170"/>
      <c r="T510" s="1240"/>
      <c r="U510" s="1119"/>
      <c r="V510" s="1169"/>
      <c r="W510" s="1177"/>
      <c r="X510" s="1177"/>
      <c r="Y510" s="1169"/>
      <c r="Z510" s="1169">
        <f t="shared" si="810"/>
        <v>0</v>
      </c>
      <c r="AA510" s="1169"/>
      <c r="AB510" s="1172">
        <f t="shared" si="798"/>
        <v>0</v>
      </c>
      <c r="AC510" s="1240"/>
      <c r="AD510" s="1119"/>
      <c r="AE510" s="1169"/>
      <c r="AF510" s="1177"/>
      <c r="AG510" s="1177"/>
      <c r="AH510" s="1169"/>
      <c r="AI510" s="1169">
        <f t="shared" si="811"/>
        <v>0</v>
      </c>
      <c r="AJ510" s="1169"/>
      <c r="AK510" s="1173"/>
      <c r="AL510" s="1171"/>
      <c r="AM510" s="1128"/>
      <c r="AN510" s="1170"/>
      <c r="AO510" s="1175"/>
      <c r="AP510" s="1175"/>
      <c r="AQ510" s="1170"/>
      <c r="AR510" s="1170">
        <f t="shared" si="812"/>
        <v>0</v>
      </c>
      <c r="AS510" s="1170"/>
      <c r="AT510" s="1170"/>
      <c r="AU510" s="1174"/>
      <c r="AV510" s="1241"/>
      <c r="AW510" s="1169"/>
      <c r="AX510" s="1177"/>
      <c r="AY510" s="1177"/>
      <c r="AZ510" s="1169"/>
      <c r="BA510" s="1169">
        <f t="shared" si="813"/>
        <v>0</v>
      </c>
      <c r="BB510" s="1169"/>
      <c r="BC510" s="1175"/>
      <c r="BD510" s="1027"/>
      <c r="BE510" s="1029"/>
      <c r="BF510" s="1029"/>
    </row>
    <row r="511" ht="18.75" customHeight="1">
      <c r="A511" s="999">
        <f t="shared" si="791"/>
        <v>0</v>
      </c>
      <c r="B511" s="1193" t="s">
        <v>367</v>
      </c>
      <c r="C511" s="1193"/>
      <c r="D511" s="1193"/>
      <c r="E511" s="1164">
        <f t="shared" si="778"/>
        <v>0</v>
      </c>
      <c r="F511" s="1164">
        <f t="shared" si="792"/>
        <v>0</v>
      </c>
      <c r="G511" s="1165">
        <f t="shared" si="807"/>
        <v>0</v>
      </c>
      <c r="H511" s="1166"/>
      <c r="I511" s="1167">
        <f t="shared" si="780"/>
        <v>0</v>
      </c>
      <c r="J511" s="1167">
        <f t="shared" si="794"/>
        <v>0</v>
      </c>
      <c r="K511" s="1168">
        <f t="shared" si="808"/>
        <v>0</v>
      </c>
      <c r="L511" s="1119"/>
      <c r="M511" s="1169"/>
      <c r="N511" s="1177"/>
      <c r="O511" s="1169"/>
      <c r="P511" s="1169"/>
      <c r="Q511" s="1169">
        <f t="shared" si="809"/>
        <v>0</v>
      </c>
      <c r="R511" s="1169"/>
      <c r="S511" s="1170"/>
      <c r="T511" s="1240"/>
      <c r="U511" s="1119"/>
      <c r="V511" s="1169"/>
      <c r="W511" s="1177"/>
      <c r="X511" s="1177"/>
      <c r="Y511" s="1169"/>
      <c r="Z511" s="1169">
        <f t="shared" si="810"/>
        <v>0</v>
      </c>
      <c r="AA511" s="1169"/>
      <c r="AB511" s="1172">
        <f t="shared" si="798"/>
        <v>0</v>
      </c>
      <c r="AC511" s="1240"/>
      <c r="AD511" s="1119"/>
      <c r="AE511" s="1169"/>
      <c r="AF511" s="1177"/>
      <c r="AG511" s="1177"/>
      <c r="AH511" s="1169"/>
      <c r="AI511" s="1169">
        <f t="shared" si="811"/>
        <v>0</v>
      </c>
      <c r="AJ511" s="1169"/>
      <c r="AK511" s="1173"/>
      <c r="AL511" s="1171"/>
      <c r="AM511" s="1128"/>
      <c r="AN511" s="1170"/>
      <c r="AO511" s="1175"/>
      <c r="AP511" s="1175"/>
      <c r="AQ511" s="1170"/>
      <c r="AR511" s="1170">
        <f t="shared" si="812"/>
        <v>0</v>
      </c>
      <c r="AS511" s="1170"/>
      <c r="AT511" s="1170"/>
      <c r="AU511" s="1174"/>
      <c r="AV511" s="1241"/>
      <c r="AW511" s="1169"/>
      <c r="AX511" s="1177"/>
      <c r="AY511" s="1177"/>
      <c r="AZ511" s="1169"/>
      <c r="BA511" s="1169">
        <f t="shared" si="813"/>
        <v>0</v>
      </c>
      <c r="BB511" s="1169"/>
      <c r="BC511" s="1175"/>
      <c r="BD511" s="1027"/>
      <c r="BE511" s="1029"/>
      <c r="BF511" s="1029"/>
    </row>
    <row r="512" ht="18.75" customHeight="1">
      <c r="A512" s="999" t="str">
        <f t="shared" si="791"/>
        <v xml:space="preserve">Разумец Е.Г.</v>
      </c>
      <c r="B512" s="1176" t="s">
        <v>201</v>
      </c>
      <c r="C512" s="1176"/>
      <c r="D512" s="1163"/>
      <c r="E512" s="1164">
        <f t="shared" si="778"/>
        <v>0</v>
      </c>
      <c r="F512" s="1164">
        <f t="shared" si="792"/>
        <v>0</v>
      </c>
      <c r="G512" s="1165">
        <f t="shared" si="807"/>
        <v>0</v>
      </c>
      <c r="H512" s="1166"/>
      <c r="I512" s="1167">
        <f t="shared" si="780"/>
        <v>0</v>
      </c>
      <c r="J512" s="1167">
        <f t="shared" si="794"/>
        <v>0</v>
      </c>
      <c r="K512" s="1168">
        <f t="shared" si="808"/>
        <v>0</v>
      </c>
      <c r="L512" s="1119"/>
      <c r="M512" s="1169"/>
      <c r="N512" s="1177"/>
      <c r="O512" s="1169"/>
      <c r="P512" s="1169"/>
      <c r="Q512" s="1169">
        <f t="shared" si="809"/>
        <v>0</v>
      </c>
      <c r="R512" s="1169"/>
      <c r="S512" s="1170"/>
      <c r="T512" s="1240"/>
      <c r="U512" s="1119"/>
      <c r="V512" s="1169"/>
      <c r="W512" s="1177"/>
      <c r="X512" s="1177"/>
      <c r="Y512" s="1169"/>
      <c r="Z512" s="1169">
        <f t="shared" si="810"/>
        <v>0</v>
      </c>
      <c r="AA512" s="1169"/>
      <c r="AB512" s="1172">
        <f t="shared" si="798"/>
        <v>0</v>
      </c>
      <c r="AC512" s="1240"/>
      <c r="AD512" s="1119"/>
      <c r="AE512" s="1169"/>
      <c r="AF512" s="1177"/>
      <c r="AG512" s="1177"/>
      <c r="AH512" s="1169"/>
      <c r="AI512" s="1169">
        <f t="shared" si="811"/>
        <v>0</v>
      </c>
      <c r="AJ512" s="1169"/>
      <c r="AK512" s="1173"/>
      <c r="AL512" s="1171"/>
      <c r="AM512" s="1128"/>
      <c r="AN512" s="1170"/>
      <c r="AO512" s="1175"/>
      <c r="AP512" s="1175"/>
      <c r="AQ512" s="1170"/>
      <c r="AR512" s="1170">
        <f t="shared" si="812"/>
        <v>0</v>
      </c>
      <c r="AS512" s="1170"/>
      <c r="AT512" s="1170"/>
      <c r="AU512" s="1174"/>
      <c r="AV512" s="1241"/>
      <c r="AW512" s="1169"/>
      <c r="AX512" s="1177"/>
      <c r="AY512" s="1177"/>
      <c r="AZ512" s="1169"/>
      <c r="BA512" s="1169">
        <f t="shared" si="813"/>
        <v>0</v>
      </c>
      <c r="BB512" s="1169"/>
      <c r="BC512" s="1175"/>
      <c r="BD512" s="1027"/>
      <c r="BE512" s="1029"/>
      <c r="BF512" s="1029"/>
    </row>
    <row r="513" ht="18.75" customHeight="1">
      <c r="A513" s="999" t="str">
        <f t="shared" si="791"/>
        <v xml:space="preserve">Шарова Т.М.</v>
      </c>
      <c r="B513" s="1176" t="s">
        <v>203</v>
      </c>
      <c r="C513" s="1176"/>
      <c r="D513" s="1163"/>
      <c r="E513" s="1164">
        <f t="shared" si="778"/>
        <v>0</v>
      </c>
      <c r="F513" s="1164">
        <f t="shared" si="792"/>
        <v>0</v>
      </c>
      <c r="G513" s="1165">
        <f t="shared" si="807"/>
        <v>0</v>
      </c>
      <c r="H513" s="1166"/>
      <c r="I513" s="1167">
        <f t="shared" si="780"/>
        <v>0</v>
      </c>
      <c r="J513" s="1167">
        <f t="shared" si="794"/>
        <v>0</v>
      </c>
      <c r="K513" s="1168">
        <f t="shared" si="808"/>
        <v>0</v>
      </c>
      <c r="L513" s="1119"/>
      <c r="M513" s="1169"/>
      <c r="N513" s="1177"/>
      <c r="O513" s="1169"/>
      <c r="P513" s="1169"/>
      <c r="Q513" s="1169">
        <f t="shared" si="809"/>
        <v>0</v>
      </c>
      <c r="R513" s="1169"/>
      <c r="S513" s="1170"/>
      <c r="T513" s="1240"/>
      <c r="U513" s="1119"/>
      <c r="V513" s="1169"/>
      <c r="W513" s="1177"/>
      <c r="X513" s="1177"/>
      <c r="Y513" s="1169"/>
      <c r="Z513" s="1169">
        <f t="shared" si="810"/>
        <v>0</v>
      </c>
      <c r="AA513" s="1169"/>
      <c r="AB513" s="1172">
        <f t="shared" si="798"/>
        <v>0</v>
      </c>
      <c r="AC513" s="1240"/>
      <c r="AD513" s="1119"/>
      <c r="AE513" s="1169"/>
      <c r="AF513" s="1177"/>
      <c r="AG513" s="1177"/>
      <c r="AH513" s="1169"/>
      <c r="AI513" s="1169">
        <f t="shared" si="811"/>
        <v>0</v>
      </c>
      <c r="AJ513" s="1169"/>
      <c r="AK513" s="1173"/>
      <c r="AL513" s="1171"/>
      <c r="AM513" s="1128"/>
      <c r="AN513" s="1170"/>
      <c r="AO513" s="1175"/>
      <c r="AP513" s="1175"/>
      <c r="AQ513" s="1170"/>
      <c r="AR513" s="1170">
        <f t="shared" si="812"/>
        <v>0</v>
      </c>
      <c r="AS513" s="1170"/>
      <c r="AT513" s="1170"/>
      <c r="AU513" s="1174"/>
      <c r="AV513" s="1241"/>
      <c r="AW513" s="1169"/>
      <c r="AX513" s="1177"/>
      <c r="AY513" s="1177"/>
      <c r="AZ513" s="1169"/>
      <c r="BA513" s="1169">
        <f t="shared" si="813"/>
        <v>0</v>
      </c>
      <c r="BB513" s="1169"/>
      <c r="BC513" s="1175"/>
      <c r="BD513" s="1027"/>
      <c r="BE513" s="1029"/>
      <c r="BF513" s="1029"/>
    </row>
    <row r="514" ht="18.75" customHeight="1">
      <c r="A514" s="999" t="str">
        <f t="shared" si="791"/>
        <v xml:space="preserve">Крошка С.С.</v>
      </c>
      <c r="B514" s="1176" t="s">
        <v>204</v>
      </c>
      <c r="C514" s="1194"/>
      <c r="D514" s="1163"/>
      <c r="E514" s="1164">
        <f t="shared" si="778"/>
        <v>0</v>
      </c>
      <c r="F514" s="1164">
        <f t="shared" si="792"/>
        <v>0</v>
      </c>
      <c r="G514" s="1165">
        <f t="shared" si="807"/>
        <v>0</v>
      </c>
      <c r="H514" s="1166"/>
      <c r="I514" s="1167">
        <f t="shared" si="780"/>
        <v>0</v>
      </c>
      <c r="J514" s="1167">
        <f t="shared" si="794"/>
        <v>0</v>
      </c>
      <c r="K514" s="1168">
        <f t="shared" si="808"/>
        <v>0</v>
      </c>
      <c r="L514" s="1119"/>
      <c r="M514" s="1169"/>
      <c r="N514" s="1177"/>
      <c r="O514" s="1169"/>
      <c r="P514" s="1169"/>
      <c r="Q514" s="1169">
        <f t="shared" si="809"/>
        <v>0</v>
      </c>
      <c r="R514" s="1169"/>
      <c r="S514" s="1170"/>
      <c r="T514" s="1240"/>
      <c r="U514" s="1119"/>
      <c r="V514" s="1169"/>
      <c r="W514" s="1177"/>
      <c r="X514" s="1177"/>
      <c r="Y514" s="1169"/>
      <c r="Z514" s="1169">
        <f t="shared" si="810"/>
        <v>0</v>
      </c>
      <c r="AA514" s="1169"/>
      <c r="AB514" s="1172">
        <f t="shared" si="798"/>
        <v>0</v>
      </c>
      <c r="AC514" s="1240"/>
      <c r="AD514" s="1119"/>
      <c r="AE514" s="1169"/>
      <c r="AF514" s="1177"/>
      <c r="AG514" s="1177"/>
      <c r="AH514" s="1169"/>
      <c r="AI514" s="1169">
        <f t="shared" si="811"/>
        <v>0</v>
      </c>
      <c r="AJ514" s="1169"/>
      <c r="AK514" s="1173"/>
      <c r="AL514" s="1171"/>
      <c r="AM514" s="1128"/>
      <c r="AN514" s="1170"/>
      <c r="AO514" s="1175"/>
      <c r="AP514" s="1175"/>
      <c r="AQ514" s="1170"/>
      <c r="AR514" s="1170">
        <f t="shared" si="812"/>
        <v>0</v>
      </c>
      <c r="AS514" s="1170"/>
      <c r="AT514" s="1170"/>
      <c r="AU514" s="1174"/>
      <c r="AV514" s="1241"/>
      <c r="AW514" s="1169"/>
      <c r="AX514" s="1177"/>
      <c r="AY514" s="1177"/>
      <c r="AZ514" s="1169"/>
      <c r="BA514" s="1169">
        <f t="shared" si="813"/>
        <v>0</v>
      </c>
      <c r="BB514" s="1169"/>
      <c r="BC514" s="1175"/>
      <c r="BD514" s="1027"/>
      <c r="BE514" s="1029"/>
      <c r="BF514" s="1029"/>
    </row>
    <row r="515" ht="18.75" customHeight="1">
      <c r="A515" s="999" t="str">
        <f t="shared" si="791"/>
        <v xml:space="preserve">Козлитина Н.В.</v>
      </c>
      <c r="B515" s="1176" t="s">
        <v>205</v>
      </c>
      <c r="C515" s="1176"/>
      <c r="D515" s="1163"/>
      <c r="E515" s="1164">
        <f t="shared" si="778"/>
        <v>0</v>
      </c>
      <c r="F515" s="1164">
        <f t="shared" si="792"/>
        <v>0</v>
      </c>
      <c r="G515" s="1165">
        <f t="shared" si="807"/>
        <v>0</v>
      </c>
      <c r="H515" s="1166"/>
      <c r="I515" s="1167">
        <f t="shared" si="780"/>
        <v>0</v>
      </c>
      <c r="J515" s="1167">
        <f t="shared" si="794"/>
        <v>0</v>
      </c>
      <c r="K515" s="1168">
        <f t="shared" si="808"/>
        <v>0</v>
      </c>
      <c r="L515" s="1119"/>
      <c r="M515" s="1169"/>
      <c r="N515" s="1177"/>
      <c r="O515" s="1169"/>
      <c r="P515" s="1169"/>
      <c r="Q515" s="1169">
        <f t="shared" si="809"/>
        <v>0</v>
      </c>
      <c r="R515" s="1169"/>
      <c r="S515" s="1170"/>
      <c r="T515" s="1240"/>
      <c r="U515" s="1119"/>
      <c r="V515" s="1169"/>
      <c r="W515" s="1177"/>
      <c r="X515" s="1177"/>
      <c r="Y515" s="1169"/>
      <c r="Z515" s="1169">
        <f t="shared" si="810"/>
        <v>0</v>
      </c>
      <c r="AA515" s="1169"/>
      <c r="AB515" s="1172">
        <f t="shared" si="798"/>
        <v>0</v>
      </c>
      <c r="AC515" s="1240"/>
      <c r="AD515" s="1119"/>
      <c r="AE515" s="1169"/>
      <c r="AF515" s="1177"/>
      <c r="AG515" s="1177"/>
      <c r="AH515" s="1169"/>
      <c r="AI515" s="1169">
        <f t="shared" si="811"/>
        <v>0</v>
      </c>
      <c r="AJ515" s="1169"/>
      <c r="AK515" s="1173"/>
      <c r="AL515" s="1171"/>
      <c r="AM515" s="1128"/>
      <c r="AN515" s="1170"/>
      <c r="AO515" s="1175"/>
      <c r="AP515" s="1175"/>
      <c r="AQ515" s="1170"/>
      <c r="AR515" s="1170">
        <f t="shared" si="812"/>
        <v>0</v>
      </c>
      <c r="AS515" s="1170"/>
      <c r="AT515" s="1170"/>
      <c r="AU515" s="1174"/>
      <c r="AV515" s="1241"/>
      <c r="AW515" s="1169"/>
      <c r="AX515" s="1177"/>
      <c r="AY515" s="1177"/>
      <c r="AZ515" s="1169"/>
      <c r="BA515" s="1169">
        <f t="shared" si="813"/>
        <v>0</v>
      </c>
      <c r="BB515" s="1169"/>
      <c r="BC515" s="1175"/>
      <c r="BD515" s="1027"/>
      <c r="BE515" s="1029"/>
      <c r="BF515" s="1029"/>
    </row>
    <row r="516" ht="18.75" customHeight="1">
      <c r="A516" s="999" t="str">
        <f t="shared" si="791"/>
        <v xml:space="preserve">Баженова И.В.</v>
      </c>
      <c r="B516" s="1176" t="s">
        <v>206</v>
      </c>
      <c r="C516" s="1176"/>
      <c r="D516" s="1163"/>
      <c r="E516" s="1164">
        <f t="shared" si="778"/>
        <v>0</v>
      </c>
      <c r="F516" s="1164">
        <f t="shared" si="792"/>
        <v>0</v>
      </c>
      <c r="G516" s="1165">
        <f t="shared" si="807"/>
        <v>0</v>
      </c>
      <c r="H516" s="1166"/>
      <c r="I516" s="1167">
        <f t="shared" si="780"/>
        <v>0</v>
      </c>
      <c r="J516" s="1167">
        <f t="shared" si="794"/>
        <v>0</v>
      </c>
      <c r="K516" s="1168">
        <f t="shared" si="808"/>
        <v>0</v>
      </c>
      <c r="L516" s="1119"/>
      <c r="M516" s="1169"/>
      <c r="N516" s="1177"/>
      <c r="O516" s="1169"/>
      <c r="P516" s="1169"/>
      <c r="Q516" s="1169">
        <f t="shared" si="809"/>
        <v>0</v>
      </c>
      <c r="R516" s="1169"/>
      <c r="S516" s="1170"/>
      <c r="T516" s="1240"/>
      <c r="U516" s="1119"/>
      <c r="V516" s="1169"/>
      <c r="W516" s="1177"/>
      <c r="X516" s="1177"/>
      <c r="Y516" s="1169"/>
      <c r="Z516" s="1169">
        <f t="shared" si="810"/>
        <v>0</v>
      </c>
      <c r="AA516" s="1169"/>
      <c r="AB516" s="1172">
        <f t="shared" si="798"/>
        <v>0</v>
      </c>
      <c r="AC516" s="1240"/>
      <c r="AD516" s="1119"/>
      <c r="AE516" s="1169"/>
      <c r="AF516" s="1177"/>
      <c r="AG516" s="1177"/>
      <c r="AH516" s="1169"/>
      <c r="AI516" s="1169">
        <f t="shared" si="811"/>
        <v>0</v>
      </c>
      <c r="AJ516" s="1169"/>
      <c r="AK516" s="1173"/>
      <c r="AL516" s="1171"/>
      <c r="AM516" s="1128"/>
      <c r="AN516" s="1170"/>
      <c r="AO516" s="1175"/>
      <c r="AP516" s="1175"/>
      <c r="AQ516" s="1170"/>
      <c r="AR516" s="1170">
        <f t="shared" si="812"/>
        <v>0</v>
      </c>
      <c r="AS516" s="1170"/>
      <c r="AT516" s="1170"/>
      <c r="AU516" s="1174"/>
      <c r="AV516" s="1241"/>
      <c r="AW516" s="1169"/>
      <c r="AX516" s="1177"/>
      <c r="AY516" s="1177"/>
      <c r="AZ516" s="1169"/>
      <c r="BA516" s="1169">
        <f t="shared" si="813"/>
        <v>0</v>
      </c>
      <c r="BB516" s="1169"/>
      <c r="BC516" s="1175"/>
      <c r="BD516" s="1027"/>
      <c r="BE516" s="1029"/>
      <c r="BF516" s="1029"/>
    </row>
    <row r="517" ht="18.75" customHeight="1">
      <c r="A517" s="999" t="str">
        <f t="shared" si="791"/>
        <v xml:space="preserve">Герингер О.А.</v>
      </c>
      <c r="B517" s="1176" t="s">
        <v>207</v>
      </c>
      <c r="C517" s="1194"/>
      <c r="D517" s="1163"/>
      <c r="E517" s="1164">
        <f t="shared" si="778"/>
        <v>0</v>
      </c>
      <c r="F517" s="1164">
        <f t="shared" si="792"/>
        <v>0</v>
      </c>
      <c r="G517" s="1165">
        <f t="shared" si="807"/>
        <v>0</v>
      </c>
      <c r="H517" s="1166"/>
      <c r="I517" s="1167">
        <f t="shared" si="780"/>
        <v>0</v>
      </c>
      <c r="J517" s="1167">
        <f t="shared" si="794"/>
        <v>0</v>
      </c>
      <c r="K517" s="1168">
        <f t="shared" si="808"/>
        <v>0</v>
      </c>
      <c r="L517" s="1119"/>
      <c r="M517" s="1169"/>
      <c r="N517" s="1177"/>
      <c r="O517" s="1169"/>
      <c r="P517" s="1169"/>
      <c r="Q517" s="1169">
        <f t="shared" si="809"/>
        <v>0</v>
      </c>
      <c r="R517" s="1169"/>
      <c r="S517" s="1170"/>
      <c r="T517" s="1240"/>
      <c r="U517" s="1119"/>
      <c r="V517" s="1169"/>
      <c r="W517" s="1177"/>
      <c r="X517" s="1177"/>
      <c r="Y517" s="1169"/>
      <c r="Z517" s="1169">
        <f t="shared" si="810"/>
        <v>0</v>
      </c>
      <c r="AA517" s="1169"/>
      <c r="AB517" s="1172">
        <f t="shared" si="798"/>
        <v>0</v>
      </c>
      <c r="AC517" s="1240"/>
      <c r="AD517" s="1119"/>
      <c r="AE517" s="1169"/>
      <c r="AF517" s="1177"/>
      <c r="AG517" s="1177"/>
      <c r="AH517" s="1169"/>
      <c r="AI517" s="1169">
        <f t="shared" si="811"/>
        <v>0</v>
      </c>
      <c r="AJ517" s="1169"/>
      <c r="AK517" s="1173"/>
      <c r="AL517" s="1171"/>
      <c r="AM517" s="1128"/>
      <c r="AN517" s="1170"/>
      <c r="AO517" s="1175"/>
      <c r="AP517" s="1175"/>
      <c r="AQ517" s="1170"/>
      <c r="AR517" s="1170">
        <f t="shared" si="812"/>
        <v>0</v>
      </c>
      <c r="AS517" s="1170"/>
      <c r="AT517" s="1170"/>
      <c r="AU517" s="1174"/>
      <c r="AV517" s="1241"/>
      <c r="AW517" s="1169"/>
      <c r="AX517" s="1177"/>
      <c r="AY517" s="1177"/>
      <c r="AZ517" s="1169"/>
      <c r="BA517" s="1169">
        <f t="shared" si="813"/>
        <v>0</v>
      </c>
      <c r="BB517" s="1169"/>
      <c r="BC517" s="1175"/>
      <c r="BD517" s="1027"/>
      <c r="BE517" s="1029"/>
      <c r="BF517" s="1029"/>
    </row>
    <row r="518" ht="18.75" customHeight="1">
      <c r="A518" s="999" t="str">
        <f t="shared" si="791"/>
        <v xml:space="preserve">Ничипуренко И.А.</v>
      </c>
      <c r="B518" s="1176" t="s">
        <v>375</v>
      </c>
      <c r="C518" s="1176"/>
      <c r="D518" s="1163"/>
      <c r="E518" s="1164">
        <f t="shared" si="778"/>
        <v>0</v>
      </c>
      <c r="F518" s="1164">
        <f t="shared" si="792"/>
        <v>0</v>
      </c>
      <c r="G518" s="1165">
        <f t="shared" si="807"/>
        <v>0</v>
      </c>
      <c r="H518" s="1166"/>
      <c r="I518" s="1167">
        <f t="shared" si="780"/>
        <v>0</v>
      </c>
      <c r="J518" s="1167">
        <f t="shared" si="794"/>
        <v>0</v>
      </c>
      <c r="K518" s="1168">
        <f t="shared" si="808"/>
        <v>0</v>
      </c>
      <c r="L518" s="1119"/>
      <c r="M518" s="1169"/>
      <c r="N518" s="1177"/>
      <c r="O518" s="1169"/>
      <c r="P518" s="1169"/>
      <c r="Q518" s="1169">
        <f t="shared" si="809"/>
        <v>0</v>
      </c>
      <c r="R518" s="1169"/>
      <c r="S518" s="1170"/>
      <c r="T518" s="1240"/>
      <c r="U518" s="1119"/>
      <c r="V518" s="1169"/>
      <c r="W518" s="1177"/>
      <c r="X518" s="1177"/>
      <c r="Y518" s="1169"/>
      <c r="Z518" s="1169">
        <f t="shared" si="810"/>
        <v>0</v>
      </c>
      <c r="AA518" s="1169"/>
      <c r="AB518" s="1172">
        <f t="shared" si="798"/>
        <v>0</v>
      </c>
      <c r="AC518" s="1240"/>
      <c r="AD518" s="1119"/>
      <c r="AE518" s="1169"/>
      <c r="AF518" s="1177"/>
      <c r="AG518" s="1177"/>
      <c r="AH518" s="1169"/>
      <c r="AI518" s="1169">
        <f t="shared" si="811"/>
        <v>0</v>
      </c>
      <c r="AJ518" s="1169"/>
      <c r="AK518" s="1173"/>
      <c r="AL518" s="1171"/>
      <c r="AM518" s="1128"/>
      <c r="AN518" s="1170"/>
      <c r="AO518" s="1175"/>
      <c r="AP518" s="1175"/>
      <c r="AQ518" s="1170"/>
      <c r="AR518" s="1170">
        <f t="shared" si="812"/>
        <v>0</v>
      </c>
      <c r="AS518" s="1170"/>
      <c r="AT518" s="1170"/>
      <c r="AU518" s="1174"/>
      <c r="AV518" s="1241"/>
      <c r="AW518" s="1169"/>
      <c r="AX518" s="1177"/>
      <c r="AY518" s="1177"/>
      <c r="AZ518" s="1169"/>
      <c r="BA518" s="1169">
        <f t="shared" si="813"/>
        <v>0</v>
      </c>
      <c r="BB518" s="1169"/>
      <c r="BC518" s="1175"/>
      <c r="BD518" s="1027"/>
      <c r="BE518" s="1029"/>
      <c r="BF518" s="1029"/>
    </row>
    <row r="519" ht="18.75" customHeight="1">
      <c r="A519" s="999" t="str">
        <f t="shared" si="791"/>
        <v xml:space="preserve">Дылыкова А.А. Закусова О.А. Бондаренко НФ</v>
      </c>
      <c r="B519" s="1176" t="s">
        <v>210</v>
      </c>
      <c r="C519" s="1176"/>
      <c r="D519" s="1163"/>
      <c r="E519" s="1164">
        <f t="shared" si="778"/>
        <v>0</v>
      </c>
      <c r="F519" s="1164">
        <f t="shared" si="792"/>
        <v>0</v>
      </c>
      <c r="G519" s="1165">
        <f t="shared" si="807"/>
        <v>0</v>
      </c>
      <c r="H519" s="1166"/>
      <c r="I519" s="1167">
        <f t="shared" si="780"/>
        <v>0</v>
      </c>
      <c r="J519" s="1167">
        <f t="shared" si="794"/>
        <v>0</v>
      </c>
      <c r="K519" s="1168">
        <f t="shared" si="808"/>
        <v>0</v>
      </c>
      <c r="L519" s="1119"/>
      <c r="M519" s="1169"/>
      <c r="N519" s="1177"/>
      <c r="O519" s="1169"/>
      <c r="P519" s="1169"/>
      <c r="Q519" s="1169">
        <f t="shared" si="809"/>
        <v>0</v>
      </c>
      <c r="R519" s="1169"/>
      <c r="S519" s="1170"/>
      <c r="T519" s="1240"/>
      <c r="U519" s="1119"/>
      <c r="V519" s="1169"/>
      <c r="W519" s="1177"/>
      <c r="X519" s="1177"/>
      <c r="Y519" s="1169"/>
      <c r="Z519" s="1169">
        <f t="shared" si="810"/>
        <v>0</v>
      </c>
      <c r="AA519" s="1169"/>
      <c r="AB519" s="1172">
        <f t="shared" si="798"/>
        <v>0</v>
      </c>
      <c r="AC519" s="1240"/>
      <c r="AD519" s="1119"/>
      <c r="AE519" s="1169"/>
      <c r="AF519" s="1177"/>
      <c r="AG519" s="1177"/>
      <c r="AH519" s="1169"/>
      <c r="AI519" s="1169">
        <f t="shared" si="811"/>
        <v>0</v>
      </c>
      <c r="AJ519" s="1169"/>
      <c r="AK519" s="1173"/>
      <c r="AL519" s="1171"/>
      <c r="AM519" s="1128"/>
      <c r="AN519" s="1170"/>
      <c r="AO519" s="1175"/>
      <c r="AP519" s="1175"/>
      <c r="AQ519" s="1170"/>
      <c r="AR519" s="1170">
        <f t="shared" si="812"/>
        <v>0</v>
      </c>
      <c r="AS519" s="1170"/>
      <c r="AT519" s="1170"/>
      <c r="AU519" s="1174"/>
      <c r="AV519" s="1241"/>
      <c r="AW519" s="1169"/>
      <c r="AX519" s="1177"/>
      <c r="AY519" s="1177"/>
      <c r="AZ519" s="1169"/>
      <c r="BA519" s="1169">
        <f t="shared" si="813"/>
        <v>0</v>
      </c>
      <c r="BB519" s="1169"/>
      <c r="BC519" s="1175"/>
      <c r="BD519" s="1027"/>
      <c r="BE519" s="1029"/>
      <c r="BF519" s="1029"/>
    </row>
    <row r="520" ht="18.75" customHeight="1">
      <c r="A520" s="999" t="str">
        <f t="shared" si="791"/>
        <v xml:space="preserve">Мазуренко А.Н.</v>
      </c>
      <c r="B520" s="1176" t="s">
        <v>211</v>
      </c>
      <c r="C520" s="1176"/>
      <c r="D520" s="1163"/>
      <c r="E520" s="1164">
        <f t="shared" si="778"/>
        <v>0</v>
      </c>
      <c r="F520" s="1164">
        <f t="shared" si="792"/>
        <v>0</v>
      </c>
      <c r="G520" s="1165">
        <f t="shared" si="807"/>
        <v>0</v>
      </c>
      <c r="H520" s="1166"/>
      <c r="I520" s="1167">
        <f t="shared" si="780"/>
        <v>0</v>
      </c>
      <c r="J520" s="1167">
        <f t="shared" si="794"/>
        <v>0</v>
      </c>
      <c r="K520" s="1168">
        <f t="shared" si="808"/>
        <v>0</v>
      </c>
      <c r="L520" s="1119"/>
      <c r="M520" s="1169"/>
      <c r="N520" s="1177"/>
      <c r="O520" s="1169"/>
      <c r="P520" s="1169"/>
      <c r="Q520" s="1169">
        <f t="shared" si="809"/>
        <v>0</v>
      </c>
      <c r="R520" s="1169"/>
      <c r="S520" s="1170"/>
      <c r="T520" s="1240"/>
      <c r="U520" s="1119"/>
      <c r="V520" s="1169"/>
      <c r="W520" s="1177"/>
      <c r="X520" s="1177"/>
      <c r="Y520" s="1169"/>
      <c r="Z520" s="1169">
        <f t="shared" si="810"/>
        <v>0</v>
      </c>
      <c r="AA520" s="1169"/>
      <c r="AB520" s="1172">
        <f t="shared" si="798"/>
        <v>0</v>
      </c>
      <c r="AC520" s="1240"/>
      <c r="AD520" s="1119"/>
      <c r="AE520" s="1169"/>
      <c r="AF520" s="1177"/>
      <c r="AG520" s="1177"/>
      <c r="AH520" s="1169"/>
      <c r="AI520" s="1169">
        <f t="shared" si="811"/>
        <v>0</v>
      </c>
      <c r="AJ520" s="1169"/>
      <c r="AK520" s="1173"/>
      <c r="AL520" s="1171"/>
      <c r="AM520" s="1128"/>
      <c r="AN520" s="1170"/>
      <c r="AO520" s="1175"/>
      <c r="AP520" s="1175"/>
      <c r="AQ520" s="1170"/>
      <c r="AR520" s="1170">
        <f t="shared" si="812"/>
        <v>0</v>
      </c>
      <c r="AS520" s="1170"/>
      <c r="AT520" s="1170"/>
      <c r="AU520" s="1174"/>
      <c r="AV520" s="1241"/>
      <c r="AW520" s="1169"/>
      <c r="AX520" s="1177"/>
      <c r="AY520" s="1177"/>
      <c r="AZ520" s="1169"/>
      <c r="BA520" s="1169">
        <f t="shared" si="813"/>
        <v>0</v>
      </c>
      <c r="BB520" s="1169"/>
      <c r="BC520" s="1175"/>
      <c r="BD520" s="1027"/>
      <c r="BE520" s="1029"/>
      <c r="BF520" s="1029"/>
    </row>
    <row r="521" s="1180" customFormat="1" ht="18.75" customHeight="1">
      <c r="A521" s="999">
        <f t="shared" si="791"/>
        <v>0</v>
      </c>
      <c r="B521" s="1182" t="s">
        <v>363</v>
      </c>
      <c r="C521" s="1182"/>
      <c r="D521" s="1182"/>
      <c r="E521" s="1183">
        <f t="shared" si="778"/>
        <v>0</v>
      </c>
      <c r="F521" s="1183">
        <f t="shared" si="792"/>
        <v>0</v>
      </c>
      <c r="G521" s="1184">
        <f>SUM(G508:G520)</f>
        <v>0</v>
      </c>
      <c r="H521" s="1185"/>
      <c r="I521" s="1186">
        <f t="shared" si="780"/>
        <v>0</v>
      </c>
      <c r="J521" s="1186">
        <f t="shared" si="794"/>
        <v>0</v>
      </c>
      <c r="K521" s="1187">
        <f>SUM(K508:K520)</f>
        <v>0</v>
      </c>
      <c r="L521" s="1188"/>
      <c r="M521" s="1096">
        <f t="shared" ref="M521:R521" si="814">SUM(M508:M520)</f>
        <v>0</v>
      </c>
      <c r="N521" s="1096">
        <f t="shared" si="814"/>
        <v>0</v>
      </c>
      <c r="O521" s="1096">
        <f t="shared" si="814"/>
        <v>0</v>
      </c>
      <c r="P521" s="1096">
        <f t="shared" si="814"/>
        <v>0</v>
      </c>
      <c r="Q521" s="1096">
        <f t="shared" si="814"/>
        <v>0</v>
      </c>
      <c r="R521" s="1096">
        <f t="shared" si="814"/>
        <v>0</v>
      </c>
      <c r="S521" s="1170"/>
      <c r="T521" s="1243"/>
      <c r="U521" s="1119"/>
      <c r="V521" s="1096">
        <f t="shared" ref="V521:AA521" si="815">SUM(V508:V520)</f>
        <v>0</v>
      </c>
      <c r="W521" s="1096">
        <f t="shared" si="815"/>
        <v>0</v>
      </c>
      <c r="X521" s="1096">
        <f t="shared" si="815"/>
        <v>0</v>
      </c>
      <c r="Y521" s="1096">
        <f t="shared" si="815"/>
        <v>0</v>
      </c>
      <c r="Z521" s="1096">
        <f t="shared" si="815"/>
        <v>0</v>
      </c>
      <c r="AA521" s="1096">
        <f t="shared" si="815"/>
        <v>0</v>
      </c>
      <c r="AB521" s="1172">
        <f t="shared" si="798"/>
        <v>0</v>
      </c>
      <c r="AC521" s="1243"/>
      <c r="AD521" s="1244"/>
      <c r="AE521" s="1096">
        <f t="shared" ref="AE521:AJ521" si="816">SUM(AE508:AE520)</f>
        <v>0</v>
      </c>
      <c r="AF521" s="1096">
        <f t="shared" si="816"/>
        <v>0</v>
      </c>
      <c r="AG521" s="1096">
        <f t="shared" si="816"/>
        <v>0</v>
      </c>
      <c r="AH521" s="1096">
        <f t="shared" si="816"/>
        <v>0</v>
      </c>
      <c r="AI521" s="1096">
        <f t="shared" si="816"/>
        <v>0</v>
      </c>
      <c r="AJ521" s="1096">
        <f t="shared" si="816"/>
        <v>0</v>
      </c>
      <c r="AK521" s="1173"/>
      <c r="AL521" s="1189"/>
      <c r="AM521" s="1125"/>
      <c r="AN521" s="1190">
        <f t="shared" ref="AN521:AS521" si="817">SUM(AN508:AN520)</f>
        <v>0</v>
      </c>
      <c r="AO521" s="1190">
        <f t="shared" si="817"/>
        <v>0</v>
      </c>
      <c r="AP521" s="1190">
        <f t="shared" si="817"/>
        <v>0</v>
      </c>
      <c r="AQ521" s="1190">
        <f t="shared" si="817"/>
        <v>0</v>
      </c>
      <c r="AR521" s="1190">
        <f t="shared" si="817"/>
        <v>0</v>
      </c>
      <c r="AS521" s="1190">
        <f t="shared" si="817"/>
        <v>0</v>
      </c>
      <c r="AT521" s="1170"/>
      <c r="AU521" s="1191"/>
      <c r="AV521" s="1245"/>
      <c r="AW521" s="1096">
        <f t="shared" ref="AW521:BB521" si="818">SUM(AW508:AW520)</f>
        <v>0</v>
      </c>
      <c r="AX521" s="1096">
        <f t="shared" si="818"/>
        <v>0</v>
      </c>
      <c r="AY521" s="1096">
        <f t="shared" si="818"/>
        <v>0</v>
      </c>
      <c r="AZ521" s="1096">
        <f t="shared" si="818"/>
        <v>0</v>
      </c>
      <c r="BA521" s="1096">
        <f t="shared" si="818"/>
        <v>0</v>
      </c>
      <c r="BB521" s="1096">
        <f t="shared" si="818"/>
        <v>0</v>
      </c>
      <c r="BC521" s="1175"/>
      <c r="BD521" s="1052"/>
      <c r="BE521" s="1051"/>
      <c r="BF521" s="1051"/>
      <c r="BG521" s="1106"/>
      <c r="BH521" s="1106"/>
      <c r="BI521" s="1106"/>
      <c r="BJ521" s="1106"/>
      <c r="BK521" s="1106"/>
      <c r="BL521" s="1106"/>
      <c r="BM521" s="1106"/>
    </row>
    <row r="522" ht="18.75" customHeight="1">
      <c r="A522" s="999" t="s">
        <v>485</v>
      </c>
      <c r="B522" s="1176" t="s">
        <v>379</v>
      </c>
      <c r="C522" s="1176"/>
      <c r="D522" s="1163"/>
      <c r="E522" s="1164">
        <f t="shared" si="778"/>
        <v>0</v>
      </c>
      <c r="F522" s="1164">
        <f t="shared" si="792"/>
        <v>0</v>
      </c>
      <c r="G522" s="1165">
        <f t="shared" ref="G522:G526" si="819">E522+F522</f>
        <v>0</v>
      </c>
      <c r="H522" s="1166"/>
      <c r="I522" s="1167">
        <f t="shared" si="780"/>
        <v>0</v>
      </c>
      <c r="J522" s="1167">
        <f t="shared" si="794"/>
        <v>0</v>
      </c>
      <c r="K522" s="1168">
        <f t="shared" ref="K522:K526" si="820">I522+J522</f>
        <v>0</v>
      </c>
      <c r="L522" s="1119"/>
      <c r="M522" s="1169"/>
      <c r="N522" s="1177"/>
      <c r="O522" s="1169"/>
      <c r="P522" s="1169"/>
      <c r="Q522" s="1169">
        <f t="shared" ref="Q522:Q526" si="821">SUM(M522:P522)</f>
        <v>0</v>
      </c>
      <c r="R522" s="1169"/>
      <c r="S522" s="1170"/>
      <c r="T522" s="1240"/>
      <c r="U522" s="1119"/>
      <c r="V522" s="1169"/>
      <c r="W522" s="1177"/>
      <c r="X522" s="1177"/>
      <c r="Y522" s="1169"/>
      <c r="Z522" s="1169">
        <f t="shared" ref="Z522:Z526" si="822">SUM(V522:Y522)</f>
        <v>0</v>
      </c>
      <c r="AA522" s="1169"/>
      <c r="AB522" s="1172">
        <f t="shared" si="798"/>
        <v>0</v>
      </c>
      <c r="AC522" s="1240"/>
      <c r="AD522" s="1119"/>
      <c r="AE522" s="1169"/>
      <c r="AF522" s="1177"/>
      <c r="AG522" s="1177"/>
      <c r="AH522" s="1169"/>
      <c r="AI522" s="1169">
        <f t="shared" ref="AI522:AI526" si="823">SUM(AE522:AH522)</f>
        <v>0</v>
      </c>
      <c r="AJ522" s="1169"/>
      <c r="AK522" s="1173"/>
      <c r="AL522" s="1171"/>
      <c r="AM522" s="1128"/>
      <c r="AN522" s="1170"/>
      <c r="AO522" s="1175"/>
      <c r="AP522" s="1175"/>
      <c r="AQ522" s="1170"/>
      <c r="AR522" s="1170">
        <f t="shared" ref="AR522:AR526" si="824">SUM(AN522:AQ522)</f>
        <v>0</v>
      </c>
      <c r="AS522" s="1170"/>
      <c r="AT522" s="1170"/>
      <c r="AU522" s="1174"/>
      <c r="AV522" s="1241"/>
      <c r="AW522" s="1169"/>
      <c r="AX522" s="1177"/>
      <c r="AY522" s="1177"/>
      <c r="AZ522" s="1169"/>
      <c r="BA522" s="1169">
        <f t="shared" ref="BA522:BA526" si="825">SUM(AW522:AZ522)</f>
        <v>0</v>
      </c>
      <c r="BB522" s="1169"/>
      <c r="BC522" s="1175"/>
      <c r="BD522" s="1027"/>
      <c r="BE522" s="1029"/>
      <c r="BF522" s="1029"/>
    </row>
    <row r="523" s="1215" customFormat="1" ht="18.75" customHeight="1">
      <c r="A523" s="999" t="str">
        <f t="shared" si="791"/>
        <v xml:space="preserve">Голубцова О.В.</v>
      </c>
      <c r="B523" s="1176" t="s">
        <v>381</v>
      </c>
      <c r="C523" s="1176"/>
      <c r="D523" s="1176"/>
      <c r="E523" s="1164">
        <f t="shared" si="778"/>
        <v>0</v>
      </c>
      <c r="F523" s="1164">
        <f t="shared" si="792"/>
        <v>0</v>
      </c>
      <c r="G523" s="1165">
        <f t="shared" si="819"/>
        <v>0</v>
      </c>
      <c r="H523" s="1166"/>
      <c r="I523" s="1167">
        <f t="shared" si="780"/>
        <v>0</v>
      </c>
      <c r="J523" s="1167">
        <f t="shared" si="794"/>
        <v>0</v>
      </c>
      <c r="K523" s="1168">
        <f t="shared" si="820"/>
        <v>0</v>
      </c>
      <c r="L523" s="1119"/>
      <c r="M523" s="1169"/>
      <c r="N523" s="1177"/>
      <c r="O523" s="1169"/>
      <c r="P523" s="1169"/>
      <c r="Q523" s="1169">
        <f t="shared" si="821"/>
        <v>0</v>
      </c>
      <c r="R523" s="1169"/>
      <c r="S523" s="1170"/>
      <c r="T523" s="1240"/>
      <c r="U523" s="1119"/>
      <c r="V523" s="1169"/>
      <c r="W523" s="1177"/>
      <c r="X523" s="1177"/>
      <c r="Y523" s="1169"/>
      <c r="Z523" s="1169">
        <f t="shared" si="822"/>
        <v>0</v>
      </c>
      <c r="AA523" s="1169"/>
      <c r="AB523" s="1172">
        <f t="shared" si="798"/>
        <v>0</v>
      </c>
      <c r="AC523" s="1240"/>
      <c r="AD523" s="1119"/>
      <c r="AE523" s="1169"/>
      <c r="AF523" s="1177"/>
      <c r="AG523" s="1177"/>
      <c r="AH523" s="1169"/>
      <c r="AI523" s="1169">
        <f t="shared" si="823"/>
        <v>0</v>
      </c>
      <c r="AJ523" s="1169"/>
      <c r="AK523" s="1173"/>
      <c r="AL523" s="1171"/>
      <c r="AM523" s="1128"/>
      <c r="AN523" s="1170"/>
      <c r="AO523" s="1175"/>
      <c r="AP523" s="1175"/>
      <c r="AQ523" s="1170"/>
      <c r="AR523" s="1170">
        <f t="shared" si="824"/>
        <v>0</v>
      </c>
      <c r="AS523" s="1170"/>
      <c r="AT523" s="1170"/>
      <c r="AU523" s="1174"/>
      <c r="AV523" s="1241"/>
      <c r="AW523" s="1169"/>
      <c r="AX523" s="1177"/>
      <c r="AY523" s="1177"/>
      <c r="AZ523" s="1169"/>
      <c r="BA523" s="1169">
        <f t="shared" si="825"/>
        <v>0</v>
      </c>
      <c r="BB523" s="1169"/>
      <c r="BC523" s="1175"/>
      <c r="BD523" s="1027"/>
      <c r="BE523" s="1024"/>
      <c r="BF523" s="1024"/>
      <c r="BG523" s="1008"/>
      <c r="BH523" s="1008"/>
      <c r="BI523" s="1008"/>
      <c r="BJ523" s="1008"/>
      <c r="BK523" s="1008"/>
      <c r="BL523" s="1008"/>
      <c r="BM523" s="1008"/>
    </row>
    <row r="524" ht="18.75" customHeight="1">
      <c r="A524" s="999" t="str">
        <f t="shared" si="791"/>
        <v xml:space="preserve">Бородулина М.П.</v>
      </c>
      <c r="B524" s="1176" t="s">
        <v>383</v>
      </c>
      <c r="C524" s="1176"/>
      <c r="D524" s="1163"/>
      <c r="E524" s="1164">
        <f t="shared" si="778"/>
        <v>0</v>
      </c>
      <c r="F524" s="1164">
        <f t="shared" si="792"/>
        <v>0</v>
      </c>
      <c r="G524" s="1165">
        <f t="shared" si="819"/>
        <v>0</v>
      </c>
      <c r="H524" s="1166"/>
      <c r="I524" s="1167">
        <f t="shared" si="780"/>
        <v>0</v>
      </c>
      <c r="J524" s="1167">
        <f t="shared" si="794"/>
        <v>0</v>
      </c>
      <c r="K524" s="1168">
        <f t="shared" si="820"/>
        <v>0</v>
      </c>
      <c r="L524" s="1119"/>
      <c r="M524" s="1169"/>
      <c r="N524" s="1177"/>
      <c r="O524" s="1169"/>
      <c r="P524" s="1169"/>
      <c r="Q524" s="1169">
        <f t="shared" si="821"/>
        <v>0</v>
      </c>
      <c r="R524" s="1169"/>
      <c r="S524" s="1170"/>
      <c r="T524" s="1240"/>
      <c r="U524" s="1119"/>
      <c r="V524" s="1169"/>
      <c r="W524" s="1177"/>
      <c r="X524" s="1177"/>
      <c r="Y524" s="1169"/>
      <c r="Z524" s="1169">
        <f t="shared" si="822"/>
        <v>0</v>
      </c>
      <c r="AA524" s="1169"/>
      <c r="AB524" s="1172">
        <f t="shared" si="798"/>
        <v>0</v>
      </c>
      <c r="AC524" s="1240"/>
      <c r="AD524" s="1119"/>
      <c r="AE524" s="1169"/>
      <c r="AF524" s="1177"/>
      <c r="AG524" s="1177"/>
      <c r="AH524" s="1169"/>
      <c r="AI524" s="1169">
        <f t="shared" si="823"/>
        <v>0</v>
      </c>
      <c r="AJ524" s="1169"/>
      <c r="AK524" s="1173"/>
      <c r="AL524" s="1171"/>
      <c r="AM524" s="1128"/>
      <c r="AN524" s="1170"/>
      <c r="AO524" s="1175"/>
      <c r="AP524" s="1175"/>
      <c r="AQ524" s="1170"/>
      <c r="AR524" s="1170">
        <f t="shared" si="824"/>
        <v>0</v>
      </c>
      <c r="AS524" s="1170"/>
      <c r="AT524" s="1170"/>
      <c r="AU524" s="1174"/>
      <c r="AV524" s="1241"/>
      <c r="AW524" s="1169"/>
      <c r="AX524" s="1177"/>
      <c r="AY524" s="1177"/>
      <c r="AZ524" s="1169"/>
      <c r="BA524" s="1169">
        <f t="shared" si="825"/>
        <v>0</v>
      </c>
      <c r="BB524" s="1169"/>
      <c r="BC524" s="1175"/>
      <c r="BD524" s="1027"/>
      <c r="BE524" s="1029"/>
      <c r="BF524" s="1029"/>
    </row>
    <row r="525" ht="18.75" customHeight="1">
      <c r="A525" s="999" t="str">
        <f t="shared" si="791"/>
        <v xml:space="preserve">Буханова Т.И. Мансурова А.Г.</v>
      </c>
      <c r="B525" s="1176" t="s">
        <v>385</v>
      </c>
      <c r="C525" s="1196"/>
      <c r="D525" s="1196"/>
      <c r="E525" s="1164">
        <f t="shared" si="778"/>
        <v>0</v>
      </c>
      <c r="F525" s="1164">
        <f t="shared" si="792"/>
        <v>0</v>
      </c>
      <c r="G525" s="1165">
        <f t="shared" si="819"/>
        <v>0</v>
      </c>
      <c r="H525" s="1166"/>
      <c r="I525" s="1167">
        <f t="shared" si="780"/>
        <v>0</v>
      </c>
      <c r="J525" s="1167">
        <f t="shared" si="794"/>
        <v>0</v>
      </c>
      <c r="K525" s="1168">
        <f t="shared" si="820"/>
        <v>0</v>
      </c>
      <c r="L525" s="1119"/>
      <c r="M525" s="1169"/>
      <c r="N525" s="1177"/>
      <c r="O525" s="1169"/>
      <c r="P525" s="1169"/>
      <c r="Q525" s="1169">
        <f t="shared" si="821"/>
        <v>0</v>
      </c>
      <c r="R525" s="1169"/>
      <c r="S525" s="1170"/>
      <c r="T525" s="1240"/>
      <c r="U525" s="1119"/>
      <c r="V525" s="1169"/>
      <c r="W525" s="1177"/>
      <c r="X525" s="1177"/>
      <c r="Y525" s="1169"/>
      <c r="Z525" s="1169">
        <f t="shared" si="822"/>
        <v>0</v>
      </c>
      <c r="AA525" s="1169"/>
      <c r="AB525" s="1172">
        <f t="shared" si="798"/>
        <v>0</v>
      </c>
      <c r="AC525" s="1240"/>
      <c r="AD525" s="1119"/>
      <c r="AE525" s="1169"/>
      <c r="AF525" s="1177"/>
      <c r="AG525" s="1177"/>
      <c r="AH525" s="1169"/>
      <c r="AI525" s="1169">
        <f t="shared" si="823"/>
        <v>0</v>
      </c>
      <c r="AJ525" s="1169"/>
      <c r="AK525" s="1173"/>
      <c r="AL525" s="1171"/>
      <c r="AM525" s="1128"/>
      <c r="AN525" s="1170"/>
      <c r="AO525" s="1175"/>
      <c r="AP525" s="1175"/>
      <c r="AQ525" s="1170"/>
      <c r="AR525" s="1170">
        <f t="shared" si="824"/>
        <v>0</v>
      </c>
      <c r="AS525" s="1170"/>
      <c r="AT525" s="1170"/>
      <c r="AU525" s="1174"/>
      <c r="AV525" s="1241"/>
      <c r="AW525" s="1169"/>
      <c r="AX525" s="1177"/>
      <c r="AY525" s="1177"/>
      <c r="AZ525" s="1169"/>
      <c r="BA525" s="1169">
        <f t="shared" si="825"/>
        <v>0</v>
      </c>
      <c r="BB525" s="1169"/>
      <c r="BC525" s="1175"/>
      <c r="BD525" s="1027"/>
      <c r="BE525" s="1029"/>
      <c r="BF525" s="1029"/>
    </row>
    <row r="526" ht="18.75" customHeight="1">
      <c r="A526" s="999" t="str">
        <f t="shared" si="791"/>
        <v xml:space="preserve">Мирошник Е.В.</v>
      </c>
      <c r="B526" s="1176" t="s">
        <v>387</v>
      </c>
      <c r="C526" s="1176"/>
      <c r="D526" s="1176"/>
      <c r="E526" s="1164">
        <f t="shared" si="778"/>
        <v>0</v>
      </c>
      <c r="F526" s="1164">
        <f t="shared" si="792"/>
        <v>0</v>
      </c>
      <c r="G526" s="1165">
        <f t="shared" si="819"/>
        <v>0</v>
      </c>
      <c r="H526" s="1166"/>
      <c r="I526" s="1167">
        <f t="shared" si="780"/>
        <v>0</v>
      </c>
      <c r="J526" s="1167">
        <f t="shared" si="794"/>
        <v>0</v>
      </c>
      <c r="K526" s="1168">
        <f t="shared" si="820"/>
        <v>0</v>
      </c>
      <c r="L526" s="1119"/>
      <c r="M526" s="1169"/>
      <c r="N526" s="1177"/>
      <c r="O526" s="1169"/>
      <c r="P526" s="1169"/>
      <c r="Q526" s="1169">
        <f t="shared" si="821"/>
        <v>0</v>
      </c>
      <c r="R526" s="1169"/>
      <c r="S526" s="1170"/>
      <c r="T526" s="1240"/>
      <c r="U526" s="1119"/>
      <c r="V526" s="1169"/>
      <c r="W526" s="1177"/>
      <c r="X526" s="1177"/>
      <c r="Y526" s="1169"/>
      <c r="Z526" s="1169">
        <f t="shared" si="822"/>
        <v>0</v>
      </c>
      <c r="AA526" s="1169"/>
      <c r="AB526" s="1172">
        <f t="shared" si="798"/>
        <v>0</v>
      </c>
      <c r="AC526" s="1240"/>
      <c r="AD526" s="1119"/>
      <c r="AE526" s="1169"/>
      <c r="AF526" s="1177"/>
      <c r="AG526" s="1177"/>
      <c r="AH526" s="1169"/>
      <c r="AI526" s="1169">
        <f t="shared" si="823"/>
        <v>0</v>
      </c>
      <c r="AJ526" s="1169"/>
      <c r="AK526" s="1173"/>
      <c r="AL526" s="1171"/>
      <c r="AM526" s="1128"/>
      <c r="AN526" s="1170"/>
      <c r="AO526" s="1175"/>
      <c r="AP526" s="1175"/>
      <c r="AQ526" s="1170"/>
      <c r="AR526" s="1170">
        <f t="shared" si="824"/>
        <v>0</v>
      </c>
      <c r="AS526" s="1170"/>
      <c r="AT526" s="1170"/>
      <c r="AU526" s="1174"/>
      <c r="AV526" s="1241"/>
      <c r="AW526" s="1169"/>
      <c r="AX526" s="1177"/>
      <c r="AY526" s="1177"/>
      <c r="AZ526" s="1169"/>
      <c r="BA526" s="1169">
        <f t="shared" si="825"/>
        <v>0</v>
      </c>
      <c r="BB526" s="1169"/>
      <c r="BC526" s="1175"/>
      <c r="BD526" s="1027"/>
      <c r="BE526" s="1029"/>
      <c r="BF526" s="1029"/>
    </row>
    <row r="527" s="1180" customFormat="1" ht="18.75" customHeight="1">
      <c r="A527" s="999">
        <f t="shared" si="791"/>
        <v>0</v>
      </c>
      <c r="B527" s="1182" t="s">
        <v>388</v>
      </c>
      <c r="C527" s="1182"/>
      <c r="D527" s="1182"/>
      <c r="E527" s="1183">
        <f t="shared" si="778"/>
        <v>0</v>
      </c>
      <c r="F527" s="1183">
        <f t="shared" si="792"/>
        <v>0</v>
      </c>
      <c r="G527" s="1184">
        <f>SUM(G522:G526)</f>
        <v>0</v>
      </c>
      <c r="H527" s="1185"/>
      <c r="I527" s="1186">
        <f t="shared" si="780"/>
        <v>0</v>
      </c>
      <c r="J527" s="1186">
        <f t="shared" si="794"/>
        <v>0</v>
      </c>
      <c r="K527" s="1187">
        <f>SUM(K522:K526)</f>
        <v>0</v>
      </c>
      <c r="L527" s="1188"/>
      <c r="M527" s="1096">
        <f t="shared" ref="M527:R527" si="826">SUM(M522:M526)</f>
        <v>0</v>
      </c>
      <c r="N527" s="1096">
        <f t="shared" si="826"/>
        <v>0</v>
      </c>
      <c r="O527" s="1096">
        <f t="shared" si="826"/>
        <v>0</v>
      </c>
      <c r="P527" s="1096">
        <f t="shared" si="826"/>
        <v>0</v>
      </c>
      <c r="Q527" s="1096">
        <f t="shared" si="826"/>
        <v>0</v>
      </c>
      <c r="R527" s="1096">
        <f t="shared" si="826"/>
        <v>0</v>
      </c>
      <c r="S527" s="1170"/>
      <c r="T527" s="1243"/>
      <c r="U527" s="1188"/>
      <c r="V527" s="1096">
        <f t="shared" ref="V527:AA527" si="827">SUM(V522:V526)</f>
        <v>0</v>
      </c>
      <c r="W527" s="1096">
        <f t="shared" si="827"/>
        <v>0</v>
      </c>
      <c r="X527" s="1096">
        <f t="shared" si="827"/>
        <v>0</v>
      </c>
      <c r="Y527" s="1096">
        <f t="shared" si="827"/>
        <v>0</v>
      </c>
      <c r="Z527" s="1096">
        <f t="shared" si="827"/>
        <v>0</v>
      </c>
      <c r="AA527" s="1096">
        <f t="shared" si="827"/>
        <v>0</v>
      </c>
      <c r="AB527" s="1172">
        <f t="shared" si="798"/>
        <v>0</v>
      </c>
      <c r="AC527" s="1243"/>
      <c r="AD527" s="1188"/>
      <c r="AE527" s="1096">
        <f t="shared" ref="AE527:AJ527" si="828">SUM(AE522:AE526)</f>
        <v>0</v>
      </c>
      <c r="AF527" s="1096">
        <f t="shared" si="828"/>
        <v>0</v>
      </c>
      <c r="AG527" s="1096">
        <f t="shared" si="828"/>
        <v>0</v>
      </c>
      <c r="AH527" s="1096">
        <f t="shared" si="828"/>
        <v>0</v>
      </c>
      <c r="AI527" s="1096">
        <f t="shared" si="828"/>
        <v>0</v>
      </c>
      <c r="AJ527" s="1096">
        <f t="shared" si="828"/>
        <v>0</v>
      </c>
      <c r="AK527" s="1173"/>
      <c r="AL527" s="1189"/>
      <c r="AM527" s="1197"/>
      <c r="AN527" s="1190">
        <f t="shared" ref="AN527:AS527" si="829">SUM(AN522:AN526)</f>
        <v>0</v>
      </c>
      <c r="AO527" s="1190">
        <f t="shared" si="829"/>
        <v>0</v>
      </c>
      <c r="AP527" s="1190">
        <f t="shared" si="829"/>
        <v>0</v>
      </c>
      <c r="AQ527" s="1190">
        <f t="shared" si="829"/>
        <v>0</v>
      </c>
      <c r="AR527" s="1190">
        <f t="shared" si="829"/>
        <v>0</v>
      </c>
      <c r="AS527" s="1190">
        <f t="shared" si="829"/>
        <v>0</v>
      </c>
      <c r="AT527" s="1170"/>
      <c r="AU527" s="1191"/>
      <c r="AV527" s="1197">
        <f t="shared" ref="AV527:BB527" si="830">SUM(AV522:AV526)</f>
        <v>0</v>
      </c>
      <c r="AW527" s="1096">
        <f t="shared" si="830"/>
        <v>0</v>
      </c>
      <c r="AX527" s="1096">
        <f t="shared" si="830"/>
        <v>0</v>
      </c>
      <c r="AY527" s="1096">
        <f t="shared" si="830"/>
        <v>0</v>
      </c>
      <c r="AZ527" s="1096">
        <f t="shared" si="830"/>
        <v>0</v>
      </c>
      <c r="BA527" s="1096">
        <f t="shared" si="830"/>
        <v>0</v>
      </c>
      <c r="BB527" s="1096">
        <f t="shared" si="830"/>
        <v>0</v>
      </c>
      <c r="BC527" s="1175"/>
      <c r="BD527" s="1052"/>
      <c r="BE527" s="1051"/>
      <c r="BF527" s="1051"/>
      <c r="BG527" s="1106"/>
      <c r="BH527" s="1106"/>
      <c r="BI527" s="1106"/>
      <c r="BJ527" s="1106"/>
      <c r="BK527" s="1106"/>
      <c r="BL527" s="1106"/>
      <c r="BM527" s="1106"/>
    </row>
    <row r="528" ht="18.75" customHeight="1">
      <c r="A528" s="999" t="str">
        <f t="shared" si="791"/>
        <v xml:space="preserve">Зиненко Ю.А. Шаповалова Т.Ю.</v>
      </c>
      <c r="B528" s="1176" t="s">
        <v>390</v>
      </c>
      <c r="C528" s="1198"/>
      <c r="D528" s="1163"/>
      <c r="E528" s="1164">
        <f t="shared" si="778"/>
        <v>0</v>
      </c>
      <c r="F528" s="1164">
        <f t="shared" si="792"/>
        <v>0</v>
      </c>
      <c r="G528" s="1165">
        <f t="shared" ref="G528:G530" si="831">E528+F528</f>
        <v>0</v>
      </c>
      <c r="H528" s="1166"/>
      <c r="I528" s="1167">
        <f t="shared" si="780"/>
        <v>0</v>
      </c>
      <c r="J528" s="1167">
        <f t="shared" si="794"/>
        <v>0</v>
      </c>
      <c r="K528" s="1168">
        <f t="shared" ref="K528:K530" si="832">I528+J528</f>
        <v>0</v>
      </c>
      <c r="L528" s="1188"/>
      <c r="M528" s="1169"/>
      <c r="N528" s="1199"/>
      <c r="O528" s="1169"/>
      <c r="P528" s="1169"/>
      <c r="Q528" s="1169">
        <f t="shared" ref="Q528:Q530" si="833">SUM(M528:P528)</f>
        <v>0</v>
      </c>
      <c r="R528" s="1169"/>
      <c r="S528" s="1170"/>
      <c r="T528" s="1240"/>
      <c r="U528" s="1119"/>
      <c r="V528" s="1169"/>
      <c r="W528" s="1199"/>
      <c r="X528" s="1199"/>
      <c r="Y528" s="1169"/>
      <c r="Z528" s="1169">
        <f t="shared" ref="Z528:Z530" si="834">SUM(V528:Y528)</f>
        <v>0</v>
      </c>
      <c r="AA528" s="1169"/>
      <c r="AB528" s="1172">
        <f t="shared" si="798"/>
        <v>0</v>
      </c>
      <c r="AC528" s="1240"/>
      <c r="AD528" s="1119"/>
      <c r="AE528" s="1169"/>
      <c r="AF528" s="1199"/>
      <c r="AG528" s="1199"/>
      <c r="AH528" s="1169"/>
      <c r="AI528" s="1169">
        <f t="shared" ref="AI528:AI530" si="835">SUM(AE528:AH528)</f>
        <v>0</v>
      </c>
      <c r="AJ528" s="1169"/>
      <c r="AK528" s="1173"/>
      <c r="AL528" s="1171"/>
      <c r="AM528" s="1128"/>
      <c r="AN528" s="1170"/>
      <c r="AO528" s="1200"/>
      <c r="AP528" s="1200"/>
      <c r="AQ528" s="1170"/>
      <c r="AR528" s="1170">
        <f t="shared" ref="AR528:AR530" si="836">SUM(AN528:AQ528)</f>
        <v>0</v>
      </c>
      <c r="AS528" s="1170"/>
      <c r="AT528" s="1170"/>
      <c r="AU528" s="1174"/>
      <c r="AV528" s="1241"/>
      <c r="AW528" s="1169"/>
      <c r="AX528" s="1199"/>
      <c r="AY528" s="1199"/>
      <c r="AZ528" s="1169"/>
      <c r="BA528" s="1169">
        <f t="shared" ref="BA528:BA530" si="837">SUM(AW528:AZ528)</f>
        <v>0</v>
      </c>
      <c r="BB528" s="1169"/>
      <c r="BC528" s="1175"/>
      <c r="BD528" s="1027"/>
      <c r="BE528" s="1029"/>
      <c r="BF528" s="1029"/>
    </row>
    <row r="529" ht="18.75" customHeight="1">
      <c r="A529" s="999" t="str">
        <f t="shared" si="791"/>
        <v xml:space="preserve">Майорова И.В.</v>
      </c>
      <c r="B529" s="1176" t="s">
        <v>392</v>
      </c>
      <c r="C529" s="1198"/>
      <c r="D529" s="1163"/>
      <c r="E529" s="1164">
        <f t="shared" si="778"/>
        <v>0</v>
      </c>
      <c r="F529" s="1164">
        <f t="shared" si="792"/>
        <v>0</v>
      </c>
      <c r="G529" s="1165">
        <f t="shared" si="831"/>
        <v>0</v>
      </c>
      <c r="H529" s="1166"/>
      <c r="I529" s="1167">
        <f t="shared" si="780"/>
        <v>0</v>
      </c>
      <c r="J529" s="1167">
        <f t="shared" si="794"/>
        <v>0</v>
      </c>
      <c r="K529" s="1168">
        <f t="shared" si="832"/>
        <v>0</v>
      </c>
      <c r="L529" s="1188"/>
      <c r="M529" s="1169"/>
      <c r="N529" s="1177"/>
      <c r="O529" s="1169"/>
      <c r="P529" s="1169"/>
      <c r="Q529" s="1169">
        <f t="shared" si="833"/>
        <v>0</v>
      </c>
      <c r="R529" s="1169"/>
      <c r="S529" s="1170"/>
      <c r="T529" s="1240"/>
      <c r="U529" s="1119"/>
      <c r="V529" s="1169"/>
      <c r="W529" s="1177"/>
      <c r="X529" s="1177"/>
      <c r="Y529" s="1169"/>
      <c r="Z529" s="1169">
        <f t="shared" si="834"/>
        <v>0</v>
      </c>
      <c r="AA529" s="1169"/>
      <c r="AB529" s="1172">
        <f t="shared" si="798"/>
        <v>0</v>
      </c>
      <c r="AC529" s="1240"/>
      <c r="AD529" s="1119"/>
      <c r="AE529" s="1169"/>
      <c r="AF529" s="1177"/>
      <c r="AG529" s="1177"/>
      <c r="AH529" s="1169"/>
      <c r="AI529" s="1169">
        <f t="shared" si="835"/>
        <v>0</v>
      </c>
      <c r="AJ529" s="1169"/>
      <c r="AK529" s="1173"/>
      <c r="AL529" s="1171"/>
      <c r="AM529" s="1128"/>
      <c r="AN529" s="1170"/>
      <c r="AO529" s="1175"/>
      <c r="AP529" s="1175"/>
      <c r="AQ529" s="1170"/>
      <c r="AR529" s="1170">
        <f t="shared" si="836"/>
        <v>0</v>
      </c>
      <c r="AS529" s="1170"/>
      <c r="AT529" s="1170"/>
      <c r="AU529" s="1174"/>
      <c r="AV529" s="1241"/>
      <c r="AW529" s="1169"/>
      <c r="AX529" s="1177"/>
      <c r="AY529" s="1177"/>
      <c r="AZ529" s="1169"/>
      <c r="BA529" s="1169">
        <f t="shared" si="837"/>
        <v>0</v>
      </c>
      <c r="BB529" s="1169"/>
      <c r="BC529" s="1175"/>
      <c r="BD529" s="1027"/>
      <c r="BE529" s="1029"/>
      <c r="BF529" s="1029"/>
    </row>
    <row r="530" ht="18.75" customHeight="1">
      <c r="A530" s="999" t="str">
        <f t="shared" si="791"/>
        <v xml:space="preserve">Гребенюк Ю.С.,  Молчанова Н.М.</v>
      </c>
      <c r="B530" s="1176" t="s">
        <v>265</v>
      </c>
      <c r="C530" s="1131"/>
      <c r="D530" s="1201"/>
      <c r="E530" s="1164">
        <f t="shared" si="778"/>
        <v>0</v>
      </c>
      <c r="F530" s="1164">
        <f t="shared" si="792"/>
        <v>0</v>
      </c>
      <c r="G530" s="1165">
        <f t="shared" si="831"/>
        <v>0</v>
      </c>
      <c r="H530" s="1166"/>
      <c r="I530" s="1167">
        <f t="shared" si="780"/>
        <v>0</v>
      </c>
      <c r="J530" s="1167">
        <f t="shared" si="794"/>
        <v>0</v>
      </c>
      <c r="K530" s="1168">
        <f t="shared" si="832"/>
        <v>0</v>
      </c>
      <c r="L530" s="1119"/>
      <c r="M530" s="1169"/>
      <c r="N530" s="1177"/>
      <c r="O530" s="1169"/>
      <c r="P530" s="1169"/>
      <c r="Q530" s="1169">
        <f t="shared" si="833"/>
        <v>0</v>
      </c>
      <c r="R530" s="1169"/>
      <c r="S530" s="1170"/>
      <c r="T530" s="1240"/>
      <c r="U530" s="1119"/>
      <c r="V530" s="1169"/>
      <c r="W530" s="1177"/>
      <c r="X530" s="1177"/>
      <c r="Y530" s="1169"/>
      <c r="Z530" s="1169">
        <f t="shared" si="834"/>
        <v>0</v>
      </c>
      <c r="AA530" s="1169"/>
      <c r="AB530" s="1172">
        <f t="shared" si="798"/>
        <v>0</v>
      </c>
      <c r="AC530" s="1240"/>
      <c r="AD530" s="1119"/>
      <c r="AE530" s="1169"/>
      <c r="AF530" s="1177"/>
      <c r="AG530" s="1177"/>
      <c r="AH530" s="1169"/>
      <c r="AI530" s="1169">
        <f t="shared" si="835"/>
        <v>0</v>
      </c>
      <c r="AJ530" s="1169"/>
      <c r="AK530" s="1173"/>
      <c r="AL530" s="1171"/>
      <c r="AM530" s="1128"/>
      <c r="AN530" s="1170"/>
      <c r="AO530" s="1175"/>
      <c r="AP530" s="1175"/>
      <c r="AQ530" s="1170"/>
      <c r="AR530" s="1170">
        <f t="shared" si="836"/>
        <v>0</v>
      </c>
      <c r="AS530" s="1170"/>
      <c r="AT530" s="1170"/>
      <c r="AU530" s="1174"/>
      <c r="AV530" s="1241"/>
      <c r="AW530" s="1169"/>
      <c r="AX530" s="1177"/>
      <c r="AY530" s="1177"/>
      <c r="AZ530" s="1169"/>
      <c r="BA530" s="1169">
        <f t="shared" si="837"/>
        <v>0</v>
      </c>
      <c r="BB530" s="1169"/>
      <c r="BC530" s="1175"/>
      <c r="BD530" s="1027"/>
      <c r="BE530" s="1029"/>
      <c r="BF530" s="1029"/>
    </row>
    <row r="531" s="1180" customFormat="1" ht="18.75" customHeight="1">
      <c r="A531" s="999">
        <f t="shared" si="791"/>
        <v>0</v>
      </c>
      <c r="B531" s="1182" t="s">
        <v>394</v>
      </c>
      <c r="C531" s="1182"/>
      <c r="D531" s="1182"/>
      <c r="E531" s="1183">
        <f t="shared" si="778"/>
        <v>0</v>
      </c>
      <c r="F531" s="1183">
        <f t="shared" si="792"/>
        <v>0</v>
      </c>
      <c r="G531" s="1184">
        <f>SUM(G528:G530)</f>
        <v>0</v>
      </c>
      <c r="H531" s="1185"/>
      <c r="I531" s="1186">
        <f t="shared" si="780"/>
        <v>0</v>
      </c>
      <c r="J531" s="1186">
        <f t="shared" si="794"/>
        <v>0</v>
      </c>
      <c r="K531" s="1187">
        <f>SUM(K528:K530)</f>
        <v>0</v>
      </c>
      <c r="L531" s="1188"/>
      <c r="M531" s="1096">
        <f t="shared" ref="M531:R535" si="838">SUM(M528:M530)</f>
        <v>0</v>
      </c>
      <c r="N531" s="1096">
        <f t="shared" si="838"/>
        <v>0</v>
      </c>
      <c r="O531" s="1096">
        <f t="shared" si="838"/>
        <v>0</v>
      </c>
      <c r="P531" s="1096">
        <f t="shared" si="838"/>
        <v>0</v>
      </c>
      <c r="Q531" s="1096">
        <f t="shared" si="838"/>
        <v>0</v>
      </c>
      <c r="R531" s="1096">
        <f t="shared" si="838"/>
        <v>0</v>
      </c>
      <c r="S531" s="1170"/>
      <c r="T531" s="1243"/>
      <c r="U531" s="1119"/>
      <c r="V531" s="1096">
        <f t="shared" ref="V531:AA535" si="839">SUM(V528:V530)</f>
        <v>0</v>
      </c>
      <c r="W531" s="1096">
        <f t="shared" si="839"/>
        <v>0</v>
      </c>
      <c r="X531" s="1096">
        <f t="shared" si="839"/>
        <v>0</v>
      </c>
      <c r="Y531" s="1096">
        <f t="shared" si="839"/>
        <v>0</v>
      </c>
      <c r="Z531" s="1096">
        <f t="shared" si="839"/>
        <v>0</v>
      </c>
      <c r="AA531" s="1096">
        <f t="shared" si="839"/>
        <v>0</v>
      </c>
      <c r="AB531" s="1172">
        <f t="shared" si="798"/>
        <v>0</v>
      </c>
      <c r="AC531" s="1243"/>
      <c r="AD531" s="1244"/>
      <c r="AE531" s="1096">
        <f t="shared" ref="AE531:AJ535" si="840">SUM(AE528:AE530)</f>
        <v>0</v>
      </c>
      <c r="AF531" s="1096">
        <f t="shared" si="840"/>
        <v>0</v>
      </c>
      <c r="AG531" s="1096">
        <f t="shared" si="840"/>
        <v>0</v>
      </c>
      <c r="AH531" s="1096">
        <f t="shared" si="840"/>
        <v>0</v>
      </c>
      <c r="AI531" s="1096">
        <f t="shared" si="840"/>
        <v>0</v>
      </c>
      <c r="AJ531" s="1096">
        <f t="shared" si="840"/>
        <v>0</v>
      </c>
      <c r="AK531" s="1173"/>
      <c r="AL531" s="1189"/>
      <c r="AM531" s="1125"/>
      <c r="AN531" s="1190">
        <f t="shared" ref="AN531:AS535" si="841">SUM(AN528:AN530)</f>
        <v>0</v>
      </c>
      <c r="AO531" s="1190">
        <f t="shared" si="841"/>
        <v>0</v>
      </c>
      <c r="AP531" s="1190">
        <f t="shared" si="841"/>
        <v>0</v>
      </c>
      <c r="AQ531" s="1190">
        <f t="shared" si="841"/>
        <v>0</v>
      </c>
      <c r="AR531" s="1190">
        <f t="shared" si="841"/>
        <v>0</v>
      </c>
      <c r="AS531" s="1190">
        <f t="shared" si="841"/>
        <v>0</v>
      </c>
      <c r="AT531" s="1170"/>
      <c r="AU531" s="1191"/>
      <c r="AV531" s="1245"/>
      <c r="AW531" s="1096">
        <f t="shared" ref="AW531:BB535" si="842">SUM(AW528:AW530)</f>
        <v>0</v>
      </c>
      <c r="AX531" s="1096">
        <f t="shared" si="842"/>
        <v>0</v>
      </c>
      <c r="AY531" s="1096">
        <f t="shared" si="842"/>
        <v>0</v>
      </c>
      <c r="AZ531" s="1096">
        <f t="shared" si="842"/>
        <v>0</v>
      </c>
      <c r="BA531" s="1096">
        <f t="shared" si="842"/>
        <v>0</v>
      </c>
      <c r="BB531" s="1096">
        <f t="shared" si="842"/>
        <v>0</v>
      </c>
      <c r="BC531" s="1175"/>
      <c r="BD531" s="1052"/>
      <c r="BE531" s="1051"/>
      <c r="BF531" s="1051"/>
      <c r="BG531" s="1106"/>
      <c r="BH531" s="1106"/>
      <c r="BI531" s="1106"/>
      <c r="BJ531" s="1106"/>
      <c r="BK531" s="1106"/>
      <c r="BL531" s="1106"/>
      <c r="BM531" s="1106"/>
    </row>
    <row r="532" ht="18.75" customHeight="1">
      <c r="A532" s="999" t="str">
        <f t="shared" si="791"/>
        <v xml:space="preserve">Шевченко ЕА, Мацак ЕН</v>
      </c>
      <c r="B532" s="1202" t="s">
        <v>50</v>
      </c>
      <c r="C532" s="1203"/>
      <c r="D532" s="1201"/>
      <c r="E532" s="1164">
        <f t="shared" si="778"/>
        <v>0</v>
      </c>
      <c r="F532" s="1164">
        <f t="shared" si="792"/>
        <v>0</v>
      </c>
      <c r="G532" s="1165">
        <f t="shared" ref="G532:G534" si="843">E532+F532</f>
        <v>0</v>
      </c>
      <c r="H532" s="1166"/>
      <c r="I532" s="1167">
        <f t="shared" si="780"/>
        <v>0</v>
      </c>
      <c r="J532" s="1167">
        <f t="shared" si="794"/>
        <v>0</v>
      </c>
      <c r="K532" s="1168">
        <f t="shared" ref="K532:K534" si="844">I532+J532</f>
        <v>0</v>
      </c>
      <c r="L532" s="1119"/>
      <c r="M532" s="1169"/>
      <c r="N532" s="1177"/>
      <c r="O532" s="1169"/>
      <c r="P532" s="1169"/>
      <c r="Q532" s="1169">
        <f t="shared" ref="Q532:Q534" si="845">SUM(M532:P532)</f>
        <v>0</v>
      </c>
      <c r="R532" s="1169"/>
      <c r="S532" s="1170"/>
      <c r="T532" s="1240"/>
      <c r="U532" s="1119"/>
      <c r="V532" s="1169"/>
      <c r="W532" s="1177"/>
      <c r="X532" s="1177"/>
      <c r="Y532" s="1169"/>
      <c r="Z532" s="1169">
        <f t="shared" ref="Z532:Z534" si="846">SUM(V532:Y532)</f>
        <v>0</v>
      </c>
      <c r="AA532" s="1169"/>
      <c r="AB532" s="1172">
        <f t="shared" si="798"/>
        <v>0</v>
      </c>
      <c r="AC532" s="1240"/>
      <c r="AD532" s="1119"/>
      <c r="AE532" s="1169"/>
      <c r="AF532" s="1177"/>
      <c r="AG532" s="1177"/>
      <c r="AH532" s="1169"/>
      <c r="AI532" s="1169">
        <f t="shared" ref="AI532:AI534" si="847">SUM(AE532:AH532)</f>
        <v>0</v>
      </c>
      <c r="AJ532" s="1169"/>
      <c r="AK532" s="1173"/>
      <c r="AL532" s="1171"/>
      <c r="AM532" s="1128"/>
      <c r="AN532" s="1170"/>
      <c r="AO532" s="1175"/>
      <c r="AP532" s="1175"/>
      <c r="AQ532" s="1170"/>
      <c r="AR532" s="1170">
        <f t="shared" ref="AR532:AR534" si="848">SUM(AN532:AQ532)</f>
        <v>0</v>
      </c>
      <c r="AS532" s="1170"/>
      <c r="AT532" s="1170"/>
      <c r="AU532" s="1174"/>
      <c r="AV532" s="1241"/>
      <c r="AW532" s="1169"/>
      <c r="AX532" s="1177"/>
      <c r="AY532" s="1177"/>
      <c r="AZ532" s="1169"/>
      <c r="BA532" s="1169">
        <f t="shared" ref="BA532:BA534" si="849">SUM(AW532:AZ532)</f>
        <v>0</v>
      </c>
      <c r="BB532" s="1169"/>
      <c r="BC532" s="1175"/>
      <c r="BD532" s="1027"/>
      <c r="BE532" s="1029"/>
      <c r="BF532" s="1029"/>
    </row>
    <row r="533" ht="18.75" customHeight="1">
      <c r="A533" s="999" t="str">
        <f t="shared" si="791"/>
        <v xml:space="preserve">Лещенко О.А.</v>
      </c>
      <c r="B533" s="1202" t="s">
        <v>397</v>
      </c>
      <c r="C533" s="1203"/>
      <c r="D533" s="1201"/>
      <c r="E533" s="1164">
        <f t="shared" si="778"/>
        <v>0</v>
      </c>
      <c r="F533" s="1164">
        <f t="shared" si="792"/>
        <v>0</v>
      </c>
      <c r="G533" s="1165">
        <f t="shared" si="843"/>
        <v>0</v>
      </c>
      <c r="H533" s="1166"/>
      <c r="I533" s="1167">
        <f t="shared" si="780"/>
        <v>0</v>
      </c>
      <c r="J533" s="1167">
        <f t="shared" si="794"/>
        <v>0</v>
      </c>
      <c r="K533" s="1168">
        <f t="shared" si="844"/>
        <v>0</v>
      </c>
      <c r="L533" s="1119"/>
      <c r="M533" s="1169"/>
      <c r="N533" s="1177"/>
      <c r="O533" s="1169"/>
      <c r="P533" s="1169"/>
      <c r="Q533" s="1169">
        <f t="shared" si="845"/>
        <v>0</v>
      </c>
      <c r="R533" s="1169"/>
      <c r="S533" s="1170"/>
      <c r="T533" s="1240"/>
      <c r="U533" s="1119"/>
      <c r="V533" s="1169"/>
      <c r="W533" s="1177"/>
      <c r="X533" s="1177"/>
      <c r="Y533" s="1169"/>
      <c r="Z533" s="1169">
        <f t="shared" si="846"/>
        <v>0</v>
      </c>
      <c r="AA533" s="1169"/>
      <c r="AB533" s="1172">
        <f t="shared" si="798"/>
        <v>0</v>
      </c>
      <c r="AC533" s="1240"/>
      <c r="AD533" s="1119"/>
      <c r="AE533" s="1169"/>
      <c r="AF533" s="1177"/>
      <c r="AG533" s="1177"/>
      <c r="AH533" s="1169"/>
      <c r="AI533" s="1169">
        <f t="shared" si="847"/>
        <v>0</v>
      </c>
      <c r="AJ533" s="1169"/>
      <c r="AK533" s="1173"/>
      <c r="AL533" s="1171"/>
      <c r="AM533" s="1128"/>
      <c r="AN533" s="1170"/>
      <c r="AO533" s="1175"/>
      <c r="AP533" s="1175"/>
      <c r="AQ533" s="1170"/>
      <c r="AR533" s="1170">
        <f t="shared" si="848"/>
        <v>0</v>
      </c>
      <c r="AS533" s="1170"/>
      <c r="AT533" s="1170"/>
      <c r="AU533" s="1174"/>
      <c r="AV533" s="1241"/>
      <c r="AW533" s="1169"/>
      <c r="AX533" s="1177"/>
      <c r="AY533" s="1177"/>
      <c r="AZ533" s="1169"/>
      <c r="BA533" s="1169">
        <f t="shared" si="849"/>
        <v>0</v>
      </c>
      <c r="BB533" s="1169"/>
      <c r="BC533" s="1175"/>
      <c r="BD533" s="1027"/>
      <c r="BE533" s="1029"/>
      <c r="BF533" s="1029"/>
    </row>
    <row r="534" ht="18.75" customHeight="1">
      <c r="A534" s="999" t="str">
        <f t="shared" si="791"/>
        <v xml:space="preserve">Павленко И.В.</v>
      </c>
      <c r="B534" s="1202" t="s">
        <v>399</v>
      </c>
      <c r="C534" s="1204"/>
      <c r="D534" s="1201"/>
      <c r="E534" s="1164">
        <f t="shared" si="778"/>
        <v>0</v>
      </c>
      <c r="F534" s="1164">
        <f t="shared" si="792"/>
        <v>0</v>
      </c>
      <c r="G534" s="1165">
        <f t="shared" si="843"/>
        <v>0</v>
      </c>
      <c r="H534" s="1166"/>
      <c r="I534" s="1167">
        <f t="shared" si="780"/>
        <v>0</v>
      </c>
      <c r="J534" s="1167">
        <f t="shared" si="794"/>
        <v>0</v>
      </c>
      <c r="K534" s="1168">
        <f t="shared" si="844"/>
        <v>0</v>
      </c>
      <c r="L534" s="1119"/>
      <c r="M534" s="1169"/>
      <c r="N534" s="1177"/>
      <c r="O534" s="1169"/>
      <c r="P534" s="1169"/>
      <c r="Q534" s="1169">
        <f t="shared" si="845"/>
        <v>0</v>
      </c>
      <c r="R534" s="1169"/>
      <c r="S534" s="1170"/>
      <c r="T534" s="1240"/>
      <c r="U534" s="1119"/>
      <c r="V534" s="1169"/>
      <c r="W534" s="1177"/>
      <c r="X534" s="1177"/>
      <c r="Y534" s="1169"/>
      <c r="Z534" s="1169">
        <f t="shared" si="846"/>
        <v>0</v>
      </c>
      <c r="AA534" s="1169"/>
      <c r="AB534" s="1172">
        <f t="shared" si="798"/>
        <v>0</v>
      </c>
      <c r="AC534" s="1240"/>
      <c r="AD534" s="1119"/>
      <c r="AE534" s="1169"/>
      <c r="AF534" s="1177"/>
      <c r="AG534" s="1177"/>
      <c r="AH534" s="1169"/>
      <c r="AI534" s="1169">
        <f t="shared" si="847"/>
        <v>0</v>
      </c>
      <c r="AJ534" s="1169"/>
      <c r="AK534" s="1173"/>
      <c r="AL534" s="1171"/>
      <c r="AM534" s="1128"/>
      <c r="AN534" s="1170"/>
      <c r="AO534" s="1175"/>
      <c r="AP534" s="1175"/>
      <c r="AQ534" s="1170"/>
      <c r="AR534" s="1170">
        <f t="shared" si="848"/>
        <v>0</v>
      </c>
      <c r="AS534" s="1170"/>
      <c r="AT534" s="1170"/>
      <c r="AU534" s="1174"/>
      <c r="AV534" s="1241"/>
      <c r="AW534" s="1169"/>
      <c r="AX534" s="1177"/>
      <c r="AY534" s="1177"/>
      <c r="AZ534" s="1169"/>
      <c r="BA534" s="1169">
        <f t="shared" si="849"/>
        <v>0</v>
      </c>
      <c r="BB534" s="1169"/>
      <c r="BC534" s="1175"/>
      <c r="BD534" s="1027"/>
      <c r="BE534" s="1029"/>
      <c r="BF534" s="1029"/>
    </row>
    <row r="535" s="1180" customFormat="1" ht="18.75" customHeight="1">
      <c r="A535" s="999">
        <f t="shared" si="791"/>
        <v>0</v>
      </c>
      <c r="B535" s="1205" t="s">
        <v>363</v>
      </c>
      <c r="C535" s="1205"/>
      <c r="D535" s="1205"/>
      <c r="E535" s="1183">
        <f t="shared" si="778"/>
        <v>0</v>
      </c>
      <c r="F535" s="1183">
        <f t="shared" si="792"/>
        <v>0</v>
      </c>
      <c r="G535" s="1184">
        <f>SUM(G532:G534)</f>
        <v>0</v>
      </c>
      <c r="H535" s="1185"/>
      <c r="I535" s="1186">
        <f t="shared" si="780"/>
        <v>0</v>
      </c>
      <c r="J535" s="1186">
        <f t="shared" si="794"/>
        <v>0</v>
      </c>
      <c r="K535" s="1187">
        <f>SUM(K532:K534)</f>
        <v>0</v>
      </c>
      <c r="L535" s="1188"/>
      <c r="M535" s="1096">
        <f t="shared" si="838"/>
        <v>0</v>
      </c>
      <c r="N535" s="1096">
        <f t="shared" si="838"/>
        <v>0</v>
      </c>
      <c r="O535" s="1096">
        <f t="shared" si="838"/>
        <v>0</v>
      </c>
      <c r="P535" s="1096">
        <f t="shared" si="838"/>
        <v>0</v>
      </c>
      <c r="Q535" s="1096">
        <f t="shared" si="838"/>
        <v>0</v>
      </c>
      <c r="R535" s="1096">
        <f t="shared" si="838"/>
        <v>0</v>
      </c>
      <c r="S535" s="1170"/>
      <c r="T535" s="1243"/>
      <c r="U535" s="1119"/>
      <c r="V535" s="1096">
        <f t="shared" si="839"/>
        <v>0</v>
      </c>
      <c r="W535" s="1096">
        <f t="shared" si="839"/>
        <v>0</v>
      </c>
      <c r="X535" s="1096">
        <f t="shared" si="839"/>
        <v>0</v>
      </c>
      <c r="Y535" s="1096">
        <f t="shared" si="839"/>
        <v>0</v>
      </c>
      <c r="Z535" s="1096">
        <f t="shared" si="839"/>
        <v>0</v>
      </c>
      <c r="AA535" s="1096">
        <f t="shared" si="839"/>
        <v>0</v>
      </c>
      <c r="AB535" s="1172">
        <f t="shared" si="798"/>
        <v>0</v>
      </c>
      <c r="AC535" s="1243"/>
      <c r="AD535" s="1244"/>
      <c r="AE535" s="1096">
        <f t="shared" si="840"/>
        <v>0</v>
      </c>
      <c r="AF535" s="1096">
        <f t="shared" si="840"/>
        <v>0</v>
      </c>
      <c r="AG535" s="1096">
        <f t="shared" si="840"/>
        <v>0</v>
      </c>
      <c r="AH535" s="1096">
        <f t="shared" si="840"/>
        <v>0</v>
      </c>
      <c r="AI535" s="1096">
        <f t="shared" si="840"/>
        <v>0</v>
      </c>
      <c r="AJ535" s="1096">
        <f t="shared" si="840"/>
        <v>0</v>
      </c>
      <c r="AK535" s="1173"/>
      <c r="AL535" s="1189"/>
      <c r="AM535" s="1125"/>
      <c r="AN535" s="1190">
        <f t="shared" si="841"/>
        <v>0</v>
      </c>
      <c r="AO535" s="1190">
        <f t="shared" si="841"/>
        <v>0</v>
      </c>
      <c r="AP535" s="1190">
        <f t="shared" si="841"/>
        <v>0</v>
      </c>
      <c r="AQ535" s="1190">
        <f t="shared" si="841"/>
        <v>0</v>
      </c>
      <c r="AR535" s="1190">
        <f t="shared" si="841"/>
        <v>0</v>
      </c>
      <c r="AS535" s="1190">
        <f t="shared" si="841"/>
        <v>0</v>
      </c>
      <c r="AT535" s="1170"/>
      <c r="AU535" s="1191"/>
      <c r="AV535" s="1245"/>
      <c r="AW535" s="1096">
        <f t="shared" si="842"/>
        <v>0</v>
      </c>
      <c r="AX535" s="1096">
        <f t="shared" si="842"/>
        <v>0</v>
      </c>
      <c r="AY535" s="1096">
        <f t="shared" si="842"/>
        <v>0</v>
      </c>
      <c r="AZ535" s="1096">
        <f t="shared" si="842"/>
        <v>0</v>
      </c>
      <c r="BA535" s="1096">
        <f t="shared" si="842"/>
        <v>0</v>
      </c>
      <c r="BB535" s="1096">
        <f t="shared" si="842"/>
        <v>0</v>
      </c>
      <c r="BC535" s="1175"/>
      <c r="BD535" s="1052"/>
      <c r="BE535" s="1051"/>
      <c r="BF535" s="1051"/>
      <c r="BG535" s="1106"/>
      <c r="BH535" s="1106"/>
      <c r="BI535" s="1106"/>
      <c r="BJ535" s="1106"/>
      <c r="BK535" s="1106"/>
      <c r="BL535" s="1106"/>
      <c r="BM535" s="1106"/>
    </row>
    <row r="536" s="1180" customFormat="1" ht="18.75" customHeight="1">
      <c r="A536" s="999">
        <f t="shared" si="791"/>
        <v>0</v>
      </c>
      <c r="B536" s="1205" t="s">
        <v>400</v>
      </c>
      <c r="C536" s="1205"/>
      <c r="D536" s="1205"/>
      <c r="E536" s="1183">
        <f t="shared" si="778"/>
        <v>0</v>
      </c>
      <c r="F536" s="1183">
        <f t="shared" si="792"/>
        <v>0</v>
      </c>
      <c r="G536" s="1184">
        <f>G535+G531+G527+G521+G507</f>
        <v>0</v>
      </c>
      <c r="H536" s="1185"/>
      <c r="I536" s="1186">
        <f t="shared" si="780"/>
        <v>0</v>
      </c>
      <c r="J536" s="1186">
        <f t="shared" si="794"/>
        <v>0</v>
      </c>
      <c r="K536" s="1187">
        <f>K535+K531+K527+K521+K507</f>
        <v>0</v>
      </c>
      <c r="L536" s="1206"/>
      <c r="M536" s="1209">
        <f t="shared" ref="M536:R536" si="850">M535+M531+M527+M521+M507</f>
        <v>0</v>
      </c>
      <c r="N536" s="1209">
        <f t="shared" si="850"/>
        <v>0</v>
      </c>
      <c r="O536" s="1209">
        <f t="shared" si="850"/>
        <v>0</v>
      </c>
      <c r="P536" s="1209">
        <f t="shared" si="850"/>
        <v>0</v>
      </c>
      <c r="Q536" s="1209">
        <f t="shared" si="850"/>
        <v>0</v>
      </c>
      <c r="R536" s="1209">
        <f t="shared" si="850"/>
        <v>0</v>
      </c>
      <c r="S536" s="1170"/>
      <c r="T536" s="1247"/>
      <c r="U536" s="1209">
        <f t="shared" ref="U536:AA536" si="851">U535+U531+U527+U521+U507</f>
        <v>0</v>
      </c>
      <c r="V536" s="1209">
        <f t="shared" si="851"/>
        <v>0</v>
      </c>
      <c r="W536" s="1209">
        <f t="shared" si="851"/>
        <v>0</v>
      </c>
      <c r="X536" s="1209">
        <f t="shared" si="851"/>
        <v>0</v>
      </c>
      <c r="Y536" s="1209">
        <f t="shared" si="851"/>
        <v>0</v>
      </c>
      <c r="Z536" s="1209">
        <f t="shared" si="851"/>
        <v>0</v>
      </c>
      <c r="AA536" s="1209">
        <f t="shared" si="851"/>
        <v>0</v>
      </c>
      <c r="AB536" s="1172">
        <f t="shared" si="798"/>
        <v>0</v>
      </c>
      <c r="AC536" s="1247"/>
      <c r="AD536" s="1206">
        <f t="shared" ref="AD536:AJ536" si="852">AD535+AD531+AD527+AD521+AD507</f>
        <v>0</v>
      </c>
      <c r="AE536" s="1209">
        <f t="shared" si="852"/>
        <v>0</v>
      </c>
      <c r="AF536" s="1209">
        <f t="shared" si="852"/>
        <v>0</v>
      </c>
      <c r="AG536" s="1209">
        <f t="shared" si="852"/>
        <v>0</v>
      </c>
      <c r="AH536" s="1209">
        <f t="shared" si="852"/>
        <v>0</v>
      </c>
      <c r="AI536" s="1209">
        <f t="shared" si="852"/>
        <v>0</v>
      </c>
      <c r="AJ536" s="1209">
        <f t="shared" si="852"/>
        <v>0</v>
      </c>
      <c r="AK536" s="1173"/>
      <c r="AL536" s="1208"/>
      <c r="AM536" s="1210">
        <f t="shared" ref="AM536:AS536" si="853">AM535+AM531+AM527+AM521+AM507</f>
        <v>0</v>
      </c>
      <c r="AN536" s="1211">
        <f t="shared" si="853"/>
        <v>0</v>
      </c>
      <c r="AO536" s="1211">
        <f t="shared" si="853"/>
        <v>0</v>
      </c>
      <c r="AP536" s="1211">
        <f t="shared" si="853"/>
        <v>0</v>
      </c>
      <c r="AQ536" s="1211">
        <f t="shared" si="853"/>
        <v>0</v>
      </c>
      <c r="AR536" s="1211">
        <f t="shared" si="853"/>
        <v>0</v>
      </c>
      <c r="AS536" s="1211">
        <f t="shared" si="853"/>
        <v>0</v>
      </c>
      <c r="AT536" s="1170"/>
      <c r="AU536" s="1212"/>
      <c r="AV536" s="1211">
        <f t="shared" ref="AV536:BB536" si="854">AV535+AV531+AV527+AV521+AV507</f>
        <v>0</v>
      </c>
      <c r="AW536" s="1209">
        <f t="shared" si="854"/>
        <v>0</v>
      </c>
      <c r="AX536" s="1209">
        <f t="shared" si="854"/>
        <v>0</v>
      </c>
      <c r="AY536" s="1209">
        <f t="shared" si="854"/>
        <v>0</v>
      </c>
      <c r="AZ536" s="1209">
        <f t="shared" si="854"/>
        <v>0</v>
      </c>
      <c r="BA536" s="1209">
        <f t="shared" si="854"/>
        <v>0</v>
      </c>
      <c r="BB536" s="1209">
        <f t="shared" si="854"/>
        <v>0</v>
      </c>
      <c r="BC536" s="1175"/>
      <c r="BD536" s="1052"/>
      <c r="BE536" s="1051"/>
      <c r="BF536" s="1051"/>
      <c r="BG536" s="1106"/>
      <c r="BH536" s="1106"/>
      <c r="BI536" s="1106"/>
      <c r="BJ536" s="1106"/>
      <c r="BK536" s="1106"/>
      <c r="BL536" s="1106"/>
      <c r="BM536" s="1106"/>
    </row>
    <row r="537" ht="18.75" customHeight="1">
      <c r="A537" s="999" t="str">
        <f t="shared" si="791"/>
        <v xml:space="preserve">Куприянова А.В.</v>
      </c>
      <c r="B537" s="1202" t="s">
        <v>402</v>
      </c>
      <c r="C537" s="1202"/>
      <c r="D537" s="1202"/>
      <c r="E537" s="1164">
        <f t="shared" si="778"/>
        <v>0</v>
      </c>
      <c r="F537" s="1164">
        <f t="shared" si="792"/>
        <v>0</v>
      </c>
      <c r="G537" s="1165">
        <f t="shared" ref="G537:G538" si="855">E537+F537</f>
        <v>0</v>
      </c>
      <c r="H537" s="1166"/>
      <c r="I537" s="1167">
        <f t="shared" si="780"/>
        <v>0</v>
      </c>
      <c r="J537" s="1167">
        <f t="shared" si="794"/>
        <v>0</v>
      </c>
      <c r="K537" s="1168">
        <f t="shared" ref="K537:K538" si="856">I537+J537</f>
        <v>0</v>
      </c>
      <c r="L537" s="1119"/>
      <c r="M537" s="1169"/>
      <c r="N537" s="1177"/>
      <c r="O537" s="1169"/>
      <c r="P537" s="1169"/>
      <c r="Q537" s="1169">
        <f t="shared" ref="Q537:Q538" si="857">SUM(M537:P537)</f>
        <v>0</v>
      </c>
      <c r="R537" s="1169"/>
      <c r="S537" s="1170"/>
      <c r="T537" s="1240"/>
      <c r="U537" s="1119"/>
      <c r="V537" s="1169"/>
      <c r="W537" s="1177"/>
      <c r="X537" s="1177"/>
      <c r="Y537" s="1169"/>
      <c r="Z537" s="1169">
        <f t="shared" ref="Z537:Z538" si="858">SUM(V537:Y537)</f>
        <v>0</v>
      </c>
      <c r="AA537" s="1169"/>
      <c r="AB537" s="1172">
        <f t="shared" si="798"/>
        <v>0</v>
      </c>
      <c r="AC537" s="1240"/>
      <c r="AD537" s="1119"/>
      <c r="AE537" s="1169"/>
      <c r="AF537" s="1177"/>
      <c r="AG537" s="1177"/>
      <c r="AH537" s="1169"/>
      <c r="AI537" s="1169">
        <f t="shared" ref="AI537:AI538" si="859">SUM(AE537:AH537)</f>
        <v>0</v>
      </c>
      <c r="AJ537" s="1169"/>
      <c r="AK537" s="1173"/>
      <c r="AL537" s="1171"/>
      <c r="AM537" s="1128"/>
      <c r="AN537" s="1170"/>
      <c r="AO537" s="1175"/>
      <c r="AP537" s="1175"/>
      <c r="AQ537" s="1170"/>
      <c r="AR537" s="1170">
        <f t="shared" ref="AR537:AR538" si="860">SUM(AN537:AQ537)</f>
        <v>0</v>
      </c>
      <c r="AS537" s="1170"/>
      <c r="AT537" s="1170"/>
      <c r="AU537" s="1174"/>
      <c r="AV537" s="1241"/>
      <c r="AW537" s="1169"/>
      <c r="AX537" s="1177"/>
      <c r="AY537" s="1177"/>
      <c r="AZ537" s="1169"/>
      <c r="BA537" s="1169">
        <f t="shared" ref="BA537:BA538" si="861">SUM(AW537:AZ537)</f>
        <v>0</v>
      </c>
      <c r="BB537" s="1169"/>
      <c r="BC537" s="1175"/>
      <c r="BD537" s="1027"/>
      <c r="BE537" s="1029"/>
      <c r="BF537" s="1029"/>
    </row>
    <row r="538" ht="18.75" customHeight="1">
      <c r="A538" s="999" t="str">
        <f t="shared" si="791"/>
        <v xml:space="preserve">Попова И.Ю.</v>
      </c>
      <c r="B538" s="1202" t="s">
        <v>404</v>
      </c>
      <c r="C538" s="1202"/>
      <c r="D538" s="1202"/>
      <c r="E538" s="1164">
        <f t="shared" si="778"/>
        <v>0</v>
      </c>
      <c r="F538" s="1164">
        <f t="shared" si="792"/>
        <v>0</v>
      </c>
      <c r="G538" s="1165">
        <f t="shared" si="855"/>
        <v>0</v>
      </c>
      <c r="H538" s="1166"/>
      <c r="I538" s="1167">
        <f t="shared" si="780"/>
        <v>0</v>
      </c>
      <c r="J538" s="1167">
        <f t="shared" si="794"/>
        <v>0</v>
      </c>
      <c r="K538" s="1168">
        <f t="shared" si="856"/>
        <v>0</v>
      </c>
      <c r="L538" s="1119"/>
      <c r="M538" s="1169"/>
      <c r="N538" s="1177"/>
      <c r="O538" s="1169"/>
      <c r="P538" s="1169"/>
      <c r="Q538" s="1169">
        <f t="shared" si="857"/>
        <v>0</v>
      </c>
      <c r="R538" s="1169"/>
      <c r="S538" s="1170"/>
      <c r="T538" s="1240"/>
      <c r="U538" s="1119"/>
      <c r="V538" s="1169"/>
      <c r="W538" s="1177"/>
      <c r="X538" s="1177"/>
      <c r="Y538" s="1169"/>
      <c r="Z538" s="1169">
        <f t="shared" si="858"/>
        <v>0</v>
      </c>
      <c r="AA538" s="1169"/>
      <c r="AB538" s="1172">
        <f t="shared" si="798"/>
        <v>0</v>
      </c>
      <c r="AC538" s="1240"/>
      <c r="AD538" s="1119"/>
      <c r="AE538" s="1169"/>
      <c r="AF538" s="1177"/>
      <c r="AG538" s="1177"/>
      <c r="AH538" s="1169"/>
      <c r="AI538" s="1169">
        <f t="shared" si="859"/>
        <v>0</v>
      </c>
      <c r="AJ538" s="1169"/>
      <c r="AK538" s="1173"/>
      <c r="AL538" s="1171"/>
      <c r="AM538" s="1128"/>
      <c r="AN538" s="1170"/>
      <c r="AO538" s="1175"/>
      <c r="AP538" s="1175"/>
      <c r="AQ538" s="1170"/>
      <c r="AR538" s="1170">
        <f t="shared" si="860"/>
        <v>0</v>
      </c>
      <c r="AS538" s="1170"/>
      <c r="AT538" s="1170"/>
      <c r="AU538" s="1174"/>
      <c r="AV538" s="1241"/>
      <c r="AW538" s="1169"/>
      <c r="AX538" s="1177"/>
      <c r="AY538" s="1177"/>
      <c r="AZ538" s="1169"/>
      <c r="BA538" s="1169">
        <f t="shared" si="861"/>
        <v>0</v>
      </c>
      <c r="BB538" s="1169"/>
      <c r="BC538" s="1175"/>
      <c r="BD538" s="1027"/>
      <c r="BE538" s="1029"/>
      <c r="BF538" s="1029"/>
    </row>
    <row r="539" s="1180" customFormat="1" ht="18.75" customHeight="1">
      <c r="A539" s="999">
        <f t="shared" si="791"/>
        <v>0</v>
      </c>
      <c r="B539" s="1205" t="s">
        <v>405</v>
      </c>
      <c r="C539" s="1205"/>
      <c r="D539" s="1205"/>
      <c r="E539" s="1183">
        <f t="shared" si="778"/>
        <v>0</v>
      </c>
      <c r="F539" s="1183">
        <f t="shared" si="792"/>
        <v>0</v>
      </c>
      <c r="G539" s="1184">
        <f>G537+G538</f>
        <v>0</v>
      </c>
      <c r="H539" s="1185"/>
      <c r="I539" s="1186">
        <f t="shared" si="780"/>
        <v>0</v>
      </c>
      <c r="J539" s="1186">
        <f t="shared" si="794"/>
        <v>0</v>
      </c>
      <c r="K539" s="1187">
        <f>K537+K538</f>
        <v>0</v>
      </c>
      <c r="L539" s="1206"/>
      <c r="M539" s="1213">
        <f t="shared" ref="M539:R539" si="862">M537+M538</f>
        <v>0</v>
      </c>
      <c r="N539" s="1213">
        <f t="shared" si="862"/>
        <v>0</v>
      </c>
      <c r="O539" s="1213">
        <f t="shared" si="862"/>
        <v>0</v>
      </c>
      <c r="P539" s="1213">
        <f t="shared" si="862"/>
        <v>0</v>
      </c>
      <c r="Q539" s="1213">
        <f t="shared" si="862"/>
        <v>0</v>
      </c>
      <c r="R539" s="1213">
        <f t="shared" si="862"/>
        <v>0</v>
      </c>
      <c r="S539" s="1170"/>
      <c r="T539" s="1248"/>
      <c r="U539" s="1206"/>
      <c r="V539" s="1209">
        <f t="shared" ref="V539:AA539" si="863">V537+V538</f>
        <v>0</v>
      </c>
      <c r="W539" s="1209">
        <f t="shared" si="863"/>
        <v>0</v>
      </c>
      <c r="X539" s="1209">
        <f t="shared" si="863"/>
        <v>0</v>
      </c>
      <c r="Y539" s="1209">
        <f t="shared" si="863"/>
        <v>0</v>
      </c>
      <c r="Z539" s="1209">
        <f t="shared" si="863"/>
        <v>0</v>
      </c>
      <c r="AA539" s="1209">
        <f t="shared" si="863"/>
        <v>0</v>
      </c>
      <c r="AB539" s="1172">
        <f t="shared" si="798"/>
        <v>0</v>
      </c>
      <c r="AC539" s="1247"/>
      <c r="AD539" s="1206"/>
      <c r="AE539" s="1209">
        <f t="shared" ref="AE539:AJ539" si="864">AE537+AE538</f>
        <v>0</v>
      </c>
      <c r="AF539" s="1209">
        <f t="shared" si="864"/>
        <v>0</v>
      </c>
      <c r="AG539" s="1209">
        <f t="shared" si="864"/>
        <v>0</v>
      </c>
      <c r="AH539" s="1209">
        <f t="shared" si="864"/>
        <v>0</v>
      </c>
      <c r="AI539" s="1209">
        <f t="shared" si="864"/>
        <v>0</v>
      </c>
      <c r="AJ539" s="1209">
        <f t="shared" si="864"/>
        <v>0</v>
      </c>
      <c r="AK539" s="1173"/>
      <c r="AL539" s="1208"/>
      <c r="AM539" s="1210"/>
      <c r="AN539" s="1211">
        <f t="shared" ref="AN539:AS539" si="865">AN537+AN538</f>
        <v>0</v>
      </c>
      <c r="AO539" s="1211">
        <f t="shared" si="865"/>
        <v>0</v>
      </c>
      <c r="AP539" s="1211">
        <f t="shared" si="865"/>
        <v>0</v>
      </c>
      <c r="AQ539" s="1211">
        <f t="shared" si="865"/>
        <v>0</v>
      </c>
      <c r="AR539" s="1211">
        <f t="shared" si="865"/>
        <v>0</v>
      </c>
      <c r="AS539" s="1211">
        <f t="shared" si="865"/>
        <v>0</v>
      </c>
      <c r="AT539" s="1170"/>
      <c r="AU539" s="1212"/>
      <c r="AV539" s="1210">
        <f t="shared" ref="AV539:BB539" si="866">AV537+AV538</f>
        <v>0</v>
      </c>
      <c r="AW539" s="1209">
        <f t="shared" si="866"/>
        <v>0</v>
      </c>
      <c r="AX539" s="1209">
        <f t="shared" si="866"/>
        <v>0</v>
      </c>
      <c r="AY539" s="1209">
        <f t="shared" si="866"/>
        <v>0</v>
      </c>
      <c r="AZ539" s="1209">
        <f t="shared" si="866"/>
        <v>0</v>
      </c>
      <c r="BA539" s="1209">
        <f t="shared" si="866"/>
        <v>0</v>
      </c>
      <c r="BB539" s="1209">
        <f t="shared" si="866"/>
        <v>0</v>
      </c>
      <c r="BC539" s="1175"/>
      <c r="BD539" s="1052"/>
      <c r="BE539" s="1051"/>
      <c r="BF539" s="1051"/>
      <c r="BG539" s="1106"/>
      <c r="BH539" s="1106"/>
      <c r="BI539" s="1106"/>
      <c r="BJ539" s="1106"/>
      <c r="BK539" s="1106"/>
      <c r="BL539" s="1106"/>
      <c r="BM539" s="1106"/>
    </row>
    <row r="540" s="1180" customFormat="1" ht="18.75" customHeight="1">
      <c r="A540" s="999">
        <f t="shared" si="791"/>
        <v>0</v>
      </c>
      <c r="B540" s="1205" t="s">
        <v>406</v>
      </c>
      <c r="C540" s="1205"/>
      <c r="D540" s="1205"/>
      <c r="E540" s="1183">
        <f t="shared" si="778"/>
        <v>0</v>
      </c>
      <c r="F540" s="1183">
        <f t="shared" si="792"/>
        <v>0</v>
      </c>
      <c r="G540" s="1184">
        <f>G536+G539</f>
        <v>0</v>
      </c>
      <c r="H540" s="1185"/>
      <c r="I540" s="1186">
        <f t="shared" si="780"/>
        <v>0</v>
      </c>
      <c r="J540" s="1186">
        <f t="shared" si="794"/>
        <v>0</v>
      </c>
      <c r="K540" s="1187">
        <f>K536+K539</f>
        <v>0</v>
      </c>
      <c r="L540" s="1206"/>
      <c r="M540" s="1209">
        <f t="shared" ref="M540:R540" si="867">M536+M539</f>
        <v>0</v>
      </c>
      <c r="N540" s="1209">
        <f t="shared" si="867"/>
        <v>0</v>
      </c>
      <c r="O540" s="1209">
        <f t="shared" si="867"/>
        <v>0</v>
      </c>
      <c r="P540" s="1209">
        <f t="shared" si="867"/>
        <v>0</v>
      </c>
      <c r="Q540" s="1209">
        <f t="shared" si="867"/>
        <v>0</v>
      </c>
      <c r="R540" s="1209">
        <f t="shared" si="867"/>
        <v>0</v>
      </c>
      <c r="S540" s="1170"/>
      <c r="T540" s="1247"/>
      <c r="U540" s="1209">
        <f t="shared" ref="U540:AA540" si="868">U536+U539</f>
        <v>0</v>
      </c>
      <c r="V540" s="1209">
        <f t="shared" si="868"/>
        <v>0</v>
      </c>
      <c r="W540" s="1209">
        <f t="shared" si="868"/>
        <v>0</v>
      </c>
      <c r="X540" s="1209">
        <f t="shared" si="868"/>
        <v>0</v>
      </c>
      <c r="Y540" s="1209">
        <f t="shared" si="868"/>
        <v>0</v>
      </c>
      <c r="Z540" s="1209">
        <f t="shared" si="868"/>
        <v>0</v>
      </c>
      <c r="AA540" s="1209">
        <f t="shared" si="868"/>
        <v>0</v>
      </c>
      <c r="AB540" s="1172">
        <f t="shared" si="798"/>
        <v>0</v>
      </c>
      <c r="AC540" s="1247"/>
      <c r="AD540" s="1206">
        <f t="shared" ref="AD540:AJ540" si="869">AD536+AD539</f>
        <v>0</v>
      </c>
      <c r="AE540" s="1209">
        <f t="shared" si="869"/>
        <v>0</v>
      </c>
      <c r="AF540" s="1209">
        <f t="shared" si="869"/>
        <v>0</v>
      </c>
      <c r="AG540" s="1209">
        <f t="shared" si="869"/>
        <v>0</v>
      </c>
      <c r="AH540" s="1209">
        <f t="shared" si="869"/>
        <v>0</v>
      </c>
      <c r="AI540" s="1209">
        <f t="shared" si="869"/>
        <v>0</v>
      </c>
      <c r="AJ540" s="1209">
        <f t="shared" si="869"/>
        <v>0</v>
      </c>
      <c r="AK540" s="1173"/>
      <c r="AL540" s="1208"/>
      <c r="AM540" s="1210">
        <f t="shared" ref="AM540:AS540" si="870">AM536+AM539</f>
        <v>0</v>
      </c>
      <c r="AN540" s="1211">
        <f t="shared" si="870"/>
        <v>0</v>
      </c>
      <c r="AO540" s="1211">
        <f t="shared" si="870"/>
        <v>0</v>
      </c>
      <c r="AP540" s="1211">
        <f t="shared" si="870"/>
        <v>0</v>
      </c>
      <c r="AQ540" s="1211">
        <f t="shared" si="870"/>
        <v>0</v>
      </c>
      <c r="AR540" s="1211">
        <f t="shared" si="870"/>
        <v>0</v>
      </c>
      <c r="AS540" s="1211">
        <f t="shared" si="870"/>
        <v>0</v>
      </c>
      <c r="AT540" s="1170"/>
      <c r="AU540" s="1212"/>
      <c r="AV540" s="1211">
        <f t="shared" ref="AV540:BB540" si="871">AV536+AV539</f>
        <v>0</v>
      </c>
      <c r="AW540" s="1209">
        <f t="shared" si="871"/>
        <v>0</v>
      </c>
      <c r="AX540" s="1209">
        <f t="shared" si="871"/>
        <v>0</v>
      </c>
      <c r="AY540" s="1209">
        <f t="shared" si="871"/>
        <v>0</v>
      </c>
      <c r="AZ540" s="1209">
        <f t="shared" si="871"/>
        <v>0</v>
      </c>
      <c r="BA540" s="1209">
        <f t="shared" si="871"/>
        <v>0</v>
      </c>
      <c r="BB540" s="1209">
        <f t="shared" si="871"/>
        <v>0</v>
      </c>
      <c r="BC540" s="1175"/>
      <c r="BD540" s="1052"/>
      <c r="BE540" s="1051"/>
      <c r="BF540" s="1051"/>
      <c r="BG540" s="1106"/>
      <c r="BH540" s="1106"/>
      <c r="BI540" s="1106"/>
      <c r="BJ540" s="1106"/>
      <c r="BK540" s="1106"/>
      <c r="BL540" s="1106"/>
      <c r="BM540" s="1106"/>
    </row>
    <row r="541" ht="18.75" customHeight="1">
      <c r="A541" s="999">
        <f t="shared" si="791"/>
        <v>0</v>
      </c>
      <c r="B541" s="1202" t="s">
        <v>407</v>
      </c>
      <c r="C541" s="1202"/>
      <c r="D541" s="1202"/>
      <c r="E541" s="1164">
        <f t="shared" si="778"/>
        <v>0</v>
      </c>
      <c r="F541" s="1164">
        <f t="shared" si="792"/>
        <v>0</v>
      </c>
      <c r="G541" s="1165">
        <f t="shared" ref="G541:G548" si="872">E541+F541</f>
        <v>0</v>
      </c>
      <c r="H541" s="1166"/>
      <c r="I541" s="1167">
        <f t="shared" si="780"/>
        <v>0</v>
      </c>
      <c r="J541" s="1167">
        <f t="shared" si="794"/>
        <v>0</v>
      </c>
      <c r="K541" s="1168">
        <f t="shared" ref="K541:K548" si="873">I541+J541</f>
        <v>0</v>
      </c>
      <c r="L541" s="1119"/>
      <c r="M541" s="1169"/>
      <c r="N541" s="1177"/>
      <c r="O541" s="1169"/>
      <c r="P541" s="1169"/>
      <c r="Q541" s="1169">
        <f t="shared" ref="Q541:Q548" si="874">SUM(M541:P541)</f>
        <v>0</v>
      </c>
      <c r="R541" s="1169"/>
      <c r="S541" s="1170"/>
      <c r="T541" s="1240"/>
      <c r="U541" s="1119"/>
      <c r="V541" s="1169"/>
      <c r="W541" s="1177"/>
      <c r="X541" s="1177"/>
      <c r="Y541" s="1169"/>
      <c r="Z541" s="1169">
        <f t="shared" ref="Z541:Z548" si="875">SUM(V541:Y541)</f>
        <v>0</v>
      </c>
      <c r="AA541" s="1169"/>
      <c r="AB541" s="1172">
        <f t="shared" si="798"/>
        <v>0</v>
      </c>
      <c r="AC541" s="1240"/>
      <c r="AD541" s="1119"/>
      <c r="AE541" s="1169"/>
      <c r="AF541" s="1177"/>
      <c r="AG541" s="1177"/>
      <c r="AH541" s="1169"/>
      <c r="AI541" s="1169">
        <f t="shared" ref="AI541:AI548" si="876">SUM(AE541:AH541)</f>
        <v>0</v>
      </c>
      <c r="AJ541" s="1169"/>
      <c r="AK541" s="1173"/>
      <c r="AL541" s="1171"/>
      <c r="AM541" s="1128"/>
      <c r="AN541" s="1170"/>
      <c r="AO541" s="1175"/>
      <c r="AP541" s="1175"/>
      <c r="AQ541" s="1170"/>
      <c r="AR541" s="1170">
        <f t="shared" ref="AR541:AR548" si="877">SUM(AN541:AQ541)</f>
        <v>0</v>
      </c>
      <c r="AS541" s="1170"/>
      <c r="AT541" s="1170"/>
      <c r="AU541" s="1174"/>
      <c r="AV541" s="1241"/>
      <c r="AW541" s="1169"/>
      <c r="AX541" s="1177"/>
      <c r="AY541" s="1177"/>
      <c r="AZ541" s="1169"/>
      <c r="BA541" s="1169">
        <f t="shared" ref="BA541:BA548" si="878">SUM(AW541:AZ541)</f>
        <v>0</v>
      </c>
      <c r="BB541" s="1169"/>
      <c r="BC541" s="1175"/>
      <c r="BD541" s="1027"/>
      <c r="BE541" s="1029"/>
      <c r="BF541" s="1029"/>
    </row>
    <row r="542" ht="18.75" customHeight="1">
      <c r="A542" s="999" t="str">
        <f t="shared" si="791"/>
        <v xml:space="preserve">Леоненко Г.Н</v>
      </c>
      <c r="B542" s="1202" t="s">
        <v>409</v>
      </c>
      <c r="C542" s="1202"/>
      <c r="D542" s="1202"/>
      <c r="E542" s="1164">
        <f t="shared" si="778"/>
        <v>0</v>
      </c>
      <c r="F542" s="1164">
        <f t="shared" si="792"/>
        <v>0</v>
      </c>
      <c r="G542" s="1165">
        <f t="shared" si="872"/>
        <v>0</v>
      </c>
      <c r="H542" s="1166"/>
      <c r="I542" s="1167">
        <f t="shared" si="780"/>
        <v>0</v>
      </c>
      <c r="J542" s="1167">
        <f t="shared" si="794"/>
        <v>0</v>
      </c>
      <c r="K542" s="1168">
        <f t="shared" si="873"/>
        <v>0</v>
      </c>
      <c r="L542" s="1119"/>
      <c r="M542" s="1169"/>
      <c r="N542" s="1177"/>
      <c r="O542" s="1169"/>
      <c r="P542" s="1169"/>
      <c r="Q542" s="1169">
        <f t="shared" si="874"/>
        <v>0</v>
      </c>
      <c r="R542" s="1169"/>
      <c r="S542" s="1170"/>
      <c r="T542" s="1240"/>
      <c r="U542" s="1119"/>
      <c r="V542" s="1169"/>
      <c r="W542" s="1177"/>
      <c r="X542" s="1177"/>
      <c r="Y542" s="1169"/>
      <c r="Z542" s="1169">
        <f t="shared" si="875"/>
        <v>0</v>
      </c>
      <c r="AA542" s="1169"/>
      <c r="AB542" s="1172">
        <f t="shared" si="798"/>
        <v>0</v>
      </c>
      <c r="AC542" s="1240"/>
      <c r="AD542" s="1119"/>
      <c r="AE542" s="1169"/>
      <c r="AF542" s="1177"/>
      <c r="AG542" s="1177"/>
      <c r="AH542" s="1169"/>
      <c r="AI542" s="1169">
        <f t="shared" si="876"/>
        <v>0</v>
      </c>
      <c r="AJ542" s="1169"/>
      <c r="AK542" s="1173"/>
      <c r="AL542" s="1171"/>
      <c r="AM542" s="1128"/>
      <c r="AN542" s="1170"/>
      <c r="AO542" s="1175"/>
      <c r="AP542" s="1175"/>
      <c r="AQ542" s="1170"/>
      <c r="AR542" s="1170">
        <f t="shared" si="877"/>
        <v>0</v>
      </c>
      <c r="AS542" s="1170"/>
      <c r="AT542" s="1170"/>
      <c r="AU542" s="1174"/>
      <c r="AV542" s="1241"/>
      <c r="AW542" s="1169"/>
      <c r="AX542" s="1177"/>
      <c r="AY542" s="1177"/>
      <c r="AZ542" s="1169"/>
      <c r="BA542" s="1169">
        <f t="shared" si="878"/>
        <v>0</v>
      </c>
      <c r="BB542" s="1169"/>
      <c r="BC542" s="1175"/>
      <c r="BD542" s="1027"/>
      <c r="BE542" s="1029"/>
      <c r="BF542" s="1029"/>
    </row>
    <row r="543" s="1215" customFormat="1" ht="18.75" customHeight="1">
      <c r="A543" s="999" t="str">
        <f t="shared" si="791"/>
        <v xml:space="preserve">Саяпина О.А.</v>
      </c>
      <c r="B543" s="1202" t="s">
        <v>411</v>
      </c>
      <c r="C543" s="1217"/>
      <c r="D543" s="1217"/>
      <c r="E543" s="1164">
        <f t="shared" si="778"/>
        <v>0</v>
      </c>
      <c r="F543" s="1164">
        <f t="shared" si="792"/>
        <v>0</v>
      </c>
      <c r="G543" s="1165">
        <f t="shared" si="872"/>
        <v>0</v>
      </c>
      <c r="H543" s="1166"/>
      <c r="I543" s="1167">
        <f t="shared" si="780"/>
        <v>0</v>
      </c>
      <c r="J543" s="1167">
        <f t="shared" si="794"/>
        <v>0</v>
      </c>
      <c r="K543" s="1168">
        <f t="shared" si="873"/>
        <v>0</v>
      </c>
      <c r="L543" s="1119"/>
      <c r="M543" s="1169"/>
      <c r="N543" s="1177"/>
      <c r="O543" s="1169"/>
      <c r="P543" s="1169"/>
      <c r="Q543" s="1169">
        <f t="shared" si="874"/>
        <v>0</v>
      </c>
      <c r="R543" s="1169"/>
      <c r="S543" s="1170"/>
      <c r="T543" s="1240"/>
      <c r="U543" s="1119"/>
      <c r="V543" s="1169"/>
      <c r="W543" s="1177"/>
      <c r="X543" s="1177"/>
      <c r="Y543" s="1169"/>
      <c r="Z543" s="1169">
        <f t="shared" si="875"/>
        <v>0</v>
      </c>
      <c r="AA543" s="1169"/>
      <c r="AB543" s="1172">
        <f t="shared" si="798"/>
        <v>0</v>
      </c>
      <c r="AC543" s="1240"/>
      <c r="AD543" s="1119"/>
      <c r="AE543" s="1169"/>
      <c r="AF543" s="1177"/>
      <c r="AG543" s="1177"/>
      <c r="AH543" s="1169"/>
      <c r="AI543" s="1169">
        <f t="shared" si="876"/>
        <v>0</v>
      </c>
      <c r="AJ543" s="1169"/>
      <c r="AK543" s="1173"/>
      <c r="AL543" s="1171"/>
      <c r="AM543" s="1128"/>
      <c r="AN543" s="1170"/>
      <c r="AO543" s="1175"/>
      <c r="AP543" s="1175"/>
      <c r="AQ543" s="1170"/>
      <c r="AR543" s="1170">
        <f t="shared" si="877"/>
        <v>0</v>
      </c>
      <c r="AS543" s="1170"/>
      <c r="AT543" s="1170"/>
      <c r="AU543" s="1174"/>
      <c r="AV543" s="1128"/>
      <c r="AW543" s="1169"/>
      <c r="AX543" s="1177"/>
      <c r="AY543" s="1177"/>
      <c r="AZ543" s="1169"/>
      <c r="BA543" s="1169">
        <f t="shared" si="878"/>
        <v>0</v>
      </c>
      <c r="BB543" s="1169"/>
      <c r="BC543" s="1175"/>
      <c r="BD543" s="1027"/>
      <c r="BE543" s="1024"/>
      <c r="BF543" s="1024"/>
      <c r="BG543" s="1008"/>
      <c r="BH543" s="1008"/>
      <c r="BI543" s="1008"/>
      <c r="BJ543" s="1008"/>
      <c r="BK543" s="1008"/>
      <c r="BL543" s="1008"/>
      <c r="BM543" s="1008"/>
    </row>
    <row r="544" s="1215" customFormat="1" ht="18.75" customHeight="1">
      <c r="A544" s="999" t="str">
        <f t="shared" si="791"/>
        <v xml:space="preserve">Дегтярева Е.И. Акилова С.В.</v>
      </c>
      <c r="B544" s="1202" t="s">
        <v>413</v>
      </c>
      <c r="C544" s="1217"/>
      <c r="D544" s="1217"/>
      <c r="E544" s="1164">
        <f t="shared" si="778"/>
        <v>0</v>
      </c>
      <c r="F544" s="1164">
        <f t="shared" si="792"/>
        <v>0</v>
      </c>
      <c r="G544" s="1165">
        <f t="shared" si="872"/>
        <v>0</v>
      </c>
      <c r="H544" s="1166"/>
      <c r="I544" s="1167">
        <f t="shared" si="780"/>
        <v>0</v>
      </c>
      <c r="J544" s="1167">
        <f t="shared" si="794"/>
        <v>0</v>
      </c>
      <c r="K544" s="1168">
        <f t="shared" si="873"/>
        <v>0</v>
      </c>
      <c r="L544" s="1119"/>
      <c r="M544" s="1169"/>
      <c r="N544" s="1177"/>
      <c r="O544" s="1169"/>
      <c r="P544" s="1169"/>
      <c r="Q544" s="1169">
        <f t="shared" si="874"/>
        <v>0</v>
      </c>
      <c r="R544" s="1169"/>
      <c r="S544" s="1170"/>
      <c r="T544" s="1240"/>
      <c r="U544" s="1119"/>
      <c r="V544" s="1169"/>
      <c r="W544" s="1177"/>
      <c r="X544" s="1177"/>
      <c r="Y544" s="1169"/>
      <c r="Z544" s="1169">
        <f t="shared" si="875"/>
        <v>0</v>
      </c>
      <c r="AA544" s="1169"/>
      <c r="AB544" s="1172">
        <f t="shared" si="798"/>
        <v>0</v>
      </c>
      <c r="AC544" s="1240"/>
      <c r="AD544" s="1119"/>
      <c r="AE544" s="1169"/>
      <c r="AF544" s="1177"/>
      <c r="AG544" s="1177"/>
      <c r="AH544" s="1169"/>
      <c r="AI544" s="1169">
        <f t="shared" si="876"/>
        <v>0</v>
      </c>
      <c r="AJ544" s="1169"/>
      <c r="AK544" s="1173"/>
      <c r="AL544" s="1171"/>
      <c r="AM544" s="1128"/>
      <c r="AN544" s="1170"/>
      <c r="AO544" s="1175"/>
      <c r="AP544" s="1175"/>
      <c r="AQ544" s="1170"/>
      <c r="AR544" s="1170">
        <f t="shared" si="877"/>
        <v>0</v>
      </c>
      <c r="AS544" s="1170"/>
      <c r="AT544" s="1170"/>
      <c r="AU544" s="1174"/>
      <c r="AV544" s="1128"/>
      <c r="AW544" s="1169"/>
      <c r="AX544" s="1177"/>
      <c r="AY544" s="1177"/>
      <c r="AZ544" s="1169"/>
      <c r="BA544" s="1169">
        <f t="shared" si="878"/>
        <v>0</v>
      </c>
      <c r="BB544" s="1169"/>
      <c r="BC544" s="1175"/>
      <c r="BD544" s="1027"/>
      <c r="BE544" s="1024"/>
      <c r="BF544" s="1024"/>
      <c r="BG544" s="1008"/>
      <c r="BH544" s="1008"/>
      <c r="BI544" s="1008"/>
      <c r="BJ544" s="1008"/>
      <c r="BK544" s="1008"/>
      <c r="BL544" s="1008"/>
      <c r="BM544" s="1008"/>
    </row>
    <row r="545" s="1215" customFormat="1" ht="18.75" customHeight="1">
      <c r="A545" s="999">
        <f t="shared" si="791"/>
        <v>0</v>
      </c>
      <c r="B545" s="1202" t="s">
        <v>414</v>
      </c>
      <c r="C545" s="1202"/>
      <c r="D545" s="1202"/>
      <c r="E545" s="1164">
        <f t="shared" si="778"/>
        <v>0</v>
      </c>
      <c r="F545" s="1164">
        <f t="shared" si="792"/>
        <v>0</v>
      </c>
      <c r="G545" s="1165"/>
      <c r="H545" s="1166"/>
      <c r="I545" s="1167">
        <f t="shared" si="780"/>
        <v>0</v>
      </c>
      <c r="J545" s="1167">
        <f t="shared" si="794"/>
        <v>0</v>
      </c>
      <c r="K545" s="1168"/>
      <c r="L545" s="1119"/>
      <c r="M545" s="1169"/>
      <c r="N545" s="1177"/>
      <c r="O545" s="1169"/>
      <c r="P545" s="1169"/>
      <c r="Q545" s="1169">
        <f t="shared" si="874"/>
        <v>0</v>
      </c>
      <c r="R545" s="1169"/>
      <c r="S545" s="1170"/>
      <c r="T545" s="1240"/>
      <c r="U545" s="1119"/>
      <c r="V545" s="1169"/>
      <c r="W545" s="1177"/>
      <c r="X545" s="1177"/>
      <c r="Y545" s="1169"/>
      <c r="Z545" s="1169">
        <f t="shared" si="875"/>
        <v>0</v>
      </c>
      <c r="AA545" s="1169"/>
      <c r="AB545" s="1172">
        <f t="shared" si="798"/>
        <v>0</v>
      </c>
      <c r="AC545" s="1240"/>
      <c r="AD545" s="1119"/>
      <c r="AE545" s="1169"/>
      <c r="AF545" s="1177"/>
      <c r="AG545" s="1177"/>
      <c r="AH545" s="1169"/>
      <c r="AI545" s="1169">
        <f t="shared" si="876"/>
        <v>0</v>
      </c>
      <c r="AJ545" s="1169"/>
      <c r="AK545" s="1173"/>
      <c r="AL545" s="1171"/>
      <c r="AM545" s="1128"/>
      <c r="AN545" s="1170"/>
      <c r="AO545" s="1175"/>
      <c r="AP545" s="1175"/>
      <c r="AQ545" s="1170"/>
      <c r="AR545" s="1170">
        <f t="shared" si="877"/>
        <v>0</v>
      </c>
      <c r="AS545" s="1170"/>
      <c r="AT545" s="1170"/>
      <c r="AU545" s="1174"/>
      <c r="AV545" s="1128"/>
      <c r="AW545" s="1169"/>
      <c r="AX545" s="1177"/>
      <c r="AY545" s="1177"/>
      <c r="AZ545" s="1169"/>
      <c r="BA545" s="1169">
        <f t="shared" si="878"/>
        <v>0</v>
      </c>
      <c r="BB545" s="1169"/>
      <c r="BC545" s="1175"/>
      <c r="BD545" s="1027"/>
      <c r="BE545" s="1024"/>
      <c r="BF545" s="1024"/>
      <c r="BG545" s="1008"/>
      <c r="BH545" s="1008"/>
      <c r="BI545" s="1008"/>
      <c r="BJ545" s="1008"/>
      <c r="BK545" s="1008"/>
      <c r="BL545" s="1008"/>
      <c r="BM545" s="1008"/>
    </row>
    <row r="546" s="1215" customFormat="1" ht="18.75" customHeight="1">
      <c r="A546" s="999" t="str">
        <f t="shared" si="791"/>
        <v xml:space="preserve">Ковалевская О.А.</v>
      </c>
      <c r="B546" s="1202" t="s">
        <v>416</v>
      </c>
      <c r="C546" s="1202"/>
      <c r="D546" s="1202"/>
      <c r="E546" s="1164">
        <f t="shared" si="778"/>
        <v>0</v>
      </c>
      <c r="F546" s="1164">
        <f t="shared" si="792"/>
        <v>0</v>
      </c>
      <c r="G546" s="1165">
        <f t="shared" si="872"/>
        <v>0</v>
      </c>
      <c r="H546" s="1166"/>
      <c r="I546" s="1167">
        <f t="shared" si="780"/>
        <v>0</v>
      </c>
      <c r="J546" s="1167">
        <f t="shared" si="794"/>
        <v>0</v>
      </c>
      <c r="K546" s="1168">
        <f t="shared" si="873"/>
        <v>0</v>
      </c>
      <c r="L546" s="1119"/>
      <c r="M546" s="1169"/>
      <c r="N546" s="1177"/>
      <c r="O546" s="1169"/>
      <c r="P546" s="1169"/>
      <c r="Q546" s="1169">
        <f t="shared" si="874"/>
        <v>0</v>
      </c>
      <c r="R546" s="1169"/>
      <c r="S546" s="1170"/>
      <c r="T546" s="1240"/>
      <c r="U546" s="1119"/>
      <c r="V546" s="1169"/>
      <c r="W546" s="1177"/>
      <c r="X546" s="1177"/>
      <c r="Y546" s="1169"/>
      <c r="Z546" s="1169">
        <f t="shared" si="875"/>
        <v>0</v>
      </c>
      <c r="AA546" s="1169"/>
      <c r="AB546" s="1172">
        <f t="shared" si="798"/>
        <v>0</v>
      </c>
      <c r="AC546" s="1240"/>
      <c r="AD546" s="1119"/>
      <c r="AE546" s="1169"/>
      <c r="AF546" s="1177"/>
      <c r="AG546" s="1177"/>
      <c r="AH546" s="1169"/>
      <c r="AI546" s="1169">
        <f t="shared" si="876"/>
        <v>0</v>
      </c>
      <c r="AJ546" s="1169"/>
      <c r="AK546" s="1173"/>
      <c r="AL546" s="1171"/>
      <c r="AM546" s="1128"/>
      <c r="AN546" s="1170"/>
      <c r="AO546" s="1175"/>
      <c r="AP546" s="1175"/>
      <c r="AQ546" s="1170"/>
      <c r="AR546" s="1170">
        <f t="shared" si="877"/>
        <v>0</v>
      </c>
      <c r="AS546" s="1170"/>
      <c r="AT546" s="1170"/>
      <c r="AU546" s="1174"/>
      <c r="AV546" s="1128"/>
      <c r="AW546" s="1169"/>
      <c r="AX546" s="1177"/>
      <c r="AY546" s="1177"/>
      <c r="AZ546" s="1169"/>
      <c r="BA546" s="1169">
        <f t="shared" si="878"/>
        <v>0</v>
      </c>
      <c r="BB546" s="1169"/>
      <c r="BC546" s="1175"/>
      <c r="BD546" s="1027"/>
      <c r="BE546" s="1024"/>
      <c r="BF546" s="1024"/>
      <c r="BG546" s="1008"/>
      <c r="BH546" s="1008"/>
      <c r="BI546" s="1008"/>
      <c r="BJ546" s="1008"/>
      <c r="BK546" s="1008"/>
      <c r="BL546" s="1008"/>
      <c r="BM546" s="1008"/>
    </row>
    <row r="547" s="1215" customFormat="1" ht="18.75" customHeight="1">
      <c r="A547" s="999" t="str">
        <f t="shared" si="791"/>
        <v xml:space="preserve">Никонова-Цыганова Н.А. Столберова МИ</v>
      </c>
      <c r="B547" s="1202" t="s">
        <v>80</v>
      </c>
      <c r="C547" s="1218"/>
      <c r="D547" s="1217"/>
      <c r="E547" s="1164">
        <f t="shared" si="778"/>
        <v>0</v>
      </c>
      <c r="F547" s="1164">
        <f t="shared" si="792"/>
        <v>0</v>
      </c>
      <c r="G547" s="1165">
        <f t="shared" si="872"/>
        <v>0</v>
      </c>
      <c r="H547" s="1166"/>
      <c r="I547" s="1167">
        <f t="shared" si="780"/>
        <v>0</v>
      </c>
      <c r="J547" s="1167">
        <f t="shared" si="794"/>
        <v>0</v>
      </c>
      <c r="K547" s="1168">
        <f t="shared" si="873"/>
        <v>0</v>
      </c>
      <c r="L547" s="1119"/>
      <c r="M547" s="1169"/>
      <c r="N547" s="1199"/>
      <c r="O547" s="1169"/>
      <c r="P547" s="1169"/>
      <c r="Q547" s="1169">
        <f t="shared" si="874"/>
        <v>0</v>
      </c>
      <c r="R547" s="1169"/>
      <c r="S547" s="1170"/>
      <c r="T547" s="1240"/>
      <c r="U547" s="1119"/>
      <c r="V547" s="1169"/>
      <c r="W547" s="1199"/>
      <c r="X547" s="1177"/>
      <c r="Y547" s="1169"/>
      <c r="Z547" s="1169">
        <f t="shared" si="875"/>
        <v>0</v>
      </c>
      <c r="AA547" s="1169"/>
      <c r="AB547" s="1172">
        <f t="shared" si="798"/>
        <v>0</v>
      </c>
      <c r="AC547" s="1240"/>
      <c r="AD547" s="1119"/>
      <c r="AE547" s="1169"/>
      <c r="AF547" s="1199"/>
      <c r="AG547" s="1177"/>
      <c r="AH547" s="1169"/>
      <c r="AI547" s="1169">
        <f t="shared" si="876"/>
        <v>0</v>
      </c>
      <c r="AJ547" s="1169"/>
      <c r="AK547" s="1173"/>
      <c r="AL547" s="1171"/>
      <c r="AM547" s="1128"/>
      <c r="AN547" s="1170"/>
      <c r="AO547" s="1200"/>
      <c r="AP547" s="1175"/>
      <c r="AQ547" s="1170"/>
      <c r="AR547" s="1170">
        <f t="shared" si="877"/>
        <v>0</v>
      </c>
      <c r="AS547" s="1170"/>
      <c r="AT547" s="1170"/>
      <c r="AU547" s="1174"/>
      <c r="AV547" s="1128"/>
      <c r="AW547" s="1169"/>
      <c r="AX547" s="1199"/>
      <c r="AY547" s="1177"/>
      <c r="AZ547" s="1169"/>
      <c r="BA547" s="1169">
        <f t="shared" si="878"/>
        <v>0</v>
      </c>
      <c r="BB547" s="1169"/>
      <c r="BC547" s="1175"/>
      <c r="BD547" s="1027"/>
      <c r="BE547" s="1024"/>
      <c r="BF547" s="1024"/>
      <c r="BG547" s="1008"/>
      <c r="BH547" s="1008"/>
      <c r="BI547" s="1008"/>
      <c r="BJ547" s="1008"/>
      <c r="BK547" s="1008"/>
      <c r="BL547" s="1008"/>
      <c r="BM547" s="1008"/>
    </row>
    <row r="548" s="1215" customFormat="1" ht="18.75" customHeight="1">
      <c r="A548" s="999" t="str">
        <f t="shared" si="791"/>
        <v xml:space="preserve">Шевкунова С.А.</v>
      </c>
      <c r="B548" s="1202" t="s">
        <v>419</v>
      </c>
      <c r="C548" s="1219"/>
      <c r="D548" s="1202"/>
      <c r="E548" s="1164">
        <f t="shared" si="778"/>
        <v>0</v>
      </c>
      <c r="F548" s="1164">
        <f t="shared" si="792"/>
        <v>0</v>
      </c>
      <c r="G548" s="1165">
        <f t="shared" si="872"/>
        <v>0</v>
      </c>
      <c r="H548" s="1166"/>
      <c r="I548" s="1167">
        <f t="shared" si="780"/>
        <v>0</v>
      </c>
      <c r="J548" s="1167">
        <f t="shared" si="794"/>
        <v>0</v>
      </c>
      <c r="K548" s="1168">
        <f t="shared" si="873"/>
        <v>0</v>
      </c>
      <c r="L548" s="1119"/>
      <c r="M548" s="1169"/>
      <c r="N548" s="1177"/>
      <c r="O548" s="1169"/>
      <c r="P548" s="1169"/>
      <c r="Q548" s="1169">
        <f t="shared" si="874"/>
        <v>0</v>
      </c>
      <c r="R548" s="1169"/>
      <c r="S548" s="1170"/>
      <c r="T548" s="1240"/>
      <c r="U548" s="1119"/>
      <c r="V548" s="1169"/>
      <c r="W548" s="1177"/>
      <c r="X548" s="1177"/>
      <c r="Y548" s="1169"/>
      <c r="Z548" s="1169">
        <f t="shared" si="875"/>
        <v>0</v>
      </c>
      <c r="AA548" s="1169"/>
      <c r="AB548" s="1172">
        <f t="shared" si="798"/>
        <v>0</v>
      </c>
      <c r="AC548" s="1240"/>
      <c r="AD548" s="1119"/>
      <c r="AE548" s="1169"/>
      <c r="AF548" s="1177"/>
      <c r="AG548" s="1177"/>
      <c r="AH548" s="1169"/>
      <c r="AI548" s="1169">
        <f t="shared" si="876"/>
        <v>0</v>
      </c>
      <c r="AJ548" s="1169"/>
      <c r="AK548" s="1173"/>
      <c r="AL548" s="1171"/>
      <c r="AM548" s="1128"/>
      <c r="AN548" s="1170"/>
      <c r="AO548" s="1175"/>
      <c r="AP548" s="1175"/>
      <c r="AQ548" s="1170"/>
      <c r="AR548" s="1170">
        <f t="shared" si="877"/>
        <v>0</v>
      </c>
      <c r="AS548" s="1170"/>
      <c r="AT548" s="1170"/>
      <c r="AU548" s="1174"/>
      <c r="AV548" s="1128"/>
      <c r="AW548" s="1169"/>
      <c r="AX548" s="1177"/>
      <c r="AY548" s="1177"/>
      <c r="AZ548" s="1169"/>
      <c r="BA548" s="1169">
        <f t="shared" si="878"/>
        <v>0</v>
      </c>
      <c r="BB548" s="1169"/>
      <c r="BC548" s="1175"/>
      <c r="BD548" s="1027"/>
      <c r="BE548" s="1024"/>
      <c r="BF548" s="1024"/>
      <c r="BG548" s="1008"/>
      <c r="BH548" s="1008"/>
      <c r="BI548" s="1008"/>
      <c r="BJ548" s="1008"/>
      <c r="BK548" s="1008"/>
      <c r="BL548" s="1008"/>
      <c r="BM548" s="1008"/>
    </row>
    <row r="549" s="1215" customFormat="1" ht="18.75" customHeight="1">
      <c r="A549" s="999" t="str">
        <f t="shared" si="791"/>
        <v xml:space="preserve">Никонова-Цыганова Н.А. Столберова МИ</v>
      </c>
      <c r="B549" s="1205" t="s">
        <v>363</v>
      </c>
      <c r="C549" s="1205"/>
      <c r="D549" s="1205"/>
      <c r="E549" s="1183">
        <f t="shared" si="778"/>
        <v>0</v>
      </c>
      <c r="F549" s="1183">
        <f t="shared" si="792"/>
        <v>0</v>
      </c>
      <c r="G549" s="1220">
        <f>SUM(G541:G548)</f>
        <v>0</v>
      </c>
      <c r="H549" s="1221"/>
      <c r="I549" s="1186">
        <f t="shared" si="780"/>
        <v>0</v>
      </c>
      <c r="J549" s="1186">
        <f t="shared" si="794"/>
        <v>0</v>
      </c>
      <c r="K549" s="1222">
        <f>SUM(K541:K548)</f>
        <v>0</v>
      </c>
      <c r="L549" s="1188"/>
      <c r="M549" s="1096">
        <f t="shared" ref="M549:R549" si="879">SUM(M541:M548)</f>
        <v>0</v>
      </c>
      <c r="N549" s="1096">
        <f t="shared" si="879"/>
        <v>0</v>
      </c>
      <c r="O549" s="1096">
        <f t="shared" si="879"/>
        <v>0</v>
      </c>
      <c r="P549" s="1096">
        <f t="shared" si="879"/>
        <v>0</v>
      </c>
      <c r="Q549" s="1096">
        <f t="shared" si="879"/>
        <v>0</v>
      </c>
      <c r="R549" s="1096">
        <f t="shared" si="879"/>
        <v>0</v>
      </c>
      <c r="S549" s="1170"/>
      <c r="T549" s="1243"/>
      <c r="U549" s="1188"/>
      <c r="V549" s="1096">
        <f t="shared" ref="V549:AA549" si="880">SUM(V541:V548)</f>
        <v>0</v>
      </c>
      <c r="W549" s="1096">
        <f t="shared" si="880"/>
        <v>0</v>
      </c>
      <c r="X549" s="1096">
        <f t="shared" si="880"/>
        <v>0</v>
      </c>
      <c r="Y549" s="1096">
        <f t="shared" si="880"/>
        <v>0</v>
      </c>
      <c r="Z549" s="1096">
        <f t="shared" si="880"/>
        <v>0</v>
      </c>
      <c r="AA549" s="1096">
        <f t="shared" si="880"/>
        <v>0</v>
      </c>
      <c r="AB549" s="1172">
        <f t="shared" si="798"/>
        <v>0</v>
      </c>
      <c r="AC549" s="1243"/>
      <c r="AD549" s="1188"/>
      <c r="AE549" s="1096">
        <f t="shared" ref="AE549:AJ549" si="881">SUM(AE541:AE548)</f>
        <v>0</v>
      </c>
      <c r="AF549" s="1096">
        <f t="shared" si="881"/>
        <v>0</v>
      </c>
      <c r="AG549" s="1096">
        <f t="shared" si="881"/>
        <v>0</v>
      </c>
      <c r="AH549" s="1096">
        <f t="shared" si="881"/>
        <v>0</v>
      </c>
      <c r="AI549" s="1096">
        <f t="shared" si="881"/>
        <v>0</v>
      </c>
      <c r="AJ549" s="1096">
        <f t="shared" si="881"/>
        <v>0</v>
      </c>
      <c r="AK549" s="1173"/>
      <c r="AL549" s="1189"/>
      <c r="AM549" s="1197"/>
      <c r="AN549" s="1190">
        <f t="shared" ref="AN549:AS549" si="882">SUM(AN541:AN548)</f>
        <v>0</v>
      </c>
      <c r="AO549" s="1190">
        <f t="shared" si="882"/>
        <v>0</v>
      </c>
      <c r="AP549" s="1190">
        <f t="shared" si="882"/>
        <v>0</v>
      </c>
      <c r="AQ549" s="1190">
        <f t="shared" si="882"/>
        <v>0</v>
      </c>
      <c r="AR549" s="1190">
        <f t="shared" si="882"/>
        <v>0</v>
      </c>
      <c r="AS549" s="1190">
        <f t="shared" si="882"/>
        <v>0</v>
      </c>
      <c r="AT549" s="1170"/>
      <c r="AU549" s="1191"/>
      <c r="AV549" s="1197">
        <f t="shared" ref="AV549:BB549" si="883">SUM(AV541:AV548)</f>
        <v>0</v>
      </c>
      <c r="AW549" s="1096">
        <f t="shared" si="883"/>
        <v>0</v>
      </c>
      <c r="AX549" s="1096">
        <f t="shared" si="883"/>
        <v>0</v>
      </c>
      <c r="AY549" s="1096">
        <f t="shared" si="883"/>
        <v>0</v>
      </c>
      <c r="AZ549" s="1096">
        <f t="shared" si="883"/>
        <v>0</v>
      </c>
      <c r="BA549" s="1096">
        <f t="shared" si="883"/>
        <v>0</v>
      </c>
      <c r="BB549" s="1096">
        <f t="shared" si="883"/>
        <v>0</v>
      </c>
      <c r="BC549" s="1175"/>
      <c r="BD549" s="1027"/>
      <c r="BE549" s="1024"/>
      <c r="BF549" s="1024"/>
      <c r="BG549" s="1008"/>
      <c r="BH549" s="1008"/>
      <c r="BI549" s="1008"/>
      <c r="BJ549" s="1008"/>
      <c r="BK549" s="1008"/>
      <c r="BL549" s="1008"/>
      <c r="BM549" s="1008"/>
    </row>
    <row r="550" s="1215" customFormat="1" ht="18.75" customHeight="1">
      <c r="A550" s="999" t="str">
        <f t="shared" si="791"/>
        <v xml:space="preserve">Шеламкова Н.В.</v>
      </c>
      <c r="B550" s="1202" t="s">
        <v>421</v>
      </c>
      <c r="C550" s="1203"/>
      <c r="D550" s="1202"/>
      <c r="E550" s="1164">
        <f t="shared" ref="E550:F613" si="884">Q550+Z550+AI550+AR550+BA550</f>
        <v>0</v>
      </c>
      <c r="F550" s="1164">
        <f t="shared" si="792"/>
        <v>0</v>
      </c>
      <c r="G550" s="1165">
        <f t="shared" ref="G550:G562" si="885">E550+F550</f>
        <v>0</v>
      </c>
      <c r="H550" s="1166"/>
      <c r="I550" s="1167">
        <f t="shared" si="780"/>
        <v>0</v>
      </c>
      <c r="J550" s="1167">
        <f t="shared" si="794"/>
        <v>0</v>
      </c>
      <c r="K550" s="1168">
        <f t="shared" ref="K550:K562" si="886">I550+J550</f>
        <v>0</v>
      </c>
      <c r="L550" s="1119"/>
      <c r="M550" s="1169"/>
      <c r="N550" s="1177"/>
      <c r="O550" s="1169"/>
      <c r="P550" s="1169"/>
      <c r="Q550" s="1169">
        <f t="shared" ref="Q550:Q562" si="887">SUM(M550:P550)</f>
        <v>0</v>
      </c>
      <c r="R550" s="1169"/>
      <c r="S550" s="1170"/>
      <c r="T550" s="1240"/>
      <c r="U550" s="1119"/>
      <c r="V550" s="1169"/>
      <c r="W550" s="1177"/>
      <c r="X550" s="1177"/>
      <c r="Y550" s="1169"/>
      <c r="Z550" s="1169">
        <f t="shared" ref="Z550:Z562" si="888">SUM(V550:Y550)</f>
        <v>0</v>
      </c>
      <c r="AA550" s="1169"/>
      <c r="AB550" s="1172">
        <f t="shared" si="798"/>
        <v>0</v>
      </c>
      <c r="AC550" s="1240"/>
      <c r="AD550" s="1119"/>
      <c r="AE550" s="1169"/>
      <c r="AF550" s="1177"/>
      <c r="AG550" s="1177"/>
      <c r="AH550" s="1169"/>
      <c r="AI550" s="1169">
        <f t="shared" ref="AI550:AI562" si="889">SUM(AE550:AH550)</f>
        <v>0</v>
      </c>
      <c r="AJ550" s="1169"/>
      <c r="AK550" s="1173"/>
      <c r="AL550" s="1171"/>
      <c r="AM550" s="1128"/>
      <c r="AN550" s="1170"/>
      <c r="AO550" s="1175"/>
      <c r="AP550" s="1175"/>
      <c r="AQ550" s="1170"/>
      <c r="AR550" s="1170">
        <f t="shared" ref="AR550:AR562" si="890">SUM(AN550:AQ550)</f>
        <v>0</v>
      </c>
      <c r="AS550" s="1170"/>
      <c r="AT550" s="1170"/>
      <c r="AU550" s="1174"/>
      <c r="AV550" s="1128"/>
      <c r="AW550" s="1169"/>
      <c r="AX550" s="1177"/>
      <c r="AY550" s="1177"/>
      <c r="AZ550" s="1169"/>
      <c r="BA550" s="1169">
        <f t="shared" ref="BA550:BA562" si="891">SUM(AW550:AZ550)</f>
        <v>0</v>
      </c>
      <c r="BB550" s="1169"/>
      <c r="BC550" s="1175"/>
      <c r="BD550" s="1027"/>
      <c r="BE550" s="1024"/>
      <c r="BF550" s="1024"/>
      <c r="BG550" s="1008"/>
      <c r="BH550" s="1008"/>
      <c r="BI550" s="1008"/>
      <c r="BJ550" s="1008"/>
      <c r="BK550" s="1008"/>
      <c r="BL550" s="1008"/>
      <c r="BM550" s="1008"/>
    </row>
    <row r="551" s="1215" customFormat="1" ht="18.75" customHeight="1">
      <c r="A551" s="999" t="str">
        <f t="shared" si="791"/>
        <v xml:space="preserve">Буланова О.Н. Сычева Ю.В.</v>
      </c>
      <c r="B551" s="1202" t="s">
        <v>68</v>
      </c>
      <c r="C551" s="1219"/>
      <c r="D551" s="1202"/>
      <c r="E551" s="1164">
        <f t="shared" si="884"/>
        <v>0</v>
      </c>
      <c r="F551" s="1164">
        <f t="shared" si="792"/>
        <v>0</v>
      </c>
      <c r="G551" s="1165">
        <f t="shared" si="885"/>
        <v>0</v>
      </c>
      <c r="H551" s="1166"/>
      <c r="I551" s="1167">
        <f t="shared" si="780"/>
        <v>0</v>
      </c>
      <c r="J551" s="1167">
        <f t="shared" si="794"/>
        <v>0</v>
      </c>
      <c r="K551" s="1168">
        <f t="shared" si="886"/>
        <v>0</v>
      </c>
      <c r="L551" s="1119"/>
      <c r="M551" s="1169"/>
      <c r="N551" s="1177"/>
      <c r="O551" s="1169"/>
      <c r="P551" s="1169"/>
      <c r="Q551" s="1169">
        <f t="shared" si="887"/>
        <v>0</v>
      </c>
      <c r="R551" s="1169"/>
      <c r="S551" s="1170"/>
      <c r="T551" s="1240"/>
      <c r="U551" s="1119"/>
      <c r="V551" s="1169"/>
      <c r="W551" s="1177"/>
      <c r="X551" s="1177"/>
      <c r="Y551" s="1169"/>
      <c r="Z551" s="1169">
        <f t="shared" si="888"/>
        <v>0</v>
      </c>
      <c r="AA551" s="1169"/>
      <c r="AB551" s="1172">
        <f t="shared" si="798"/>
        <v>0</v>
      </c>
      <c r="AC551" s="1240"/>
      <c r="AD551" s="1119"/>
      <c r="AE551" s="1169"/>
      <c r="AF551" s="1177"/>
      <c r="AG551" s="1177"/>
      <c r="AH551" s="1169"/>
      <c r="AI551" s="1169">
        <f t="shared" si="889"/>
        <v>0</v>
      </c>
      <c r="AJ551" s="1169"/>
      <c r="AK551" s="1173"/>
      <c r="AL551" s="1171"/>
      <c r="AM551" s="1128"/>
      <c r="AN551" s="1170"/>
      <c r="AO551" s="1175"/>
      <c r="AP551" s="1175"/>
      <c r="AQ551" s="1170"/>
      <c r="AR551" s="1170">
        <f t="shared" si="890"/>
        <v>0</v>
      </c>
      <c r="AS551" s="1170"/>
      <c r="AT551" s="1170"/>
      <c r="AU551" s="1174"/>
      <c r="AV551" s="1128"/>
      <c r="AW551" s="1169"/>
      <c r="AX551" s="1177"/>
      <c r="AY551" s="1177"/>
      <c r="AZ551" s="1169"/>
      <c r="BA551" s="1169">
        <f t="shared" si="891"/>
        <v>0</v>
      </c>
      <c r="BB551" s="1169"/>
      <c r="BC551" s="1175"/>
      <c r="BD551" s="1027"/>
      <c r="BE551" s="1024"/>
      <c r="BF551" s="1024"/>
      <c r="BG551" s="1008"/>
      <c r="BH551" s="1008"/>
      <c r="BI551" s="1008"/>
      <c r="BJ551" s="1008"/>
      <c r="BK551" s="1008"/>
      <c r="BL551" s="1008"/>
      <c r="BM551" s="1008"/>
    </row>
    <row r="552" s="1215" customFormat="1" ht="18.75" customHeight="1">
      <c r="A552" s="999" t="str">
        <f t="shared" si="791"/>
        <v xml:space="preserve">Бояринцева Н.А.</v>
      </c>
      <c r="B552" s="1202" t="s">
        <v>289</v>
      </c>
      <c r="C552" s="1202"/>
      <c r="D552" s="1202"/>
      <c r="E552" s="1164">
        <f t="shared" si="884"/>
        <v>0</v>
      </c>
      <c r="F552" s="1164">
        <f t="shared" si="792"/>
        <v>0</v>
      </c>
      <c r="G552" s="1165">
        <f t="shared" si="885"/>
        <v>0</v>
      </c>
      <c r="H552" s="1166"/>
      <c r="I552" s="1167">
        <f t="shared" si="780"/>
        <v>0</v>
      </c>
      <c r="J552" s="1167">
        <f t="shared" si="794"/>
        <v>0</v>
      </c>
      <c r="K552" s="1168">
        <f t="shared" si="886"/>
        <v>0</v>
      </c>
      <c r="L552" s="1119"/>
      <c r="M552" s="1169"/>
      <c r="N552" s="1177"/>
      <c r="O552" s="1169"/>
      <c r="P552" s="1169"/>
      <c r="Q552" s="1169">
        <f t="shared" si="887"/>
        <v>0</v>
      </c>
      <c r="R552" s="1169"/>
      <c r="S552" s="1170"/>
      <c r="T552" s="1240"/>
      <c r="U552" s="1119"/>
      <c r="V552" s="1169"/>
      <c r="W552" s="1177"/>
      <c r="X552" s="1177"/>
      <c r="Y552" s="1169"/>
      <c r="Z552" s="1169">
        <f t="shared" si="888"/>
        <v>0</v>
      </c>
      <c r="AA552" s="1169"/>
      <c r="AB552" s="1172">
        <f t="shared" si="798"/>
        <v>0</v>
      </c>
      <c r="AC552" s="1240"/>
      <c r="AD552" s="1119"/>
      <c r="AE552" s="1169"/>
      <c r="AF552" s="1177"/>
      <c r="AG552" s="1177"/>
      <c r="AH552" s="1169"/>
      <c r="AI552" s="1169">
        <f t="shared" si="889"/>
        <v>0</v>
      </c>
      <c r="AJ552" s="1169"/>
      <c r="AK552" s="1173"/>
      <c r="AL552" s="1171"/>
      <c r="AM552" s="1128"/>
      <c r="AN552" s="1170"/>
      <c r="AO552" s="1175"/>
      <c r="AP552" s="1175"/>
      <c r="AQ552" s="1170"/>
      <c r="AR552" s="1170">
        <f t="shared" si="890"/>
        <v>0</v>
      </c>
      <c r="AS552" s="1170"/>
      <c r="AT552" s="1170"/>
      <c r="AU552" s="1174"/>
      <c r="AV552" s="1128"/>
      <c r="AW552" s="1169"/>
      <c r="AX552" s="1177"/>
      <c r="AY552" s="1177"/>
      <c r="AZ552" s="1169"/>
      <c r="BA552" s="1169">
        <f t="shared" si="891"/>
        <v>0</v>
      </c>
      <c r="BB552" s="1169"/>
      <c r="BC552" s="1175"/>
      <c r="BD552" s="1027"/>
      <c r="BE552" s="1024"/>
      <c r="BF552" s="1024"/>
      <c r="BG552" s="1008"/>
      <c r="BH552" s="1008"/>
      <c r="BI552" s="1008"/>
      <c r="BJ552" s="1008"/>
      <c r="BK552" s="1008"/>
      <c r="BL552" s="1008"/>
      <c r="BM552" s="1008"/>
    </row>
    <row r="553" s="1215" customFormat="1" ht="18.75" customHeight="1">
      <c r="A553" s="999">
        <f t="shared" si="791"/>
        <v>0</v>
      </c>
      <c r="B553" s="1202" t="s">
        <v>424</v>
      </c>
      <c r="C553" s="1219"/>
      <c r="D553" s="1202"/>
      <c r="E553" s="1164">
        <f t="shared" si="884"/>
        <v>0</v>
      </c>
      <c r="F553" s="1164">
        <f t="shared" si="792"/>
        <v>0</v>
      </c>
      <c r="G553" s="1165">
        <f t="shared" si="885"/>
        <v>0</v>
      </c>
      <c r="H553" s="1166"/>
      <c r="I553" s="1167">
        <f t="shared" si="780"/>
        <v>0</v>
      </c>
      <c r="J553" s="1167">
        <f t="shared" si="794"/>
        <v>0</v>
      </c>
      <c r="K553" s="1168">
        <f t="shared" si="886"/>
        <v>0</v>
      </c>
      <c r="L553" s="1119"/>
      <c r="M553" s="1169"/>
      <c r="N553" s="1177"/>
      <c r="O553" s="1169"/>
      <c r="P553" s="1169"/>
      <c r="Q553" s="1169">
        <f t="shared" si="887"/>
        <v>0</v>
      </c>
      <c r="R553" s="1169"/>
      <c r="S553" s="1170"/>
      <c r="T553" s="1240"/>
      <c r="U553" s="1119"/>
      <c r="V553" s="1169"/>
      <c r="W553" s="1177"/>
      <c r="X553" s="1177"/>
      <c r="Y553" s="1169"/>
      <c r="Z553" s="1169">
        <f t="shared" si="888"/>
        <v>0</v>
      </c>
      <c r="AA553" s="1169"/>
      <c r="AB553" s="1172">
        <f t="shared" si="798"/>
        <v>0</v>
      </c>
      <c r="AC553" s="1240"/>
      <c r="AD553" s="1119"/>
      <c r="AE553" s="1169"/>
      <c r="AF553" s="1177"/>
      <c r="AG553" s="1177"/>
      <c r="AH553" s="1169"/>
      <c r="AI553" s="1169">
        <f t="shared" si="889"/>
        <v>0</v>
      </c>
      <c r="AJ553" s="1169"/>
      <c r="AK553" s="1173"/>
      <c r="AL553" s="1171"/>
      <c r="AM553" s="1128"/>
      <c r="AN553" s="1170"/>
      <c r="AO553" s="1175"/>
      <c r="AP553" s="1175"/>
      <c r="AQ553" s="1170"/>
      <c r="AR553" s="1170">
        <f t="shared" si="890"/>
        <v>0</v>
      </c>
      <c r="AS553" s="1170"/>
      <c r="AT553" s="1170"/>
      <c r="AU553" s="1174"/>
      <c r="AV553" s="1128"/>
      <c r="AW553" s="1169"/>
      <c r="AX553" s="1177"/>
      <c r="AY553" s="1177"/>
      <c r="AZ553" s="1169"/>
      <c r="BA553" s="1169">
        <f t="shared" si="891"/>
        <v>0</v>
      </c>
      <c r="BB553" s="1169"/>
      <c r="BC553" s="1175"/>
      <c r="BD553" s="1027"/>
      <c r="BE553" s="1024"/>
      <c r="BF553" s="1024"/>
      <c r="BG553" s="1008"/>
      <c r="BH553" s="1008"/>
      <c r="BI553" s="1008"/>
      <c r="BJ553" s="1008"/>
      <c r="BK553" s="1008"/>
      <c r="BL553" s="1008"/>
      <c r="BM553" s="1008"/>
    </row>
    <row r="554" s="1215" customFormat="1" ht="18.75" customHeight="1">
      <c r="A554" s="999" t="str">
        <f t="shared" si="791"/>
        <v xml:space="preserve">Соболева Т.Ю.</v>
      </c>
      <c r="B554" s="1202" t="s">
        <v>426</v>
      </c>
      <c r="C554" s="1202"/>
      <c r="D554" s="1202"/>
      <c r="E554" s="1164">
        <f t="shared" si="884"/>
        <v>0</v>
      </c>
      <c r="F554" s="1164">
        <f t="shared" si="792"/>
        <v>0</v>
      </c>
      <c r="G554" s="1165">
        <f t="shared" si="885"/>
        <v>0</v>
      </c>
      <c r="H554" s="1166"/>
      <c r="I554" s="1167">
        <f t="shared" si="780"/>
        <v>0</v>
      </c>
      <c r="J554" s="1167">
        <f t="shared" si="794"/>
        <v>0</v>
      </c>
      <c r="K554" s="1168">
        <f t="shared" si="886"/>
        <v>0</v>
      </c>
      <c r="L554" s="1119"/>
      <c r="M554" s="1169"/>
      <c r="N554" s="1177"/>
      <c r="O554" s="1169"/>
      <c r="P554" s="1169"/>
      <c r="Q554" s="1169">
        <f t="shared" si="887"/>
        <v>0</v>
      </c>
      <c r="R554" s="1169"/>
      <c r="S554" s="1170"/>
      <c r="T554" s="1240"/>
      <c r="U554" s="1119"/>
      <c r="V554" s="1169"/>
      <c r="W554" s="1177"/>
      <c r="X554" s="1177"/>
      <c r="Y554" s="1169"/>
      <c r="Z554" s="1169">
        <f t="shared" si="888"/>
        <v>0</v>
      </c>
      <c r="AA554" s="1169"/>
      <c r="AB554" s="1172">
        <f t="shared" si="798"/>
        <v>0</v>
      </c>
      <c r="AC554" s="1240"/>
      <c r="AD554" s="1119"/>
      <c r="AE554" s="1169"/>
      <c r="AF554" s="1177"/>
      <c r="AG554" s="1177"/>
      <c r="AH554" s="1169"/>
      <c r="AI554" s="1169">
        <f t="shared" si="889"/>
        <v>0</v>
      </c>
      <c r="AJ554" s="1169"/>
      <c r="AK554" s="1173"/>
      <c r="AL554" s="1171"/>
      <c r="AM554" s="1128"/>
      <c r="AN554" s="1170"/>
      <c r="AO554" s="1175"/>
      <c r="AP554" s="1175"/>
      <c r="AQ554" s="1170"/>
      <c r="AR554" s="1170">
        <f t="shared" si="890"/>
        <v>0</v>
      </c>
      <c r="AS554" s="1170"/>
      <c r="AT554" s="1170"/>
      <c r="AU554" s="1174"/>
      <c r="AV554" s="1128"/>
      <c r="AW554" s="1169"/>
      <c r="AX554" s="1177"/>
      <c r="AY554" s="1177"/>
      <c r="AZ554" s="1169"/>
      <c r="BA554" s="1169">
        <f t="shared" si="891"/>
        <v>0</v>
      </c>
      <c r="BB554" s="1169"/>
      <c r="BC554" s="1175"/>
      <c r="BD554" s="1027"/>
      <c r="BE554" s="1024"/>
      <c r="BF554" s="1024"/>
      <c r="BG554" s="1008"/>
      <c r="BH554" s="1008"/>
      <c r="BI554" s="1008"/>
      <c r="BJ554" s="1008"/>
      <c r="BK554" s="1008"/>
      <c r="BL554" s="1008"/>
      <c r="BM554" s="1008"/>
    </row>
    <row r="555" s="1215" customFormat="1" ht="18.75" customHeight="1">
      <c r="A555" s="999">
        <f t="shared" si="791"/>
        <v>0</v>
      </c>
      <c r="B555" s="1202" t="s">
        <v>427</v>
      </c>
      <c r="C555" s="1202"/>
      <c r="D555" s="1202"/>
      <c r="E555" s="1164">
        <f t="shared" si="884"/>
        <v>0</v>
      </c>
      <c r="F555" s="1164">
        <f t="shared" si="792"/>
        <v>0</v>
      </c>
      <c r="G555" s="1165">
        <f t="shared" si="885"/>
        <v>0</v>
      </c>
      <c r="H555" s="1166"/>
      <c r="I555" s="1167">
        <f t="shared" si="780"/>
        <v>0</v>
      </c>
      <c r="J555" s="1167">
        <f t="shared" si="794"/>
        <v>0</v>
      </c>
      <c r="K555" s="1168">
        <f t="shared" si="886"/>
        <v>0</v>
      </c>
      <c r="L555" s="1119"/>
      <c r="M555" s="1169"/>
      <c r="N555" s="1177"/>
      <c r="O555" s="1169"/>
      <c r="P555" s="1169"/>
      <c r="Q555" s="1169">
        <f t="shared" si="887"/>
        <v>0</v>
      </c>
      <c r="R555" s="1169"/>
      <c r="S555" s="1170"/>
      <c r="T555" s="1240"/>
      <c r="U555" s="1119"/>
      <c r="V555" s="1169"/>
      <c r="W555" s="1177"/>
      <c r="X555" s="1177"/>
      <c r="Y555" s="1169"/>
      <c r="Z555" s="1169">
        <f t="shared" si="888"/>
        <v>0</v>
      </c>
      <c r="AA555" s="1169"/>
      <c r="AB555" s="1172">
        <f t="shared" si="798"/>
        <v>0</v>
      </c>
      <c r="AC555" s="1240"/>
      <c r="AD555" s="1119"/>
      <c r="AE555" s="1169"/>
      <c r="AF555" s="1177"/>
      <c r="AG555" s="1177"/>
      <c r="AH555" s="1169"/>
      <c r="AI555" s="1169">
        <f t="shared" si="889"/>
        <v>0</v>
      </c>
      <c r="AJ555" s="1169"/>
      <c r="AK555" s="1173"/>
      <c r="AL555" s="1171"/>
      <c r="AM555" s="1128"/>
      <c r="AN555" s="1170"/>
      <c r="AO555" s="1175"/>
      <c r="AP555" s="1175"/>
      <c r="AQ555" s="1170"/>
      <c r="AR555" s="1170">
        <f t="shared" si="890"/>
        <v>0</v>
      </c>
      <c r="AS555" s="1170"/>
      <c r="AT555" s="1170"/>
      <c r="AU555" s="1174"/>
      <c r="AV555" s="1128"/>
      <c r="AW555" s="1169"/>
      <c r="AX555" s="1177"/>
      <c r="AY555" s="1177"/>
      <c r="AZ555" s="1169"/>
      <c r="BA555" s="1169">
        <f t="shared" si="891"/>
        <v>0</v>
      </c>
      <c r="BB555" s="1169"/>
      <c r="BC555" s="1175"/>
      <c r="BD555" s="1027"/>
      <c r="BE555" s="1024"/>
      <c r="BF555" s="1024"/>
      <c r="BG555" s="1008"/>
      <c r="BH555" s="1008"/>
      <c r="BI555" s="1008"/>
      <c r="BJ555" s="1008"/>
      <c r="BK555" s="1008"/>
      <c r="BL555" s="1008"/>
      <c r="BM555" s="1008"/>
    </row>
    <row r="556" s="1215" customFormat="1" ht="18.75" customHeight="1">
      <c r="A556" s="999" t="str">
        <f t="shared" si="791"/>
        <v xml:space="preserve">Астапова С.А.</v>
      </c>
      <c r="B556" s="1202" t="s">
        <v>73</v>
      </c>
      <c r="C556" s="1202"/>
      <c r="D556" s="1202"/>
      <c r="E556" s="1164">
        <f t="shared" si="884"/>
        <v>0</v>
      </c>
      <c r="F556" s="1164">
        <f t="shared" si="792"/>
        <v>0</v>
      </c>
      <c r="G556" s="1165">
        <f t="shared" si="885"/>
        <v>0</v>
      </c>
      <c r="H556" s="1166"/>
      <c r="I556" s="1167">
        <f t="shared" si="780"/>
        <v>0</v>
      </c>
      <c r="J556" s="1167">
        <f t="shared" si="794"/>
        <v>0</v>
      </c>
      <c r="K556" s="1168">
        <f t="shared" si="886"/>
        <v>0</v>
      </c>
      <c r="L556" s="1119"/>
      <c r="M556" s="1169"/>
      <c r="N556" s="1177"/>
      <c r="O556" s="1169"/>
      <c r="P556" s="1169"/>
      <c r="Q556" s="1169">
        <f t="shared" si="887"/>
        <v>0</v>
      </c>
      <c r="R556" s="1169"/>
      <c r="S556" s="1170"/>
      <c r="T556" s="1240"/>
      <c r="U556" s="1119"/>
      <c r="V556" s="1169"/>
      <c r="W556" s="1177"/>
      <c r="X556" s="1177"/>
      <c r="Y556" s="1169"/>
      <c r="Z556" s="1169">
        <f t="shared" si="888"/>
        <v>0</v>
      </c>
      <c r="AA556" s="1169"/>
      <c r="AB556" s="1172">
        <f t="shared" si="798"/>
        <v>0</v>
      </c>
      <c r="AC556" s="1240"/>
      <c r="AD556" s="1119"/>
      <c r="AE556" s="1169"/>
      <c r="AF556" s="1177"/>
      <c r="AG556" s="1177"/>
      <c r="AH556" s="1169"/>
      <c r="AI556" s="1169">
        <f t="shared" si="889"/>
        <v>0</v>
      </c>
      <c r="AJ556" s="1169"/>
      <c r="AK556" s="1173"/>
      <c r="AL556" s="1171"/>
      <c r="AM556" s="1128"/>
      <c r="AN556" s="1170"/>
      <c r="AO556" s="1175"/>
      <c r="AP556" s="1175"/>
      <c r="AQ556" s="1170"/>
      <c r="AR556" s="1170">
        <f t="shared" si="890"/>
        <v>0</v>
      </c>
      <c r="AS556" s="1170"/>
      <c r="AT556" s="1170"/>
      <c r="AU556" s="1174"/>
      <c r="AV556" s="1128"/>
      <c r="AW556" s="1169"/>
      <c r="AX556" s="1177"/>
      <c r="AY556" s="1177"/>
      <c r="AZ556" s="1169"/>
      <c r="BA556" s="1169">
        <f t="shared" si="891"/>
        <v>0</v>
      </c>
      <c r="BB556" s="1169"/>
      <c r="BC556" s="1175"/>
      <c r="BD556" s="1027"/>
      <c r="BE556" s="1024"/>
      <c r="BF556" s="1024"/>
      <c r="BG556" s="1008"/>
      <c r="BH556" s="1008"/>
      <c r="BI556" s="1008"/>
      <c r="BJ556" s="1008"/>
      <c r="BK556" s="1008"/>
      <c r="BL556" s="1008"/>
      <c r="BM556" s="1008"/>
    </row>
    <row r="557" s="1215" customFormat="1" ht="18.75" customHeight="1">
      <c r="A557" s="999" t="str">
        <f t="shared" si="791"/>
        <v xml:space="preserve">Кирпа Е.Д.</v>
      </c>
      <c r="B557" s="1202" t="s">
        <v>75</v>
      </c>
      <c r="C557" s="1203"/>
      <c r="D557" s="1202"/>
      <c r="E557" s="1164">
        <f t="shared" si="884"/>
        <v>0</v>
      </c>
      <c r="F557" s="1164">
        <f t="shared" si="792"/>
        <v>0</v>
      </c>
      <c r="G557" s="1165">
        <f t="shared" si="885"/>
        <v>0</v>
      </c>
      <c r="H557" s="1166"/>
      <c r="I557" s="1167">
        <f t="shared" ref="I557:J620" si="892">E557-Z557</f>
        <v>0</v>
      </c>
      <c r="J557" s="1167">
        <f t="shared" si="794"/>
        <v>0</v>
      </c>
      <c r="K557" s="1168">
        <f t="shared" si="886"/>
        <v>0</v>
      </c>
      <c r="L557" s="1119"/>
      <c r="M557" s="1169"/>
      <c r="N557" s="1177"/>
      <c r="O557" s="1169"/>
      <c r="P557" s="1169"/>
      <c r="Q557" s="1169">
        <f t="shared" si="887"/>
        <v>0</v>
      </c>
      <c r="R557" s="1169"/>
      <c r="S557" s="1170"/>
      <c r="T557" s="1240"/>
      <c r="U557" s="1119"/>
      <c r="V557" s="1169"/>
      <c r="W557" s="1177"/>
      <c r="X557" s="1177"/>
      <c r="Y557" s="1169"/>
      <c r="Z557" s="1169">
        <f t="shared" si="888"/>
        <v>0</v>
      </c>
      <c r="AA557" s="1169"/>
      <c r="AB557" s="1172">
        <f t="shared" si="798"/>
        <v>0</v>
      </c>
      <c r="AC557" s="1240"/>
      <c r="AD557" s="1119"/>
      <c r="AE557" s="1169"/>
      <c r="AF557" s="1177"/>
      <c r="AG557" s="1177"/>
      <c r="AH557" s="1169"/>
      <c r="AI557" s="1169">
        <f t="shared" si="889"/>
        <v>0</v>
      </c>
      <c r="AJ557" s="1169"/>
      <c r="AK557" s="1173"/>
      <c r="AL557" s="1171"/>
      <c r="AM557" s="1128"/>
      <c r="AN557" s="1170"/>
      <c r="AO557" s="1175"/>
      <c r="AP557" s="1175"/>
      <c r="AQ557" s="1170"/>
      <c r="AR557" s="1170">
        <f t="shared" si="890"/>
        <v>0</v>
      </c>
      <c r="AS557" s="1170"/>
      <c r="AT557" s="1170"/>
      <c r="AU557" s="1174"/>
      <c r="AV557" s="1128"/>
      <c r="AW557" s="1169"/>
      <c r="AX557" s="1177"/>
      <c r="AY557" s="1177"/>
      <c r="AZ557" s="1169"/>
      <c r="BA557" s="1169">
        <f t="shared" si="891"/>
        <v>0</v>
      </c>
      <c r="BB557" s="1169"/>
      <c r="BC557" s="1175"/>
      <c r="BD557" s="1027"/>
      <c r="BE557" s="1024"/>
      <c r="BF557" s="1024"/>
      <c r="BG557" s="1008"/>
      <c r="BH557" s="1008"/>
      <c r="BI557" s="1008"/>
      <c r="BJ557" s="1008"/>
      <c r="BK557" s="1008"/>
      <c r="BL557" s="1008"/>
      <c r="BM557" s="1008"/>
    </row>
    <row r="558" s="1215" customFormat="1" ht="18.75" customHeight="1">
      <c r="A558" s="999" t="str">
        <f t="shared" si="791"/>
        <v xml:space="preserve">Трофимкина Н.В.</v>
      </c>
      <c r="B558" s="1202" t="s">
        <v>431</v>
      </c>
      <c r="C558" s="1203"/>
      <c r="D558" s="1202"/>
      <c r="E558" s="1164">
        <f t="shared" si="884"/>
        <v>0</v>
      </c>
      <c r="F558" s="1164">
        <f t="shared" si="792"/>
        <v>0</v>
      </c>
      <c r="G558" s="1165">
        <f t="shared" si="885"/>
        <v>0</v>
      </c>
      <c r="H558" s="1166"/>
      <c r="I558" s="1167">
        <f t="shared" si="892"/>
        <v>0</v>
      </c>
      <c r="J558" s="1167">
        <f t="shared" si="794"/>
        <v>0</v>
      </c>
      <c r="K558" s="1168">
        <f t="shared" si="886"/>
        <v>0</v>
      </c>
      <c r="L558" s="1119"/>
      <c r="M558" s="1169"/>
      <c r="N558" s="1177"/>
      <c r="O558" s="1169"/>
      <c r="P558" s="1169"/>
      <c r="Q558" s="1169">
        <f t="shared" si="887"/>
        <v>0</v>
      </c>
      <c r="R558" s="1169"/>
      <c r="S558" s="1170"/>
      <c r="T558" s="1240"/>
      <c r="U558" s="1119"/>
      <c r="V558" s="1169"/>
      <c r="W558" s="1177"/>
      <c r="X558" s="1177"/>
      <c r="Y558" s="1169"/>
      <c r="Z558" s="1169">
        <f t="shared" si="888"/>
        <v>0</v>
      </c>
      <c r="AA558" s="1169"/>
      <c r="AB558" s="1172">
        <f t="shared" si="798"/>
        <v>0</v>
      </c>
      <c r="AC558" s="1240"/>
      <c r="AD558" s="1119"/>
      <c r="AE558" s="1169"/>
      <c r="AF558" s="1177"/>
      <c r="AG558" s="1177"/>
      <c r="AH558" s="1169"/>
      <c r="AI558" s="1169">
        <f t="shared" si="889"/>
        <v>0</v>
      </c>
      <c r="AJ558" s="1169"/>
      <c r="AK558" s="1173"/>
      <c r="AL558" s="1171"/>
      <c r="AM558" s="1128"/>
      <c r="AN558" s="1170"/>
      <c r="AO558" s="1175"/>
      <c r="AP558" s="1175"/>
      <c r="AQ558" s="1170"/>
      <c r="AR558" s="1170">
        <f t="shared" si="890"/>
        <v>0</v>
      </c>
      <c r="AS558" s="1170"/>
      <c r="AT558" s="1170"/>
      <c r="AU558" s="1174"/>
      <c r="AV558" s="1128"/>
      <c r="AW558" s="1169"/>
      <c r="AX558" s="1177"/>
      <c r="AY558" s="1177"/>
      <c r="AZ558" s="1169"/>
      <c r="BA558" s="1169">
        <f t="shared" si="891"/>
        <v>0</v>
      </c>
      <c r="BB558" s="1169"/>
      <c r="BC558" s="1175"/>
      <c r="BD558" s="1027"/>
      <c r="BE558" s="1024"/>
      <c r="BF558" s="1024"/>
      <c r="BG558" s="1008"/>
      <c r="BH558" s="1008"/>
      <c r="BI558" s="1008"/>
      <c r="BJ558" s="1008"/>
      <c r="BK558" s="1008"/>
      <c r="BL558" s="1008"/>
      <c r="BM558" s="1008"/>
    </row>
    <row r="559" s="1215" customFormat="1" ht="18.75" customHeight="1">
      <c r="A559" s="999" t="str">
        <f t="shared" si="791"/>
        <v xml:space="preserve">Жилкина В.В.</v>
      </c>
      <c r="B559" s="1202" t="s">
        <v>433</v>
      </c>
      <c r="C559" s="1203"/>
      <c r="D559" s="1217"/>
      <c r="E559" s="1164">
        <f t="shared" si="884"/>
        <v>0</v>
      </c>
      <c r="F559" s="1164">
        <f t="shared" si="792"/>
        <v>0</v>
      </c>
      <c r="G559" s="1165">
        <f t="shared" si="885"/>
        <v>0</v>
      </c>
      <c r="H559" s="1166"/>
      <c r="I559" s="1167">
        <f t="shared" si="892"/>
        <v>0</v>
      </c>
      <c r="J559" s="1167">
        <f t="shared" si="794"/>
        <v>0</v>
      </c>
      <c r="K559" s="1168">
        <f t="shared" si="886"/>
        <v>0</v>
      </c>
      <c r="L559" s="1119"/>
      <c r="M559" s="1169"/>
      <c r="N559" s="1177"/>
      <c r="O559" s="1169"/>
      <c r="P559" s="1169"/>
      <c r="Q559" s="1169">
        <f t="shared" si="887"/>
        <v>0</v>
      </c>
      <c r="R559" s="1169"/>
      <c r="S559" s="1170"/>
      <c r="T559" s="1240"/>
      <c r="U559" s="1119"/>
      <c r="V559" s="1169"/>
      <c r="W559" s="1177"/>
      <c r="X559" s="1177"/>
      <c r="Y559" s="1169"/>
      <c r="Z559" s="1169">
        <f t="shared" si="888"/>
        <v>0</v>
      </c>
      <c r="AA559" s="1169"/>
      <c r="AB559" s="1172">
        <f t="shared" si="798"/>
        <v>0</v>
      </c>
      <c r="AC559" s="1240"/>
      <c r="AD559" s="1119"/>
      <c r="AE559" s="1169"/>
      <c r="AF559" s="1177"/>
      <c r="AG559" s="1177"/>
      <c r="AH559" s="1169"/>
      <c r="AI559" s="1169">
        <f t="shared" si="889"/>
        <v>0</v>
      </c>
      <c r="AJ559" s="1169"/>
      <c r="AK559" s="1173"/>
      <c r="AL559" s="1171"/>
      <c r="AM559" s="1128"/>
      <c r="AN559" s="1170"/>
      <c r="AO559" s="1175"/>
      <c r="AP559" s="1175"/>
      <c r="AQ559" s="1170"/>
      <c r="AR559" s="1170">
        <f t="shared" si="890"/>
        <v>0</v>
      </c>
      <c r="AS559" s="1170"/>
      <c r="AT559" s="1170"/>
      <c r="AU559" s="1174"/>
      <c r="AV559" s="1128"/>
      <c r="AW559" s="1169"/>
      <c r="AX559" s="1177"/>
      <c r="AY559" s="1177"/>
      <c r="AZ559" s="1169"/>
      <c r="BA559" s="1169">
        <f t="shared" si="891"/>
        <v>0</v>
      </c>
      <c r="BB559" s="1169"/>
      <c r="BC559" s="1175"/>
      <c r="BD559" s="1027"/>
      <c r="BE559" s="1024"/>
      <c r="BF559" s="1024"/>
      <c r="BG559" s="1008"/>
      <c r="BH559" s="1008"/>
      <c r="BI559" s="1008"/>
      <c r="BJ559" s="1008"/>
      <c r="BK559" s="1008"/>
      <c r="BL559" s="1008"/>
      <c r="BM559" s="1008"/>
    </row>
    <row r="560" s="1215" customFormat="1" ht="18.75" customHeight="1">
      <c r="A560" s="999" t="str">
        <f t="shared" si="791"/>
        <v xml:space="preserve">Марушенко В.Н. Донцова Н.Г.</v>
      </c>
      <c r="B560" s="1202" t="s">
        <v>435</v>
      </c>
      <c r="C560" s="1203"/>
      <c r="D560" s="1202"/>
      <c r="E560" s="1164">
        <f t="shared" si="884"/>
        <v>0</v>
      </c>
      <c r="F560" s="1164">
        <f t="shared" si="792"/>
        <v>0</v>
      </c>
      <c r="G560" s="1165">
        <f t="shared" si="885"/>
        <v>0</v>
      </c>
      <c r="H560" s="1166"/>
      <c r="I560" s="1167">
        <f t="shared" si="892"/>
        <v>0</v>
      </c>
      <c r="J560" s="1167">
        <f t="shared" si="794"/>
        <v>0</v>
      </c>
      <c r="K560" s="1168">
        <f t="shared" si="886"/>
        <v>0</v>
      </c>
      <c r="L560" s="1119"/>
      <c r="M560" s="1169"/>
      <c r="N560" s="1177"/>
      <c r="O560" s="1169"/>
      <c r="P560" s="1169"/>
      <c r="Q560" s="1169">
        <f t="shared" si="887"/>
        <v>0</v>
      </c>
      <c r="R560" s="1169"/>
      <c r="S560" s="1170"/>
      <c r="T560" s="1240"/>
      <c r="U560" s="1119"/>
      <c r="V560" s="1169"/>
      <c r="W560" s="1177"/>
      <c r="X560" s="1177"/>
      <c r="Y560" s="1169"/>
      <c r="Z560" s="1169">
        <f t="shared" si="888"/>
        <v>0</v>
      </c>
      <c r="AA560" s="1169"/>
      <c r="AB560" s="1172">
        <f t="shared" si="798"/>
        <v>0</v>
      </c>
      <c r="AC560" s="1240"/>
      <c r="AD560" s="1119"/>
      <c r="AE560" s="1169"/>
      <c r="AF560" s="1177"/>
      <c r="AG560" s="1177"/>
      <c r="AH560" s="1169"/>
      <c r="AI560" s="1169">
        <f t="shared" si="889"/>
        <v>0</v>
      </c>
      <c r="AJ560" s="1169"/>
      <c r="AK560" s="1173"/>
      <c r="AL560" s="1171"/>
      <c r="AM560" s="1128"/>
      <c r="AN560" s="1170"/>
      <c r="AO560" s="1175"/>
      <c r="AP560" s="1175"/>
      <c r="AQ560" s="1170"/>
      <c r="AR560" s="1170">
        <f t="shared" si="890"/>
        <v>0</v>
      </c>
      <c r="AS560" s="1170"/>
      <c r="AT560" s="1170"/>
      <c r="AU560" s="1174"/>
      <c r="AV560" s="1128"/>
      <c r="AW560" s="1169"/>
      <c r="AX560" s="1177"/>
      <c r="AY560" s="1177"/>
      <c r="AZ560" s="1169"/>
      <c r="BA560" s="1169">
        <f t="shared" si="891"/>
        <v>0</v>
      </c>
      <c r="BB560" s="1169"/>
      <c r="BC560" s="1175"/>
      <c r="BD560" s="1027"/>
      <c r="BE560" s="1024"/>
      <c r="BF560" s="1024"/>
      <c r="BG560" s="1008"/>
      <c r="BH560" s="1008"/>
      <c r="BI560" s="1008"/>
      <c r="BJ560" s="1008"/>
      <c r="BK560" s="1008"/>
      <c r="BL560" s="1008"/>
      <c r="BM560" s="1008"/>
    </row>
    <row r="561" s="1215" customFormat="1" ht="18.75" customHeight="1">
      <c r="A561" s="999">
        <f t="shared" si="791"/>
        <v>0</v>
      </c>
      <c r="B561" s="1202" t="s">
        <v>436</v>
      </c>
      <c r="C561" s="1202"/>
      <c r="D561" s="1202"/>
      <c r="E561" s="1164">
        <f t="shared" si="884"/>
        <v>0</v>
      </c>
      <c r="F561" s="1164">
        <f t="shared" si="792"/>
        <v>0</v>
      </c>
      <c r="G561" s="1165">
        <f t="shared" si="885"/>
        <v>0</v>
      </c>
      <c r="H561" s="1166"/>
      <c r="I561" s="1167">
        <f t="shared" si="892"/>
        <v>0</v>
      </c>
      <c r="J561" s="1167">
        <f t="shared" si="794"/>
        <v>0</v>
      </c>
      <c r="K561" s="1168">
        <f t="shared" si="886"/>
        <v>0</v>
      </c>
      <c r="L561" s="1119"/>
      <c r="M561" s="1169"/>
      <c r="N561" s="1177"/>
      <c r="O561" s="1169"/>
      <c r="P561" s="1169"/>
      <c r="Q561" s="1169">
        <f t="shared" si="887"/>
        <v>0</v>
      </c>
      <c r="R561" s="1169"/>
      <c r="S561" s="1170"/>
      <c r="T561" s="1240"/>
      <c r="U561" s="1119"/>
      <c r="V561" s="1169"/>
      <c r="W561" s="1177"/>
      <c r="X561" s="1177"/>
      <c r="Y561" s="1169"/>
      <c r="Z561" s="1169">
        <f t="shared" si="888"/>
        <v>0</v>
      </c>
      <c r="AA561" s="1169"/>
      <c r="AB561" s="1172">
        <f t="shared" si="798"/>
        <v>0</v>
      </c>
      <c r="AC561" s="1240"/>
      <c r="AD561" s="1119"/>
      <c r="AE561" s="1169"/>
      <c r="AF561" s="1177"/>
      <c r="AG561" s="1177"/>
      <c r="AH561" s="1169"/>
      <c r="AI561" s="1169">
        <f t="shared" si="889"/>
        <v>0</v>
      </c>
      <c r="AJ561" s="1169"/>
      <c r="AK561" s="1173"/>
      <c r="AL561" s="1171"/>
      <c r="AM561" s="1128"/>
      <c r="AN561" s="1170"/>
      <c r="AO561" s="1175"/>
      <c r="AP561" s="1175"/>
      <c r="AQ561" s="1170"/>
      <c r="AR561" s="1170">
        <f t="shared" si="890"/>
        <v>0</v>
      </c>
      <c r="AS561" s="1170"/>
      <c r="AT561" s="1170"/>
      <c r="AU561" s="1174"/>
      <c r="AV561" s="1128"/>
      <c r="AW561" s="1169"/>
      <c r="AX561" s="1177"/>
      <c r="AY561" s="1177"/>
      <c r="AZ561" s="1169"/>
      <c r="BA561" s="1169">
        <f t="shared" si="891"/>
        <v>0</v>
      </c>
      <c r="BB561" s="1169"/>
      <c r="BC561" s="1175"/>
      <c r="BD561" s="1027"/>
      <c r="BE561" s="1024"/>
      <c r="BF561" s="1024"/>
      <c r="BG561" s="1008"/>
      <c r="BH561" s="1008"/>
      <c r="BI561" s="1008"/>
      <c r="BJ561" s="1008"/>
      <c r="BK561" s="1008"/>
      <c r="BL561" s="1008"/>
      <c r="BM561" s="1008"/>
    </row>
    <row r="562" s="1215" customFormat="1" ht="18.75" customHeight="1">
      <c r="A562" s="999" t="str">
        <f t="shared" si="791"/>
        <v xml:space="preserve">Кузнецова Е.В.</v>
      </c>
      <c r="B562" s="1202" t="s">
        <v>78</v>
      </c>
      <c r="C562" s="1223"/>
      <c r="D562" s="1223"/>
      <c r="E562" s="1164">
        <f t="shared" si="884"/>
        <v>0</v>
      </c>
      <c r="F562" s="1164">
        <f t="shared" si="792"/>
        <v>0</v>
      </c>
      <c r="G562" s="1165">
        <f t="shared" si="885"/>
        <v>0</v>
      </c>
      <c r="H562" s="1166"/>
      <c r="I562" s="1167">
        <f t="shared" si="892"/>
        <v>0</v>
      </c>
      <c r="J562" s="1167">
        <f t="shared" si="794"/>
        <v>0</v>
      </c>
      <c r="K562" s="1168">
        <f t="shared" si="886"/>
        <v>0</v>
      </c>
      <c r="L562" s="1119"/>
      <c r="M562" s="1169"/>
      <c r="N562" s="1177"/>
      <c r="O562" s="1169"/>
      <c r="P562" s="1169"/>
      <c r="Q562" s="1169">
        <f t="shared" si="887"/>
        <v>0</v>
      </c>
      <c r="R562" s="1169"/>
      <c r="S562" s="1170"/>
      <c r="T562" s="1240"/>
      <c r="U562" s="1119"/>
      <c r="V562" s="1169"/>
      <c r="W562" s="1177"/>
      <c r="X562" s="1177"/>
      <c r="Y562" s="1169"/>
      <c r="Z562" s="1169">
        <f t="shared" si="888"/>
        <v>0</v>
      </c>
      <c r="AA562" s="1169"/>
      <c r="AB562" s="1172">
        <f t="shared" si="798"/>
        <v>0</v>
      </c>
      <c r="AC562" s="1240"/>
      <c r="AD562" s="1119"/>
      <c r="AE562" s="1169"/>
      <c r="AF562" s="1177"/>
      <c r="AG562" s="1177"/>
      <c r="AH562" s="1169"/>
      <c r="AI562" s="1169">
        <f t="shared" si="889"/>
        <v>0</v>
      </c>
      <c r="AJ562" s="1169"/>
      <c r="AK562" s="1173"/>
      <c r="AL562" s="1171"/>
      <c r="AM562" s="1128"/>
      <c r="AN562" s="1170"/>
      <c r="AO562" s="1175"/>
      <c r="AP562" s="1175"/>
      <c r="AQ562" s="1170"/>
      <c r="AR562" s="1170">
        <f t="shared" si="890"/>
        <v>0</v>
      </c>
      <c r="AS562" s="1170"/>
      <c r="AT562" s="1170"/>
      <c r="AU562" s="1174"/>
      <c r="AV562" s="1128"/>
      <c r="AW562" s="1169"/>
      <c r="AX562" s="1177"/>
      <c r="AY562" s="1177"/>
      <c r="AZ562" s="1169"/>
      <c r="BA562" s="1169">
        <f t="shared" si="891"/>
        <v>0</v>
      </c>
      <c r="BB562" s="1169"/>
      <c r="BC562" s="1175"/>
      <c r="BD562" s="1027"/>
      <c r="BE562" s="1024"/>
      <c r="BF562" s="1024"/>
      <c r="BG562" s="1008"/>
      <c r="BH562" s="1008"/>
      <c r="BI562" s="1008"/>
      <c r="BJ562" s="1008"/>
      <c r="BK562" s="1008"/>
      <c r="BL562" s="1008"/>
      <c r="BM562" s="1008"/>
    </row>
    <row r="563" s="1215" customFormat="1" ht="18.75" customHeight="1">
      <c r="A563" s="999">
        <f t="shared" ref="A563:A626" si="893">A466</f>
        <v>0</v>
      </c>
      <c r="B563" s="1205" t="s">
        <v>22</v>
      </c>
      <c r="C563" s="1205"/>
      <c r="D563" s="1205"/>
      <c r="E563" s="1183">
        <f t="shared" si="884"/>
        <v>0</v>
      </c>
      <c r="F563" s="1183">
        <f t="shared" ref="F563:F626" si="894">R563+AA563+AJ563+AS563+BB563</f>
        <v>0</v>
      </c>
      <c r="G563" s="1184">
        <f>SUM(G550:G562)</f>
        <v>0</v>
      </c>
      <c r="H563" s="1185"/>
      <c r="I563" s="1186">
        <f t="shared" si="892"/>
        <v>0</v>
      </c>
      <c r="J563" s="1186">
        <f t="shared" ref="J563:J626" si="895">F563-AA563</f>
        <v>0</v>
      </c>
      <c r="K563" s="1187">
        <f>SUM(K550:K562)</f>
        <v>0</v>
      </c>
      <c r="L563" s="1119"/>
      <c r="M563" s="1096">
        <f t="shared" ref="M563:R563" si="896">SUM(M550:M562)</f>
        <v>0</v>
      </c>
      <c r="N563" s="1096">
        <f t="shared" si="896"/>
        <v>0</v>
      </c>
      <c r="O563" s="1096">
        <f t="shared" si="896"/>
        <v>0</v>
      </c>
      <c r="P563" s="1096">
        <f t="shared" si="896"/>
        <v>0</v>
      </c>
      <c r="Q563" s="1096">
        <f t="shared" si="896"/>
        <v>0</v>
      </c>
      <c r="R563" s="1096">
        <f t="shared" si="896"/>
        <v>0</v>
      </c>
      <c r="S563" s="1170"/>
      <c r="T563" s="1243"/>
      <c r="U563" s="1119"/>
      <c r="V563" s="1096">
        <f t="shared" ref="V563:AA563" si="897">SUM(V550:V562)</f>
        <v>0</v>
      </c>
      <c r="W563" s="1096">
        <f t="shared" si="897"/>
        <v>0</v>
      </c>
      <c r="X563" s="1096">
        <f t="shared" si="897"/>
        <v>0</v>
      </c>
      <c r="Y563" s="1096">
        <f t="shared" si="897"/>
        <v>0</v>
      </c>
      <c r="Z563" s="1096">
        <f t="shared" si="897"/>
        <v>0</v>
      </c>
      <c r="AA563" s="1096">
        <f t="shared" si="897"/>
        <v>0</v>
      </c>
      <c r="AB563" s="1172">
        <f t="shared" ref="AB563:AB591" si="898">Z563+AA563</f>
        <v>0</v>
      </c>
      <c r="AC563" s="1243"/>
      <c r="AD563" s="1119"/>
      <c r="AE563" s="1096">
        <f t="shared" ref="AE563:AJ563" si="899">SUM(AE550:AE562)</f>
        <v>0</v>
      </c>
      <c r="AF563" s="1096">
        <f t="shared" si="899"/>
        <v>0</v>
      </c>
      <c r="AG563" s="1096">
        <f t="shared" si="899"/>
        <v>0</v>
      </c>
      <c r="AH563" s="1096">
        <f t="shared" si="899"/>
        <v>0</v>
      </c>
      <c r="AI563" s="1096">
        <f t="shared" si="899"/>
        <v>0</v>
      </c>
      <c r="AJ563" s="1096">
        <f t="shared" si="899"/>
        <v>0</v>
      </c>
      <c r="AK563" s="1173"/>
      <c r="AL563" s="1189"/>
      <c r="AM563" s="1128"/>
      <c r="AN563" s="1190">
        <f t="shared" ref="AN563:AS563" si="900">SUM(AN550:AN562)</f>
        <v>0</v>
      </c>
      <c r="AO563" s="1190">
        <f t="shared" si="900"/>
        <v>0</v>
      </c>
      <c r="AP563" s="1190">
        <f t="shared" si="900"/>
        <v>0</v>
      </c>
      <c r="AQ563" s="1190">
        <f t="shared" si="900"/>
        <v>0</v>
      </c>
      <c r="AR563" s="1190">
        <f t="shared" si="900"/>
        <v>0</v>
      </c>
      <c r="AS563" s="1190">
        <f t="shared" si="900"/>
        <v>0</v>
      </c>
      <c r="AT563" s="1170"/>
      <c r="AU563" s="1191"/>
      <c r="AV563" s="1128"/>
      <c r="AW563" s="1096">
        <f t="shared" ref="AW563:BB563" si="901">SUM(AW550:AW562)</f>
        <v>0</v>
      </c>
      <c r="AX563" s="1096">
        <f t="shared" si="901"/>
        <v>0</v>
      </c>
      <c r="AY563" s="1096">
        <f t="shared" si="901"/>
        <v>0</v>
      </c>
      <c r="AZ563" s="1096">
        <f t="shared" si="901"/>
        <v>0</v>
      </c>
      <c r="BA563" s="1096">
        <f t="shared" si="901"/>
        <v>0</v>
      </c>
      <c r="BB563" s="1096">
        <f t="shared" si="901"/>
        <v>0</v>
      </c>
      <c r="BC563" s="1175"/>
      <c r="BD563" s="1027"/>
      <c r="BE563" s="1024"/>
      <c r="BF563" s="1024"/>
      <c r="BG563" s="1008"/>
      <c r="BH563" s="1008"/>
      <c r="BI563" s="1008"/>
      <c r="BJ563" s="1008"/>
      <c r="BK563" s="1008"/>
      <c r="BL563" s="1008"/>
      <c r="BM563" s="1008"/>
    </row>
    <row r="564" s="1215" customFormat="1" ht="18.75" customHeight="1">
      <c r="A564" s="999" t="str">
        <f t="shared" si="893"/>
        <v xml:space="preserve">Титякова Т.А.</v>
      </c>
      <c r="B564" s="1202" t="s">
        <v>26</v>
      </c>
      <c r="C564" s="1202"/>
      <c r="D564" s="1202"/>
      <c r="E564" s="1164">
        <f t="shared" si="884"/>
        <v>0</v>
      </c>
      <c r="F564" s="1164">
        <f t="shared" si="894"/>
        <v>0</v>
      </c>
      <c r="G564" s="1165">
        <f t="shared" ref="G564:G589" si="902">E564+F564</f>
        <v>0</v>
      </c>
      <c r="H564" s="1166"/>
      <c r="I564" s="1167">
        <f t="shared" si="892"/>
        <v>0</v>
      </c>
      <c r="J564" s="1167">
        <f t="shared" si="895"/>
        <v>0</v>
      </c>
      <c r="K564" s="1168">
        <f t="shared" ref="K564:K589" si="903">I564+J564</f>
        <v>0</v>
      </c>
      <c r="L564" s="1119"/>
      <c r="M564" s="1169"/>
      <c r="N564" s="1177"/>
      <c r="O564" s="1169"/>
      <c r="P564" s="1169"/>
      <c r="Q564" s="1169">
        <f t="shared" ref="Q564:Q589" si="904">SUM(M564:P564)</f>
        <v>0</v>
      </c>
      <c r="R564" s="1169"/>
      <c r="S564" s="1170"/>
      <c r="T564" s="1240"/>
      <c r="U564" s="1119"/>
      <c r="V564" s="1169"/>
      <c r="W564" s="1177"/>
      <c r="X564" s="1177"/>
      <c r="Y564" s="1169"/>
      <c r="Z564" s="1169">
        <f t="shared" ref="Z564:Z589" si="905">SUM(V564:Y564)</f>
        <v>0</v>
      </c>
      <c r="AA564" s="1169"/>
      <c r="AB564" s="1172">
        <f t="shared" si="898"/>
        <v>0</v>
      </c>
      <c r="AC564" s="1240"/>
      <c r="AD564" s="1119"/>
      <c r="AE564" s="1169"/>
      <c r="AF564" s="1177"/>
      <c r="AG564" s="1177"/>
      <c r="AH564" s="1169"/>
      <c r="AI564" s="1169">
        <f t="shared" ref="AI564:AI589" si="906">SUM(AE564:AH564)</f>
        <v>0</v>
      </c>
      <c r="AJ564" s="1169"/>
      <c r="AK564" s="1173"/>
      <c r="AL564" s="1171"/>
      <c r="AM564" s="1128"/>
      <c r="AN564" s="1170"/>
      <c r="AO564" s="1175"/>
      <c r="AP564" s="1175"/>
      <c r="AQ564" s="1170"/>
      <c r="AR564" s="1170">
        <f t="shared" ref="AR564:AR589" si="907">SUM(AN564:AQ564)</f>
        <v>0</v>
      </c>
      <c r="AS564" s="1170"/>
      <c r="AT564" s="1170"/>
      <c r="AU564" s="1174"/>
      <c r="AV564" s="1128"/>
      <c r="AW564" s="1169"/>
      <c r="AX564" s="1177"/>
      <c r="AY564" s="1177"/>
      <c r="AZ564" s="1169"/>
      <c r="BA564" s="1169">
        <f t="shared" ref="BA564:BA589" si="908">SUM(AW564:AZ564)</f>
        <v>0</v>
      </c>
      <c r="BB564" s="1169"/>
      <c r="BC564" s="1175"/>
      <c r="BD564" s="1027"/>
      <c r="BE564" s="1024"/>
      <c r="BF564" s="1024"/>
      <c r="BG564" s="1008"/>
      <c r="BH564" s="1008"/>
      <c r="BI564" s="1008"/>
      <c r="BJ564" s="1008"/>
      <c r="BK564" s="1008"/>
      <c r="BL564" s="1008"/>
      <c r="BM564" s="1008"/>
    </row>
    <row r="565" s="1215" customFormat="1" ht="18.75" customHeight="1">
      <c r="A565" s="999">
        <f t="shared" si="893"/>
        <v>0</v>
      </c>
      <c r="B565" s="1202" t="s">
        <v>439</v>
      </c>
      <c r="C565" s="1202"/>
      <c r="D565" s="1202"/>
      <c r="E565" s="1164">
        <f t="shared" si="884"/>
        <v>0</v>
      </c>
      <c r="F565" s="1164">
        <f t="shared" si="894"/>
        <v>0</v>
      </c>
      <c r="G565" s="1165">
        <f t="shared" si="902"/>
        <v>0</v>
      </c>
      <c r="H565" s="1166"/>
      <c r="I565" s="1167">
        <f t="shared" si="892"/>
        <v>0</v>
      </c>
      <c r="J565" s="1167">
        <f t="shared" si="895"/>
        <v>0</v>
      </c>
      <c r="K565" s="1168">
        <f t="shared" si="903"/>
        <v>0</v>
      </c>
      <c r="L565" s="1119"/>
      <c r="M565" s="1169"/>
      <c r="N565" s="1177"/>
      <c r="O565" s="1169"/>
      <c r="P565" s="1169"/>
      <c r="Q565" s="1169">
        <f t="shared" si="904"/>
        <v>0</v>
      </c>
      <c r="R565" s="1169"/>
      <c r="S565" s="1170"/>
      <c r="T565" s="1240"/>
      <c r="U565" s="1119"/>
      <c r="V565" s="1169"/>
      <c r="W565" s="1177"/>
      <c r="X565" s="1177"/>
      <c r="Y565" s="1169"/>
      <c r="Z565" s="1169">
        <f t="shared" si="905"/>
        <v>0</v>
      </c>
      <c r="AA565" s="1169"/>
      <c r="AB565" s="1172">
        <f t="shared" si="898"/>
        <v>0</v>
      </c>
      <c r="AC565" s="1240"/>
      <c r="AD565" s="1119"/>
      <c r="AE565" s="1169"/>
      <c r="AF565" s="1177"/>
      <c r="AG565" s="1177"/>
      <c r="AH565" s="1169"/>
      <c r="AI565" s="1169">
        <f t="shared" si="906"/>
        <v>0</v>
      </c>
      <c r="AJ565" s="1169"/>
      <c r="AK565" s="1173"/>
      <c r="AL565" s="1171"/>
      <c r="AM565" s="1128"/>
      <c r="AN565" s="1170"/>
      <c r="AO565" s="1175"/>
      <c r="AP565" s="1175"/>
      <c r="AQ565" s="1170"/>
      <c r="AR565" s="1170">
        <f t="shared" si="907"/>
        <v>0</v>
      </c>
      <c r="AS565" s="1170"/>
      <c r="AT565" s="1170"/>
      <c r="AU565" s="1174"/>
      <c r="AV565" s="1128"/>
      <c r="AW565" s="1169"/>
      <c r="AX565" s="1177"/>
      <c r="AY565" s="1177"/>
      <c r="AZ565" s="1169"/>
      <c r="BA565" s="1169">
        <f t="shared" si="908"/>
        <v>0</v>
      </c>
      <c r="BB565" s="1169"/>
      <c r="BC565" s="1175"/>
      <c r="BD565" s="1027"/>
      <c r="BE565" s="1024"/>
      <c r="BF565" s="1024"/>
      <c r="BG565" s="1008"/>
      <c r="BH565" s="1008"/>
      <c r="BI565" s="1008"/>
      <c r="BJ565" s="1008"/>
      <c r="BK565" s="1008"/>
      <c r="BL565" s="1008"/>
      <c r="BM565" s="1008"/>
    </row>
    <row r="566" s="1215" customFormat="1" ht="18.75" customHeight="1">
      <c r="A566" s="999" t="str">
        <f t="shared" si="893"/>
        <v xml:space="preserve">Стрельникова АГ, Липатова СН</v>
      </c>
      <c r="B566" s="1202" t="s">
        <v>441</v>
      </c>
      <c r="C566" s="1202"/>
      <c r="D566" s="1202"/>
      <c r="E566" s="1164">
        <f t="shared" si="884"/>
        <v>0</v>
      </c>
      <c r="F566" s="1164">
        <f t="shared" si="894"/>
        <v>0</v>
      </c>
      <c r="G566" s="1165">
        <f t="shared" si="902"/>
        <v>0</v>
      </c>
      <c r="H566" s="1166"/>
      <c r="I566" s="1167">
        <f t="shared" si="892"/>
        <v>0</v>
      </c>
      <c r="J566" s="1167">
        <f t="shared" si="895"/>
        <v>0</v>
      </c>
      <c r="K566" s="1168">
        <f t="shared" si="903"/>
        <v>0</v>
      </c>
      <c r="L566" s="1119"/>
      <c r="M566" s="1169"/>
      <c r="N566" s="1177"/>
      <c r="O566" s="1169"/>
      <c r="P566" s="1169"/>
      <c r="Q566" s="1169">
        <f t="shared" si="904"/>
        <v>0</v>
      </c>
      <c r="R566" s="1169"/>
      <c r="S566" s="1170"/>
      <c r="T566" s="1240"/>
      <c r="U566" s="1119"/>
      <c r="V566" s="1169"/>
      <c r="W566" s="1177"/>
      <c r="X566" s="1177"/>
      <c r="Y566" s="1169"/>
      <c r="Z566" s="1169">
        <f t="shared" si="905"/>
        <v>0</v>
      </c>
      <c r="AA566" s="1169"/>
      <c r="AB566" s="1172">
        <f t="shared" si="898"/>
        <v>0</v>
      </c>
      <c r="AC566" s="1240"/>
      <c r="AD566" s="1119"/>
      <c r="AE566" s="1169"/>
      <c r="AF566" s="1177"/>
      <c r="AG566" s="1177"/>
      <c r="AH566" s="1169"/>
      <c r="AI566" s="1169">
        <f t="shared" si="906"/>
        <v>0</v>
      </c>
      <c r="AJ566" s="1169"/>
      <c r="AK566" s="1173"/>
      <c r="AL566" s="1171"/>
      <c r="AM566" s="1128"/>
      <c r="AN566" s="1170"/>
      <c r="AO566" s="1175"/>
      <c r="AP566" s="1175"/>
      <c r="AQ566" s="1170"/>
      <c r="AR566" s="1170">
        <f t="shared" si="907"/>
        <v>0</v>
      </c>
      <c r="AS566" s="1170"/>
      <c r="AT566" s="1170"/>
      <c r="AU566" s="1174"/>
      <c r="AV566" s="1128"/>
      <c r="AW566" s="1169"/>
      <c r="AX566" s="1177"/>
      <c r="AY566" s="1177"/>
      <c r="AZ566" s="1169"/>
      <c r="BA566" s="1169">
        <f t="shared" si="908"/>
        <v>0</v>
      </c>
      <c r="BB566" s="1169"/>
      <c r="BC566" s="1175"/>
      <c r="BD566" s="1027"/>
      <c r="BE566" s="1024"/>
      <c r="BF566" s="1024"/>
      <c r="BG566" s="1008"/>
      <c r="BH566" s="1008"/>
      <c r="BI566" s="1008"/>
      <c r="BJ566" s="1008"/>
      <c r="BK566" s="1008"/>
      <c r="BL566" s="1008"/>
      <c r="BM566" s="1008"/>
    </row>
    <row r="567" s="1215" customFormat="1" ht="18.75" customHeight="1">
      <c r="A567" s="999" t="str">
        <f t="shared" si="893"/>
        <v xml:space="preserve">Куликова А.Г.</v>
      </c>
      <c r="B567" s="1202" t="s">
        <v>84</v>
      </c>
      <c r="C567" s="1202"/>
      <c r="D567" s="1202"/>
      <c r="E567" s="1164">
        <f t="shared" si="884"/>
        <v>0</v>
      </c>
      <c r="F567" s="1164">
        <f t="shared" si="894"/>
        <v>0</v>
      </c>
      <c r="G567" s="1165">
        <f t="shared" si="902"/>
        <v>0</v>
      </c>
      <c r="H567" s="1166"/>
      <c r="I567" s="1167">
        <f t="shared" si="892"/>
        <v>0</v>
      </c>
      <c r="J567" s="1167">
        <f t="shared" si="895"/>
        <v>0</v>
      </c>
      <c r="K567" s="1168">
        <f t="shared" si="903"/>
        <v>0</v>
      </c>
      <c r="L567" s="1119"/>
      <c r="M567" s="1169"/>
      <c r="N567" s="1177"/>
      <c r="O567" s="1169"/>
      <c r="P567" s="1169"/>
      <c r="Q567" s="1169">
        <f t="shared" si="904"/>
        <v>0</v>
      </c>
      <c r="R567" s="1169"/>
      <c r="S567" s="1170"/>
      <c r="T567" s="1240"/>
      <c r="U567" s="1119"/>
      <c r="V567" s="1169"/>
      <c r="W567" s="1177"/>
      <c r="X567" s="1177"/>
      <c r="Y567" s="1169"/>
      <c r="Z567" s="1169">
        <f t="shared" si="905"/>
        <v>0</v>
      </c>
      <c r="AA567" s="1169"/>
      <c r="AB567" s="1172">
        <f t="shared" si="898"/>
        <v>0</v>
      </c>
      <c r="AC567" s="1240"/>
      <c r="AD567" s="1119"/>
      <c r="AE567" s="1169"/>
      <c r="AF567" s="1177"/>
      <c r="AG567" s="1177"/>
      <c r="AH567" s="1169"/>
      <c r="AI567" s="1169">
        <f t="shared" si="906"/>
        <v>0</v>
      </c>
      <c r="AJ567" s="1169"/>
      <c r="AK567" s="1173"/>
      <c r="AL567" s="1171"/>
      <c r="AM567" s="1128"/>
      <c r="AN567" s="1170"/>
      <c r="AO567" s="1175"/>
      <c r="AP567" s="1175"/>
      <c r="AQ567" s="1170"/>
      <c r="AR567" s="1170">
        <f t="shared" si="907"/>
        <v>0</v>
      </c>
      <c r="AS567" s="1170"/>
      <c r="AT567" s="1170"/>
      <c r="AU567" s="1174"/>
      <c r="AV567" s="1128"/>
      <c r="AW567" s="1169"/>
      <c r="AX567" s="1177"/>
      <c r="AY567" s="1177"/>
      <c r="AZ567" s="1169"/>
      <c r="BA567" s="1169">
        <f t="shared" si="908"/>
        <v>0</v>
      </c>
      <c r="BB567" s="1169"/>
      <c r="BC567" s="1175"/>
      <c r="BD567" s="1027"/>
      <c r="BE567" s="1024"/>
      <c r="BF567" s="1024"/>
      <c r="BG567" s="1008"/>
      <c r="BH567" s="1008"/>
      <c r="BI567" s="1008"/>
      <c r="BJ567" s="1008"/>
      <c r="BK567" s="1008"/>
      <c r="BL567" s="1008"/>
      <c r="BM567" s="1008"/>
    </row>
    <row r="568" s="1215" customFormat="1" ht="18.75" customHeight="1">
      <c r="A568" s="999" t="str">
        <f t="shared" si="893"/>
        <v xml:space="preserve">Жандарова ИВ, Елина С.И.</v>
      </c>
      <c r="B568" s="1202" t="s">
        <v>288</v>
      </c>
      <c r="C568" s="1202"/>
      <c r="D568" s="1202"/>
      <c r="E568" s="1164">
        <f t="shared" si="884"/>
        <v>0</v>
      </c>
      <c r="F568" s="1164">
        <f t="shared" si="894"/>
        <v>0</v>
      </c>
      <c r="G568" s="1165">
        <f t="shared" si="902"/>
        <v>0</v>
      </c>
      <c r="H568" s="1166"/>
      <c r="I568" s="1167">
        <f t="shared" si="892"/>
        <v>0</v>
      </c>
      <c r="J568" s="1167">
        <f t="shared" si="895"/>
        <v>0</v>
      </c>
      <c r="K568" s="1168">
        <f t="shared" si="903"/>
        <v>0</v>
      </c>
      <c r="L568" s="1119"/>
      <c r="M568" s="1169"/>
      <c r="N568" s="1177"/>
      <c r="O568" s="1169"/>
      <c r="P568" s="1169"/>
      <c r="Q568" s="1169">
        <f t="shared" si="904"/>
        <v>0</v>
      </c>
      <c r="R568" s="1169"/>
      <c r="S568" s="1170"/>
      <c r="T568" s="1240"/>
      <c r="U568" s="1119"/>
      <c r="V568" s="1169"/>
      <c r="W568" s="1177"/>
      <c r="X568" s="1177"/>
      <c r="Y568" s="1169"/>
      <c r="Z568" s="1169">
        <f t="shared" si="905"/>
        <v>0</v>
      </c>
      <c r="AA568" s="1169"/>
      <c r="AB568" s="1172">
        <f t="shared" si="898"/>
        <v>0</v>
      </c>
      <c r="AC568" s="1240"/>
      <c r="AD568" s="1119"/>
      <c r="AE568" s="1169"/>
      <c r="AF568" s="1177"/>
      <c r="AG568" s="1177"/>
      <c r="AH568" s="1169"/>
      <c r="AI568" s="1169">
        <f t="shared" si="906"/>
        <v>0</v>
      </c>
      <c r="AJ568" s="1169"/>
      <c r="AK568" s="1173"/>
      <c r="AL568" s="1171"/>
      <c r="AM568" s="1128"/>
      <c r="AN568" s="1170"/>
      <c r="AO568" s="1175"/>
      <c r="AP568" s="1175"/>
      <c r="AQ568" s="1170"/>
      <c r="AR568" s="1170">
        <f t="shared" si="907"/>
        <v>0</v>
      </c>
      <c r="AS568" s="1170"/>
      <c r="AT568" s="1170"/>
      <c r="AU568" s="1174"/>
      <c r="AV568" s="1128"/>
      <c r="AW568" s="1169"/>
      <c r="AX568" s="1177"/>
      <c r="AY568" s="1177"/>
      <c r="AZ568" s="1169"/>
      <c r="BA568" s="1169">
        <f t="shared" si="908"/>
        <v>0</v>
      </c>
      <c r="BB568" s="1169"/>
      <c r="BC568" s="1175"/>
      <c r="BD568" s="1027"/>
      <c r="BE568" s="1024"/>
      <c r="BF568" s="1024"/>
      <c r="BG568" s="1008"/>
      <c r="BH568" s="1008"/>
      <c r="BI568" s="1008"/>
      <c r="BJ568" s="1008"/>
      <c r="BK568" s="1008"/>
      <c r="BL568" s="1008"/>
      <c r="BM568" s="1008"/>
    </row>
    <row r="569" s="1215" customFormat="1" ht="18.75" customHeight="1">
      <c r="A569" s="999" t="s">
        <v>444</v>
      </c>
      <c r="B569" s="1176" t="s">
        <v>445</v>
      </c>
      <c r="C569" s="1176"/>
      <c r="D569" s="1176"/>
      <c r="E569" s="1164">
        <f t="shared" si="884"/>
        <v>0</v>
      </c>
      <c r="F569" s="1164">
        <f t="shared" si="894"/>
        <v>0</v>
      </c>
      <c r="G569" s="1165">
        <f t="shared" si="902"/>
        <v>0</v>
      </c>
      <c r="H569" s="1166"/>
      <c r="I569" s="1167">
        <f t="shared" si="892"/>
        <v>0</v>
      </c>
      <c r="J569" s="1167">
        <f t="shared" si="895"/>
        <v>0</v>
      </c>
      <c r="K569" s="1168">
        <f t="shared" si="903"/>
        <v>0</v>
      </c>
      <c r="L569" s="1119"/>
      <c r="M569" s="1169"/>
      <c r="N569" s="1177"/>
      <c r="O569" s="1169"/>
      <c r="P569" s="1169"/>
      <c r="Q569" s="1169">
        <f t="shared" si="904"/>
        <v>0</v>
      </c>
      <c r="R569" s="1169"/>
      <c r="S569" s="1170"/>
      <c r="T569" s="1240"/>
      <c r="U569" s="1119"/>
      <c r="V569" s="1169"/>
      <c r="W569" s="1177"/>
      <c r="X569" s="1177"/>
      <c r="Y569" s="1169"/>
      <c r="Z569" s="1169">
        <f t="shared" si="905"/>
        <v>0</v>
      </c>
      <c r="AA569" s="1169"/>
      <c r="AB569" s="1172">
        <f t="shared" si="898"/>
        <v>0</v>
      </c>
      <c r="AC569" s="1240"/>
      <c r="AD569" s="1119"/>
      <c r="AE569" s="1169"/>
      <c r="AF569" s="1177"/>
      <c r="AG569" s="1177"/>
      <c r="AH569" s="1169"/>
      <c r="AI569" s="1169">
        <f t="shared" si="906"/>
        <v>0</v>
      </c>
      <c r="AJ569" s="1169"/>
      <c r="AK569" s="1173"/>
      <c r="AL569" s="1171"/>
      <c r="AM569" s="1128"/>
      <c r="AN569" s="1170"/>
      <c r="AO569" s="1175"/>
      <c r="AP569" s="1175"/>
      <c r="AQ569" s="1170"/>
      <c r="AR569" s="1170">
        <f t="shared" si="907"/>
        <v>0</v>
      </c>
      <c r="AS569" s="1170"/>
      <c r="AT569" s="1170"/>
      <c r="AU569" s="1174"/>
      <c r="AV569" s="1128"/>
      <c r="AW569" s="1169"/>
      <c r="AX569" s="1177"/>
      <c r="AY569" s="1177"/>
      <c r="AZ569" s="1169"/>
      <c r="BA569" s="1169">
        <f t="shared" si="908"/>
        <v>0</v>
      </c>
      <c r="BB569" s="1169"/>
      <c r="BC569" s="1175"/>
      <c r="BD569" s="1027"/>
      <c r="BE569" s="1024"/>
      <c r="BF569" s="1024"/>
      <c r="BG569" s="1008"/>
      <c r="BH569" s="1008"/>
      <c r="BI569" s="1008"/>
      <c r="BJ569" s="1008"/>
      <c r="BK569" s="1008"/>
      <c r="BL569" s="1008"/>
      <c r="BM569" s="1008"/>
    </row>
    <row r="570" s="1215" customFormat="1" ht="18.75" customHeight="1">
      <c r="A570" s="999" t="s">
        <v>446</v>
      </c>
      <c r="B570" s="1176" t="s">
        <v>447</v>
      </c>
      <c r="C570" s="1176"/>
      <c r="D570" s="1176"/>
      <c r="E570" s="1164">
        <f t="shared" si="884"/>
        <v>0</v>
      </c>
      <c r="F570" s="1164">
        <f t="shared" si="894"/>
        <v>0</v>
      </c>
      <c r="G570" s="1165">
        <f t="shared" si="902"/>
        <v>0</v>
      </c>
      <c r="H570" s="1166"/>
      <c r="I570" s="1167">
        <f t="shared" si="892"/>
        <v>0</v>
      </c>
      <c r="J570" s="1167">
        <f t="shared" si="895"/>
        <v>0</v>
      </c>
      <c r="K570" s="1168">
        <f t="shared" si="903"/>
        <v>0</v>
      </c>
      <c r="L570" s="1119"/>
      <c r="M570" s="1169"/>
      <c r="N570" s="1177"/>
      <c r="O570" s="1169"/>
      <c r="P570" s="1169"/>
      <c r="Q570" s="1169">
        <f t="shared" si="904"/>
        <v>0</v>
      </c>
      <c r="R570" s="1169"/>
      <c r="S570" s="1170"/>
      <c r="T570" s="1240"/>
      <c r="U570" s="1119"/>
      <c r="V570" s="1169"/>
      <c r="W570" s="1177"/>
      <c r="X570" s="1177"/>
      <c r="Y570" s="1169"/>
      <c r="Z570" s="1169">
        <f t="shared" si="905"/>
        <v>0</v>
      </c>
      <c r="AA570" s="1169"/>
      <c r="AB570" s="1172">
        <f t="shared" si="898"/>
        <v>0</v>
      </c>
      <c r="AC570" s="1240"/>
      <c r="AD570" s="1119"/>
      <c r="AE570" s="1169"/>
      <c r="AF570" s="1177"/>
      <c r="AG570" s="1177"/>
      <c r="AH570" s="1169"/>
      <c r="AI570" s="1169">
        <f t="shared" si="906"/>
        <v>0</v>
      </c>
      <c r="AJ570" s="1169"/>
      <c r="AK570" s="1173"/>
      <c r="AL570" s="1171"/>
      <c r="AM570" s="1128"/>
      <c r="AN570" s="1170"/>
      <c r="AO570" s="1175"/>
      <c r="AP570" s="1175"/>
      <c r="AQ570" s="1170"/>
      <c r="AR570" s="1170">
        <f t="shared" si="907"/>
        <v>0</v>
      </c>
      <c r="AS570" s="1170"/>
      <c r="AT570" s="1170"/>
      <c r="AU570" s="1174"/>
      <c r="AV570" s="1128"/>
      <c r="AW570" s="1169"/>
      <c r="AX570" s="1177"/>
      <c r="AY570" s="1177"/>
      <c r="AZ570" s="1169"/>
      <c r="BA570" s="1169">
        <f t="shared" si="908"/>
        <v>0</v>
      </c>
      <c r="BB570" s="1169"/>
      <c r="BC570" s="1175"/>
      <c r="BD570" s="1027"/>
      <c r="BE570" s="1024"/>
      <c r="BF570" s="1024"/>
      <c r="BG570" s="1008"/>
      <c r="BH570" s="1008"/>
      <c r="BI570" s="1008"/>
      <c r="BJ570" s="1008"/>
      <c r="BK570" s="1008"/>
      <c r="BL570" s="1008"/>
      <c r="BM570" s="1008"/>
    </row>
    <row r="571" s="1215" customFormat="1" ht="18.75" customHeight="1">
      <c r="A571" s="999" t="str">
        <f t="shared" si="893"/>
        <v xml:space="preserve">Третьяк О.М.</v>
      </c>
      <c r="B571" s="1176" t="s">
        <v>449</v>
      </c>
      <c r="C571" s="1176"/>
      <c r="D571" s="1176"/>
      <c r="E571" s="1164">
        <f t="shared" si="884"/>
        <v>0</v>
      </c>
      <c r="F571" s="1164">
        <f t="shared" si="894"/>
        <v>0</v>
      </c>
      <c r="G571" s="1165">
        <f t="shared" si="902"/>
        <v>0</v>
      </c>
      <c r="H571" s="1166"/>
      <c r="I571" s="1167">
        <f t="shared" si="892"/>
        <v>0</v>
      </c>
      <c r="J571" s="1167">
        <f t="shared" si="895"/>
        <v>0</v>
      </c>
      <c r="K571" s="1168">
        <f t="shared" si="903"/>
        <v>0</v>
      </c>
      <c r="L571" s="1119"/>
      <c r="M571" s="1169"/>
      <c r="N571" s="1177"/>
      <c r="O571" s="1169"/>
      <c r="P571" s="1169"/>
      <c r="Q571" s="1169">
        <f t="shared" si="904"/>
        <v>0</v>
      </c>
      <c r="R571" s="1169"/>
      <c r="S571" s="1170"/>
      <c r="T571" s="1240"/>
      <c r="U571" s="1119"/>
      <c r="V571" s="1169"/>
      <c r="W571" s="1177"/>
      <c r="X571" s="1177"/>
      <c r="Y571" s="1169"/>
      <c r="Z571" s="1169">
        <f t="shared" si="905"/>
        <v>0</v>
      </c>
      <c r="AA571" s="1169"/>
      <c r="AB571" s="1172">
        <f t="shared" si="898"/>
        <v>0</v>
      </c>
      <c r="AC571" s="1240"/>
      <c r="AD571" s="1119"/>
      <c r="AE571" s="1169"/>
      <c r="AF571" s="1177"/>
      <c r="AG571" s="1177"/>
      <c r="AH571" s="1169"/>
      <c r="AI571" s="1169">
        <f t="shared" si="906"/>
        <v>0</v>
      </c>
      <c r="AJ571" s="1169"/>
      <c r="AK571" s="1173"/>
      <c r="AL571" s="1171"/>
      <c r="AM571" s="1128"/>
      <c r="AN571" s="1170"/>
      <c r="AO571" s="1175"/>
      <c r="AP571" s="1175"/>
      <c r="AQ571" s="1170"/>
      <c r="AR571" s="1170">
        <f t="shared" si="907"/>
        <v>0</v>
      </c>
      <c r="AS571" s="1170"/>
      <c r="AT571" s="1170"/>
      <c r="AU571" s="1174"/>
      <c r="AV571" s="1128"/>
      <c r="AW571" s="1169"/>
      <c r="AX571" s="1177"/>
      <c r="AY571" s="1177"/>
      <c r="AZ571" s="1169"/>
      <c r="BA571" s="1169">
        <f t="shared" si="908"/>
        <v>0</v>
      </c>
      <c r="BB571" s="1169"/>
      <c r="BC571" s="1175"/>
      <c r="BD571" s="1027"/>
      <c r="BE571" s="1024"/>
      <c r="BF571" s="1024"/>
      <c r="BG571" s="1008"/>
      <c r="BH571" s="1008"/>
      <c r="BI571" s="1008"/>
      <c r="BJ571" s="1008"/>
      <c r="BK571" s="1008"/>
      <c r="BL571" s="1008"/>
      <c r="BM571" s="1008"/>
    </row>
    <row r="572" s="1215" customFormat="1" ht="18.75" customHeight="1">
      <c r="A572" s="999">
        <f t="shared" si="893"/>
        <v>0</v>
      </c>
      <c r="B572" s="1176" t="s">
        <v>450</v>
      </c>
      <c r="C572" s="1176"/>
      <c r="D572" s="1176"/>
      <c r="E572" s="1164">
        <f t="shared" si="884"/>
        <v>0</v>
      </c>
      <c r="F572" s="1164">
        <f t="shared" si="894"/>
        <v>0</v>
      </c>
      <c r="G572" s="1165">
        <f t="shared" si="902"/>
        <v>0</v>
      </c>
      <c r="H572" s="1166"/>
      <c r="I572" s="1167">
        <f t="shared" si="892"/>
        <v>0</v>
      </c>
      <c r="J572" s="1167">
        <f t="shared" si="895"/>
        <v>0</v>
      </c>
      <c r="K572" s="1168">
        <f t="shared" si="903"/>
        <v>0</v>
      </c>
      <c r="L572" s="1119"/>
      <c r="M572" s="1169"/>
      <c r="N572" s="1177"/>
      <c r="O572" s="1169"/>
      <c r="P572" s="1169"/>
      <c r="Q572" s="1169">
        <f t="shared" si="904"/>
        <v>0</v>
      </c>
      <c r="R572" s="1169"/>
      <c r="S572" s="1170"/>
      <c r="T572" s="1240"/>
      <c r="U572" s="1119"/>
      <c r="V572" s="1169"/>
      <c r="W572" s="1177"/>
      <c r="X572" s="1177"/>
      <c r="Y572" s="1169"/>
      <c r="Z572" s="1169">
        <f t="shared" si="905"/>
        <v>0</v>
      </c>
      <c r="AA572" s="1169"/>
      <c r="AB572" s="1172">
        <f t="shared" si="898"/>
        <v>0</v>
      </c>
      <c r="AC572" s="1240"/>
      <c r="AD572" s="1119"/>
      <c r="AE572" s="1169"/>
      <c r="AF572" s="1177"/>
      <c r="AG572" s="1177"/>
      <c r="AH572" s="1169"/>
      <c r="AI572" s="1169">
        <f t="shared" si="906"/>
        <v>0</v>
      </c>
      <c r="AJ572" s="1169"/>
      <c r="AK572" s="1173"/>
      <c r="AL572" s="1171"/>
      <c r="AM572" s="1128"/>
      <c r="AN572" s="1170"/>
      <c r="AO572" s="1175"/>
      <c r="AP572" s="1175"/>
      <c r="AQ572" s="1170"/>
      <c r="AR572" s="1170">
        <f t="shared" si="907"/>
        <v>0</v>
      </c>
      <c r="AS572" s="1170"/>
      <c r="AT572" s="1170"/>
      <c r="AU572" s="1174"/>
      <c r="AV572" s="1128"/>
      <c r="AW572" s="1169"/>
      <c r="AX572" s="1177"/>
      <c r="AY572" s="1177"/>
      <c r="AZ572" s="1169"/>
      <c r="BA572" s="1169">
        <f t="shared" si="908"/>
        <v>0</v>
      </c>
      <c r="BB572" s="1169"/>
      <c r="BC572" s="1175"/>
      <c r="BD572" s="1027"/>
      <c r="BE572" s="1024"/>
      <c r="BF572" s="1024"/>
      <c r="BG572" s="1008"/>
      <c r="BH572" s="1008"/>
      <c r="BI572" s="1008"/>
      <c r="BJ572" s="1008"/>
      <c r="BK572" s="1008"/>
      <c r="BL572" s="1008"/>
      <c r="BM572" s="1008"/>
    </row>
    <row r="573" s="1215" customFormat="1" ht="18.75" customHeight="1">
      <c r="A573" s="999" t="str">
        <f t="shared" si="893"/>
        <v xml:space="preserve">Бедина и Позднякова</v>
      </c>
      <c r="B573" s="1202" t="s">
        <v>452</v>
      </c>
      <c r="C573" s="1202"/>
      <c r="D573" s="1202"/>
      <c r="E573" s="1164">
        <f t="shared" si="884"/>
        <v>0</v>
      </c>
      <c r="F573" s="1164">
        <f t="shared" si="894"/>
        <v>0</v>
      </c>
      <c r="G573" s="1165">
        <f t="shared" si="902"/>
        <v>0</v>
      </c>
      <c r="H573" s="1166"/>
      <c r="I573" s="1167">
        <f t="shared" si="892"/>
        <v>0</v>
      </c>
      <c r="J573" s="1167">
        <f t="shared" si="895"/>
        <v>0</v>
      </c>
      <c r="K573" s="1168">
        <f t="shared" si="903"/>
        <v>0</v>
      </c>
      <c r="L573" s="1119"/>
      <c r="M573" s="1169"/>
      <c r="N573" s="1177"/>
      <c r="O573" s="1169"/>
      <c r="P573" s="1169"/>
      <c r="Q573" s="1169">
        <f t="shared" si="904"/>
        <v>0</v>
      </c>
      <c r="R573" s="1169"/>
      <c r="S573" s="1170"/>
      <c r="T573" s="1240"/>
      <c r="U573" s="1119"/>
      <c r="V573" s="1169"/>
      <c r="W573" s="1177"/>
      <c r="X573" s="1177"/>
      <c r="Y573" s="1169"/>
      <c r="Z573" s="1169">
        <f t="shared" si="905"/>
        <v>0</v>
      </c>
      <c r="AA573" s="1169"/>
      <c r="AB573" s="1172">
        <f t="shared" si="898"/>
        <v>0</v>
      </c>
      <c r="AC573" s="1240"/>
      <c r="AD573" s="1119"/>
      <c r="AE573" s="1169"/>
      <c r="AF573" s="1177"/>
      <c r="AG573" s="1177"/>
      <c r="AH573" s="1169"/>
      <c r="AI573" s="1169">
        <f t="shared" si="906"/>
        <v>0</v>
      </c>
      <c r="AJ573" s="1169"/>
      <c r="AK573" s="1173"/>
      <c r="AL573" s="1171"/>
      <c r="AM573" s="1128"/>
      <c r="AN573" s="1170"/>
      <c r="AO573" s="1175"/>
      <c r="AP573" s="1175"/>
      <c r="AQ573" s="1170"/>
      <c r="AR573" s="1170">
        <f t="shared" si="907"/>
        <v>0</v>
      </c>
      <c r="AS573" s="1170"/>
      <c r="AT573" s="1170"/>
      <c r="AU573" s="1174"/>
      <c r="AV573" s="1128"/>
      <c r="AW573" s="1169"/>
      <c r="AX573" s="1177"/>
      <c r="AY573" s="1177"/>
      <c r="AZ573" s="1169"/>
      <c r="BA573" s="1169">
        <f t="shared" si="908"/>
        <v>0</v>
      </c>
      <c r="BB573" s="1169"/>
      <c r="BC573" s="1175"/>
      <c r="BD573" s="1027"/>
      <c r="BE573" s="1024"/>
      <c r="BF573" s="1024"/>
      <c r="BG573" s="1008"/>
      <c r="BH573" s="1008"/>
      <c r="BI573" s="1008"/>
      <c r="BJ573" s="1008"/>
      <c r="BK573" s="1008"/>
      <c r="BL573" s="1008"/>
      <c r="BM573" s="1008"/>
    </row>
    <row r="574" s="1215" customFormat="1" ht="18.75" customHeight="1">
      <c r="A574" s="999" t="str">
        <f t="shared" si="893"/>
        <v xml:space="preserve">Макарова Е.В.</v>
      </c>
      <c r="B574" s="1202" t="s">
        <v>454</v>
      </c>
      <c r="C574" s="1202"/>
      <c r="D574" s="1202"/>
      <c r="E574" s="1164">
        <f t="shared" si="884"/>
        <v>0</v>
      </c>
      <c r="F574" s="1164">
        <f t="shared" si="894"/>
        <v>0</v>
      </c>
      <c r="G574" s="1165">
        <f t="shared" si="902"/>
        <v>0</v>
      </c>
      <c r="H574" s="1166"/>
      <c r="I574" s="1167">
        <f t="shared" si="892"/>
        <v>0</v>
      </c>
      <c r="J574" s="1167">
        <f t="shared" si="895"/>
        <v>0</v>
      </c>
      <c r="K574" s="1168">
        <f t="shared" si="903"/>
        <v>0</v>
      </c>
      <c r="L574" s="1119"/>
      <c r="M574" s="1169"/>
      <c r="N574" s="1177"/>
      <c r="O574" s="1169"/>
      <c r="P574" s="1169"/>
      <c r="Q574" s="1169">
        <f t="shared" si="904"/>
        <v>0</v>
      </c>
      <c r="R574" s="1169"/>
      <c r="S574" s="1170"/>
      <c r="T574" s="1240"/>
      <c r="U574" s="1119"/>
      <c r="V574" s="1169"/>
      <c r="W574" s="1177"/>
      <c r="X574" s="1177"/>
      <c r="Y574" s="1169"/>
      <c r="Z574" s="1169">
        <f t="shared" si="905"/>
        <v>0</v>
      </c>
      <c r="AA574" s="1169"/>
      <c r="AB574" s="1172">
        <f t="shared" si="898"/>
        <v>0</v>
      </c>
      <c r="AC574" s="1240"/>
      <c r="AD574" s="1119"/>
      <c r="AE574" s="1169"/>
      <c r="AF574" s="1177"/>
      <c r="AG574" s="1177"/>
      <c r="AH574" s="1169"/>
      <c r="AI574" s="1169">
        <f t="shared" si="906"/>
        <v>0</v>
      </c>
      <c r="AJ574" s="1169"/>
      <c r="AK574" s="1173"/>
      <c r="AL574" s="1171"/>
      <c r="AM574" s="1128"/>
      <c r="AN574" s="1170"/>
      <c r="AO574" s="1175"/>
      <c r="AP574" s="1175"/>
      <c r="AQ574" s="1170"/>
      <c r="AR574" s="1170">
        <f t="shared" si="907"/>
        <v>0</v>
      </c>
      <c r="AS574" s="1170"/>
      <c r="AT574" s="1170"/>
      <c r="AU574" s="1174"/>
      <c r="AV574" s="1128"/>
      <c r="AW574" s="1169"/>
      <c r="AX574" s="1177"/>
      <c r="AY574" s="1177"/>
      <c r="AZ574" s="1169"/>
      <c r="BA574" s="1169">
        <f t="shared" si="908"/>
        <v>0</v>
      </c>
      <c r="BB574" s="1169"/>
      <c r="BC574" s="1175"/>
      <c r="BD574" s="1027"/>
      <c r="BE574" s="1024"/>
      <c r="BF574" s="1024"/>
      <c r="BG574" s="1008"/>
      <c r="BH574" s="1008"/>
      <c r="BI574" s="1008"/>
      <c r="BJ574" s="1008"/>
      <c r="BK574" s="1008"/>
      <c r="BL574" s="1008"/>
      <c r="BM574" s="1008"/>
    </row>
    <row r="575" s="1215" customFormat="1" ht="18.75" customHeight="1">
      <c r="A575" s="999" t="str">
        <f t="shared" si="893"/>
        <v xml:space="preserve">Юшкова Н.Г.</v>
      </c>
      <c r="B575" s="1202" t="s">
        <v>311</v>
      </c>
      <c r="C575" s="1202"/>
      <c r="D575" s="1202"/>
      <c r="E575" s="1164">
        <f t="shared" si="884"/>
        <v>0</v>
      </c>
      <c r="F575" s="1164">
        <f t="shared" si="894"/>
        <v>0</v>
      </c>
      <c r="G575" s="1165">
        <f t="shared" si="902"/>
        <v>0</v>
      </c>
      <c r="H575" s="1166"/>
      <c r="I575" s="1167">
        <f t="shared" si="892"/>
        <v>0</v>
      </c>
      <c r="J575" s="1167">
        <f t="shared" si="895"/>
        <v>0</v>
      </c>
      <c r="K575" s="1168">
        <f t="shared" si="903"/>
        <v>0</v>
      </c>
      <c r="L575" s="1119"/>
      <c r="M575" s="1169"/>
      <c r="N575" s="1177"/>
      <c r="O575" s="1169"/>
      <c r="P575" s="1169"/>
      <c r="Q575" s="1169">
        <f t="shared" si="904"/>
        <v>0</v>
      </c>
      <c r="R575" s="1169"/>
      <c r="S575" s="1170"/>
      <c r="T575" s="1240"/>
      <c r="U575" s="1119"/>
      <c r="V575" s="1169"/>
      <c r="W575" s="1177"/>
      <c r="X575" s="1177"/>
      <c r="Y575" s="1169"/>
      <c r="Z575" s="1169">
        <f t="shared" si="905"/>
        <v>0</v>
      </c>
      <c r="AA575" s="1169"/>
      <c r="AB575" s="1172">
        <f t="shared" si="898"/>
        <v>0</v>
      </c>
      <c r="AC575" s="1240"/>
      <c r="AD575" s="1119"/>
      <c r="AE575" s="1169"/>
      <c r="AF575" s="1177"/>
      <c r="AG575" s="1177"/>
      <c r="AH575" s="1169"/>
      <c r="AI575" s="1169">
        <f t="shared" si="906"/>
        <v>0</v>
      </c>
      <c r="AJ575" s="1169"/>
      <c r="AK575" s="1173"/>
      <c r="AL575" s="1171"/>
      <c r="AM575" s="1128"/>
      <c r="AN575" s="1170"/>
      <c r="AO575" s="1175"/>
      <c r="AP575" s="1175"/>
      <c r="AQ575" s="1170"/>
      <c r="AR575" s="1170">
        <f t="shared" si="907"/>
        <v>0</v>
      </c>
      <c r="AS575" s="1170"/>
      <c r="AT575" s="1170"/>
      <c r="AU575" s="1174"/>
      <c r="AV575" s="1128"/>
      <c r="AW575" s="1169"/>
      <c r="AX575" s="1177"/>
      <c r="AY575" s="1177"/>
      <c r="AZ575" s="1169"/>
      <c r="BA575" s="1169">
        <f t="shared" si="908"/>
        <v>0</v>
      </c>
      <c r="BB575" s="1169"/>
      <c r="BC575" s="1175"/>
      <c r="BD575" s="1027"/>
      <c r="BE575" s="1024"/>
      <c r="BF575" s="1024"/>
      <c r="BG575" s="1008"/>
      <c r="BH575" s="1008"/>
      <c r="BI575" s="1008"/>
      <c r="BJ575" s="1008"/>
      <c r="BK575" s="1008"/>
      <c r="BL575" s="1008"/>
      <c r="BM575" s="1008"/>
    </row>
    <row r="576" s="1215" customFormat="1" ht="18.75" customHeight="1">
      <c r="A576" s="999">
        <f t="shared" si="893"/>
        <v>0</v>
      </c>
      <c r="B576" s="1202" t="s">
        <v>456</v>
      </c>
      <c r="C576" s="1202"/>
      <c r="D576" s="1202"/>
      <c r="E576" s="1164">
        <f t="shared" si="884"/>
        <v>0</v>
      </c>
      <c r="F576" s="1164">
        <f t="shared" si="894"/>
        <v>0</v>
      </c>
      <c r="G576" s="1165">
        <f t="shared" si="902"/>
        <v>0</v>
      </c>
      <c r="H576" s="1166"/>
      <c r="I576" s="1167">
        <f t="shared" si="892"/>
        <v>0</v>
      </c>
      <c r="J576" s="1167">
        <f t="shared" si="895"/>
        <v>0</v>
      </c>
      <c r="K576" s="1168">
        <f t="shared" si="903"/>
        <v>0</v>
      </c>
      <c r="L576" s="1119"/>
      <c r="M576" s="1169"/>
      <c r="N576" s="1177"/>
      <c r="O576" s="1169"/>
      <c r="P576" s="1169"/>
      <c r="Q576" s="1169">
        <f t="shared" si="904"/>
        <v>0</v>
      </c>
      <c r="R576" s="1169"/>
      <c r="S576" s="1170"/>
      <c r="T576" s="1240"/>
      <c r="U576" s="1119"/>
      <c r="V576" s="1169"/>
      <c r="W576" s="1177"/>
      <c r="X576" s="1177"/>
      <c r="Y576" s="1169"/>
      <c r="Z576" s="1169">
        <f t="shared" si="905"/>
        <v>0</v>
      </c>
      <c r="AA576" s="1169"/>
      <c r="AB576" s="1172">
        <f t="shared" si="898"/>
        <v>0</v>
      </c>
      <c r="AC576" s="1240"/>
      <c r="AD576" s="1119"/>
      <c r="AE576" s="1169"/>
      <c r="AF576" s="1177"/>
      <c r="AG576" s="1177"/>
      <c r="AH576" s="1169"/>
      <c r="AI576" s="1169">
        <f t="shared" si="906"/>
        <v>0</v>
      </c>
      <c r="AJ576" s="1169"/>
      <c r="AK576" s="1173"/>
      <c r="AL576" s="1171"/>
      <c r="AM576" s="1128"/>
      <c r="AN576" s="1170"/>
      <c r="AO576" s="1175"/>
      <c r="AP576" s="1175"/>
      <c r="AQ576" s="1170"/>
      <c r="AR576" s="1170">
        <f t="shared" si="907"/>
        <v>0</v>
      </c>
      <c r="AS576" s="1170"/>
      <c r="AT576" s="1170"/>
      <c r="AU576" s="1174"/>
      <c r="AV576" s="1128"/>
      <c r="AW576" s="1169"/>
      <c r="AX576" s="1177"/>
      <c r="AY576" s="1177"/>
      <c r="AZ576" s="1169"/>
      <c r="BA576" s="1169">
        <f t="shared" si="908"/>
        <v>0</v>
      </c>
      <c r="BB576" s="1169"/>
      <c r="BC576" s="1175"/>
      <c r="BD576" s="1027"/>
      <c r="BE576" s="1024"/>
      <c r="BF576" s="1024"/>
      <c r="BG576" s="1008"/>
      <c r="BH576" s="1008"/>
      <c r="BI576" s="1008"/>
      <c r="BJ576" s="1008"/>
      <c r="BK576" s="1008"/>
      <c r="BL576" s="1008"/>
      <c r="BM576" s="1008"/>
    </row>
    <row r="577" s="1215" customFormat="1" ht="18.75" customHeight="1">
      <c r="A577" s="999">
        <f t="shared" si="893"/>
        <v>0</v>
      </c>
      <c r="B577" s="1202" t="s">
        <v>457</v>
      </c>
      <c r="C577" s="1202"/>
      <c r="D577" s="1202"/>
      <c r="E577" s="1164">
        <f t="shared" si="884"/>
        <v>0</v>
      </c>
      <c r="F577" s="1164">
        <f t="shared" si="894"/>
        <v>0</v>
      </c>
      <c r="G577" s="1165">
        <f t="shared" si="902"/>
        <v>0</v>
      </c>
      <c r="H577" s="1166"/>
      <c r="I577" s="1167">
        <f t="shared" si="892"/>
        <v>0</v>
      </c>
      <c r="J577" s="1167">
        <f t="shared" si="895"/>
        <v>0</v>
      </c>
      <c r="K577" s="1168">
        <f t="shared" si="903"/>
        <v>0</v>
      </c>
      <c r="L577" s="1119"/>
      <c r="M577" s="1169"/>
      <c r="N577" s="1177"/>
      <c r="O577" s="1169"/>
      <c r="P577" s="1169"/>
      <c r="Q577" s="1169">
        <f t="shared" si="904"/>
        <v>0</v>
      </c>
      <c r="R577" s="1169"/>
      <c r="S577" s="1170"/>
      <c r="T577" s="1240"/>
      <c r="U577" s="1119"/>
      <c r="V577" s="1169"/>
      <c r="W577" s="1177"/>
      <c r="X577" s="1177"/>
      <c r="Y577" s="1169"/>
      <c r="Z577" s="1169">
        <f t="shared" si="905"/>
        <v>0</v>
      </c>
      <c r="AA577" s="1169"/>
      <c r="AB577" s="1172">
        <f t="shared" si="898"/>
        <v>0</v>
      </c>
      <c r="AC577" s="1240"/>
      <c r="AD577" s="1119"/>
      <c r="AE577" s="1169"/>
      <c r="AF577" s="1177"/>
      <c r="AG577" s="1177"/>
      <c r="AH577" s="1169"/>
      <c r="AI577" s="1169">
        <f t="shared" si="906"/>
        <v>0</v>
      </c>
      <c r="AJ577" s="1169"/>
      <c r="AK577" s="1173"/>
      <c r="AL577" s="1171"/>
      <c r="AM577" s="1128"/>
      <c r="AN577" s="1170"/>
      <c r="AO577" s="1175"/>
      <c r="AP577" s="1175"/>
      <c r="AQ577" s="1170"/>
      <c r="AR577" s="1170">
        <f t="shared" si="907"/>
        <v>0</v>
      </c>
      <c r="AS577" s="1170"/>
      <c r="AT577" s="1170"/>
      <c r="AU577" s="1174"/>
      <c r="AV577" s="1128"/>
      <c r="AW577" s="1169"/>
      <c r="AX577" s="1177"/>
      <c r="AY577" s="1177"/>
      <c r="AZ577" s="1169"/>
      <c r="BA577" s="1169">
        <f t="shared" si="908"/>
        <v>0</v>
      </c>
      <c r="BB577" s="1169"/>
      <c r="BC577" s="1175"/>
      <c r="BD577" s="1027"/>
      <c r="BE577" s="1024"/>
      <c r="BF577" s="1024"/>
      <c r="BG577" s="1008"/>
      <c r="BH577" s="1008"/>
      <c r="BI577" s="1008"/>
      <c r="BJ577" s="1008"/>
      <c r="BK577" s="1008"/>
      <c r="BL577" s="1008"/>
      <c r="BM577" s="1008"/>
    </row>
    <row r="578" s="1215" customFormat="1" ht="18.75" customHeight="1">
      <c r="A578" s="999">
        <f t="shared" si="893"/>
        <v>0</v>
      </c>
      <c r="B578" s="1202" t="s">
        <v>458</v>
      </c>
      <c r="C578" s="1202"/>
      <c r="D578" s="1202"/>
      <c r="E578" s="1164">
        <f t="shared" si="884"/>
        <v>0</v>
      </c>
      <c r="F578" s="1164">
        <f t="shared" si="894"/>
        <v>0</v>
      </c>
      <c r="G578" s="1165">
        <f t="shared" si="902"/>
        <v>0</v>
      </c>
      <c r="H578" s="1166"/>
      <c r="I578" s="1167">
        <f t="shared" si="892"/>
        <v>0</v>
      </c>
      <c r="J578" s="1167">
        <f t="shared" si="895"/>
        <v>0</v>
      </c>
      <c r="K578" s="1168">
        <f t="shared" si="903"/>
        <v>0</v>
      </c>
      <c r="L578" s="1119"/>
      <c r="M578" s="1169"/>
      <c r="N578" s="1177"/>
      <c r="O578" s="1169"/>
      <c r="P578" s="1169"/>
      <c r="Q578" s="1169">
        <f t="shared" si="904"/>
        <v>0</v>
      </c>
      <c r="R578" s="1169"/>
      <c r="S578" s="1170"/>
      <c r="T578" s="1240"/>
      <c r="U578" s="1119"/>
      <c r="V578" s="1169"/>
      <c r="W578" s="1177"/>
      <c r="X578" s="1177"/>
      <c r="Y578" s="1169"/>
      <c r="Z578" s="1169">
        <f t="shared" si="905"/>
        <v>0</v>
      </c>
      <c r="AA578" s="1169"/>
      <c r="AB578" s="1172">
        <f t="shared" si="898"/>
        <v>0</v>
      </c>
      <c r="AC578" s="1240"/>
      <c r="AD578" s="1119"/>
      <c r="AE578" s="1169"/>
      <c r="AF578" s="1177"/>
      <c r="AG578" s="1177"/>
      <c r="AH578" s="1169"/>
      <c r="AI578" s="1169">
        <f t="shared" si="906"/>
        <v>0</v>
      </c>
      <c r="AJ578" s="1169"/>
      <c r="AK578" s="1173"/>
      <c r="AL578" s="1171"/>
      <c r="AM578" s="1128"/>
      <c r="AN578" s="1170"/>
      <c r="AO578" s="1175"/>
      <c r="AP578" s="1175"/>
      <c r="AQ578" s="1170"/>
      <c r="AR578" s="1170">
        <f t="shared" si="907"/>
        <v>0</v>
      </c>
      <c r="AS578" s="1170"/>
      <c r="AT578" s="1170"/>
      <c r="AU578" s="1174"/>
      <c r="AV578" s="1128"/>
      <c r="AW578" s="1169"/>
      <c r="AX578" s="1177"/>
      <c r="AY578" s="1177"/>
      <c r="AZ578" s="1169"/>
      <c r="BA578" s="1169">
        <f t="shared" si="908"/>
        <v>0</v>
      </c>
      <c r="BB578" s="1169"/>
      <c r="BC578" s="1175"/>
      <c r="BD578" s="1027"/>
      <c r="BE578" s="1024"/>
      <c r="BF578" s="1024"/>
      <c r="BG578" s="1008"/>
      <c r="BH578" s="1008"/>
      <c r="BI578" s="1008"/>
      <c r="BJ578" s="1008"/>
      <c r="BK578" s="1008"/>
      <c r="BL578" s="1008"/>
      <c r="BM578" s="1008"/>
    </row>
    <row r="579" s="1215" customFormat="1" ht="18.75" customHeight="1">
      <c r="A579" s="999">
        <f t="shared" si="893"/>
        <v>0</v>
      </c>
      <c r="B579" s="1202" t="s">
        <v>459</v>
      </c>
      <c r="C579" s="1202"/>
      <c r="D579" s="1202"/>
      <c r="E579" s="1164">
        <f t="shared" si="884"/>
        <v>0</v>
      </c>
      <c r="F579" s="1164">
        <f t="shared" si="894"/>
        <v>0</v>
      </c>
      <c r="G579" s="1165">
        <f t="shared" si="902"/>
        <v>0</v>
      </c>
      <c r="H579" s="1166"/>
      <c r="I579" s="1167">
        <f t="shared" si="892"/>
        <v>0</v>
      </c>
      <c r="J579" s="1167">
        <f t="shared" si="895"/>
        <v>0</v>
      </c>
      <c r="K579" s="1168">
        <f t="shared" si="903"/>
        <v>0</v>
      </c>
      <c r="L579" s="1119"/>
      <c r="M579" s="1169"/>
      <c r="N579" s="1177"/>
      <c r="O579" s="1169"/>
      <c r="P579" s="1169"/>
      <c r="Q579" s="1169">
        <f t="shared" si="904"/>
        <v>0</v>
      </c>
      <c r="R579" s="1169"/>
      <c r="S579" s="1170"/>
      <c r="T579" s="1240"/>
      <c r="U579" s="1119"/>
      <c r="V579" s="1169"/>
      <c r="W579" s="1177"/>
      <c r="X579" s="1177"/>
      <c r="Y579" s="1169"/>
      <c r="Z579" s="1169">
        <f t="shared" si="905"/>
        <v>0</v>
      </c>
      <c r="AA579" s="1169"/>
      <c r="AB579" s="1172">
        <f t="shared" si="898"/>
        <v>0</v>
      </c>
      <c r="AC579" s="1240"/>
      <c r="AD579" s="1119"/>
      <c r="AE579" s="1169"/>
      <c r="AF579" s="1177"/>
      <c r="AG579" s="1177"/>
      <c r="AH579" s="1169"/>
      <c r="AI579" s="1169">
        <f t="shared" si="906"/>
        <v>0</v>
      </c>
      <c r="AJ579" s="1169"/>
      <c r="AK579" s="1173"/>
      <c r="AL579" s="1171"/>
      <c r="AM579" s="1128"/>
      <c r="AN579" s="1170"/>
      <c r="AO579" s="1175"/>
      <c r="AP579" s="1175"/>
      <c r="AQ579" s="1170"/>
      <c r="AR579" s="1170">
        <f t="shared" si="907"/>
        <v>0</v>
      </c>
      <c r="AS579" s="1170"/>
      <c r="AT579" s="1170"/>
      <c r="AU579" s="1174"/>
      <c r="AV579" s="1128"/>
      <c r="AW579" s="1169"/>
      <c r="AX579" s="1177"/>
      <c r="AY579" s="1177"/>
      <c r="AZ579" s="1169"/>
      <c r="BA579" s="1169">
        <f t="shared" si="908"/>
        <v>0</v>
      </c>
      <c r="BB579" s="1169"/>
      <c r="BC579" s="1175"/>
      <c r="BD579" s="1027"/>
      <c r="BE579" s="1024"/>
      <c r="BF579" s="1024"/>
      <c r="BG579" s="1008"/>
      <c r="BH579" s="1008"/>
      <c r="BI579" s="1008"/>
      <c r="BJ579" s="1008"/>
      <c r="BK579" s="1008"/>
      <c r="BL579" s="1008"/>
      <c r="BM579" s="1008"/>
    </row>
    <row r="580" s="1215" customFormat="1" ht="18.75" customHeight="1">
      <c r="A580" s="999">
        <f t="shared" si="893"/>
        <v>0</v>
      </c>
      <c r="B580" s="1202" t="s">
        <v>460</v>
      </c>
      <c r="C580" s="1202"/>
      <c r="D580" s="1202"/>
      <c r="E580" s="1164">
        <f t="shared" si="884"/>
        <v>0</v>
      </c>
      <c r="F580" s="1164">
        <f t="shared" si="894"/>
        <v>0</v>
      </c>
      <c r="G580" s="1165">
        <f t="shared" si="902"/>
        <v>0</v>
      </c>
      <c r="H580" s="1166"/>
      <c r="I580" s="1167">
        <f t="shared" si="892"/>
        <v>0</v>
      </c>
      <c r="J580" s="1167">
        <f t="shared" si="895"/>
        <v>0</v>
      </c>
      <c r="K580" s="1168">
        <f t="shared" si="903"/>
        <v>0</v>
      </c>
      <c r="L580" s="1119"/>
      <c r="M580" s="1169"/>
      <c r="N580" s="1177"/>
      <c r="O580" s="1169"/>
      <c r="P580" s="1169"/>
      <c r="Q580" s="1169">
        <f t="shared" si="904"/>
        <v>0</v>
      </c>
      <c r="R580" s="1169"/>
      <c r="S580" s="1170"/>
      <c r="T580" s="1240"/>
      <c r="U580" s="1119"/>
      <c r="V580" s="1169"/>
      <c r="W580" s="1177"/>
      <c r="X580" s="1177"/>
      <c r="Y580" s="1169"/>
      <c r="Z580" s="1169">
        <f t="shared" si="905"/>
        <v>0</v>
      </c>
      <c r="AA580" s="1169"/>
      <c r="AB580" s="1172">
        <f t="shared" si="898"/>
        <v>0</v>
      </c>
      <c r="AC580" s="1240"/>
      <c r="AD580" s="1119"/>
      <c r="AE580" s="1169"/>
      <c r="AF580" s="1177"/>
      <c r="AG580" s="1177"/>
      <c r="AH580" s="1169"/>
      <c r="AI580" s="1169">
        <f t="shared" si="906"/>
        <v>0</v>
      </c>
      <c r="AJ580" s="1169"/>
      <c r="AK580" s="1173"/>
      <c r="AL580" s="1171"/>
      <c r="AM580" s="1128"/>
      <c r="AN580" s="1170"/>
      <c r="AO580" s="1175"/>
      <c r="AP580" s="1175"/>
      <c r="AQ580" s="1170"/>
      <c r="AR580" s="1170">
        <f t="shared" si="907"/>
        <v>0</v>
      </c>
      <c r="AS580" s="1170"/>
      <c r="AT580" s="1170"/>
      <c r="AU580" s="1174"/>
      <c r="AV580" s="1128"/>
      <c r="AW580" s="1169"/>
      <c r="AX580" s="1177"/>
      <c r="AY580" s="1177"/>
      <c r="AZ580" s="1169"/>
      <c r="BA580" s="1169">
        <f t="shared" si="908"/>
        <v>0</v>
      </c>
      <c r="BB580" s="1169"/>
      <c r="BC580" s="1175"/>
      <c r="BD580" s="1027"/>
      <c r="BE580" s="1024"/>
      <c r="BF580" s="1024"/>
      <c r="BG580" s="1008"/>
      <c r="BH580" s="1008"/>
      <c r="BI580" s="1008"/>
      <c r="BJ580" s="1008"/>
      <c r="BK580" s="1008"/>
      <c r="BL580" s="1008"/>
      <c r="BM580" s="1008"/>
    </row>
    <row r="581" s="1215" customFormat="1" ht="18.75" customHeight="1">
      <c r="A581" s="999" t="str">
        <f t="shared" si="893"/>
        <v xml:space="preserve">Белова СА</v>
      </c>
      <c r="B581" s="1202" t="s">
        <v>461</v>
      </c>
      <c r="C581" s="1202"/>
      <c r="D581" s="1202"/>
      <c r="E581" s="1164">
        <f t="shared" si="884"/>
        <v>0</v>
      </c>
      <c r="F581" s="1164">
        <f t="shared" si="894"/>
        <v>0</v>
      </c>
      <c r="G581" s="1165">
        <f t="shared" si="902"/>
        <v>0</v>
      </c>
      <c r="H581" s="1166"/>
      <c r="I581" s="1167">
        <f t="shared" si="892"/>
        <v>0</v>
      </c>
      <c r="J581" s="1167">
        <f t="shared" si="895"/>
        <v>0</v>
      </c>
      <c r="K581" s="1168">
        <f t="shared" si="903"/>
        <v>0</v>
      </c>
      <c r="L581" s="1119"/>
      <c r="M581" s="1169"/>
      <c r="N581" s="1177"/>
      <c r="O581" s="1169"/>
      <c r="P581" s="1169"/>
      <c r="Q581" s="1169">
        <f t="shared" si="904"/>
        <v>0</v>
      </c>
      <c r="R581" s="1169"/>
      <c r="S581" s="1170"/>
      <c r="T581" s="1240"/>
      <c r="U581" s="1119"/>
      <c r="V581" s="1169"/>
      <c r="W581" s="1177"/>
      <c r="X581" s="1177"/>
      <c r="Y581" s="1169"/>
      <c r="Z581" s="1169">
        <f t="shared" si="905"/>
        <v>0</v>
      </c>
      <c r="AA581" s="1169"/>
      <c r="AB581" s="1172">
        <f t="shared" si="898"/>
        <v>0</v>
      </c>
      <c r="AC581" s="1240"/>
      <c r="AD581" s="1119"/>
      <c r="AE581" s="1169"/>
      <c r="AF581" s="1177"/>
      <c r="AG581" s="1177"/>
      <c r="AH581" s="1169"/>
      <c r="AI581" s="1169">
        <f t="shared" si="906"/>
        <v>0</v>
      </c>
      <c r="AJ581" s="1169"/>
      <c r="AK581" s="1173"/>
      <c r="AL581" s="1171"/>
      <c r="AM581" s="1128"/>
      <c r="AN581" s="1170"/>
      <c r="AO581" s="1175"/>
      <c r="AP581" s="1175"/>
      <c r="AQ581" s="1170"/>
      <c r="AR581" s="1170">
        <f t="shared" si="907"/>
        <v>0</v>
      </c>
      <c r="AS581" s="1170"/>
      <c r="AT581" s="1170"/>
      <c r="AU581" s="1174"/>
      <c r="AV581" s="1128"/>
      <c r="AW581" s="1169"/>
      <c r="AX581" s="1177"/>
      <c r="AY581" s="1177"/>
      <c r="AZ581" s="1169"/>
      <c r="BA581" s="1169">
        <f t="shared" si="908"/>
        <v>0</v>
      </c>
      <c r="BB581" s="1169"/>
      <c r="BC581" s="1175"/>
      <c r="BD581" s="1027"/>
      <c r="BE581" s="1024"/>
      <c r="BF581" s="1024"/>
      <c r="BG581" s="1008"/>
      <c r="BH581" s="1008"/>
      <c r="BI581" s="1008"/>
      <c r="BJ581" s="1008"/>
      <c r="BK581" s="1008"/>
      <c r="BL581" s="1008"/>
      <c r="BM581" s="1008"/>
    </row>
    <row r="582" s="1215" customFormat="1" ht="18.75" customHeight="1">
      <c r="A582" s="999">
        <f t="shared" si="893"/>
        <v>0</v>
      </c>
      <c r="B582" s="1202" t="s">
        <v>462</v>
      </c>
      <c r="C582" s="1202"/>
      <c r="D582" s="1202"/>
      <c r="E582" s="1164">
        <f t="shared" si="884"/>
        <v>0</v>
      </c>
      <c r="F582" s="1164">
        <f t="shared" si="894"/>
        <v>0</v>
      </c>
      <c r="G582" s="1165">
        <f t="shared" si="902"/>
        <v>0</v>
      </c>
      <c r="H582" s="1166"/>
      <c r="I582" s="1167">
        <f t="shared" si="892"/>
        <v>0</v>
      </c>
      <c r="J582" s="1167">
        <f t="shared" si="895"/>
        <v>0</v>
      </c>
      <c r="K582" s="1168">
        <f t="shared" si="903"/>
        <v>0</v>
      </c>
      <c r="L582" s="1119"/>
      <c r="M582" s="1169"/>
      <c r="N582" s="1177"/>
      <c r="O582" s="1169"/>
      <c r="P582" s="1169"/>
      <c r="Q582" s="1169">
        <f t="shared" si="904"/>
        <v>0</v>
      </c>
      <c r="R582" s="1169"/>
      <c r="S582" s="1170"/>
      <c r="T582" s="1240"/>
      <c r="U582" s="1119"/>
      <c r="V582" s="1169"/>
      <c r="W582" s="1177"/>
      <c r="X582" s="1177"/>
      <c r="Y582" s="1169"/>
      <c r="Z582" s="1169">
        <f t="shared" si="905"/>
        <v>0</v>
      </c>
      <c r="AA582" s="1169"/>
      <c r="AB582" s="1172">
        <f t="shared" si="898"/>
        <v>0</v>
      </c>
      <c r="AC582" s="1240"/>
      <c r="AD582" s="1119"/>
      <c r="AE582" s="1169"/>
      <c r="AF582" s="1177"/>
      <c r="AG582" s="1177"/>
      <c r="AH582" s="1169"/>
      <c r="AI582" s="1169">
        <f t="shared" si="906"/>
        <v>0</v>
      </c>
      <c r="AJ582" s="1169"/>
      <c r="AK582" s="1173"/>
      <c r="AL582" s="1171"/>
      <c r="AM582" s="1128"/>
      <c r="AN582" s="1170"/>
      <c r="AO582" s="1175"/>
      <c r="AP582" s="1175"/>
      <c r="AQ582" s="1170"/>
      <c r="AR582" s="1170">
        <f t="shared" si="907"/>
        <v>0</v>
      </c>
      <c r="AS582" s="1170"/>
      <c r="AT582" s="1170"/>
      <c r="AU582" s="1174"/>
      <c r="AV582" s="1128"/>
      <c r="AW582" s="1169"/>
      <c r="AX582" s="1177"/>
      <c r="AY582" s="1177"/>
      <c r="AZ582" s="1169"/>
      <c r="BA582" s="1169">
        <f t="shared" si="908"/>
        <v>0</v>
      </c>
      <c r="BB582" s="1169"/>
      <c r="BC582" s="1175"/>
      <c r="BD582" s="1027"/>
      <c r="BE582" s="1024"/>
      <c r="BF582" s="1024"/>
      <c r="BG582" s="1008"/>
      <c r="BH582" s="1008"/>
      <c r="BI582" s="1008"/>
      <c r="BJ582" s="1008"/>
      <c r="BK582" s="1008"/>
      <c r="BL582" s="1008"/>
      <c r="BM582" s="1008"/>
    </row>
    <row r="583" s="1215" customFormat="1" ht="18.75" customHeight="1">
      <c r="A583" s="999">
        <f t="shared" si="893"/>
        <v>0</v>
      </c>
      <c r="B583" s="1202" t="s">
        <v>463</v>
      </c>
      <c r="C583" s="1202"/>
      <c r="D583" s="1202"/>
      <c r="E583" s="1164">
        <f t="shared" si="884"/>
        <v>0</v>
      </c>
      <c r="F583" s="1164">
        <f t="shared" si="894"/>
        <v>0</v>
      </c>
      <c r="G583" s="1165">
        <f t="shared" si="902"/>
        <v>0</v>
      </c>
      <c r="H583" s="1166"/>
      <c r="I583" s="1167">
        <f t="shared" si="892"/>
        <v>0</v>
      </c>
      <c r="J583" s="1167">
        <f t="shared" si="895"/>
        <v>0</v>
      </c>
      <c r="K583" s="1168">
        <f t="shared" si="903"/>
        <v>0</v>
      </c>
      <c r="L583" s="1119"/>
      <c r="M583" s="1169"/>
      <c r="N583" s="1177"/>
      <c r="O583" s="1169"/>
      <c r="P583" s="1169"/>
      <c r="Q583" s="1169">
        <f t="shared" si="904"/>
        <v>0</v>
      </c>
      <c r="R583" s="1169"/>
      <c r="S583" s="1170"/>
      <c r="T583" s="1240"/>
      <c r="U583" s="1119"/>
      <c r="V583" s="1169"/>
      <c r="W583" s="1177"/>
      <c r="X583" s="1177"/>
      <c r="Y583" s="1169"/>
      <c r="Z583" s="1169">
        <f t="shared" si="905"/>
        <v>0</v>
      </c>
      <c r="AA583" s="1169"/>
      <c r="AB583" s="1172">
        <f t="shared" si="898"/>
        <v>0</v>
      </c>
      <c r="AC583" s="1240"/>
      <c r="AD583" s="1119"/>
      <c r="AE583" s="1169"/>
      <c r="AF583" s="1177"/>
      <c r="AG583" s="1177"/>
      <c r="AH583" s="1169"/>
      <c r="AI583" s="1169">
        <f t="shared" si="906"/>
        <v>0</v>
      </c>
      <c r="AJ583" s="1169"/>
      <c r="AK583" s="1173"/>
      <c r="AL583" s="1171"/>
      <c r="AM583" s="1128"/>
      <c r="AN583" s="1170"/>
      <c r="AO583" s="1175"/>
      <c r="AP583" s="1175"/>
      <c r="AQ583" s="1170"/>
      <c r="AR583" s="1170">
        <f t="shared" si="907"/>
        <v>0</v>
      </c>
      <c r="AS583" s="1170"/>
      <c r="AT583" s="1170"/>
      <c r="AU583" s="1174"/>
      <c r="AV583" s="1128"/>
      <c r="AW583" s="1169"/>
      <c r="AX583" s="1177"/>
      <c r="AY583" s="1177"/>
      <c r="AZ583" s="1169"/>
      <c r="BA583" s="1169">
        <f t="shared" si="908"/>
        <v>0</v>
      </c>
      <c r="BB583" s="1169"/>
      <c r="BC583" s="1175"/>
      <c r="BD583" s="1027"/>
      <c r="BE583" s="1024"/>
      <c r="BF583" s="1024"/>
      <c r="BG583" s="1008"/>
      <c r="BH583" s="1008"/>
      <c r="BI583" s="1008"/>
      <c r="BJ583" s="1008"/>
      <c r="BK583" s="1008"/>
      <c r="BL583" s="1008"/>
      <c r="BM583" s="1008"/>
    </row>
    <row r="584" ht="18.75" customHeight="1">
      <c r="A584" s="999">
        <f t="shared" si="893"/>
        <v>0</v>
      </c>
      <c r="B584" s="1202" t="s">
        <v>464</v>
      </c>
      <c r="C584" s="1202"/>
      <c r="D584" s="1202"/>
      <c r="E584" s="1164">
        <f t="shared" si="884"/>
        <v>0</v>
      </c>
      <c r="F584" s="1164">
        <f t="shared" si="894"/>
        <v>0</v>
      </c>
      <c r="G584" s="1165">
        <f t="shared" si="902"/>
        <v>0</v>
      </c>
      <c r="H584" s="1166"/>
      <c r="I584" s="1167">
        <f t="shared" si="892"/>
        <v>0</v>
      </c>
      <c r="J584" s="1167">
        <f t="shared" si="895"/>
        <v>0</v>
      </c>
      <c r="K584" s="1168">
        <f t="shared" si="903"/>
        <v>0</v>
      </c>
      <c r="L584" s="1119"/>
      <c r="M584" s="1169"/>
      <c r="N584" s="1177"/>
      <c r="O584" s="1169"/>
      <c r="P584" s="1169"/>
      <c r="Q584" s="1169">
        <f t="shared" si="904"/>
        <v>0</v>
      </c>
      <c r="R584" s="1169"/>
      <c r="S584" s="1170"/>
      <c r="T584" s="1240"/>
      <c r="U584" s="1119"/>
      <c r="V584" s="1169"/>
      <c r="W584" s="1177"/>
      <c r="X584" s="1177"/>
      <c r="Y584" s="1169"/>
      <c r="Z584" s="1169">
        <f t="shared" si="905"/>
        <v>0</v>
      </c>
      <c r="AA584" s="1169"/>
      <c r="AB584" s="1172">
        <f t="shared" si="898"/>
        <v>0</v>
      </c>
      <c r="AC584" s="1240"/>
      <c r="AD584" s="1119"/>
      <c r="AE584" s="1169"/>
      <c r="AF584" s="1177"/>
      <c r="AG584" s="1177"/>
      <c r="AH584" s="1169"/>
      <c r="AI584" s="1169">
        <f t="shared" si="906"/>
        <v>0</v>
      </c>
      <c r="AJ584" s="1169"/>
      <c r="AK584" s="1173"/>
      <c r="AL584" s="1171"/>
      <c r="AM584" s="1128"/>
      <c r="AN584" s="1170"/>
      <c r="AO584" s="1175"/>
      <c r="AP584" s="1175"/>
      <c r="AQ584" s="1170"/>
      <c r="AR584" s="1170">
        <f t="shared" si="907"/>
        <v>0</v>
      </c>
      <c r="AS584" s="1170"/>
      <c r="AT584" s="1170"/>
      <c r="AU584" s="1174"/>
      <c r="AV584" s="1241"/>
      <c r="AW584" s="1169"/>
      <c r="AX584" s="1177"/>
      <c r="AY584" s="1177"/>
      <c r="AZ584" s="1169"/>
      <c r="BA584" s="1169">
        <f t="shared" si="908"/>
        <v>0</v>
      </c>
      <c r="BB584" s="1169"/>
      <c r="BC584" s="1175"/>
      <c r="BD584" s="1027"/>
      <c r="BE584" s="1029"/>
      <c r="BF584" s="1029"/>
    </row>
    <row r="585" ht="18.75" customHeight="1">
      <c r="A585" s="999">
        <f t="shared" si="893"/>
        <v>0</v>
      </c>
      <c r="B585" s="1202" t="s">
        <v>465</v>
      </c>
      <c r="C585" s="1202"/>
      <c r="D585" s="1202"/>
      <c r="E585" s="1164">
        <f t="shared" si="884"/>
        <v>0</v>
      </c>
      <c r="F585" s="1164">
        <f t="shared" si="894"/>
        <v>0</v>
      </c>
      <c r="G585" s="1165">
        <f t="shared" si="902"/>
        <v>0</v>
      </c>
      <c r="H585" s="1166"/>
      <c r="I585" s="1167">
        <f t="shared" si="892"/>
        <v>0</v>
      </c>
      <c r="J585" s="1167">
        <f t="shared" si="895"/>
        <v>0</v>
      </c>
      <c r="K585" s="1168">
        <f t="shared" si="903"/>
        <v>0</v>
      </c>
      <c r="L585" s="1119"/>
      <c r="M585" s="1169"/>
      <c r="N585" s="1177"/>
      <c r="O585" s="1169"/>
      <c r="P585" s="1169"/>
      <c r="Q585" s="1169">
        <f t="shared" si="904"/>
        <v>0</v>
      </c>
      <c r="R585" s="1169"/>
      <c r="S585" s="1170"/>
      <c r="T585" s="1240"/>
      <c r="U585" s="1119"/>
      <c r="V585" s="1169"/>
      <c r="W585" s="1177"/>
      <c r="X585" s="1177"/>
      <c r="Y585" s="1169"/>
      <c r="Z585" s="1169">
        <f t="shared" si="905"/>
        <v>0</v>
      </c>
      <c r="AA585" s="1169"/>
      <c r="AB585" s="1172">
        <f t="shared" si="898"/>
        <v>0</v>
      </c>
      <c r="AC585" s="1240"/>
      <c r="AD585" s="1119"/>
      <c r="AE585" s="1169"/>
      <c r="AF585" s="1177"/>
      <c r="AG585" s="1177"/>
      <c r="AH585" s="1169"/>
      <c r="AI585" s="1169">
        <f t="shared" si="906"/>
        <v>0</v>
      </c>
      <c r="AJ585" s="1169"/>
      <c r="AK585" s="1173"/>
      <c r="AL585" s="1171"/>
      <c r="AM585" s="1128"/>
      <c r="AN585" s="1170"/>
      <c r="AO585" s="1175"/>
      <c r="AP585" s="1175"/>
      <c r="AQ585" s="1170"/>
      <c r="AR585" s="1170">
        <f t="shared" si="907"/>
        <v>0</v>
      </c>
      <c r="AS585" s="1170"/>
      <c r="AT585" s="1170"/>
      <c r="AU585" s="1174"/>
      <c r="AV585" s="1241"/>
      <c r="AW585" s="1169"/>
      <c r="AX585" s="1177"/>
      <c r="AY585" s="1177"/>
      <c r="AZ585" s="1169"/>
      <c r="BA585" s="1169">
        <f t="shared" si="908"/>
        <v>0</v>
      </c>
      <c r="BB585" s="1169"/>
      <c r="BC585" s="1175"/>
      <c r="BD585" s="1027"/>
      <c r="BE585" s="1029"/>
      <c r="BF585" s="1029"/>
    </row>
    <row r="586" ht="18.75" customHeight="1">
      <c r="A586" s="999">
        <f t="shared" si="893"/>
        <v>0</v>
      </c>
      <c r="B586" s="1202" t="s">
        <v>303</v>
      </c>
      <c r="C586" s="1202"/>
      <c r="D586" s="1202"/>
      <c r="E586" s="1164">
        <f t="shared" si="884"/>
        <v>0</v>
      </c>
      <c r="F586" s="1164">
        <f t="shared" si="894"/>
        <v>0</v>
      </c>
      <c r="G586" s="1165">
        <f t="shared" si="902"/>
        <v>0</v>
      </c>
      <c r="H586" s="1166"/>
      <c r="I586" s="1167">
        <f t="shared" si="892"/>
        <v>0</v>
      </c>
      <c r="J586" s="1167">
        <f t="shared" si="895"/>
        <v>0</v>
      </c>
      <c r="K586" s="1168">
        <f t="shared" si="903"/>
        <v>0</v>
      </c>
      <c r="L586" s="1119"/>
      <c r="M586" s="1169"/>
      <c r="N586" s="1177"/>
      <c r="O586" s="1169"/>
      <c r="P586" s="1169"/>
      <c r="Q586" s="1169">
        <f t="shared" si="904"/>
        <v>0</v>
      </c>
      <c r="R586" s="1169"/>
      <c r="S586" s="1170"/>
      <c r="T586" s="1240"/>
      <c r="U586" s="1119"/>
      <c r="V586" s="1169"/>
      <c r="W586" s="1177"/>
      <c r="X586" s="1177"/>
      <c r="Y586" s="1169"/>
      <c r="Z586" s="1169">
        <f t="shared" si="905"/>
        <v>0</v>
      </c>
      <c r="AA586" s="1169"/>
      <c r="AB586" s="1172">
        <f t="shared" si="898"/>
        <v>0</v>
      </c>
      <c r="AC586" s="1240"/>
      <c r="AD586" s="1119"/>
      <c r="AE586" s="1169"/>
      <c r="AF586" s="1177"/>
      <c r="AG586" s="1177"/>
      <c r="AH586" s="1169"/>
      <c r="AI586" s="1169">
        <f t="shared" si="906"/>
        <v>0</v>
      </c>
      <c r="AJ586" s="1169"/>
      <c r="AK586" s="1173"/>
      <c r="AL586" s="1171"/>
      <c r="AM586" s="1128"/>
      <c r="AN586" s="1170"/>
      <c r="AO586" s="1175"/>
      <c r="AP586" s="1175"/>
      <c r="AQ586" s="1170"/>
      <c r="AR586" s="1170">
        <f t="shared" si="907"/>
        <v>0</v>
      </c>
      <c r="AS586" s="1170"/>
      <c r="AT586" s="1170"/>
      <c r="AU586" s="1174"/>
      <c r="AV586" s="1241"/>
      <c r="AW586" s="1169"/>
      <c r="AX586" s="1177"/>
      <c r="AY586" s="1177"/>
      <c r="AZ586" s="1169"/>
      <c r="BA586" s="1169">
        <f t="shared" si="908"/>
        <v>0</v>
      </c>
      <c r="BB586" s="1169"/>
      <c r="BC586" s="1175"/>
      <c r="BD586" s="1027"/>
      <c r="BE586" s="1029"/>
      <c r="BF586" s="1029"/>
    </row>
    <row r="587" ht="18.75" customHeight="1">
      <c r="A587" s="999">
        <f t="shared" si="893"/>
        <v>0</v>
      </c>
      <c r="B587" s="1202" t="s">
        <v>304</v>
      </c>
      <c r="C587" s="1202"/>
      <c r="D587" s="1202"/>
      <c r="E587" s="1164">
        <f t="shared" si="884"/>
        <v>0</v>
      </c>
      <c r="F587" s="1164">
        <f t="shared" si="894"/>
        <v>0</v>
      </c>
      <c r="G587" s="1165">
        <f t="shared" si="902"/>
        <v>0</v>
      </c>
      <c r="H587" s="1166"/>
      <c r="I587" s="1167">
        <f t="shared" si="892"/>
        <v>0</v>
      </c>
      <c r="J587" s="1167">
        <f t="shared" si="895"/>
        <v>0</v>
      </c>
      <c r="K587" s="1168">
        <f t="shared" si="903"/>
        <v>0</v>
      </c>
      <c r="L587" s="1119"/>
      <c r="M587" s="1169"/>
      <c r="N587" s="1177"/>
      <c r="O587" s="1169"/>
      <c r="P587" s="1169"/>
      <c r="Q587" s="1169">
        <f t="shared" si="904"/>
        <v>0</v>
      </c>
      <c r="R587" s="1169"/>
      <c r="S587" s="1170"/>
      <c r="T587" s="1240"/>
      <c r="U587" s="1119"/>
      <c r="V587" s="1169"/>
      <c r="W587" s="1177"/>
      <c r="X587" s="1177"/>
      <c r="Y587" s="1169"/>
      <c r="Z587" s="1169">
        <f t="shared" si="905"/>
        <v>0</v>
      </c>
      <c r="AA587" s="1169"/>
      <c r="AB587" s="1172">
        <f t="shared" si="898"/>
        <v>0</v>
      </c>
      <c r="AC587" s="1240"/>
      <c r="AD587" s="1119"/>
      <c r="AE587" s="1169"/>
      <c r="AF587" s="1177"/>
      <c r="AG587" s="1177"/>
      <c r="AH587" s="1169"/>
      <c r="AI587" s="1169">
        <f t="shared" si="906"/>
        <v>0</v>
      </c>
      <c r="AJ587" s="1169"/>
      <c r="AK587" s="1173"/>
      <c r="AL587" s="1171"/>
      <c r="AM587" s="1128"/>
      <c r="AN587" s="1170"/>
      <c r="AO587" s="1175"/>
      <c r="AP587" s="1175"/>
      <c r="AQ587" s="1170"/>
      <c r="AR587" s="1170">
        <f t="shared" si="907"/>
        <v>0</v>
      </c>
      <c r="AS587" s="1170"/>
      <c r="AT587" s="1170"/>
      <c r="AU587" s="1174"/>
      <c r="AV587" s="1241"/>
      <c r="AW587" s="1169"/>
      <c r="AX587" s="1177"/>
      <c r="AY587" s="1177"/>
      <c r="AZ587" s="1169"/>
      <c r="BA587" s="1169">
        <f t="shared" si="908"/>
        <v>0</v>
      </c>
      <c r="BB587" s="1169"/>
      <c r="BC587" s="1175"/>
      <c r="BD587" s="1027"/>
      <c r="BE587" s="1029"/>
      <c r="BF587" s="1029"/>
    </row>
    <row r="588" ht="18.75" customHeight="1">
      <c r="A588" s="999" t="str">
        <f t="shared" si="893"/>
        <v xml:space="preserve">Радченко Т.А.</v>
      </c>
      <c r="B588" s="1202" t="s">
        <v>467</v>
      </c>
      <c r="C588" s="1202"/>
      <c r="D588" s="1202"/>
      <c r="E588" s="1164">
        <f t="shared" si="884"/>
        <v>0</v>
      </c>
      <c r="F588" s="1164">
        <f t="shared" si="894"/>
        <v>0</v>
      </c>
      <c r="G588" s="1165">
        <f t="shared" si="902"/>
        <v>0</v>
      </c>
      <c r="H588" s="1266" t="e">
        <f t="shared" ref="H527:H590" si="909">G588/$G$299</f>
        <v>#DIV/0!</v>
      </c>
      <c r="I588" s="1167">
        <f t="shared" si="892"/>
        <v>0</v>
      </c>
      <c r="J588" s="1167">
        <f t="shared" si="895"/>
        <v>0</v>
      </c>
      <c r="K588" s="1168">
        <f t="shared" si="903"/>
        <v>0</v>
      </c>
      <c r="L588" s="1119"/>
      <c r="M588" s="1169"/>
      <c r="N588" s="1177"/>
      <c r="O588" s="1169"/>
      <c r="P588" s="1169"/>
      <c r="Q588" s="1169">
        <f t="shared" si="904"/>
        <v>0</v>
      </c>
      <c r="R588" s="1169"/>
      <c r="S588" s="1170"/>
      <c r="T588" s="1240"/>
      <c r="U588" s="1119"/>
      <c r="V588" s="1169"/>
      <c r="W588" s="1177"/>
      <c r="X588" s="1177"/>
      <c r="Y588" s="1169"/>
      <c r="Z588" s="1169">
        <f t="shared" si="905"/>
        <v>0</v>
      </c>
      <c r="AA588" s="1169"/>
      <c r="AB588" s="1172">
        <f t="shared" si="898"/>
        <v>0</v>
      </c>
      <c r="AC588" s="1240"/>
      <c r="AD588" s="1119"/>
      <c r="AE588" s="1169"/>
      <c r="AF588" s="1177"/>
      <c r="AG588" s="1177"/>
      <c r="AH588" s="1169"/>
      <c r="AI588" s="1169">
        <f t="shared" si="906"/>
        <v>0</v>
      </c>
      <c r="AJ588" s="1169"/>
      <c r="AK588" s="1173"/>
      <c r="AL588" s="1171"/>
      <c r="AM588" s="1128"/>
      <c r="AN588" s="1170"/>
      <c r="AO588" s="1175"/>
      <c r="AP588" s="1175"/>
      <c r="AQ588" s="1170"/>
      <c r="AR588" s="1170">
        <f t="shared" si="907"/>
        <v>0</v>
      </c>
      <c r="AS588" s="1170"/>
      <c r="AT588" s="1170"/>
      <c r="AU588" s="1174"/>
      <c r="AV588" s="1241"/>
      <c r="AW588" s="1169"/>
      <c r="AX588" s="1177"/>
      <c r="AY588" s="1177"/>
      <c r="AZ588" s="1169"/>
      <c r="BA588" s="1169">
        <f t="shared" si="908"/>
        <v>0</v>
      </c>
      <c r="BB588" s="1169"/>
      <c r="BC588" s="1175"/>
      <c r="BD588" s="1027"/>
      <c r="BE588" s="1029"/>
      <c r="BF588" s="1029"/>
    </row>
    <row r="589">
      <c r="A589" s="999" t="s">
        <v>468</v>
      </c>
      <c r="B589" s="1202" t="s">
        <v>469</v>
      </c>
      <c r="C589" s="1202"/>
      <c r="D589" s="1202"/>
      <c r="E589" s="1164">
        <f t="shared" si="884"/>
        <v>0</v>
      </c>
      <c r="F589" s="1164">
        <f t="shared" si="894"/>
        <v>0</v>
      </c>
      <c r="G589" s="1165">
        <f t="shared" si="902"/>
        <v>0</v>
      </c>
      <c r="H589" s="1166"/>
      <c r="I589" s="1167">
        <f t="shared" si="892"/>
        <v>0</v>
      </c>
      <c r="J589" s="1167">
        <f t="shared" si="895"/>
        <v>0</v>
      </c>
      <c r="K589" s="1168">
        <f t="shared" si="903"/>
        <v>0</v>
      </c>
      <c r="L589" s="1119"/>
      <c r="M589" s="1169"/>
      <c r="N589" s="1177"/>
      <c r="O589" s="1169"/>
      <c r="P589" s="1169"/>
      <c r="Q589" s="1169">
        <f t="shared" si="904"/>
        <v>0</v>
      </c>
      <c r="R589" s="1169"/>
      <c r="S589" s="1170"/>
      <c r="T589" s="1240"/>
      <c r="U589" s="1119"/>
      <c r="V589" s="1169"/>
      <c r="W589" s="1177"/>
      <c r="X589" s="1177"/>
      <c r="Y589" s="1169"/>
      <c r="Z589" s="1169">
        <f t="shared" si="905"/>
        <v>0</v>
      </c>
      <c r="AA589" s="1169"/>
      <c r="AB589" s="1172">
        <f t="shared" si="898"/>
        <v>0</v>
      </c>
      <c r="AC589" s="1240"/>
      <c r="AD589" s="1119"/>
      <c r="AE589" s="1169"/>
      <c r="AF589" s="1177"/>
      <c r="AG589" s="1177"/>
      <c r="AH589" s="1169"/>
      <c r="AI589" s="1169">
        <f t="shared" si="906"/>
        <v>0</v>
      </c>
      <c r="AJ589" s="1169"/>
      <c r="AK589" s="1173"/>
      <c r="AL589" s="1171"/>
      <c r="AM589" s="1128"/>
      <c r="AN589" s="1170"/>
      <c r="AO589" s="1175"/>
      <c r="AP589" s="1175"/>
      <c r="AQ589" s="1170"/>
      <c r="AR589" s="1170">
        <f t="shared" si="907"/>
        <v>0</v>
      </c>
      <c r="AS589" s="1170"/>
      <c r="AT589" s="1170"/>
      <c r="AU589" s="1174"/>
      <c r="AV589" s="1241"/>
      <c r="AW589" s="1169"/>
      <c r="AX589" s="1177"/>
      <c r="AY589" s="1177"/>
      <c r="AZ589" s="1169"/>
      <c r="BA589" s="1169">
        <f t="shared" si="908"/>
        <v>0</v>
      </c>
      <c r="BB589" s="1169"/>
      <c r="BC589" s="1175"/>
      <c r="BD589" s="1027"/>
      <c r="BE589" s="1029"/>
      <c r="BF589" s="1029"/>
    </row>
    <row r="590" ht="22.5">
      <c r="B590" s="1205" t="s">
        <v>27</v>
      </c>
      <c r="C590" s="1205"/>
      <c r="D590" s="1205"/>
      <c r="E590" s="1183">
        <f t="shared" si="884"/>
        <v>0</v>
      </c>
      <c r="F590" s="1183">
        <f t="shared" si="894"/>
        <v>0</v>
      </c>
      <c r="G590" s="1184">
        <f>SUM(G564:G589)</f>
        <v>0</v>
      </c>
      <c r="H590" s="1185"/>
      <c r="I590" s="1186">
        <f t="shared" si="892"/>
        <v>0</v>
      </c>
      <c r="J590" s="1186">
        <f t="shared" si="895"/>
        <v>0</v>
      </c>
      <c r="K590" s="1187">
        <f>SUM(K564:K589)</f>
        <v>0</v>
      </c>
      <c r="L590" s="1206"/>
      <c r="M590" s="1213">
        <f t="shared" ref="M590:R590" si="910">SUM(M564:M589)</f>
        <v>0</v>
      </c>
      <c r="N590" s="1213">
        <f t="shared" si="910"/>
        <v>0</v>
      </c>
      <c r="O590" s="1213">
        <f t="shared" si="910"/>
        <v>0</v>
      </c>
      <c r="P590" s="1213">
        <f t="shared" si="910"/>
        <v>0</v>
      </c>
      <c r="Q590" s="1213">
        <f t="shared" si="910"/>
        <v>0</v>
      </c>
      <c r="R590" s="1213">
        <f t="shared" si="910"/>
        <v>0</v>
      </c>
      <c r="S590" s="1170"/>
      <c r="T590" s="1248"/>
      <c r="U590" s="1206">
        <f t="shared" ref="U590:AA590" si="911">SUM(U564:U589)</f>
        <v>0</v>
      </c>
      <c r="V590" s="1209">
        <f t="shared" si="911"/>
        <v>0</v>
      </c>
      <c r="W590" s="1209">
        <f t="shared" si="911"/>
        <v>0</v>
      </c>
      <c r="X590" s="1209">
        <f t="shared" si="911"/>
        <v>0</v>
      </c>
      <c r="Y590" s="1209">
        <f t="shared" si="911"/>
        <v>0</v>
      </c>
      <c r="Z590" s="1209">
        <f t="shared" si="911"/>
        <v>0</v>
      </c>
      <c r="AA590" s="1209">
        <f t="shared" si="911"/>
        <v>0</v>
      </c>
      <c r="AB590" s="1172">
        <f t="shared" si="898"/>
        <v>0</v>
      </c>
      <c r="AC590" s="1247"/>
      <c r="AD590" s="1206">
        <f t="shared" ref="AD590:AJ590" si="912">SUM(AD564:AD589)</f>
        <v>0</v>
      </c>
      <c r="AE590" s="1209">
        <f t="shared" si="912"/>
        <v>0</v>
      </c>
      <c r="AF590" s="1209">
        <f t="shared" si="912"/>
        <v>0</v>
      </c>
      <c r="AG590" s="1209">
        <f t="shared" si="912"/>
        <v>0</v>
      </c>
      <c r="AH590" s="1209">
        <f t="shared" si="912"/>
        <v>0</v>
      </c>
      <c r="AI590" s="1209">
        <f t="shared" si="912"/>
        <v>0</v>
      </c>
      <c r="AJ590" s="1209">
        <f t="shared" si="912"/>
        <v>0</v>
      </c>
      <c r="AK590" s="1173"/>
      <c r="AL590" s="1208"/>
      <c r="AM590" s="1128"/>
      <c r="AN590" s="1190">
        <f t="shared" ref="AN590:AS590" si="913">SUM(AN564:AN589)</f>
        <v>0</v>
      </c>
      <c r="AO590" s="1190">
        <f t="shared" si="913"/>
        <v>0</v>
      </c>
      <c r="AP590" s="1190">
        <f t="shared" si="913"/>
        <v>0</v>
      </c>
      <c r="AQ590" s="1190">
        <f t="shared" si="913"/>
        <v>0</v>
      </c>
      <c r="AR590" s="1190">
        <f t="shared" si="913"/>
        <v>0</v>
      </c>
      <c r="AS590" s="1190">
        <f t="shared" si="913"/>
        <v>0</v>
      </c>
      <c r="AT590" s="1170"/>
      <c r="AU590" s="1191"/>
      <c r="AV590" s="1241"/>
      <c r="AW590" s="1096">
        <f t="shared" ref="AW590:BB590" si="914">SUM(AW564:AW589)</f>
        <v>0</v>
      </c>
      <c r="AX590" s="1096">
        <f t="shared" si="914"/>
        <v>0</v>
      </c>
      <c r="AY590" s="1096">
        <f t="shared" si="914"/>
        <v>0</v>
      </c>
      <c r="AZ590" s="1096">
        <f t="shared" si="914"/>
        <v>0</v>
      </c>
      <c r="BA590" s="1096">
        <f t="shared" si="914"/>
        <v>0</v>
      </c>
      <c r="BB590" s="1096">
        <f t="shared" si="914"/>
        <v>0</v>
      </c>
      <c r="BC590" s="1175"/>
      <c r="BD590" s="1027"/>
      <c r="BE590" s="1029"/>
      <c r="BF590" s="1029"/>
    </row>
    <row r="591" ht="22.5">
      <c r="B591" s="1205" t="s">
        <v>486</v>
      </c>
      <c r="C591" s="1205"/>
      <c r="D591" s="1205"/>
      <c r="E591" s="1183">
        <f t="shared" si="884"/>
        <v>0</v>
      </c>
      <c r="F591" s="1183">
        <f t="shared" si="894"/>
        <v>0</v>
      </c>
      <c r="G591" s="1220">
        <f>G590+G563+G549+G540</f>
        <v>0</v>
      </c>
      <c r="H591" s="1221"/>
      <c r="I591" s="1186">
        <f t="shared" si="892"/>
        <v>0</v>
      </c>
      <c r="J591" s="1186">
        <f t="shared" si="895"/>
        <v>0</v>
      </c>
      <c r="K591" s="1222">
        <f>K590+K563+K549+K540</f>
        <v>0</v>
      </c>
      <c r="L591" s="1188"/>
      <c r="M591" s="1096">
        <f t="shared" ref="M591:R591" si="915">M590+M563+M549+M540</f>
        <v>0</v>
      </c>
      <c r="N591" s="1096">
        <f t="shared" si="915"/>
        <v>0</v>
      </c>
      <c r="O591" s="1096">
        <f t="shared" si="915"/>
        <v>0</v>
      </c>
      <c r="P591" s="1096">
        <f t="shared" si="915"/>
        <v>0</v>
      </c>
      <c r="Q591" s="1096">
        <f t="shared" si="915"/>
        <v>0</v>
      </c>
      <c r="R591" s="1096">
        <f t="shared" si="915"/>
        <v>0</v>
      </c>
      <c r="S591" s="1170"/>
      <c r="T591" s="1243"/>
      <c r="U591" s="1096">
        <f t="shared" ref="U591:AA591" si="916">U590+U563+U549+U540</f>
        <v>0</v>
      </c>
      <c r="V591" s="1096">
        <f t="shared" si="916"/>
        <v>0</v>
      </c>
      <c r="W591" s="1096">
        <f t="shared" si="916"/>
        <v>0</v>
      </c>
      <c r="X591" s="1096">
        <f t="shared" si="916"/>
        <v>0</v>
      </c>
      <c r="Y591" s="1096">
        <f t="shared" si="916"/>
        <v>0</v>
      </c>
      <c r="Z591" s="1096">
        <f t="shared" si="916"/>
        <v>0</v>
      </c>
      <c r="AA591" s="1096">
        <f t="shared" si="916"/>
        <v>0</v>
      </c>
      <c r="AB591" s="1172">
        <f t="shared" si="898"/>
        <v>0</v>
      </c>
      <c r="AC591" s="1243"/>
      <c r="AD591" s="1188">
        <f t="shared" ref="AD591:AJ591" si="917">AD590+AD563+AD549+AD540</f>
        <v>0</v>
      </c>
      <c r="AE591" s="1096">
        <f t="shared" si="917"/>
        <v>0</v>
      </c>
      <c r="AF591" s="1096">
        <f t="shared" si="917"/>
        <v>0</v>
      </c>
      <c r="AG591" s="1096">
        <f t="shared" si="917"/>
        <v>0</v>
      </c>
      <c r="AH591" s="1096">
        <f t="shared" si="917"/>
        <v>0</v>
      </c>
      <c r="AI591" s="1096">
        <f t="shared" si="917"/>
        <v>0</v>
      </c>
      <c r="AJ591" s="1096">
        <f t="shared" si="917"/>
        <v>0</v>
      </c>
      <c r="AK591" s="1173"/>
      <c r="AL591" s="1189"/>
      <c r="AM591" s="1197">
        <f t="shared" ref="AM591:AS591" si="918">AM590+AM563+AM549+AM540</f>
        <v>0</v>
      </c>
      <c r="AN591" s="1190">
        <f t="shared" si="918"/>
        <v>0</v>
      </c>
      <c r="AO591" s="1190">
        <f t="shared" si="918"/>
        <v>0</v>
      </c>
      <c r="AP591" s="1190">
        <f t="shared" si="918"/>
        <v>0</v>
      </c>
      <c r="AQ591" s="1190">
        <f t="shared" si="918"/>
        <v>0</v>
      </c>
      <c r="AR591" s="1190">
        <f t="shared" si="918"/>
        <v>0</v>
      </c>
      <c r="AS591" s="1190">
        <f t="shared" si="918"/>
        <v>0</v>
      </c>
      <c r="AT591" s="1170"/>
      <c r="AU591" s="1191"/>
      <c r="AV591" s="1190">
        <f t="shared" ref="AV591:BB591" si="919">AV590+AV563+AV549+AV540</f>
        <v>0</v>
      </c>
      <c r="AW591" s="1096">
        <f t="shared" si="919"/>
        <v>0</v>
      </c>
      <c r="AX591" s="1096">
        <f t="shared" si="919"/>
        <v>0</v>
      </c>
      <c r="AY591" s="1096">
        <f t="shared" si="919"/>
        <v>0</v>
      </c>
      <c r="AZ591" s="1096">
        <f t="shared" si="919"/>
        <v>0</v>
      </c>
      <c r="BA591" s="1096">
        <f t="shared" si="919"/>
        <v>0</v>
      </c>
      <c r="BB591" s="1096">
        <f t="shared" si="919"/>
        <v>0</v>
      </c>
      <c r="BC591" s="1175"/>
      <c r="BD591" s="1027"/>
      <c r="BE591" s="1029"/>
      <c r="BF591" s="1029"/>
    </row>
    <row r="592">
      <c r="B592" s="1133"/>
      <c r="C592" s="1133"/>
      <c r="D592" s="1133"/>
      <c r="E592" s="1225"/>
      <c r="F592" s="1225"/>
      <c r="G592" s="1226"/>
      <c r="H592" s="1227"/>
      <c r="I592" s="1228"/>
      <c r="J592" s="1228"/>
      <c r="K592" s="1167">
        <f>G592-AB592</f>
        <v>0</v>
      </c>
      <c r="L592" s="1229"/>
      <c r="M592" s="1023"/>
      <c r="N592" s="1024"/>
      <c r="O592" s="1023"/>
      <c r="P592" s="1023"/>
      <c r="Q592" s="1024"/>
      <c r="R592" s="1024"/>
      <c r="S592" s="1170"/>
      <c r="T592" s="1025"/>
      <c r="U592" s="1024"/>
      <c r="V592" s="1230"/>
      <c r="W592" s="1229"/>
      <c r="X592" s="1229"/>
      <c r="Y592" s="1230"/>
      <c r="Z592" s="1229"/>
      <c r="AA592" s="1229"/>
      <c r="AB592" s="1170"/>
      <c r="AC592" s="1025"/>
      <c r="AD592" s="1024"/>
      <c r="AE592" s="1023"/>
      <c r="AF592" s="1024"/>
      <c r="AG592" s="1024"/>
      <c r="AH592" s="1023"/>
      <c r="AI592" s="1024"/>
      <c r="AJ592" s="1024"/>
      <c r="AK592" s="1173"/>
      <c r="AL592" s="1025"/>
      <c r="AM592" s="1024"/>
      <c r="AN592" s="1023"/>
      <c r="AO592" s="1024"/>
      <c r="AP592" s="1024"/>
      <c r="AQ592" s="1023"/>
      <c r="AR592" s="1024"/>
      <c r="AS592" s="1024"/>
      <c r="AT592" s="1170"/>
      <c r="AU592" s="1027"/>
      <c r="AV592" s="1029"/>
      <c r="AW592" s="1230"/>
      <c r="AX592" s="1229"/>
      <c r="AY592" s="1229"/>
      <c r="AZ592" s="1230"/>
      <c r="BA592" s="1229"/>
      <c r="BB592" s="1229"/>
      <c r="BC592" s="1175"/>
      <c r="BD592" s="1027"/>
      <c r="BE592" s="1029"/>
      <c r="BF592" s="1029"/>
    </row>
    <row r="593" s="1180" customFormat="1" ht="18.75" customHeight="1">
      <c r="A593" s="999"/>
      <c r="B593" s="1295" t="s">
        <v>487</v>
      </c>
      <c r="C593" s="1301"/>
      <c r="D593" s="1301"/>
      <c r="E593" s="1113" t="s">
        <v>347</v>
      </c>
      <c r="F593" s="1114"/>
      <c r="G593" s="1114"/>
      <c r="H593" s="1115"/>
      <c r="I593" s="1235" t="s">
        <v>335</v>
      </c>
      <c r="J593" s="1236"/>
      <c r="K593" s="1237"/>
      <c r="L593" s="1119"/>
      <c r="M593" s="1120" t="s">
        <v>127</v>
      </c>
      <c r="N593" s="1121"/>
      <c r="O593" s="1121"/>
      <c r="P593" s="1121"/>
      <c r="Q593" s="1121"/>
      <c r="R593" s="1122"/>
      <c r="S593" s="1123"/>
      <c r="T593" s="1124"/>
      <c r="U593" s="1125"/>
      <c r="V593" s="1120" t="s">
        <v>325</v>
      </c>
      <c r="W593" s="1121"/>
      <c r="X593" s="1121"/>
      <c r="Y593" s="1121"/>
      <c r="Z593" s="1121"/>
      <c r="AA593" s="1122"/>
      <c r="AB593" s="1115"/>
      <c r="AC593" s="1126"/>
      <c r="AD593" s="1125"/>
      <c r="AE593" s="1120" t="s">
        <v>311</v>
      </c>
      <c r="AF593" s="1121"/>
      <c r="AG593" s="1121"/>
      <c r="AH593" s="1121"/>
      <c r="AI593" s="1121"/>
      <c r="AJ593" s="1122"/>
      <c r="AK593" s="1127"/>
      <c r="AL593" s="1126"/>
      <c r="AM593" s="1128"/>
      <c r="AN593" s="1043" t="s">
        <v>327</v>
      </c>
      <c r="AO593" s="1044"/>
      <c r="AP593" s="1044"/>
      <c r="AQ593" s="1044"/>
      <c r="AR593" s="1044"/>
      <c r="AS593" s="1045"/>
      <c r="AT593" s="1129"/>
      <c r="AU593" s="1130"/>
      <c r="AV593" s="1131"/>
      <c r="AW593" s="1043" t="s">
        <v>349</v>
      </c>
      <c r="AX593" s="1044"/>
      <c r="AY593" s="1044"/>
      <c r="AZ593" s="1044"/>
      <c r="BA593" s="1044"/>
      <c r="BB593" s="1045"/>
      <c r="BC593" s="1029"/>
      <c r="BD593" s="1296"/>
      <c r="BE593" s="1297"/>
      <c r="BF593" s="1297"/>
      <c r="BG593" s="1106"/>
      <c r="BH593" s="1106"/>
      <c r="BI593" s="1106"/>
      <c r="BJ593" s="1106"/>
      <c r="BK593" s="1106"/>
      <c r="BL593" s="1106"/>
      <c r="BM593" s="1106"/>
    </row>
    <row r="594" ht="18.75" customHeight="1">
      <c r="A594" s="1110"/>
      <c r="B594" s="1134" t="s">
        <v>350</v>
      </c>
      <c r="C594" s="1134"/>
      <c r="D594" s="1134"/>
      <c r="E594" s="1135" t="s">
        <v>332</v>
      </c>
      <c r="F594" s="1135" t="s">
        <v>333</v>
      </c>
      <c r="G594" s="1136" t="s">
        <v>334</v>
      </c>
      <c r="H594" s="1137" t="s">
        <v>341</v>
      </c>
      <c r="I594" s="1138"/>
      <c r="J594" s="1138"/>
      <c r="K594" s="1139"/>
      <c r="L594" s="1119"/>
      <c r="M594" s="1073" t="s">
        <v>336</v>
      </c>
      <c r="N594" s="1073" t="s">
        <v>337</v>
      </c>
      <c r="O594" s="1073" t="s">
        <v>338</v>
      </c>
      <c r="P594" s="1073" t="s">
        <v>344</v>
      </c>
      <c r="Q594" s="1073" t="s">
        <v>351</v>
      </c>
      <c r="R594" s="1140" t="s">
        <v>339</v>
      </c>
      <c r="S594" s="1141" t="s">
        <v>340</v>
      </c>
      <c r="T594" s="1142"/>
      <c r="U594" s="1128"/>
      <c r="V594" s="1073" t="s">
        <v>336</v>
      </c>
      <c r="W594" s="1073" t="s">
        <v>337</v>
      </c>
      <c r="X594" s="1073" t="s">
        <v>338</v>
      </c>
      <c r="Y594" s="1073" t="s">
        <v>344</v>
      </c>
      <c r="Z594" s="1073" t="s">
        <v>351</v>
      </c>
      <c r="AA594" s="1140" t="s">
        <v>339</v>
      </c>
      <c r="AB594" s="1143" t="str">
        <f>S594</f>
        <v xml:space="preserve">Итого (спирт+наркотики+растворы+перевязка)</v>
      </c>
      <c r="AC594" s="1142"/>
      <c r="AD594" s="1128"/>
      <c r="AE594" s="1073" t="s">
        <v>336</v>
      </c>
      <c r="AF594" s="1073" t="s">
        <v>337</v>
      </c>
      <c r="AG594" s="1073" t="s">
        <v>338</v>
      </c>
      <c r="AH594" s="1073" t="s">
        <v>344</v>
      </c>
      <c r="AI594" s="1073" t="s">
        <v>351</v>
      </c>
      <c r="AJ594" s="1140" t="s">
        <v>339</v>
      </c>
      <c r="AK594" s="1141" t="s">
        <v>340</v>
      </c>
      <c r="AL594" s="1142"/>
      <c r="AM594" s="1128"/>
      <c r="AN594" s="1144" t="s">
        <v>336</v>
      </c>
      <c r="AO594" s="1144" t="s">
        <v>337</v>
      </c>
      <c r="AP594" s="1144" t="s">
        <v>338</v>
      </c>
      <c r="AQ594" s="1073" t="s">
        <v>344</v>
      </c>
      <c r="AR594" s="1073" t="s">
        <v>351</v>
      </c>
      <c r="AS594" s="1140" t="s">
        <v>339</v>
      </c>
      <c r="AT594" s="1145"/>
      <c r="AU594" s="1146"/>
      <c r="AV594" s="1131"/>
      <c r="AW594" s="1144" t="s">
        <v>336</v>
      </c>
      <c r="AX594" s="1144" t="s">
        <v>337</v>
      </c>
      <c r="AY594" s="1144" t="s">
        <v>338</v>
      </c>
      <c r="AZ594" s="1073" t="s">
        <v>344</v>
      </c>
      <c r="BA594" s="1073" t="s">
        <v>351</v>
      </c>
      <c r="BB594" s="1140" t="s">
        <v>339</v>
      </c>
      <c r="BC594" s="1147"/>
      <c r="BD594" s="1132"/>
      <c r="BE594" s="1133"/>
      <c r="BF594" s="1133"/>
    </row>
    <row r="595" ht="39.75" customHeight="1">
      <c r="A595" s="1110"/>
      <c r="B595" s="1149"/>
      <c r="C595" s="1149"/>
      <c r="D595" s="1149"/>
      <c r="E595" s="1150"/>
      <c r="F595" s="1150"/>
      <c r="G595" s="1151"/>
      <c r="H595" s="1152"/>
      <c r="I595" s="1153" t="s">
        <v>342</v>
      </c>
      <c r="J595" s="1154" t="s">
        <v>339</v>
      </c>
      <c r="K595" s="1155" t="s">
        <v>335</v>
      </c>
      <c r="L595" s="1119"/>
      <c r="M595" s="1095"/>
      <c r="N595" s="1095"/>
      <c r="O595" s="1095"/>
      <c r="P595" s="1095"/>
      <c r="Q595" s="1095"/>
      <c r="R595" s="1123"/>
      <c r="S595" s="1156"/>
      <c r="T595" s="1124"/>
      <c r="U595" s="1128"/>
      <c r="V595" s="1095"/>
      <c r="W595" s="1095"/>
      <c r="X595" s="1095"/>
      <c r="Y595" s="1095"/>
      <c r="Z595" s="1095"/>
      <c r="AA595" s="1123"/>
      <c r="AB595" s="1157"/>
      <c r="AC595" s="1124"/>
      <c r="AD595" s="1128"/>
      <c r="AE595" s="1095"/>
      <c r="AF595" s="1095"/>
      <c r="AG595" s="1095"/>
      <c r="AH595" s="1095"/>
      <c r="AI595" s="1095"/>
      <c r="AJ595" s="1123"/>
      <c r="AK595" s="1156"/>
      <c r="AL595" s="1124"/>
      <c r="AM595" s="1128"/>
      <c r="AN595" s="1158"/>
      <c r="AO595" s="1158"/>
      <c r="AP595" s="1158"/>
      <c r="AQ595" s="1095"/>
      <c r="AR595" s="1095"/>
      <c r="AS595" s="1123"/>
      <c r="AT595" s="1159"/>
      <c r="AU595" s="1160"/>
      <c r="AV595" s="1131"/>
      <c r="AW595" s="1158"/>
      <c r="AX595" s="1158"/>
      <c r="AY595" s="1158"/>
      <c r="AZ595" s="1095"/>
      <c r="BA595" s="1095"/>
      <c r="BB595" s="1123"/>
      <c r="BC595" s="1161"/>
      <c r="BD595" s="1132"/>
      <c r="BE595" s="1133"/>
      <c r="BF595" s="1133"/>
    </row>
    <row r="596">
      <c r="A596" s="999" t="str">
        <f t="shared" si="893"/>
        <v xml:space="preserve">Павельева Л.Г.</v>
      </c>
      <c r="B596" s="1162" t="s">
        <v>178</v>
      </c>
      <c r="C596" s="1162"/>
      <c r="D596" s="1163" t="s">
        <v>488</v>
      </c>
      <c r="E596" s="1164">
        <f t="shared" si="884"/>
        <v>0</v>
      </c>
      <c r="F596" s="1164">
        <f t="shared" si="894"/>
        <v>0</v>
      </c>
      <c r="G596" s="1165">
        <f t="shared" ref="G596:G603" si="920">E596+F596</f>
        <v>0</v>
      </c>
      <c r="H596" s="1166"/>
      <c r="I596" s="1167">
        <f t="shared" si="892"/>
        <v>0</v>
      </c>
      <c r="J596" s="1167">
        <f t="shared" si="895"/>
        <v>0</v>
      </c>
      <c r="K596" s="1168">
        <f t="shared" ref="K596:K603" si="921">I596+J596</f>
        <v>0</v>
      </c>
      <c r="L596" s="1128"/>
      <c r="M596" s="1169"/>
      <c r="N596" s="1169"/>
      <c r="O596" s="1169"/>
      <c r="P596" s="1169"/>
      <c r="Q596" s="1169">
        <f t="shared" ref="Q596:Q603" si="922">SUM(M596:P596)</f>
        <v>0</v>
      </c>
      <c r="R596" s="1169"/>
      <c r="S596" s="1170">
        <f t="shared" ref="S596:S659" si="923">Q596+R596</f>
        <v>0</v>
      </c>
      <c r="T596" s="1171"/>
      <c r="U596" s="1128"/>
      <c r="V596" s="1169"/>
      <c r="W596" s="1169"/>
      <c r="X596" s="1169"/>
      <c r="Y596" s="1169"/>
      <c r="Z596" s="1169">
        <f t="shared" ref="Z596:Z603" si="924">SUM(V596:Y596)</f>
        <v>0</v>
      </c>
      <c r="AA596" s="1169"/>
      <c r="AB596" s="1172">
        <f t="shared" ref="AB596:AB659" si="925">Z596+AA596</f>
        <v>0</v>
      </c>
      <c r="AC596" s="1171"/>
      <c r="AD596" s="1128"/>
      <c r="AE596" s="1169"/>
      <c r="AF596" s="1169"/>
      <c r="AG596" s="1169"/>
      <c r="AH596" s="1169"/>
      <c r="AI596" s="1169">
        <f t="shared" ref="AI596:AI603" si="926">SUM(AE596:AH596)</f>
        <v>0</v>
      </c>
      <c r="AJ596" s="1169"/>
      <c r="AK596" s="1173">
        <f t="shared" ref="AK596:AK659" si="927">AI596+AJ596</f>
        <v>0</v>
      </c>
      <c r="AL596" s="1171"/>
      <c r="AM596" s="1128"/>
      <c r="AN596" s="1170"/>
      <c r="AO596" s="1170"/>
      <c r="AP596" s="1170"/>
      <c r="AQ596" s="1170"/>
      <c r="AR596" s="1170">
        <f t="shared" ref="AR596:AR603" si="928">SUM(AN596:AQ596)</f>
        <v>0</v>
      </c>
      <c r="AS596" s="1170"/>
      <c r="AT596" s="1170">
        <f t="shared" ref="AT591:AT654" si="929">AR596+AS596</f>
        <v>0</v>
      </c>
      <c r="AU596" s="1174"/>
      <c r="AV596" s="1241"/>
      <c r="AW596" s="1169"/>
      <c r="AX596" s="1169"/>
      <c r="AY596" s="1169"/>
      <c r="AZ596" s="1169"/>
      <c r="BA596" s="1169">
        <f t="shared" ref="BA596:BA603" si="930">SUM(AW596:AZ596)</f>
        <v>0</v>
      </c>
      <c r="BB596" s="1169"/>
      <c r="BC596" s="1175">
        <f t="shared" ref="BC591:BC654" si="931">BA596+BB596</f>
        <v>0</v>
      </c>
      <c r="BD596" s="1027"/>
      <c r="BE596" s="1029"/>
      <c r="BF596" s="1029"/>
    </row>
    <row r="597">
      <c r="A597" s="999" t="str">
        <f t="shared" si="893"/>
        <v xml:space="preserve">Губаренко О.Н.</v>
      </c>
      <c r="B597" s="1176" t="s">
        <v>354</v>
      </c>
      <c r="C597" s="1176"/>
      <c r="D597" s="1163" t="s">
        <v>488</v>
      </c>
      <c r="E597" s="1164">
        <f t="shared" si="884"/>
        <v>0</v>
      </c>
      <c r="F597" s="1164">
        <f t="shared" si="894"/>
        <v>0</v>
      </c>
      <c r="G597" s="1165">
        <f t="shared" si="920"/>
        <v>0</v>
      </c>
      <c r="H597" s="1166"/>
      <c r="I597" s="1167">
        <f t="shared" si="892"/>
        <v>0</v>
      </c>
      <c r="J597" s="1167">
        <f t="shared" si="895"/>
        <v>0</v>
      </c>
      <c r="K597" s="1168">
        <f t="shared" si="921"/>
        <v>0</v>
      </c>
      <c r="L597" s="1128"/>
      <c r="M597" s="1169"/>
      <c r="N597" s="1177"/>
      <c r="O597" s="1169"/>
      <c r="P597" s="1169"/>
      <c r="Q597" s="1169">
        <f t="shared" si="922"/>
        <v>0</v>
      </c>
      <c r="R597" s="1169"/>
      <c r="S597" s="1170">
        <f t="shared" si="923"/>
        <v>0</v>
      </c>
      <c r="T597" s="1171"/>
      <c r="U597" s="1128"/>
      <c r="V597" s="1169"/>
      <c r="W597" s="1177"/>
      <c r="X597" s="1177"/>
      <c r="Y597" s="1169"/>
      <c r="Z597" s="1169">
        <f t="shared" si="924"/>
        <v>0</v>
      </c>
      <c r="AA597" s="1169"/>
      <c r="AB597" s="1172">
        <f t="shared" si="925"/>
        <v>0</v>
      </c>
      <c r="AC597" s="1171"/>
      <c r="AD597" s="1128"/>
      <c r="AE597" s="1169"/>
      <c r="AF597" s="1177"/>
      <c r="AG597" s="1177"/>
      <c r="AH597" s="1169"/>
      <c r="AI597" s="1169">
        <f t="shared" si="926"/>
        <v>0</v>
      </c>
      <c r="AJ597" s="1169"/>
      <c r="AK597" s="1173">
        <f t="shared" si="927"/>
        <v>0</v>
      </c>
      <c r="AL597" s="1171"/>
      <c r="AM597" s="1128"/>
      <c r="AN597" s="1170"/>
      <c r="AO597" s="1175"/>
      <c r="AP597" s="1175"/>
      <c r="AQ597" s="1170"/>
      <c r="AR597" s="1170">
        <f t="shared" si="928"/>
        <v>0</v>
      </c>
      <c r="AS597" s="1170"/>
      <c r="AT597" s="1170">
        <f t="shared" si="929"/>
        <v>0</v>
      </c>
      <c r="AU597" s="1174"/>
      <c r="AV597" s="1241"/>
      <c r="AW597" s="1169"/>
      <c r="AX597" s="1177"/>
      <c r="AY597" s="1177"/>
      <c r="AZ597" s="1169"/>
      <c r="BA597" s="1169">
        <f t="shared" si="930"/>
        <v>0</v>
      </c>
      <c r="BB597" s="1169"/>
      <c r="BC597" s="1175">
        <f t="shared" si="931"/>
        <v>0</v>
      </c>
      <c r="BD597" s="1027"/>
      <c r="BE597" s="1029"/>
      <c r="BF597" s="1029"/>
    </row>
    <row r="598">
      <c r="A598" s="999" t="str">
        <f t="shared" si="893"/>
        <v xml:space="preserve">Петрюк Е.В.</v>
      </c>
      <c r="B598" s="1176" t="s">
        <v>181</v>
      </c>
      <c r="C598" s="1176"/>
      <c r="D598" s="1163" t="s">
        <v>488</v>
      </c>
      <c r="E598" s="1164">
        <f t="shared" si="884"/>
        <v>0</v>
      </c>
      <c r="F598" s="1164">
        <f t="shared" si="894"/>
        <v>0</v>
      </c>
      <c r="G598" s="1165">
        <f t="shared" si="920"/>
        <v>0</v>
      </c>
      <c r="H598" s="1166"/>
      <c r="I598" s="1167">
        <f t="shared" si="892"/>
        <v>0</v>
      </c>
      <c r="J598" s="1167">
        <f t="shared" si="895"/>
        <v>0</v>
      </c>
      <c r="K598" s="1168">
        <f t="shared" si="921"/>
        <v>0</v>
      </c>
      <c r="L598" s="1128"/>
      <c r="M598" s="1169"/>
      <c r="N598" s="1177"/>
      <c r="O598" s="1169"/>
      <c r="P598" s="1169"/>
      <c r="Q598" s="1169">
        <f t="shared" si="922"/>
        <v>0</v>
      </c>
      <c r="R598" s="1169"/>
      <c r="S598" s="1170">
        <f t="shared" si="923"/>
        <v>0</v>
      </c>
      <c r="T598" s="1171"/>
      <c r="U598" s="1128"/>
      <c r="V598" s="1169"/>
      <c r="W598" s="1177"/>
      <c r="X598" s="1177"/>
      <c r="Y598" s="1169"/>
      <c r="Z598" s="1169">
        <f t="shared" si="924"/>
        <v>0</v>
      </c>
      <c r="AA598" s="1169"/>
      <c r="AB598" s="1172">
        <f t="shared" si="925"/>
        <v>0</v>
      </c>
      <c r="AC598" s="1171"/>
      <c r="AD598" s="1128"/>
      <c r="AE598" s="1169"/>
      <c r="AF598" s="1177"/>
      <c r="AG598" s="1177"/>
      <c r="AH598" s="1169"/>
      <c r="AI598" s="1169">
        <f t="shared" si="926"/>
        <v>0</v>
      </c>
      <c r="AJ598" s="1169"/>
      <c r="AK598" s="1173">
        <f t="shared" si="927"/>
        <v>0</v>
      </c>
      <c r="AL598" s="1171"/>
      <c r="AM598" s="1128"/>
      <c r="AN598" s="1170"/>
      <c r="AO598" s="1175"/>
      <c r="AP598" s="1175"/>
      <c r="AQ598" s="1170"/>
      <c r="AR598" s="1170">
        <f t="shared" si="928"/>
        <v>0</v>
      </c>
      <c r="AS598" s="1170"/>
      <c r="AT598" s="1170">
        <f t="shared" si="929"/>
        <v>0</v>
      </c>
      <c r="AU598" s="1174"/>
      <c r="AV598" s="1241"/>
      <c r="AW598" s="1169"/>
      <c r="AX598" s="1177"/>
      <c r="AY598" s="1177"/>
      <c r="AZ598" s="1169"/>
      <c r="BA598" s="1169">
        <f t="shared" si="930"/>
        <v>0</v>
      </c>
      <c r="BB598" s="1169"/>
      <c r="BC598" s="1175">
        <f t="shared" si="931"/>
        <v>0</v>
      </c>
      <c r="BD598" s="1027"/>
      <c r="BE598" s="1029"/>
      <c r="BF598" s="1029"/>
    </row>
    <row r="599" ht="18.75" customHeight="1">
      <c r="A599" s="999" t="str">
        <f t="shared" si="893"/>
        <v xml:space="preserve">Кутько И.Г.</v>
      </c>
      <c r="B599" s="1176" t="s">
        <v>357</v>
      </c>
      <c r="C599" s="1176"/>
      <c r="D599" s="1163" t="s">
        <v>488</v>
      </c>
      <c r="E599" s="1164">
        <f t="shared" si="884"/>
        <v>0</v>
      </c>
      <c r="F599" s="1164">
        <f t="shared" si="894"/>
        <v>0</v>
      </c>
      <c r="G599" s="1165">
        <f t="shared" si="920"/>
        <v>0</v>
      </c>
      <c r="H599" s="1166"/>
      <c r="I599" s="1167">
        <f t="shared" si="892"/>
        <v>0</v>
      </c>
      <c r="J599" s="1167">
        <f t="shared" si="895"/>
        <v>0</v>
      </c>
      <c r="K599" s="1168">
        <f t="shared" si="921"/>
        <v>0</v>
      </c>
      <c r="L599" s="1128"/>
      <c r="M599" s="1169"/>
      <c r="N599" s="1177"/>
      <c r="O599" s="1169"/>
      <c r="P599" s="1169"/>
      <c r="Q599" s="1169">
        <f t="shared" si="922"/>
        <v>0</v>
      </c>
      <c r="R599" s="1169"/>
      <c r="S599" s="1170">
        <f t="shared" si="923"/>
        <v>0</v>
      </c>
      <c r="T599" s="1171"/>
      <c r="U599" s="1128"/>
      <c r="V599" s="1169"/>
      <c r="W599" s="1177"/>
      <c r="X599" s="1177"/>
      <c r="Y599" s="1169"/>
      <c r="Z599" s="1169">
        <f t="shared" si="924"/>
        <v>0</v>
      </c>
      <c r="AA599" s="1169"/>
      <c r="AB599" s="1172">
        <f t="shared" si="925"/>
        <v>0</v>
      </c>
      <c r="AC599" s="1171"/>
      <c r="AD599" s="1128"/>
      <c r="AE599" s="1169"/>
      <c r="AF599" s="1177"/>
      <c r="AG599" s="1177"/>
      <c r="AH599" s="1169"/>
      <c r="AI599" s="1169">
        <f t="shared" si="926"/>
        <v>0</v>
      </c>
      <c r="AJ599" s="1169"/>
      <c r="AK599" s="1173">
        <f t="shared" si="927"/>
        <v>0</v>
      </c>
      <c r="AL599" s="1171"/>
      <c r="AM599" s="1128"/>
      <c r="AN599" s="1170"/>
      <c r="AO599" s="1175"/>
      <c r="AP599" s="1175"/>
      <c r="AQ599" s="1170"/>
      <c r="AR599" s="1170">
        <f t="shared" si="928"/>
        <v>0</v>
      </c>
      <c r="AS599" s="1170"/>
      <c r="AT599" s="1170">
        <f t="shared" si="929"/>
        <v>0</v>
      </c>
      <c r="AU599" s="1174"/>
      <c r="AV599" s="1241"/>
      <c r="AW599" s="1169"/>
      <c r="AX599" s="1177"/>
      <c r="AY599" s="1177"/>
      <c r="AZ599" s="1169"/>
      <c r="BA599" s="1169">
        <f t="shared" si="930"/>
        <v>0</v>
      </c>
      <c r="BB599" s="1169"/>
      <c r="BC599" s="1175">
        <f t="shared" si="931"/>
        <v>0</v>
      </c>
      <c r="BD599" s="1027"/>
      <c r="BE599" s="1029"/>
      <c r="BF599" s="1029"/>
    </row>
    <row r="600">
      <c r="A600" s="999" t="str">
        <f t="shared" si="893"/>
        <v xml:space="preserve">Елина С.И.</v>
      </c>
      <c r="B600" s="1176" t="s">
        <v>183</v>
      </c>
      <c r="C600" s="1176"/>
      <c r="D600" s="1163" t="s">
        <v>488</v>
      </c>
      <c r="E600" s="1164">
        <f t="shared" si="884"/>
        <v>0</v>
      </c>
      <c r="F600" s="1164">
        <f t="shared" si="894"/>
        <v>0</v>
      </c>
      <c r="G600" s="1165">
        <f t="shared" si="920"/>
        <v>0</v>
      </c>
      <c r="H600" s="1166"/>
      <c r="I600" s="1167">
        <f t="shared" si="892"/>
        <v>0</v>
      </c>
      <c r="J600" s="1167">
        <f t="shared" si="895"/>
        <v>0</v>
      </c>
      <c r="K600" s="1168">
        <f t="shared" si="921"/>
        <v>0</v>
      </c>
      <c r="L600" s="1128"/>
      <c r="M600" s="1169"/>
      <c r="N600" s="1177"/>
      <c r="O600" s="1169"/>
      <c r="P600" s="1169"/>
      <c r="Q600" s="1169">
        <f t="shared" si="922"/>
        <v>0</v>
      </c>
      <c r="R600" s="1169"/>
      <c r="S600" s="1170">
        <f t="shared" si="923"/>
        <v>0</v>
      </c>
      <c r="T600" s="1171"/>
      <c r="U600" s="1128"/>
      <c r="V600" s="1169"/>
      <c r="W600" s="1177"/>
      <c r="X600" s="1177"/>
      <c r="Y600" s="1169"/>
      <c r="Z600" s="1169">
        <f t="shared" si="924"/>
        <v>0</v>
      </c>
      <c r="AA600" s="1169"/>
      <c r="AB600" s="1172">
        <f t="shared" si="925"/>
        <v>0</v>
      </c>
      <c r="AC600" s="1171"/>
      <c r="AD600" s="1128"/>
      <c r="AE600" s="1169"/>
      <c r="AF600" s="1177"/>
      <c r="AG600" s="1177"/>
      <c r="AH600" s="1169"/>
      <c r="AI600" s="1169">
        <f t="shared" si="926"/>
        <v>0</v>
      </c>
      <c r="AJ600" s="1169"/>
      <c r="AK600" s="1173">
        <f t="shared" si="927"/>
        <v>0</v>
      </c>
      <c r="AL600" s="1171"/>
      <c r="AM600" s="1128"/>
      <c r="AN600" s="1170"/>
      <c r="AO600" s="1175"/>
      <c r="AP600" s="1175"/>
      <c r="AQ600" s="1170"/>
      <c r="AR600" s="1170">
        <f t="shared" si="928"/>
        <v>0</v>
      </c>
      <c r="AS600" s="1170"/>
      <c r="AT600" s="1170">
        <f t="shared" si="929"/>
        <v>0</v>
      </c>
      <c r="AU600" s="1174"/>
      <c r="AV600" s="1241"/>
      <c r="AW600" s="1169"/>
      <c r="AX600" s="1177"/>
      <c r="AY600" s="1177"/>
      <c r="AZ600" s="1169"/>
      <c r="BA600" s="1169">
        <f t="shared" si="930"/>
        <v>0</v>
      </c>
      <c r="BB600" s="1169"/>
      <c r="BC600" s="1175">
        <f t="shared" si="931"/>
        <v>0</v>
      </c>
      <c r="BD600" s="1027"/>
      <c r="BE600" s="1029"/>
      <c r="BF600" s="1029"/>
    </row>
    <row r="601">
      <c r="A601" s="999" t="str">
        <f t="shared" si="893"/>
        <v xml:space="preserve">Никитина О.Г.</v>
      </c>
      <c r="B601" s="1176" t="s">
        <v>184</v>
      </c>
      <c r="C601" s="1176"/>
      <c r="D601" s="1163" t="s">
        <v>488</v>
      </c>
      <c r="E601" s="1164">
        <f t="shared" si="884"/>
        <v>0</v>
      </c>
      <c r="F601" s="1164">
        <f t="shared" si="894"/>
        <v>0</v>
      </c>
      <c r="G601" s="1165">
        <f t="shared" si="920"/>
        <v>0</v>
      </c>
      <c r="H601" s="1166"/>
      <c r="I601" s="1167">
        <f t="shared" si="892"/>
        <v>0</v>
      </c>
      <c r="J601" s="1167">
        <f t="shared" si="895"/>
        <v>0</v>
      </c>
      <c r="K601" s="1168">
        <f t="shared" si="921"/>
        <v>0</v>
      </c>
      <c r="L601" s="1128"/>
      <c r="M601" s="1169"/>
      <c r="N601" s="1177"/>
      <c r="O601" s="1169"/>
      <c r="P601" s="1169"/>
      <c r="Q601" s="1169">
        <f t="shared" si="922"/>
        <v>0</v>
      </c>
      <c r="R601" s="1169"/>
      <c r="S601" s="1170">
        <f t="shared" si="923"/>
        <v>0</v>
      </c>
      <c r="T601" s="1171"/>
      <c r="U601" s="1128"/>
      <c r="V601" s="1169"/>
      <c r="W601" s="1177"/>
      <c r="X601" s="1177"/>
      <c r="Y601" s="1169"/>
      <c r="Z601" s="1169">
        <f t="shared" si="924"/>
        <v>0</v>
      </c>
      <c r="AA601" s="1169"/>
      <c r="AB601" s="1172">
        <f t="shared" si="925"/>
        <v>0</v>
      </c>
      <c r="AC601" s="1171"/>
      <c r="AD601" s="1128"/>
      <c r="AE601" s="1169"/>
      <c r="AF601" s="1177"/>
      <c r="AG601" s="1177"/>
      <c r="AH601" s="1169"/>
      <c r="AI601" s="1169">
        <f t="shared" si="926"/>
        <v>0</v>
      </c>
      <c r="AJ601" s="1169"/>
      <c r="AK601" s="1173">
        <f t="shared" si="927"/>
        <v>0</v>
      </c>
      <c r="AL601" s="1171"/>
      <c r="AM601" s="1128"/>
      <c r="AN601" s="1170"/>
      <c r="AO601" s="1175"/>
      <c r="AP601" s="1175"/>
      <c r="AQ601" s="1170"/>
      <c r="AR601" s="1170">
        <f t="shared" si="928"/>
        <v>0</v>
      </c>
      <c r="AS601" s="1170"/>
      <c r="AT601" s="1170">
        <f t="shared" si="929"/>
        <v>0</v>
      </c>
      <c r="AU601" s="1174"/>
      <c r="AV601" s="1241"/>
      <c r="AW601" s="1169"/>
      <c r="AX601" s="1177"/>
      <c r="AY601" s="1177"/>
      <c r="AZ601" s="1169"/>
      <c r="BA601" s="1169">
        <f t="shared" si="930"/>
        <v>0</v>
      </c>
      <c r="BB601" s="1169"/>
      <c r="BC601" s="1175">
        <f t="shared" si="931"/>
        <v>0</v>
      </c>
      <c r="BD601" s="1027"/>
      <c r="BE601" s="1029"/>
      <c r="BF601" s="1029"/>
    </row>
    <row r="602" ht="18.75" customHeight="1">
      <c r="A602" s="999" t="str">
        <f t="shared" si="893"/>
        <v xml:space="preserve">Судакова Е.С.</v>
      </c>
      <c r="B602" s="1178" t="s">
        <v>361</v>
      </c>
      <c r="C602" s="1179"/>
      <c r="D602" s="1163" t="s">
        <v>488</v>
      </c>
      <c r="E602" s="1164">
        <f t="shared" si="884"/>
        <v>0</v>
      </c>
      <c r="F602" s="1164">
        <f t="shared" si="894"/>
        <v>0</v>
      </c>
      <c r="G602" s="1165">
        <f t="shared" si="920"/>
        <v>0</v>
      </c>
      <c r="H602" s="1266"/>
      <c r="I602" s="1167">
        <f t="shared" si="892"/>
        <v>0</v>
      </c>
      <c r="J602" s="1167">
        <f t="shared" si="895"/>
        <v>0</v>
      </c>
      <c r="K602" s="1168">
        <f t="shared" si="921"/>
        <v>0</v>
      </c>
      <c r="L602" s="1128"/>
      <c r="M602" s="1169"/>
      <c r="N602" s="1177"/>
      <c r="O602" s="1169"/>
      <c r="P602" s="1169"/>
      <c r="Q602" s="1169">
        <f t="shared" si="922"/>
        <v>0</v>
      </c>
      <c r="R602" s="1169"/>
      <c r="S602" s="1170">
        <f t="shared" si="923"/>
        <v>0</v>
      </c>
      <c r="T602" s="1171"/>
      <c r="U602" s="1128"/>
      <c r="V602" s="1169"/>
      <c r="W602" s="1177"/>
      <c r="X602" s="1177"/>
      <c r="Y602" s="1169"/>
      <c r="Z602" s="1169">
        <f t="shared" si="924"/>
        <v>0</v>
      </c>
      <c r="AA602" s="1169"/>
      <c r="AB602" s="1172">
        <f t="shared" si="925"/>
        <v>0</v>
      </c>
      <c r="AC602" s="1171"/>
      <c r="AD602" s="1128"/>
      <c r="AE602" s="1169"/>
      <c r="AF602" s="1177"/>
      <c r="AG602" s="1177"/>
      <c r="AH602" s="1169"/>
      <c r="AI602" s="1169">
        <f t="shared" si="926"/>
        <v>0</v>
      </c>
      <c r="AJ602" s="1169"/>
      <c r="AK602" s="1173">
        <f t="shared" si="927"/>
        <v>0</v>
      </c>
      <c r="AL602" s="1171"/>
      <c r="AM602" s="1128"/>
      <c r="AN602" s="1170"/>
      <c r="AO602" s="1175"/>
      <c r="AP602" s="1175"/>
      <c r="AQ602" s="1170"/>
      <c r="AR602" s="1170">
        <f t="shared" si="928"/>
        <v>0</v>
      </c>
      <c r="AS602" s="1170"/>
      <c r="AT602" s="1170">
        <f t="shared" si="929"/>
        <v>0</v>
      </c>
      <c r="AU602" s="1174"/>
      <c r="AV602" s="1241"/>
      <c r="AW602" s="1169"/>
      <c r="AX602" s="1177"/>
      <c r="AY602" s="1177"/>
      <c r="AZ602" s="1169"/>
      <c r="BA602" s="1169">
        <f t="shared" si="930"/>
        <v>0</v>
      </c>
      <c r="BB602" s="1169"/>
      <c r="BC602" s="1175">
        <f t="shared" si="931"/>
        <v>0</v>
      </c>
      <c r="BD602" s="1027"/>
      <c r="BE602" s="1029"/>
      <c r="BF602" s="1029"/>
    </row>
    <row r="603">
      <c r="A603" s="999" t="str">
        <f t="shared" si="893"/>
        <v xml:space="preserve">Осипова А.А.</v>
      </c>
      <c r="B603" s="1176" t="s">
        <v>185</v>
      </c>
      <c r="C603" s="1176"/>
      <c r="D603" s="1163" t="s">
        <v>488</v>
      </c>
      <c r="E603" s="1164">
        <f t="shared" si="884"/>
        <v>0</v>
      </c>
      <c r="F603" s="1164">
        <f t="shared" si="894"/>
        <v>0</v>
      </c>
      <c r="G603" s="1165">
        <f t="shared" si="920"/>
        <v>0</v>
      </c>
      <c r="H603" s="1166"/>
      <c r="I603" s="1167">
        <f t="shared" si="892"/>
        <v>0</v>
      </c>
      <c r="J603" s="1167">
        <f t="shared" si="895"/>
        <v>0</v>
      </c>
      <c r="K603" s="1168">
        <f t="shared" si="921"/>
        <v>0</v>
      </c>
      <c r="L603" s="1128"/>
      <c r="M603" s="1169"/>
      <c r="N603" s="1177"/>
      <c r="O603" s="1169"/>
      <c r="P603" s="1169"/>
      <c r="Q603" s="1169">
        <f t="shared" si="922"/>
        <v>0</v>
      </c>
      <c r="R603" s="1169"/>
      <c r="S603" s="1170">
        <f t="shared" si="923"/>
        <v>0</v>
      </c>
      <c r="T603" s="1171"/>
      <c r="U603" s="1128"/>
      <c r="V603" s="1169"/>
      <c r="W603" s="1177"/>
      <c r="X603" s="1177"/>
      <c r="Y603" s="1169"/>
      <c r="Z603" s="1169">
        <f t="shared" si="924"/>
        <v>0</v>
      </c>
      <c r="AA603" s="1169"/>
      <c r="AB603" s="1172">
        <f t="shared" si="925"/>
        <v>0</v>
      </c>
      <c r="AC603" s="1171"/>
      <c r="AD603" s="1128"/>
      <c r="AE603" s="1169"/>
      <c r="AF603" s="1177"/>
      <c r="AG603" s="1177"/>
      <c r="AH603" s="1169"/>
      <c r="AI603" s="1169">
        <f t="shared" si="926"/>
        <v>0</v>
      </c>
      <c r="AJ603" s="1169"/>
      <c r="AK603" s="1173">
        <f t="shared" si="927"/>
        <v>0</v>
      </c>
      <c r="AL603" s="1171"/>
      <c r="AM603" s="1128"/>
      <c r="AN603" s="1170"/>
      <c r="AO603" s="1175"/>
      <c r="AP603" s="1175"/>
      <c r="AQ603" s="1170"/>
      <c r="AR603" s="1170">
        <f t="shared" si="928"/>
        <v>0</v>
      </c>
      <c r="AS603" s="1170"/>
      <c r="AT603" s="1170">
        <f t="shared" si="929"/>
        <v>0</v>
      </c>
      <c r="AU603" s="1174"/>
      <c r="AV603" s="1241"/>
      <c r="AW603" s="1169"/>
      <c r="AX603" s="1177"/>
      <c r="AY603" s="1177"/>
      <c r="AZ603" s="1169"/>
      <c r="BA603" s="1169">
        <f t="shared" si="930"/>
        <v>0</v>
      </c>
      <c r="BB603" s="1169"/>
      <c r="BC603" s="1175">
        <f t="shared" si="931"/>
        <v>0</v>
      </c>
      <c r="BD603" s="1027"/>
      <c r="BE603" s="1029"/>
      <c r="BF603" s="1029"/>
    </row>
    <row r="604" s="1180" customFormat="1" ht="22.5">
      <c r="A604" s="999">
        <f t="shared" si="893"/>
        <v>0</v>
      </c>
      <c r="B604" s="1182" t="s">
        <v>363</v>
      </c>
      <c r="C604" s="1182"/>
      <c r="D604" s="1182"/>
      <c r="E604" s="1183">
        <f t="shared" si="884"/>
        <v>0</v>
      </c>
      <c r="F604" s="1183">
        <f t="shared" si="894"/>
        <v>0</v>
      </c>
      <c r="G604" s="1184">
        <f>SUM(G596:G603)</f>
        <v>0</v>
      </c>
      <c r="H604" s="1185"/>
      <c r="I604" s="1186">
        <f t="shared" si="892"/>
        <v>0</v>
      </c>
      <c r="J604" s="1186">
        <f t="shared" si="895"/>
        <v>0</v>
      </c>
      <c r="K604" s="1187">
        <f>SUM(K596:K603)</f>
        <v>0</v>
      </c>
      <c r="L604" s="1197"/>
      <c r="M604" s="1096">
        <f t="shared" ref="M604:R604" si="932">SUM(M596:M603)</f>
        <v>0</v>
      </c>
      <c r="N604" s="1096">
        <f t="shared" si="932"/>
        <v>0</v>
      </c>
      <c r="O604" s="1096">
        <f t="shared" si="932"/>
        <v>0</v>
      </c>
      <c r="P604" s="1096">
        <f t="shared" si="932"/>
        <v>0</v>
      </c>
      <c r="Q604" s="1096">
        <f t="shared" si="932"/>
        <v>0</v>
      </c>
      <c r="R604" s="1096">
        <f t="shared" si="932"/>
        <v>0</v>
      </c>
      <c r="S604" s="1170">
        <f t="shared" si="923"/>
        <v>0</v>
      </c>
      <c r="T604" s="1189"/>
      <c r="U604" s="1128"/>
      <c r="V604" s="1096">
        <f t="shared" ref="V604:AA604" si="933">SUM(V596:V603)</f>
        <v>0</v>
      </c>
      <c r="W604" s="1096">
        <f t="shared" si="933"/>
        <v>0</v>
      </c>
      <c r="X604" s="1096">
        <f t="shared" si="933"/>
        <v>0</v>
      </c>
      <c r="Y604" s="1096">
        <f t="shared" si="933"/>
        <v>0</v>
      </c>
      <c r="Z604" s="1096">
        <f t="shared" si="933"/>
        <v>0</v>
      </c>
      <c r="AA604" s="1096">
        <f t="shared" si="933"/>
        <v>0</v>
      </c>
      <c r="AB604" s="1172">
        <f t="shared" si="925"/>
        <v>0</v>
      </c>
      <c r="AC604" s="1189"/>
      <c r="AD604" s="1125"/>
      <c r="AE604" s="1096">
        <f t="shared" ref="AE604:AJ604" si="934">SUM(AE596:AE603)</f>
        <v>0</v>
      </c>
      <c r="AF604" s="1096">
        <f t="shared" si="934"/>
        <v>0</v>
      </c>
      <c r="AG604" s="1096">
        <f t="shared" si="934"/>
        <v>0</v>
      </c>
      <c r="AH604" s="1096">
        <f t="shared" si="934"/>
        <v>0</v>
      </c>
      <c r="AI604" s="1096">
        <f t="shared" si="934"/>
        <v>0</v>
      </c>
      <c r="AJ604" s="1096">
        <f t="shared" si="934"/>
        <v>0</v>
      </c>
      <c r="AK604" s="1173">
        <f t="shared" si="927"/>
        <v>0</v>
      </c>
      <c r="AL604" s="1189"/>
      <c r="AM604" s="1125"/>
      <c r="AN604" s="1190">
        <f t="shared" ref="AN604:AS604" si="935">SUM(AN596:AN603)</f>
        <v>0</v>
      </c>
      <c r="AO604" s="1190">
        <f t="shared" si="935"/>
        <v>0</v>
      </c>
      <c r="AP604" s="1190">
        <f t="shared" si="935"/>
        <v>0</v>
      </c>
      <c r="AQ604" s="1190">
        <f t="shared" si="935"/>
        <v>0</v>
      </c>
      <c r="AR604" s="1190">
        <f t="shared" si="935"/>
        <v>0</v>
      </c>
      <c r="AS604" s="1190">
        <f t="shared" si="935"/>
        <v>0</v>
      </c>
      <c r="AT604" s="1170">
        <f t="shared" si="929"/>
        <v>0</v>
      </c>
      <c r="AU604" s="1191"/>
      <c r="AV604" s="1245"/>
      <c r="AW604" s="1096">
        <f t="shared" ref="AW604:BB604" si="936">SUM(AW596:AW603)</f>
        <v>0</v>
      </c>
      <c r="AX604" s="1096">
        <f t="shared" si="936"/>
        <v>0</v>
      </c>
      <c r="AY604" s="1096">
        <f t="shared" si="936"/>
        <v>0</v>
      </c>
      <c r="AZ604" s="1096">
        <f t="shared" si="936"/>
        <v>0</v>
      </c>
      <c r="BA604" s="1096">
        <f t="shared" si="936"/>
        <v>0</v>
      </c>
      <c r="BB604" s="1096">
        <f t="shared" si="936"/>
        <v>0</v>
      </c>
      <c r="BC604" s="1175">
        <f t="shared" si="931"/>
        <v>0</v>
      </c>
      <c r="BD604" s="1052"/>
      <c r="BE604" s="1051"/>
      <c r="BF604" s="1051"/>
      <c r="BG604" s="1106"/>
      <c r="BH604" s="1106"/>
      <c r="BI604" s="1106"/>
      <c r="BJ604" s="1106"/>
      <c r="BK604" s="1106"/>
      <c r="BL604" s="1106"/>
      <c r="BM604" s="1106"/>
    </row>
    <row r="605">
      <c r="A605" s="999">
        <f t="shared" si="893"/>
        <v>0</v>
      </c>
      <c r="B605" s="1176" t="s">
        <v>364</v>
      </c>
      <c r="C605" s="1176"/>
      <c r="D605" s="1176"/>
      <c r="E605" s="1164">
        <f t="shared" si="884"/>
        <v>0</v>
      </c>
      <c r="F605" s="1164">
        <f t="shared" si="894"/>
        <v>0</v>
      </c>
      <c r="G605" s="1165">
        <f t="shared" ref="G605:G617" si="937">E605+F605</f>
        <v>0</v>
      </c>
      <c r="H605" s="1166"/>
      <c r="I605" s="1167">
        <f t="shared" si="892"/>
        <v>0</v>
      </c>
      <c r="J605" s="1167">
        <f t="shared" si="895"/>
        <v>0</v>
      </c>
      <c r="K605" s="1168">
        <f t="shared" ref="K605:K617" si="938">I605+J605</f>
        <v>0</v>
      </c>
      <c r="L605" s="1128"/>
      <c r="M605" s="1169"/>
      <c r="N605" s="1177"/>
      <c r="O605" s="1169"/>
      <c r="P605" s="1169"/>
      <c r="Q605" s="1169">
        <f t="shared" ref="Q605:Q617" si="939">SUM(M605:P605)</f>
        <v>0</v>
      </c>
      <c r="R605" s="1169"/>
      <c r="S605" s="1170">
        <f t="shared" si="923"/>
        <v>0</v>
      </c>
      <c r="T605" s="1171"/>
      <c r="U605" s="1128"/>
      <c r="V605" s="1169"/>
      <c r="W605" s="1177"/>
      <c r="X605" s="1177"/>
      <c r="Y605" s="1169"/>
      <c r="Z605" s="1169">
        <f t="shared" ref="Z605:Z617" si="940">SUM(V605:Y605)</f>
        <v>0</v>
      </c>
      <c r="AA605" s="1169"/>
      <c r="AB605" s="1172">
        <f t="shared" si="925"/>
        <v>0</v>
      </c>
      <c r="AC605" s="1171"/>
      <c r="AD605" s="1128"/>
      <c r="AE605" s="1169"/>
      <c r="AF605" s="1177"/>
      <c r="AG605" s="1177"/>
      <c r="AH605" s="1169"/>
      <c r="AI605" s="1169">
        <f t="shared" ref="AI605:AI617" si="941">SUM(AE605:AH605)</f>
        <v>0</v>
      </c>
      <c r="AJ605" s="1169"/>
      <c r="AK605" s="1173">
        <f t="shared" si="927"/>
        <v>0</v>
      </c>
      <c r="AL605" s="1171"/>
      <c r="AM605" s="1128"/>
      <c r="AN605" s="1170"/>
      <c r="AO605" s="1175"/>
      <c r="AP605" s="1175"/>
      <c r="AQ605" s="1170"/>
      <c r="AR605" s="1170">
        <f t="shared" ref="AR605:AR617" si="942">SUM(AN605:AQ605)</f>
        <v>0</v>
      </c>
      <c r="AS605" s="1170"/>
      <c r="AT605" s="1170">
        <f t="shared" si="929"/>
        <v>0</v>
      </c>
      <c r="AU605" s="1174"/>
      <c r="AV605" s="1241"/>
      <c r="AW605" s="1169"/>
      <c r="AX605" s="1177"/>
      <c r="AY605" s="1177"/>
      <c r="AZ605" s="1169"/>
      <c r="BA605" s="1169">
        <f t="shared" ref="BA605:BA617" si="943">SUM(AW605:AZ605)</f>
        <v>0</v>
      </c>
      <c r="BB605" s="1169"/>
      <c r="BC605" s="1175">
        <f t="shared" si="931"/>
        <v>0</v>
      </c>
      <c r="BD605" s="1027"/>
      <c r="BE605" s="1029"/>
      <c r="BF605" s="1029"/>
    </row>
    <row r="606">
      <c r="A606" s="999" t="str">
        <f t="shared" si="893"/>
        <v xml:space="preserve">Сметанина О.В.</v>
      </c>
      <c r="B606" s="1176" t="s">
        <v>195</v>
      </c>
      <c r="C606" s="1176"/>
      <c r="D606" s="1163" t="s">
        <v>488</v>
      </c>
      <c r="E606" s="1164">
        <f t="shared" si="884"/>
        <v>0</v>
      </c>
      <c r="F606" s="1164">
        <f t="shared" si="894"/>
        <v>0</v>
      </c>
      <c r="G606" s="1165">
        <f t="shared" si="937"/>
        <v>0</v>
      </c>
      <c r="H606" s="1166"/>
      <c r="I606" s="1167">
        <f t="shared" si="892"/>
        <v>0</v>
      </c>
      <c r="J606" s="1167">
        <f t="shared" si="895"/>
        <v>0</v>
      </c>
      <c r="K606" s="1168">
        <f t="shared" si="938"/>
        <v>0</v>
      </c>
      <c r="L606" s="1128"/>
      <c r="M606" s="1169"/>
      <c r="N606" s="1177"/>
      <c r="O606" s="1169"/>
      <c r="P606" s="1169"/>
      <c r="Q606" s="1169">
        <f t="shared" si="939"/>
        <v>0</v>
      </c>
      <c r="R606" s="1169"/>
      <c r="S606" s="1170">
        <f t="shared" si="923"/>
        <v>0</v>
      </c>
      <c r="T606" s="1171"/>
      <c r="U606" s="1128"/>
      <c r="V606" s="1169"/>
      <c r="W606" s="1177"/>
      <c r="X606" s="1177"/>
      <c r="Y606" s="1169"/>
      <c r="Z606" s="1169">
        <f t="shared" si="940"/>
        <v>0</v>
      </c>
      <c r="AA606" s="1169"/>
      <c r="AB606" s="1172">
        <f t="shared" si="925"/>
        <v>0</v>
      </c>
      <c r="AC606" s="1171"/>
      <c r="AD606" s="1128"/>
      <c r="AE606" s="1169"/>
      <c r="AF606" s="1177"/>
      <c r="AG606" s="1177"/>
      <c r="AH606" s="1169"/>
      <c r="AI606" s="1169">
        <f t="shared" si="941"/>
        <v>0</v>
      </c>
      <c r="AJ606" s="1169"/>
      <c r="AK606" s="1173">
        <f t="shared" si="927"/>
        <v>0</v>
      </c>
      <c r="AL606" s="1171"/>
      <c r="AM606" s="1128"/>
      <c r="AN606" s="1170"/>
      <c r="AO606" s="1175"/>
      <c r="AP606" s="1175"/>
      <c r="AQ606" s="1170"/>
      <c r="AR606" s="1170">
        <f t="shared" si="942"/>
        <v>0</v>
      </c>
      <c r="AS606" s="1170"/>
      <c r="AT606" s="1170">
        <f t="shared" si="929"/>
        <v>0</v>
      </c>
      <c r="AU606" s="1174"/>
      <c r="AV606" s="1241"/>
      <c r="AW606" s="1169"/>
      <c r="AX606" s="1177"/>
      <c r="AY606" s="1177"/>
      <c r="AZ606" s="1169"/>
      <c r="BA606" s="1169">
        <f t="shared" si="943"/>
        <v>0</v>
      </c>
      <c r="BB606" s="1169"/>
      <c r="BC606" s="1175">
        <f t="shared" si="931"/>
        <v>0</v>
      </c>
      <c r="BD606" s="1027"/>
      <c r="BE606" s="1029"/>
      <c r="BF606" s="1029"/>
    </row>
    <row r="607">
      <c r="A607" s="999" t="str">
        <f t="shared" si="893"/>
        <v xml:space="preserve">Козенко С.С.</v>
      </c>
      <c r="B607" s="1176" t="s">
        <v>196</v>
      </c>
      <c r="C607" s="1176"/>
      <c r="D607" s="1163" t="s">
        <v>488</v>
      </c>
      <c r="E607" s="1164">
        <f t="shared" si="884"/>
        <v>0</v>
      </c>
      <c r="F607" s="1164">
        <f t="shared" si="894"/>
        <v>0</v>
      </c>
      <c r="G607" s="1165">
        <f t="shared" si="937"/>
        <v>0</v>
      </c>
      <c r="H607" s="1166"/>
      <c r="I607" s="1167">
        <f t="shared" si="892"/>
        <v>0</v>
      </c>
      <c r="J607" s="1167">
        <f t="shared" si="895"/>
        <v>0</v>
      </c>
      <c r="K607" s="1168">
        <f t="shared" si="938"/>
        <v>0</v>
      </c>
      <c r="L607" s="1128"/>
      <c r="M607" s="1169"/>
      <c r="N607" s="1177"/>
      <c r="O607" s="1169"/>
      <c r="P607" s="1169"/>
      <c r="Q607" s="1169">
        <f t="shared" si="939"/>
        <v>0</v>
      </c>
      <c r="R607" s="1169"/>
      <c r="S607" s="1170">
        <f t="shared" si="923"/>
        <v>0</v>
      </c>
      <c r="T607" s="1171"/>
      <c r="U607" s="1128"/>
      <c r="V607" s="1169"/>
      <c r="W607" s="1177"/>
      <c r="X607" s="1177"/>
      <c r="Y607" s="1169"/>
      <c r="Z607" s="1169">
        <f t="shared" si="940"/>
        <v>0</v>
      </c>
      <c r="AA607" s="1169"/>
      <c r="AB607" s="1172">
        <f t="shared" si="925"/>
        <v>0</v>
      </c>
      <c r="AC607" s="1171"/>
      <c r="AD607" s="1128"/>
      <c r="AE607" s="1169"/>
      <c r="AF607" s="1177"/>
      <c r="AG607" s="1177"/>
      <c r="AH607" s="1169"/>
      <c r="AI607" s="1169">
        <f t="shared" si="941"/>
        <v>0</v>
      </c>
      <c r="AJ607" s="1169"/>
      <c r="AK607" s="1173">
        <f t="shared" si="927"/>
        <v>0</v>
      </c>
      <c r="AL607" s="1171"/>
      <c r="AM607" s="1128"/>
      <c r="AN607" s="1170"/>
      <c r="AO607" s="1175"/>
      <c r="AP607" s="1175"/>
      <c r="AQ607" s="1170"/>
      <c r="AR607" s="1170">
        <f t="shared" si="942"/>
        <v>0</v>
      </c>
      <c r="AS607" s="1170"/>
      <c r="AT607" s="1170">
        <f t="shared" si="929"/>
        <v>0</v>
      </c>
      <c r="AU607" s="1174"/>
      <c r="AV607" s="1241"/>
      <c r="AW607" s="1169"/>
      <c r="AX607" s="1177"/>
      <c r="AY607" s="1177"/>
      <c r="AZ607" s="1169"/>
      <c r="BA607" s="1169">
        <f t="shared" si="943"/>
        <v>0</v>
      </c>
      <c r="BB607" s="1169"/>
      <c r="BC607" s="1175">
        <f t="shared" si="931"/>
        <v>0</v>
      </c>
      <c r="BD607" s="1027"/>
      <c r="BE607" s="1029"/>
      <c r="BF607" s="1029"/>
    </row>
    <row r="608">
      <c r="A608" s="999">
        <f t="shared" si="893"/>
        <v>0</v>
      </c>
      <c r="B608" s="1193" t="s">
        <v>367</v>
      </c>
      <c r="C608" s="1193"/>
      <c r="D608" s="1193"/>
      <c r="E608" s="1164">
        <f t="shared" si="884"/>
        <v>0</v>
      </c>
      <c r="F608" s="1164">
        <f t="shared" si="894"/>
        <v>0</v>
      </c>
      <c r="G608" s="1165">
        <f t="shared" si="937"/>
        <v>0</v>
      </c>
      <c r="H608" s="1166"/>
      <c r="I608" s="1167">
        <f t="shared" si="892"/>
        <v>0</v>
      </c>
      <c r="J608" s="1167">
        <f t="shared" si="895"/>
        <v>0</v>
      </c>
      <c r="K608" s="1168">
        <f t="shared" si="938"/>
        <v>0</v>
      </c>
      <c r="L608" s="1128"/>
      <c r="M608" s="1169"/>
      <c r="N608" s="1177"/>
      <c r="O608" s="1169"/>
      <c r="P608" s="1169"/>
      <c r="Q608" s="1169">
        <f t="shared" si="939"/>
        <v>0</v>
      </c>
      <c r="R608" s="1169"/>
      <c r="S608" s="1170">
        <f t="shared" si="923"/>
        <v>0</v>
      </c>
      <c r="T608" s="1171"/>
      <c r="U608" s="1128"/>
      <c r="V608" s="1169"/>
      <c r="W608" s="1177"/>
      <c r="X608" s="1177"/>
      <c r="Y608" s="1169"/>
      <c r="Z608" s="1169">
        <f t="shared" si="940"/>
        <v>0</v>
      </c>
      <c r="AA608" s="1169"/>
      <c r="AB608" s="1172">
        <f t="shared" si="925"/>
        <v>0</v>
      </c>
      <c r="AC608" s="1171"/>
      <c r="AD608" s="1128"/>
      <c r="AE608" s="1169"/>
      <c r="AF608" s="1177"/>
      <c r="AG608" s="1177"/>
      <c r="AH608" s="1169"/>
      <c r="AI608" s="1169">
        <f t="shared" si="941"/>
        <v>0</v>
      </c>
      <c r="AJ608" s="1169"/>
      <c r="AK608" s="1173">
        <f t="shared" si="927"/>
        <v>0</v>
      </c>
      <c r="AL608" s="1171"/>
      <c r="AM608" s="1128"/>
      <c r="AN608" s="1170"/>
      <c r="AO608" s="1175"/>
      <c r="AP608" s="1175"/>
      <c r="AQ608" s="1170"/>
      <c r="AR608" s="1170">
        <f t="shared" si="942"/>
        <v>0</v>
      </c>
      <c r="AS608" s="1170"/>
      <c r="AT608" s="1170">
        <f t="shared" si="929"/>
        <v>0</v>
      </c>
      <c r="AU608" s="1174"/>
      <c r="AV608" s="1241"/>
      <c r="AW608" s="1169"/>
      <c r="AX608" s="1177"/>
      <c r="AY608" s="1177"/>
      <c r="AZ608" s="1169"/>
      <c r="BA608" s="1169">
        <f t="shared" si="943"/>
        <v>0</v>
      </c>
      <c r="BB608" s="1169"/>
      <c r="BC608" s="1175">
        <f t="shared" si="931"/>
        <v>0</v>
      </c>
      <c r="BD608" s="1027"/>
      <c r="BE608" s="1029"/>
      <c r="BF608" s="1029"/>
    </row>
    <row r="609" ht="17.25" customHeight="1">
      <c r="A609" s="999" t="str">
        <f t="shared" si="893"/>
        <v xml:space="preserve">Разумец Е.Г.</v>
      </c>
      <c r="B609" s="1176" t="s">
        <v>201</v>
      </c>
      <c r="C609" s="1176"/>
      <c r="D609" s="1163" t="s">
        <v>488</v>
      </c>
      <c r="E609" s="1164">
        <f t="shared" si="884"/>
        <v>0</v>
      </c>
      <c r="F609" s="1164">
        <f t="shared" si="894"/>
        <v>0</v>
      </c>
      <c r="G609" s="1165">
        <f t="shared" si="937"/>
        <v>0</v>
      </c>
      <c r="H609" s="1166"/>
      <c r="I609" s="1167">
        <f t="shared" si="892"/>
        <v>0</v>
      </c>
      <c r="J609" s="1167">
        <f t="shared" si="895"/>
        <v>0</v>
      </c>
      <c r="K609" s="1168">
        <f t="shared" si="938"/>
        <v>0</v>
      </c>
      <c r="L609" s="1128"/>
      <c r="M609" s="1169"/>
      <c r="N609" s="1177"/>
      <c r="O609" s="1169"/>
      <c r="P609" s="1169"/>
      <c r="Q609" s="1169">
        <f t="shared" si="939"/>
        <v>0</v>
      </c>
      <c r="R609" s="1169"/>
      <c r="S609" s="1170">
        <f t="shared" si="923"/>
        <v>0</v>
      </c>
      <c r="T609" s="1171"/>
      <c r="U609" s="1128"/>
      <c r="V609" s="1169"/>
      <c r="W609" s="1177"/>
      <c r="X609" s="1177"/>
      <c r="Y609" s="1169"/>
      <c r="Z609" s="1169">
        <f t="shared" si="940"/>
        <v>0</v>
      </c>
      <c r="AA609" s="1169"/>
      <c r="AB609" s="1172">
        <f t="shared" si="925"/>
        <v>0</v>
      </c>
      <c r="AC609" s="1171"/>
      <c r="AD609" s="1128"/>
      <c r="AE609" s="1169"/>
      <c r="AF609" s="1177"/>
      <c r="AG609" s="1177"/>
      <c r="AH609" s="1169"/>
      <c r="AI609" s="1169">
        <f t="shared" si="941"/>
        <v>0</v>
      </c>
      <c r="AJ609" s="1169"/>
      <c r="AK609" s="1173">
        <f t="shared" si="927"/>
        <v>0</v>
      </c>
      <c r="AL609" s="1171"/>
      <c r="AM609" s="1128"/>
      <c r="AN609" s="1170"/>
      <c r="AO609" s="1175"/>
      <c r="AP609" s="1175"/>
      <c r="AQ609" s="1170"/>
      <c r="AR609" s="1170">
        <f t="shared" si="942"/>
        <v>0</v>
      </c>
      <c r="AS609" s="1170"/>
      <c r="AT609" s="1170">
        <f t="shared" si="929"/>
        <v>0</v>
      </c>
      <c r="AU609" s="1174"/>
      <c r="AV609" s="1241"/>
      <c r="AW609" s="1169"/>
      <c r="AX609" s="1177"/>
      <c r="AY609" s="1177"/>
      <c r="AZ609" s="1169"/>
      <c r="BA609" s="1169">
        <f t="shared" si="943"/>
        <v>0</v>
      </c>
      <c r="BB609" s="1169"/>
      <c r="BC609" s="1175">
        <f t="shared" si="931"/>
        <v>0</v>
      </c>
      <c r="BD609" s="1027"/>
      <c r="BE609" s="1029"/>
      <c r="BF609" s="1029"/>
    </row>
    <row r="610" ht="17.25" customHeight="1">
      <c r="A610" s="999" t="str">
        <f t="shared" si="893"/>
        <v xml:space="preserve">Шарова Т.М.</v>
      </c>
      <c r="B610" s="1176" t="s">
        <v>203</v>
      </c>
      <c r="C610" s="1176"/>
      <c r="D610" s="1163" t="s">
        <v>488</v>
      </c>
      <c r="E610" s="1164">
        <f t="shared" si="884"/>
        <v>0</v>
      </c>
      <c r="F610" s="1164">
        <f t="shared" si="894"/>
        <v>0</v>
      </c>
      <c r="G610" s="1165">
        <f t="shared" si="937"/>
        <v>0</v>
      </c>
      <c r="H610" s="1166"/>
      <c r="I610" s="1167">
        <f t="shared" si="892"/>
        <v>0</v>
      </c>
      <c r="J610" s="1167">
        <f t="shared" si="895"/>
        <v>0</v>
      </c>
      <c r="K610" s="1168">
        <f t="shared" si="938"/>
        <v>0</v>
      </c>
      <c r="L610" s="1128"/>
      <c r="M610" s="1169"/>
      <c r="N610" s="1177"/>
      <c r="O610" s="1169"/>
      <c r="P610" s="1169"/>
      <c r="Q610" s="1169">
        <f t="shared" si="939"/>
        <v>0</v>
      </c>
      <c r="R610" s="1169"/>
      <c r="S610" s="1170">
        <f t="shared" si="923"/>
        <v>0</v>
      </c>
      <c r="T610" s="1171"/>
      <c r="U610" s="1128"/>
      <c r="V610" s="1169"/>
      <c r="W610" s="1177"/>
      <c r="X610" s="1177"/>
      <c r="Y610" s="1169"/>
      <c r="Z610" s="1169">
        <f t="shared" si="940"/>
        <v>0</v>
      </c>
      <c r="AA610" s="1169"/>
      <c r="AB610" s="1172">
        <f t="shared" si="925"/>
        <v>0</v>
      </c>
      <c r="AC610" s="1171"/>
      <c r="AD610" s="1128"/>
      <c r="AE610" s="1169"/>
      <c r="AF610" s="1177"/>
      <c r="AG610" s="1177"/>
      <c r="AH610" s="1169"/>
      <c r="AI610" s="1169">
        <f t="shared" si="941"/>
        <v>0</v>
      </c>
      <c r="AJ610" s="1169"/>
      <c r="AK610" s="1173">
        <f t="shared" si="927"/>
        <v>0</v>
      </c>
      <c r="AL610" s="1171"/>
      <c r="AM610" s="1128"/>
      <c r="AN610" s="1170"/>
      <c r="AO610" s="1175"/>
      <c r="AP610" s="1175"/>
      <c r="AQ610" s="1170"/>
      <c r="AR610" s="1170">
        <f t="shared" si="942"/>
        <v>0</v>
      </c>
      <c r="AS610" s="1170"/>
      <c r="AT610" s="1170">
        <f t="shared" si="929"/>
        <v>0</v>
      </c>
      <c r="AU610" s="1174"/>
      <c r="AV610" s="1241"/>
      <c r="AW610" s="1169"/>
      <c r="AX610" s="1177"/>
      <c r="AY610" s="1177"/>
      <c r="AZ610" s="1169"/>
      <c r="BA610" s="1169">
        <f t="shared" si="943"/>
        <v>0</v>
      </c>
      <c r="BB610" s="1169"/>
      <c r="BC610" s="1175">
        <f t="shared" si="931"/>
        <v>0</v>
      </c>
      <c r="BD610" s="1027"/>
      <c r="BE610" s="1029"/>
      <c r="BF610" s="1029"/>
    </row>
    <row r="611" ht="17.25" customHeight="1">
      <c r="A611" s="999" t="str">
        <f t="shared" si="893"/>
        <v xml:space="preserve">Крошка С.С.</v>
      </c>
      <c r="B611" s="1176" t="s">
        <v>204</v>
      </c>
      <c r="C611" s="1194"/>
      <c r="D611" s="1163" t="s">
        <v>488</v>
      </c>
      <c r="E611" s="1164">
        <f t="shared" si="884"/>
        <v>0</v>
      </c>
      <c r="F611" s="1164">
        <f t="shared" si="894"/>
        <v>0</v>
      </c>
      <c r="G611" s="1165">
        <f t="shared" si="937"/>
        <v>0</v>
      </c>
      <c r="H611" s="1166"/>
      <c r="I611" s="1167">
        <f t="shared" si="892"/>
        <v>0</v>
      </c>
      <c r="J611" s="1167">
        <f t="shared" si="895"/>
        <v>0</v>
      </c>
      <c r="K611" s="1168">
        <f t="shared" si="938"/>
        <v>0</v>
      </c>
      <c r="L611" s="1128"/>
      <c r="M611" s="1169"/>
      <c r="N611" s="1177"/>
      <c r="O611" s="1169"/>
      <c r="P611" s="1169"/>
      <c r="Q611" s="1169">
        <f t="shared" si="939"/>
        <v>0</v>
      </c>
      <c r="R611" s="1169"/>
      <c r="S611" s="1170">
        <f t="shared" si="923"/>
        <v>0</v>
      </c>
      <c r="T611" s="1171"/>
      <c r="U611" s="1128"/>
      <c r="V611" s="1169"/>
      <c r="W611" s="1177"/>
      <c r="X611" s="1177"/>
      <c r="Y611" s="1169"/>
      <c r="Z611" s="1169">
        <f t="shared" si="940"/>
        <v>0</v>
      </c>
      <c r="AA611" s="1169"/>
      <c r="AB611" s="1172">
        <f t="shared" si="925"/>
        <v>0</v>
      </c>
      <c r="AC611" s="1171"/>
      <c r="AD611" s="1128"/>
      <c r="AE611" s="1169"/>
      <c r="AF611" s="1177"/>
      <c r="AG611" s="1177"/>
      <c r="AH611" s="1169"/>
      <c r="AI611" s="1169">
        <f t="shared" si="941"/>
        <v>0</v>
      </c>
      <c r="AJ611" s="1169"/>
      <c r="AK611" s="1173">
        <f t="shared" si="927"/>
        <v>0</v>
      </c>
      <c r="AL611" s="1171"/>
      <c r="AM611" s="1128"/>
      <c r="AN611" s="1170"/>
      <c r="AO611" s="1175"/>
      <c r="AP611" s="1175"/>
      <c r="AQ611" s="1170"/>
      <c r="AR611" s="1170">
        <f t="shared" si="942"/>
        <v>0</v>
      </c>
      <c r="AS611" s="1170"/>
      <c r="AT611" s="1170">
        <f t="shared" si="929"/>
        <v>0</v>
      </c>
      <c r="AU611" s="1174"/>
      <c r="AV611" s="1241"/>
      <c r="AW611" s="1169"/>
      <c r="AX611" s="1177"/>
      <c r="AY611" s="1177"/>
      <c r="AZ611" s="1169"/>
      <c r="BA611" s="1169">
        <f t="shared" si="943"/>
        <v>0</v>
      </c>
      <c r="BB611" s="1169"/>
      <c r="BC611" s="1175">
        <f t="shared" si="931"/>
        <v>0</v>
      </c>
      <c r="BD611" s="1027"/>
      <c r="BE611" s="1029"/>
      <c r="BF611" s="1029"/>
    </row>
    <row r="612" ht="17.25" customHeight="1">
      <c r="A612" s="999" t="str">
        <f t="shared" si="893"/>
        <v xml:space="preserve">Козлитина Н.В.</v>
      </c>
      <c r="B612" s="1176" t="s">
        <v>205</v>
      </c>
      <c r="C612" s="1176"/>
      <c r="D612" s="1163" t="s">
        <v>488</v>
      </c>
      <c r="E612" s="1164">
        <f t="shared" si="884"/>
        <v>0</v>
      </c>
      <c r="F612" s="1164">
        <f t="shared" si="894"/>
        <v>0</v>
      </c>
      <c r="G612" s="1165">
        <f t="shared" si="937"/>
        <v>0</v>
      </c>
      <c r="H612" s="1166"/>
      <c r="I612" s="1167">
        <f t="shared" si="892"/>
        <v>0</v>
      </c>
      <c r="J612" s="1167">
        <f t="shared" si="895"/>
        <v>0</v>
      </c>
      <c r="K612" s="1168">
        <f t="shared" si="938"/>
        <v>0</v>
      </c>
      <c r="L612" s="1128"/>
      <c r="M612" s="1169"/>
      <c r="N612" s="1177"/>
      <c r="O612" s="1169"/>
      <c r="P612" s="1169"/>
      <c r="Q612" s="1169">
        <f t="shared" si="939"/>
        <v>0</v>
      </c>
      <c r="R612" s="1169"/>
      <c r="S612" s="1170">
        <f t="shared" si="923"/>
        <v>0</v>
      </c>
      <c r="T612" s="1171"/>
      <c r="U612" s="1128"/>
      <c r="V612" s="1169"/>
      <c r="W612" s="1177"/>
      <c r="X612" s="1177"/>
      <c r="Y612" s="1169"/>
      <c r="Z612" s="1169">
        <f t="shared" si="940"/>
        <v>0</v>
      </c>
      <c r="AA612" s="1169"/>
      <c r="AB612" s="1172">
        <f t="shared" si="925"/>
        <v>0</v>
      </c>
      <c r="AC612" s="1171"/>
      <c r="AD612" s="1128"/>
      <c r="AE612" s="1169"/>
      <c r="AF612" s="1177"/>
      <c r="AG612" s="1177"/>
      <c r="AH612" s="1169"/>
      <c r="AI612" s="1169">
        <f t="shared" si="941"/>
        <v>0</v>
      </c>
      <c r="AJ612" s="1169"/>
      <c r="AK612" s="1173">
        <f t="shared" si="927"/>
        <v>0</v>
      </c>
      <c r="AL612" s="1171"/>
      <c r="AM612" s="1128"/>
      <c r="AN612" s="1170"/>
      <c r="AO612" s="1175"/>
      <c r="AP612" s="1175"/>
      <c r="AQ612" s="1170"/>
      <c r="AR612" s="1170">
        <f t="shared" si="942"/>
        <v>0</v>
      </c>
      <c r="AS612" s="1170"/>
      <c r="AT612" s="1170">
        <f t="shared" si="929"/>
        <v>0</v>
      </c>
      <c r="AU612" s="1174"/>
      <c r="AV612" s="1241"/>
      <c r="AW612" s="1169"/>
      <c r="AX612" s="1177"/>
      <c r="AY612" s="1177"/>
      <c r="AZ612" s="1169"/>
      <c r="BA612" s="1169">
        <f t="shared" si="943"/>
        <v>0</v>
      </c>
      <c r="BB612" s="1169"/>
      <c r="BC612" s="1175">
        <f t="shared" si="931"/>
        <v>0</v>
      </c>
      <c r="BD612" s="1027"/>
      <c r="BE612" s="1029"/>
      <c r="BF612" s="1029"/>
    </row>
    <row r="613" ht="17.25" customHeight="1">
      <c r="A613" s="999" t="str">
        <f t="shared" si="893"/>
        <v xml:space="preserve">Баженова И.В.</v>
      </c>
      <c r="B613" s="1176" t="s">
        <v>206</v>
      </c>
      <c r="C613" s="1176"/>
      <c r="D613" s="1163" t="s">
        <v>488</v>
      </c>
      <c r="E613" s="1164">
        <f t="shared" si="884"/>
        <v>0</v>
      </c>
      <c r="F613" s="1164">
        <f t="shared" si="894"/>
        <v>0</v>
      </c>
      <c r="G613" s="1165">
        <f t="shared" si="937"/>
        <v>0</v>
      </c>
      <c r="H613" s="1166"/>
      <c r="I613" s="1167">
        <f t="shared" si="892"/>
        <v>0</v>
      </c>
      <c r="J613" s="1167">
        <f t="shared" si="895"/>
        <v>0</v>
      </c>
      <c r="K613" s="1168">
        <f t="shared" si="938"/>
        <v>0</v>
      </c>
      <c r="L613" s="1128"/>
      <c r="M613" s="1169"/>
      <c r="N613" s="1177"/>
      <c r="O613" s="1169"/>
      <c r="P613" s="1169"/>
      <c r="Q613" s="1169">
        <f t="shared" si="939"/>
        <v>0</v>
      </c>
      <c r="R613" s="1169"/>
      <c r="S613" s="1170">
        <f t="shared" si="923"/>
        <v>0</v>
      </c>
      <c r="T613" s="1171"/>
      <c r="U613" s="1128"/>
      <c r="V613" s="1169"/>
      <c r="W613" s="1177"/>
      <c r="X613" s="1177"/>
      <c r="Y613" s="1169"/>
      <c r="Z613" s="1169">
        <f t="shared" si="940"/>
        <v>0</v>
      </c>
      <c r="AA613" s="1169"/>
      <c r="AB613" s="1172">
        <f t="shared" si="925"/>
        <v>0</v>
      </c>
      <c r="AC613" s="1171"/>
      <c r="AD613" s="1128"/>
      <c r="AE613" s="1169"/>
      <c r="AF613" s="1177"/>
      <c r="AG613" s="1177"/>
      <c r="AH613" s="1169"/>
      <c r="AI613" s="1169">
        <f t="shared" si="941"/>
        <v>0</v>
      </c>
      <c r="AJ613" s="1169"/>
      <c r="AK613" s="1173">
        <f t="shared" si="927"/>
        <v>0</v>
      </c>
      <c r="AL613" s="1171"/>
      <c r="AM613" s="1128"/>
      <c r="AN613" s="1170"/>
      <c r="AO613" s="1175"/>
      <c r="AP613" s="1175"/>
      <c r="AQ613" s="1170"/>
      <c r="AR613" s="1170">
        <f t="shared" si="942"/>
        <v>0</v>
      </c>
      <c r="AS613" s="1170"/>
      <c r="AT613" s="1170">
        <f t="shared" si="929"/>
        <v>0</v>
      </c>
      <c r="AU613" s="1174"/>
      <c r="AV613" s="1241"/>
      <c r="AW613" s="1169"/>
      <c r="AX613" s="1177"/>
      <c r="AY613" s="1177"/>
      <c r="AZ613" s="1169"/>
      <c r="BA613" s="1169">
        <f t="shared" si="943"/>
        <v>0</v>
      </c>
      <c r="BB613" s="1169"/>
      <c r="BC613" s="1175">
        <f t="shared" si="931"/>
        <v>0</v>
      </c>
      <c r="BD613" s="1027"/>
      <c r="BE613" s="1029"/>
      <c r="BF613" s="1029"/>
    </row>
    <row r="614" ht="17.25" customHeight="1">
      <c r="A614" s="999" t="str">
        <f t="shared" si="893"/>
        <v xml:space="preserve">Герингер О.А.</v>
      </c>
      <c r="B614" s="1176" t="s">
        <v>207</v>
      </c>
      <c r="C614" s="1194"/>
      <c r="D614" s="1163" t="s">
        <v>488</v>
      </c>
      <c r="E614" s="1164">
        <f t="shared" ref="E614:F677" si="944">Q614+Z614+AI614+AR614+BA614</f>
        <v>0</v>
      </c>
      <c r="F614" s="1164">
        <f t="shared" si="894"/>
        <v>0</v>
      </c>
      <c r="G614" s="1165">
        <f t="shared" si="937"/>
        <v>0</v>
      </c>
      <c r="H614" s="1166"/>
      <c r="I614" s="1167">
        <f t="shared" si="892"/>
        <v>0</v>
      </c>
      <c r="J614" s="1167">
        <f t="shared" si="895"/>
        <v>0</v>
      </c>
      <c r="K614" s="1168">
        <f t="shared" si="938"/>
        <v>0</v>
      </c>
      <c r="L614" s="1128"/>
      <c r="M614" s="1169"/>
      <c r="N614" s="1177"/>
      <c r="O614" s="1169"/>
      <c r="P614" s="1169"/>
      <c r="Q614" s="1169">
        <f t="shared" si="939"/>
        <v>0</v>
      </c>
      <c r="R614" s="1169"/>
      <c r="S614" s="1170">
        <f t="shared" si="923"/>
        <v>0</v>
      </c>
      <c r="T614" s="1171"/>
      <c r="U614" s="1128"/>
      <c r="V614" s="1169"/>
      <c r="W614" s="1177"/>
      <c r="X614" s="1177"/>
      <c r="Y614" s="1169"/>
      <c r="Z614" s="1169">
        <f t="shared" si="940"/>
        <v>0</v>
      </c>
      <c r="AA614" s="1169"/>
      <c r="AB614" s="1172">
        <f t="shared" si="925"/>
        <v>0</v>
      </c>
      <c r="AC614" s="1171"/>
      <c r="AD614" s="1128"/>
      <c r="AE614" s="1169"/>
      <c r="AF614" s="1177"/>
      <c r="AG614" s="1177"/>
      <c r="AH614" s="1169"/>
      <c r="AI614" s="1169">
        <f t="shared" si="941"/>
        <v>0</v>
      </c>
      <c r="AJ614" s="1169"/>
      <c r="AK614" s="1173">
        <f t="shared" si="927"/>
        <v>0</v>
      </c>
      <c r="AL614" s="1171"/>
      <c r="AM614" s="1128"/>
      <c r="AN614" s="1170"/>
      <c r="AO614" s="1175"/>
      <c r="AP614" s="1175"/>
      <c r="AQ614" s="1170"/>
      <c r="AR614" s="1170">
        <f t="shared" si="942"/>
        <v>0</v>
      </c>
      <c r="AS614" s="1170"/>
      <c r="AT614" s="1170">
        <f t="shared" si="929"/>
        <v>0</v>
      </c>
      <c r="AU614" s="1174"/>
      <c r="AV614" s="1241"/>
      <c r="AW614" s="1169"/>
      <c r="AX614" s="1177"/>
      <c r="AY614" s="1177"/>
      <c r="AZ614" s="1169"/>
      <c r="BA614" s="1169">
        <f t="shared" si="943"/>
        <v>0</v>
      </c>
      <c r="BB614" s="1169"/>
      <c r="BC614" s="1175">
        <f t="shared" si="931"/>
        <v>0</v>
      </c>
      <c r="BD614" s="1027"/>
      <c r="BE614" s="1029"/>
      <c r="BF614" s="1029"/>
    </row>
    <row r="615" ht="17.25" customHeight="1">
      <c r="A615" s="999" t="str">
        <f t="shared" si="893"/>
        <v xml:space="preserve">Ничипуренко И.А.</v>
      </c>
      <c r="B615" s="1176" t="s">
        <v>375</v>
      </c>
      <c r="C615" s="1176"/>
      <c r="D615" s="1163" t="s">
        <v>488</v>
      </c>
      <c r="E615" s="1164">
        <f t="shared" si="944"/>
        <v>0</v>
      </c>
      <c r="F615" s="1164">
        <f t="shared" si="894"/>
        <v>0</v>
      </c>
      <c r="G615" s="1165">
        <f t="shared" si="937"/>
        <v>0</v>
      </c>
      <c r="H615" s="1166"/>
      <c r="I615" s="1167">
        <f t="shared" si="892"/>
        <v>0</v>
      </c>
      <c r="J615" s="1167">
        <f t="shared" si="895"/>
        <v>0</v>
      </c>
      <c r="K615" s="1168">
        <f t="shared" si="938"/>
        <v>0</v>
      </c>
      <c r="L615" s="1128"/>
      <c r="M615" s="1169"/>
      <c r="N615" s="1177"/>
      <c r="O615" s="1169"/>
      <c r="P615" s="1169"/>
      <c r="Q615" s="1169">
        <f t="shared" si="939"/>
        <v>0</v>
      </c>
      <c r="R615" s="1169"/>
      <c r="S615" s="1170">
        <f t="shared" si="923"/>
        <v>0</v>
      </c>
      <c r="T615" s="1171"/>
      <c r="U615" s="1128"/>
      <c r="V615" s="1169"/>
      <c r="W615" s="1177"/>
      <c r="X615" s="1177"/>
      <c r="Y615" s="1169"/>
      <c r="Z615" s="1169">
        <f t="shared" si="940"/>
        <v>0</v>
      </c>
      <c r="AA615" s="1169"/>
      <c r="AB615" s="1172">
        <f t="shared" si="925"/>
        <v>0</v>
      </c>
      <c r="AC615" s="1171"/>
      <c r="AD615" s="1128"/>
      <c r="AE615" s="1169"/>
      <c r="AF615" s="1177"/>
      <c r="AG615" s="1177"/>
      <c r="AH615" s="1169"/>
      <c r="AI615" s="1169">
        <f t="shared" si="941"/>
        <v>0</v>
      </c>
      <c r="AJ615" s="1169"/>
      <c r="AK615" s="1173">
        <f t="shared" si="927"/>
        <v>0</v>
      </c>
      <c r="AL615" s="1171"/>
      <c r="AM615" s="1128"/>
      <c r="AN615" s="1170"/>
      <c r="AO615" s="1175"/>
      <c r="AP615" s="1175"/>
      <c r="AQ615" s="1170"/>
      <c r="AR615" s="1170">
        <f t="shared" si="942"/>
        <v>0</v>
      </c>
      <c r="AS615" s="1170"/>
      <c r="AT615" s="1170">
        <f t="shared" si="929"/>
        <v>0</v>
      </c>
      <c r="AU615" s="1174"/>
      <c r="AV615" s="1241"/>
      <c r="AW615" s="1169"/>
      <c r="AX615" s="1177"/>
      <c r="AY615" s="1177"/>
      <c r="AZ615" s="1169"/>
      <c r="BA615" s="1169">
        <f t="shared" si="943"/>
        <v>0</v>
      </c>
      <c r="BB615" s="1169"/>
      <c r="BC615" s="1175">
        <f t="shared" si="931"/>
        <v>0</v>
      </c>
      <c r="BD615" s="1027"/>
      <c r="BE615" s="1029"/>
      <c r="BF615" s="1029"/>
    </row>
    <row r="616" ht="17.25" customHeight="1">
      <c r="A616" s="999" t="str">
        <f t="shared" si="893"/>
        <v xml:space="preserve">Дылыкова А.А. Закусова О.А. Бондаренко НФ</v>
      </c>
      <c r="B616" s="1176" t="s">
        <v>210</v>
      </c>
      <c r="C616" s="1176"/>
      <c r="D616" s="1163" t="s">
        <v>488</v>
      </c>
      <c r="E616" s="1164">
        <f t="shared" si="944"/>
        <v>0</v>
      </c>
      <c r="F616" s="1164">
        <f t="shared" si="894"/>
        <v>0</v>
      </c>
      <c r="G616" s="1165">
        <f t="shared" si="937"/>
        <v>0</v>
      </c>
      <c r="H616" s="1166"/>
      <c r="I616" s="1167">
        <f t="shared" si="892"/>
        <v>0</v>
      </c>
      <c r="J616" s="1167">
        <f t="shared" si="895"/>
        <v>0</v>
      </c>
      <c r="K616" s="1168">
        <f t="shared" si="938"/>
        <v>0</v>
      </c>
      <c r="L616" s="1128"/>
      <c r="M616" s="1169"/>
      <c r="N616" s="1177"/>
      <c r="O616" s="1169"/>
      <c r="P616" s="1169"/>
      <c r="Q616" s="1169">
        <f t="shared" si="939"/>
        <v>0</v>
      </c>
      <c r="R616" s="1169"/>
      <c r="S616" s="1170">
        <f t="shared" si="923"/>
        <v>0</v>
      </c>
      <c r="T616" s="1171"/>
      <c r="U616" s="1128"/>
      <c r="V616" s="1169"/>
      <c r="W616" s="1177"/>
      <c r="X616" s="1177"/>
      <c r="Y616" s="1169"/>
      <c r="Z616" s="1169">
        <f t="shared" si="940"/>
        <v>0</v>
      </c>
      <c r="AA616" s="1169"/>
      <c r="AB616" s="1172">
        <f t="shared" si="925"/>
        <v>0</v>
      </c>
      <c r="AC616" s="1171"/>
      <c r="AD616" s="1128"/>
      <c r="AE616" s="1169"/>
      <c r="AF616" s="1177"/>
      <c r="AG616" s="1177"/>
      <c r="AH616" s="1169"/>
      <c r="AI616" s="1169">
        <f t="shared" si="941"/>
        <v>0</v>
      </c>
      <c r="AJ616" s="1169"/>
      <c r="AK616" s="1173">
        <f t="shared" si="927"/>
        <v>0</v>
      </c>
      <c r="AL616" s="1171"/>
      <c r="AM616" s="1128"/>
      <c r="AN616" s="1170"/>
      <c r="AO616" s="1175"/>
      <c r="AP616" s="1175"/>
      <c r="AQ616" s="1170"/>
      <c r="AR616" s="1170">
        <f t="shared" si="942"/>
        <v>0</v>
      </c>
      <c r="AS616" s="1170"/>
      <c r="AT616" s="1170">
        <f t="shared" si="929"/>
        <v>0</v>
      </c>
      <c r="AU616" s="1174"/>
      <c r="AV616" s="1241"/>
      <c r="AW616" s="1169"/>
      <c r="AX616" s="1177"/>
      <c r="AY616" s="1177"/>
      <c r="AZ616" s="1169"/>
      <c r="BA616" s="1169">
        <f t="shared" si="943"/>
        <v>0</v>
      </c>
      <c r="BB616" s="1169"/>
      <c r="BC616" s="1175">
        <f t="shared" si="931"/>
        <v>0</v>
      </c>
      <c r="BD616" s="1027"/>
      <c r="BE616" s="1029"/>
      <c r="BF616" s="1029"/>
    </row>
    <row r="617" ht="17.25" customHeight="1">
      <c r="A617" s="999" t="str">
        <f t="shared" si="893"/>
        <v xml:space="preserve">Мазуренко А.Н.</v>
      </c>
      <c r="B617" s="1176" t="s">
        <v>211</v>
      </c>
      <c r="C617" s="1176"/>
      <c r="D617" s="1163" t="s">
        <v>488</v>
      </c>
      <c r="E617" s="1164">
        <f t="shared" si="944"/>
        <v>0</v>
      </c>
      <c r="F617" s="1164">
        <f t="shared" si="894"/>
        <v>0</v>
      </c>
      <c r="G617" s="1165">
        <f t="shared" si="937"/>
        <v>0</v>
      </c>
      <c r="H617" s="1166"/>
      <c r="I617" s="1167">
        <f t="shared" si="892"/>
        <v>0</v>
      </c>
      <c r="J617" s="1167">
        <f t="shared" si="895"/>
        <v>0</v>
      </c>
      <c r="K617" s="1168">
        <f t="shared" si="938"/>
        <v>0</v>
      </c>
      <c r="L617" s="1128"/>
      <c r="M617" s="1169"/>
      <c r="N617" s="1177"/>
      <c r="O617" s="1169"/>
      <c r="P617" s="1169"/>
      <c r="Q617" s="1169">
        <f t="shared" si="939"/>
        <v>0</v>
      </c>
      <c r="R617" s="1169"/>
      <c r="S617" s="1170">
        <f t="shared" si="923"/>
        <v>0</v>
      </c>
      <c r="T617" s="1171"/>
      <c r="U617" s="1128"/>
      <c r="V617" s="1169"/>
      <c r="W617" s="1177"/>
      <c r="X617" s="1177"/>
      <c r="Y617" s="1169"/>
      <c r="Z617" s="1169">
        <f t="shared" si="940"/>
        <v>0</v>
      </c>
      <c r="AA617" s="1169"/>
      <c r="AB617" s="1172">
        <f t="shared" si="925"/>
        <v>0</v>
      </c>
      <c r="AC617" s="1171"/>
      <c r="AD617" s="1128"/>
      <c r="AE617" s="1169"/>
      <c r="AF617" s="1177"/>
      <c r="AG617" s="1177"/>
      <c r="AH617" s="1169"/>
      <c r="AI617" s="1169">
        <f t="shared" si="941"/>
        <v>0</v>
      </c>
      <c r="AJ617" s="1169"/>
      <c r="AK617" s="1173">
        <f t="shared" si="927"/>
        <v>0</v>
      </c>
      <c r="AL617" s="1171"/>
      <c r="AM617" s="1128"/>
      <c r="AN617" s="1170"/>
      <c r="AO617" s="1175"/>
      <c r="AP617" s="1175"/>
      <c r="AQ617" s="1170"/>
      <c r="AR617" s="1170">
        <f t="shared" si="942"/>
        <v>0</v>
      </c>
      <c r="AS617" s="1170"/>
      <c r="AT617" s="1170">
        <f t="shared" si="929"/>
        <v>0</v>
      </c>
      <c r="AU617" s="1174"/>
      <c r="AV617" s="1241"/>
      <c r="AW617" s="1169"/>
      <c r="AX617" s="1177"/>
      <c r="AY617" s="1177"/>
      <c r="AZ617" s="1169"/>
      <c r="BA617" s="1169">
        <f t="shared" si="943"/>
        <v>0</v>
      </c>
      <c r="BB617" s="1169"/>
      <c r="BC617" s="1175">
        <f t="shared" si="931"/>
        <v>0</v>
      </c>
      <c r="BD617" s="1027"/>
      <c r="BE617" s="1029"/>
      <c r="BF617" s="1029"/>
    </row>
    <row r="618" s="1180" customFormat="1" ht="17.25" customHeight="1">
      <c r="A618" s="999">
        <f t="shared" si="893"/>
        <v>0</v>
      </c>
      <c r="B618" s="1182" t="s">
        <v>363</v>
      </c>
      <c r="C618" s="1182"/>
      <c r="D618" s="1182"/>
      <c r="E618" s="1183">
        <f t="shared" si="944"/>
        <v>0</v>
      </c>
      <c r="F618" s="1183">
        <f t="shared" si="894"/>
        <v>0</v>
      </c>
      <c r="G618" s="1184">
        <f>SUM(G605:G617)</f>
        <v>0</v>
      </c>
      <c r="H618" s="1185"/>
      <c r="I618" s="1186">
        <f t="shared" si="892"/>
        <v>0</v>
      </c>
      <c r="J618" s="1186">
        <f t="shared" si="895"/>
        <v>0</v>
      </c>
      <c r="K618" s="1187">
        <f>SUM(K605:K617)</f>
        <v>0</v>
      </c>
      <c r="L618" s="1197"/>
      <c r="M618" s="1096">
        <f t="shared" ref="M618:R618" si="945">SUM(M605:M617)</f>
        <v>0</v>
      </c>
      <c r="N618" s="1096">
        <f t="shared" si="945"/>
        <v>0</v>
      </c>
      <c r="O618" s="1096">
        <f t="shared" si="945"/>
        <v>0</v>
      </c>
      <c r="P618" s="1096">
        <f t="shared" si="945"/>
        <v>0</v>
      </c>
      <c r="Q618" s="1096">
        <f t="shared" si="945"/>
        <v>0</v>
      </c>
      <c r="R618" s="1096">
        <f t="shared" si="945"/>
        <v>0</v>
      </c>
      <c r="S618" s="1170">
        <f t="shared" si="923"/>
        <v>0</v>
      </c>
      <c r="T618" s="1189"/>
      <c r="U618" s="1128"/>
      <c r="V618" s="1096">
        <f t="shared" ref="V618:AA618" si="946">SUM(V605:V617)</f>
        <v>0</v>
      </c>
      <c r="W618" s="1096">
        <f t="shared" si="946"/>
        <v>0</v>
      </c>
      <c r="X618" s="1096">
        <f t="shared" si="946"/>
        <v>0</v>
      </c>
      <c r="Y618" s="1096">
        <f t="shared" si="946"/>
        <v>0</v>
      </c>
      <c r="Z618" s="1096">
        <f t="shared" si="946"/>
        <v>0</v>
      </c>
      <c r="AA618" s="1096">
        <f t="shared" si="946"/>
        <v>0</v>
      </c>
      <c r="AB618" s="1172">
        <f t="shared" si="925"/>
        <v>0</v>
      </c>
      <c r="AC618" s="1189"/>
      <c r="AD618" s="1125"/>
      <c r="AE618" s="1096">
        <f t="shared" ref="AE618:AJ618" si="947">SUM(AE605:AE617)</f>
        <v>0</v>
      </c>
      <c r="AF618" s="1096">
        <f t="shared" si="947"/>
        <v>0</v>
      </c>
      <c r="AG618" s="1096">
        <f t="shared" si="947"/>
        <v>0</v>
      </c>
      <c r="AH618" s="1096">
        <f t="shared" si="947"/>
        <v>0</v>
      </c>
      <c r="AI618" s="1096">
        <f t="shared" si="947"/>
        <v>0</v>
      </c>
      <c r="AJ618" s="1096">
        <f t="shared" si="947"/>
        <v>0</v>
      </c>
      <c r="AK618" s="1173">
        <f t="shared" si="927"/>
        <v>0</v>
      </c>
      <c r="AL618" s="1189"/>
      <c r="AM618" s="1125"/>
      <c r="AN618" s="1190">
        <f t="shared" ref="AN618:AS618" si="948">SUM(AN605:AN617)</f>
        <v>0</v>
      </c>
      <c r="AO618" s="1190">
        <f t="shared" si="948"/>
        <v>0</v>
      </c>
      <c r="AP618" s="1190">
        <f t="shared" si="948"/>
        <v>0</v>
      </c>
      <c r="AQ618" s="1190">
        <f t="shared" si="948"/>
        <v>0</v>
      </c>
      <c r="AR618" s="1190">
        <f t="shared" si="948"/>
        <v>0</v>
      </c>
      <c r="AS618" s="1190">
        <f t="shared" si="948"/>
        <v>0</v>
      </c>
      <c r="AT618" s="1170">
        <f t="shared" si="929"/>
        <v>0</v>
      </c>
      <c r="AU618" s="1191"/>
      <c r="AV618" s="1245"/>
      <c r="AW618" s="1096">
        <f t="shared" ref="AW618:BB618" si="949">SUM(AW605:AW617)</f>
        <v>0</v>
      </c>
      <c r="AX618" s="1096">
        <f t="shared" si="949"/>
        <v>0</v>
      </c>
      <c r="AY618" s="1096">
        <f t="shared" si="949"/>
        <v>0</v>
      </c>
      <c r="AZ618" s="1096">
        <f t="shared" si="949"/>
        <v>0</v>
      </c>
      <c r="BA618" s="1096">
        <f t="shared" si="949"/>
        <v>0</v>
      </c>
      <c r="BB618" s="1096">
        <f t="shared" si="949"/>
        <v>0</v>
      </c>
      <c r="BC618" s="1175">
        <f t="shared" si="931"/>
        <v>0</v>
      </c>
      <c r="BD618" s="1052"/>
      <c r="BE618" s="1051"/>
      <c r="BF618" s="1051"/>
      <c r="BG618" s="1106"/>
      <c r="BH618" s="1106"/>
      <c r="BI618" s="1106"/>
      <c r="BJ618" s="1106"/>
      <c r="BK618" s="1106"/>
      <c r="BL618" s="1106"/>
      <c r="BM618" s="1106"/>
    </row>
    <row r="619" ht="17.25" customHeight="1">
      <c r="A619" s="999" t="str">
        <f t="shared" si="893"/>
        <v xml:space="preserve">Румак В.Н,  Стоянова Е.П.</v>
      </c>
      <c r="B619" s="1176" t="s">
        <v>379</v>
      </c>
      <c r="C619" s="1176"/>
      <c r="D619" s="1163" t="s">
        <v>488</v>
      </c>
      <c r="E619" s="1164">
        <f t="shared" si="944"/>
        <v>0</v>
      </c>
      <c r="F619" s="1164">
        <f t="shared" si="894"/>
        <v>0</v>
      </c>
      <c r="G619" s="1165">
        <f t="shared" ref="G619:G623" si="950">E619+F619</f>
        <v>0</v>
      </c>
      <c r="H619" s="1166"/>
      <c r="I619" s="1167">
        <f t="shared" si="892"/>
        <v>0</v>
      </c>
      <c r="J619" s="1167">
        <f t="shared" si="895"/>
        <v>0</v>
      </c>
      <c r="K619" s="1168">
        <f t="shared" ref="K619:K623" si="951">I619+J619</f>
        <v>0</v>
      </c>
      <c r="L619" s="1128"/>
      <c r="M619" s="1169"/>
      <c r="N619" s="1177"/>
      <c r="O619" s="1169"/>
      <c r="P619" s="1169"/>
      <c r="Q619" s="1169">
        <f t="shared" ref="Q619:Q623" si="952">SUM(M619:P619)</f>
        <v>0</v>
      </c>
      <c r="R619" s="1169"/>
      <c r="S619" s="1170">
        <f t="shared" si="923"/>
        <v>0</v>
      </c>
      <c r="T619" s="1171"/>
      <c r="U619" s="1128"/>
      <c r="V619" s="1169"/>
      <c r="W619" s="1177"/>
      <c r="X619" s="1177"/>
      <c r="Y619" s="1169"/>
      <c r="Z619" s="1169">
        <f t="shared" ref="Z619:Z623" si="953">SUM(V619:Y619)</f>
        <v>0</v>
      </c>
      <c r="AA619" s="1169"/>
      <c r="AB619" s="1172">
        <f t="shared" si="925"/>
        <v>0</v>
      </c>
      <c r="AC619" s="1171"/>
      <c r="AD619" s="1128"/>
      <c r="AE619" s="1169"/>
      <c r="AF619" s="1177"/>
      <c r="AG619" s="1177"/>
      <c r="AH619" s="1169"/>
      <c r="AI619" s="1169">
        <f t="shared" ref="AI619:AI623" si="954">SUM(AE619:AH619)</f>
        <v>0</v>
      </c>
      <c r="AJ619" s="1169"/>
      <c r="AK619" s="1173">
        <f t="shared" si="927"/>
        <v>0</v>
      </c>
      <c r="AL619" s="1171"/>
      <c r="AM619" s="1128"/>
      <c r="AN619" s="1170"/>
      <c r="AO619" s="1175"/>
      <c r="AP619" s="1175"/>
      <c r="AQ619" s="1170"/>
      <c r="AR619" s="1170">
        <f t="shared" ref="AR619:AR623" si="955">SUM(AN619:AQ619)</f>
        <v>0</v>
      </c>
      <c r="AS619" s="1170"/>
      <c r="AT619" s="1170">
        <f t="shared" si="929"/>
        <v>0</v>
      </c>
      <c r="AU619" s="1174"/>
      <c r="AV619" s="1241"/>
      <c r="AW619" s="1169"/>
      <c r="AX619" s="1177"/>
      <c r="AY619" s="1177"/>
      <c r="AZ619" s="1169"/>
      <c r="BA619" s="1169">
        <f t="shared" ref="BA619:BA623" si="956">SUM(AW619:AZ619)</f>
        <v>0</v>
      </c>
      <c r="BB619" s="1169"/>
      <c r="BC619" s="1175">
        <f t="shared" si="931"/>
        <v>0</v>
      </c>
      <c r="BD619" s="1027"/>
      <c r="BE619" s="1029"/>
      <c r="BF619" s="1029"/>
    </row>
    <row r="620" s="1215" customFormat="1" ht="17.25" customHeight="1">
      <c r="A620" s="999" t="str">
        <f t="shared" si="893"/>
        <v xml:space="preserve">Голубцова О.В.</v>
      </c>
      <c r="B620" s="1176" t="s">
        <v>381</v>
      </c>
      <c r="C620" s="1176"/>
      <c r="D620" s="1176"/>
      <c r="E620" s="1164">
        <f t="shared" si="944"/>
        <v>0</v>
      </c>
      <c r="F620" s="1164">
        <f t="shared" si="894"/>
        <v>0</v>
      </c>
      <c r="G620" s="1165">
        <f t="shared" si="950"/>
        <v>0</v>
      </c>
      <c r="H620" s="1166"/>
      <c r="I620" s="1167">
        <f t="shared" si="892"/>
        <v>0</v>
      </c>
      <c r="J620" s="1167">
        <f t="shared" si="895"/>
        <v>0</v>
      </c>
      <c r="K620" s="1168">
        <f t="shared" si="951"/>
        <v>0</v>
      </c>
      <c r="L620" s="1128"/>
      <c r="M620" s="1169"/>
      <c r="N620" s="1177"/>
      <c r="O620" s="1169"/>
      <c r="P620" s="1169"/>
      <c r="Q620" s="1169">
        <f t="shared" si="952"/>
        <v>0</v>
      </c>
      <c r="R620" s="1169"/>
      <c r="S620" s="1170">
        <f t="shared" si="923"/>
        <v>0</v>
      </c>
      <c r="T620" s="1171"/>
      <c r="U620" s="1128"/>
      <c r="V620" s="1169"/>
      <c r="W620" s="1177"/>
      <c r="X620" s="1177"/>
      <c r="Y620" s="1169"/>
      <c r="Z620" s="1169">
        <f t="shared" si="953"/>
        <v>0</v>
      </c>
      <c r="AA620" s="1169"/>
      <c r="AB620" s="1172">
        <f t="shared" si="925"/>
        <v>0</v>
      </c>
      <c r="AC620" s="1171"/>
      <c r="AD620" s="1128"/>
      <c r="AE620" s="1169"/>
      <c r="AF620" s="1177"/>
      <c r="AG620" s="1177"/>
      <c r="AH620" s="1169"/>
      <c r="AI620" s="1169">
        <f t="shared" si="954"/>
        <v>0</v>
      </c>
      <c r="AJ620" s="1169"/>
      <c r="AK620" s="1173">
        <f t="shared" si="927"/>
        <v>0</v>
      </c>
      <c r="AL620" s="1171"/>
      <c r="AM620" s="1128"/>
      <c r="AN620" s="1170"/>
      <c r="AO620" s="1175"/>
      <c r="AP620" s="1175"/>
      <c r="AQ620" s="1170"/>
      <c r="AR620" s="1170">
        <f t="shared" si="955"/>
        <v>0</v>
      </c>
      <c r="AS620" s="1170"/>
      <c r="AT620" s="1170">
        <f t="shared" si="929"/>
        <v>0</v>
      </c>
      <c r="AU620" s="1174"/>
      <c r="AV620" s="1241"/>
      <c r="AW620" s="1169"/>
      <c r="AX620" s="1177"/>
      <c r="AY620" s="1177"/>
      <c r="AZ620" s="1169"/>
      <c r="BA620" s="1169">
        <f t="shared" si="956"/>
        <v>0</v>
      </c>
      <c r="BB620" s="1169"/>
      <c r="BC620" s="1175">
        <f t="shared" si="931"/>
        <v>0</v>
      </c>
      <c r="BD620" s="1027"/>
      <c r="BE620" s="1024"/>
      <c r="BF620" s="1024"/>
      <c r="BG620" s="1008"/>
      <c r="BH620" s="1008"/>
      <c r="BI620" s="1008"/>
      <c r="BJ620" s="1008"/>
      <c r="BK620" s="1008"/>
      <c r="BL620" s="1008"/>
      <c r="BM620" s="1008"/>
    </row>
    <row r="621" ht="17.25" customHeight="1">
      <c r="A621" s="999" t="str">
        <f t="shared" si="893"/>
        <v xml:space="preserve">Бородулина М.П.</v>
      </c>
      <c r="B621" s="1176" t="s">
        <v>383</v>
      </c>
      <c r="C621" s="1176"/>
      <c r="D621" s="1163" t="s">
        <v>488</v>
      </c>
      <c r="E621" s="1164">
        <f t="shared" si="944"/>
        <v>0</v>
      </c>
      <c r="F621" s="1164">
        <f t="shared" si="894"/>
        <v>0</v>
      </c>
      <c r="G621" s="1165">
        <f t="shared" si="950"/>
        <v>0</v>
      </c>
      <c r="H621" s="1166"/>
      <c r="I621" s="1167">
        <f t="shared" ref="I621:J684" si="957">E621-Z621</f>
        <v>0</v>
      </c>
      <c r="J621" s="1167">
        <f t="shared" si="895"/>
        <v>0</v>
      </c>
      <c r="K621" s="1168">
        <f t="shared" si="951"/>
        <v>0</v>
      </c>
      <c r="L621" s="1128"/>
      <c r="M621" s="1169"/>
      <c r="N621" s="1177"/>
      <c r="O621" s="1169"/>
      <c r="P621" s="1169"/>
      <c r="Q621" s="1169">
        <f t="shared" si="952"/>
        <v>0</v>
      </c>
      <c r="R621" s="1169"/>
      <c r="S621" s="1170">
        <f t="shared" si="923"/>
        <v>0</v>
      </c>
      <c r="T621" s="1171"/>
      <c r="U621" s="1128"/>
      <c r="V621" s="1169"/>
      <c r="W621" s="1177"/>
      <c r="X621" s="1177"/>
      <c r="Y621" s="1169"/>
      <c r="Z621" s="1169">
        <f t="shared" si="953"/>
        <v>0</v>
      </c>
      <c r="AA621" s="1169"/>
      <c r="AB621" s="1172">
        <f t="shared" si="925"/>
        <v>0</v>
      </c>
      <c r="AC621" s="1171"/>
      <c r="AD621" s="1128"/>
      <c r="AE621" s="1169"/>
      <c r="AF621" s="1177"/>
      <c r="AG621" s="1177"/>
      <c r="AH621" s="1169"/>
      <c r="AI621" s="1169">
        <f t="shared" si="954"/>
        <v>0</v>
      </c>
      <c r="AJ621" s="1169"/>
      <c r="AK621" s="1173">
        <f t="shared" si="927"/>
        <v>0</v>
      </c>
      <c r="AL621" s="1171"/>
      <c r="AM621" s="1128"/>
      <c r="AN621" s="1170"/>
      <c r="AO621" s="1175"/>
      <c r="AP621" s="1175"/>
      <c r="AQ621" s="1170"/>
      <c r="AR621" s="1170">
        <f t="shared" si="955"/>
        <v>0</v>
      </c>
      <c r="AS621" s="1170"/>
      <c r="AT621" s="1170">
        <f t="shared" si="929"/>
        <v>0</v>
      </c>
      <c r="AU621" s="1174"/>
      <c r="AV621" s="1241"/>
      <c r="AW621" s="1169"/>
      <c r="AX621" s="1177"/>
      <c r="AY621" s="1177"/>
      <c r="AZ621" s="1169"/>
      <c r="BA621" s="1169">
        <f t="shared" si="956"/>
        <v>0</v>
      </c>
      <c r="BB621" s="1169"/>
      <c r="BC621" s="1175">
        <f t="shared" si="931"/>
        <v>0</v>
      </c>
      <c r="BD621" s="1027"/>
      <c r="BE621" s="1029"/>
      <c r="BF621" s="1029"/>
    </row>
    <row r="622" ht="17.25" customHeight="1">
      <c r="A622" s="999" t="str">
        <f t="shared" si="893"/>
        <v xml:space="preserve">Буханова Т.И. Мансурова А.Г.</v>
      </c>
      <c r="B622" s="1176" t="s">
        <v>385</v>
      </c>
      <c r="C622" s="1196"/>
      <c r="D622" s="1196"/>
      <c r="E622" s="1164">
        <f t="shared" si="944"/>
        <v>0</v>
      </c>
      <c r="F622" s="1164">
        <f t="shared" si="894"/>
        <v>0</v>
      </c>
      <c r="G622" s="1165">
        <f t="shared" si="950"/>
        <v>0</v>
      </c>
      <c r="H622" s="1166"/>
      <c r="I622" s="1167">
        <f t="shared" si="957"/>
        <v>0</v>
      </c>
      <c r="J622" s="1167">
        <f t="shared" si="895"/>
        <v>0</v>
      </c>
      <c r="K622" s="1168">
        <f t="shared" si="951"/>
        <v>0</v>
      </c>
      <c r="L622" s="1128"/>
      <c r="M622" s="1169"/>
      <c r="N622" s="1177"/>
      <c r="O622" s="1169"/>
      <c r="P622" s="1169"/>
      <c r="Q622" s="1169">
        <f t="shared" si="952"/>
        <v>0</v>
      </c>
      <c r="R622" s="1169"/>
      <c r="S622" s="1170">
        <f t="shared" si="923"/>
        <v>0</v>
      </c>
      <c r="T622" s="1171"/>
      <c r="U622" s="1128"/>
      <c r="V622" s="1169"/>
      <c r="W622" s="1177"/>
      <c r="X622" s="1177"/>
      <c r="Y622" s="1169"/>
      <c r="Z622" s="1169">
        <f t="shared" si="953"/>
        <v>0</v>
      </c>
      <c r="AA622" s="1169"/>
      <c r="AB622" s="1172">
        <f t="shared" si="925"/>
        <v>0</v>
      </c>
      <c r="AC622" s="1171"/>
      <c r="AD622" s="1128"/>
      <c r="AE622" s="1169"/>
      <c r="AF622" s="1177"/>
      <c r="AG622" s="1177"/>
      <c r="AH622" s="1169"/>
      <c r="AI622" s="1169">
        <f t="shared" si="954"/>
        <v>0</v>
      </c>
      <c r="AJ622" s="1169"/>
      <c r="AK622" s="1173">
        <f t="shared" si="927"/>
        <v>0</v>
      </c>
      <c r="AL622" s="1171"/>
      <c r="AM622" s="1128"/>
      <c r="AN622" s="1170"/>
      <c r="AO622" s="1175"/>
      <c r="AP622" s="1175"/>
      <c r="AQ622" s="1170"/>
      <c r="AR622" s="1170">
        <f t="shared" si="955"/>
        <v>0</v>
      </c>
      <c r="AS622" s="1170"/>
      <c r="AT622" s="1170">
        <f t="shared" si="929"/>
        <v>0</v>
      </c>
      <c r="AU622" s="1174"/>
      <c r="AV622" s="1241"/>
      <c r="AW622" s="1169"/>
      <c r="AX622" s="1177"/>
      <c r="AY622" s="1177"/>
      <c r="AZ622" s="1169"/>
      <c r="BA622" s="1169">
        <f t="shared" si="956"/>
        <v>0</v>
      </c>
      <c r="BB622" s="1169"/>
      <c r="BC622" s="1175">
        <f t="shared" si="931"/>
        <v>0</v>
      </c>
      <c r="BD622" s="1027"/>
      <c r="BE622" s="1029"/>
      <c r="BF622" s="1029"/>
    </row>
    <row r="623" ht="17.25" customHeight="1">
      <c r="A623" s="999" t="str">
        <f t="shared" si="893"/>
        <v xml:space="preserve">Мирошник Е.В.</v>
      </c>
      <c r="B623" s="1176" t="s">
        <v>387</v>
      </c>
      <c r="C623" s="1176"/>
      <c r="D623" s="1176"/>
      <c r="E623" s="1164">
        <f t="shared" si="944"/>
        <v>0</v>
      </c>
      <c r="F623" s="1164">
        <f t="shared" si="894"/>
        <v>0</v>
      </c>
      <c r="G623" s="1165">
        <f t="shared" si="950"/>
        <v>0</v>
      </c>
      <c r="H623" s="1166"/>
      <c r="I623" s="1167">
        <f t="shared" si="957"/>
        <v>0</v>
      </c>
      <c r="J623" s="1167">
        <f t="shared" si="895"/>
        <v>0</v>
      </c>
      <c r="K623" s="1168">
        <f t="shared" si="951"/>
        <v>0</v>
      </c>
      <c r="L623" s="1128"/>
      <c r="M623" s="1169"/>
      <c r="N623" s="1177"/>
      <c r="O623" s="1169"/>
      <c r="P623" s="1169"/>
      <c r="Q623" s="1169">
        <f t="shared" si="952"/>
        <v>0</v>
      </c>
      <c r="R623" s="1169"/>
      <c r="S623" s="1170">
        <f t="shared" si="923"/>
        <v>0</v>
      </c>
      <c r="T623" s="1171"/>
      <c r="U623" s="1128"/>
      <c r="V623" s="1169"/>
      <c r="W623" s="1177"/>
      <c r="X623" s="1177"/>
      <c r="Y623" s="1169"/>
      <c r="Z623" s="1169">
        <f t="shared" si="953"/>
        <v>0</v>
      </c>
      <c r="AA623" s="1169"/>
      <c r="AB623" s="1172">
        <f t="shared" si="925"/>
        <v>0</v>
      </c>
      <c r="AC623" s="1171"/>
      <c r="AD623" s="1128"/>
      <c r="AE623" s="1169"/>
      <c r="AF623" s="1177"/>
      <c r="AG623" s="1177"/>
      <c r="AH623" s="1169"/>
      <c r="AI623" s="1169">
        <f t="shared" si="954"/>
        <v>0</v>
      </c>
      <c r="AJ623" s="1169"/>
      <c r="AK623" s="1173">
        <f t="shared" si="927"/>
        <v>0</v>
      </c>
      <c r="AL623" s="1171"/>
      <c r="AM623" s="1128"/>
      <c r="AN623" s="1170"/>
      <c r="AO623" s="1175"/>
      <c r="AP623" s="1175"/>
      <c r="AQ623" s="1170"/>
      <c r="AR623" s="1170">
        <f t="shared" si="955"/>
        <v>0</v>
      </c>
      <c r="AS623" s="1170"/>
      <c r="AT623" s="1170">
        <f t="shared" si="929"/>
        <v>0</v>
      </c>
      <c r="AU623" s="1174"/>
      <c r="AV623" s="1241"/>
      <c r="AW623" s="1169"/>
      <c r="AX623" s="1177"/>
      <c r="AY623" s="1177"/>
      <c r="AZ623" s="1169"/>
      <c r="BA623" s="1169">
        <f t="shared" si="956"/>
        <v>0</v>
      </c>
      <c r="BB623" s="1169"/>
      <c r="BC623" s="1175">
        <f t="shared" si="931"/>
        <v>0</v>
      </c>
      <c r="BD623" s="1027"/>
      <c r="BE623" s="1029"/>
      <c r="BF623" s="1029"/>
    </row>
    <row r="624" s="1180" customFormat="1" ht="17.25" customHeight="1">
      <c r="A624" s="999">
        <f t="shared" si="893"/>
        <v>0</v>
      </c>
      <c r="B624" s="1182" t="s">
        <v>388</v>
      </c>
      <c r="C624" s="1182"/>
      <c r="D624" s="1182"/>
      <c r="E624" s="1183">
        <f t="shared" si="944"/>
        <v>0</v>
      </c>
      <c r="F624" s="1183">
        <f t="shared" si="894"/>
        <v>0</v>
      </c>
      <c r="G624" s="1184">
        <f>SUM(G619:G623)</f>
        <v>0</v>
      </c>
      <c r="H624" s="1185"/>
      <c r="I624" s="1186">
        <f t="shared" si="957"/>
        <v>0</v>
      </c>
      <c r="J624" s="1186">
        <f t="shared" si="895"/>
        <v>0</v>
      </c>
      <c r="K624" s="1187">
        <f>SUM(K619:K623)</f>
        <v>0</v>
      </c>
      <c r="L624" s="1197"/>
      <c r="M624" s="1096">
        <f t="shared" ref="M624:R624" si="958">SUM(M619:M623)</f>
        <v>0</v>
      </c>
      <c r="N624" s="1096">
        <f t="shared" si="958"/>
        <v>0</v>
      </c>
      <c r="O624" s="1096">
        <f t="shared" si="958"/>
        <v>0</v>
      </c>
      <c r="P624" s="1096">
        <f t="shared" si="958"/>
        <v>0</v>
      </c>
      <c r="Q624" s="1096">
        <f t="shared" si="958"/>
        <v>0</v>
      </c>
      <c r="R624" s="1096">
        <f t="shared" si="958"/>
        <v>0</v>
      </c>
      <c r="S624" s="1170">
        <f t="shared" si="923"/>
        <v>0</v>
      </c>
      <c r="T624" s="1189"/>
      <c r="U624" s="1197"/>
      <c r="V624" s="1096">
        <f t="shared" ref="V624:AA624" si="959">SUM(V619:V623)</f>
        <v>0</v>
      </c>
      <c r="W624" s="1096">
        <f t="shared" si="959"/>
        <v>0</v>
      </c>
      <c r="X624" s="1096">
        <f t="shared" si="959"/>
        <v>0</v>
      </c>
      <c r="Y624" s="1096">
        <f t="shared" si="959"/>
        <v>0</v>
      </c>
      <c r="Z624" s="1096">
        <f t="shared" si="959"/>
        <v>0</v>
      </c>
      <c r="AA624" s="1096">
        <f t="shared" si="959"/>
        <v>0</v>
      </c>
      <c r="AB624" s="1172">
        <f t="shared" si="925"/>
        <v>0</v>
      </c>
      <c r="AC624" s="1189"/>
      <c r="AD624" s="1197"/>
      <c r="AE624" s="1096">
        <f t="shared" ref="AE624:AJ624" si="960">SUM(AE619:AE623)</f>
        <v>0</v>
      </c>
      <c r="AF624" s="1096">
        <f t="shared" si="960"/>
        <v>0</v>
      </c>
      <c r="AG624" s="1096">
        <f t="shared" si="960"/>
        <v>0</v>
      </c>
      <c r="AH624" s="1096">
        <f t="shared" si="960"/>
        <v>0</v>
      </c>
      <c r="AI624" s="1096">
        <f t="shared" si="960"/>
        <v>0</v>
      </c>
      <c r="AJ624" s="1096">
        <f t="shared" si="960"/>
        <v>0</v>
      </c>
      <c r="AK624" s="1173">
        <f t="shared" si="927"/>
        <v>0</v>
      </c>
      <c r="AL624" s="1189"/>
      <c r="AM624" s="1197"/>
      <c r="AN624" s="1190">
        <f t="shared" ref="AN624:AS624" si="961">SUM(AN619:AN623)</f>
        <v>0</v>
      </c>
      <c r="AO624" s="1190">
        <f t="shared" si="961"/>
        <v>0</v>
      </c>
      <c r="AP624" s="1190">
        <f t="shared" si="961"/>
        <v>0</v>
      </c>
      <c r="AQ624" s="1190">
        <f t="shared" si="961"/>
        <v>0</v>
      </c>
      <c r="AR624" s="1190">
        <f t="shared" si="961"/>
        <v>0</v>
      </c>
      <c r="AS624" s="1190">
        <f t="shared" si="961"/>
        <v>0</v>
      </c>
      <c r="AT624" s="1170">
        <f t="shared" si="929"/>
        <v>0</v>
      </c>
      <c r="AU624" s="1191"/>
      <c r="AV624" s="1197">
        <f t="shared" ref="AV624:BB624" si="962">SUM(AV619:AV623)</f>
        <v>0</v>
      </c>
      <c r="AW624" s="1096">
        <f t="shared" si="962"/>
        <v>0</v>
      </c>
      <c r="AX624" s="1096">
        <f t="shared" si="962"/>
        <v>0</v>
      </c>
      <c r="AY624" s="1096">
        <f t="shared" si="962"/>
        <v>0</v>
      </c>
      <c r="AZ624" s="1096">
        <f t="shared" si="962"/>
        <v>0</v>
      </c>
      <c r="BA624" s="1096">
        <f t="shared" si="962"/>
        <v>0</v>
      </c>
      <c r="BB624" s="1096">
        <f t="shared" si="962"/>
        <v>0</v>
      </c>
      <c r="BC624" s="1175">
        <f t="shared" si="931"/>
        <v>0</v>
      </c>
      <c r="BD624" s="1052"/>
      <c r="BE624" s="1051"/>
      <c r="BF624" s="1051"/>
      <c r="BG624" s="1106"/>
      <c r="BH624" s="1106"/>
      <c r="BI624" s="1106"/>
      <c r="BJ624" s="1106"/>
      <c r="BK624" s="1106"/>
      <c r="BL624" s="1106"/>
      <c r="BM624" s="1106"/>
    </row>
    <row r="625" ht="17.25" customHeight="1">
      <c r="A625" s="999" t="str">
        <f t="shared" si="893"/>
        <v xml:space="preserve">Зиненко Ю.А. Шаповалова Т.Ю.</v>
      </c>
      <c r="B625" s="1176" t="s">
        <v>390</v>
      </c>
      <c r="C625" s="1198"/>
      <c r="D625" s="1163" t="s">
        <v>488</v>
      </c>
      <c r="E625" s="1164">
        <f t="shared" si="944"/>
        <v>0</v>
      </c>
      <c r="F625" s="1164">
        <f t="shared" si="894"/>
        <v>0</v>
      </c>
      <c r="G625" s="1165">
        <f t="shared" ref="G625:G627" si="963">E625+F625</f>
        <v>0</v>
      </c>
      <c r="H625" s="1166"/>
      <c r="I625" s="1167">
        <f t="shared" si="957"/>
        <v>0</v>
      </c>
      <c r="J625" s="1167">
        <f t="shared" si="895"/>
        <v>0</v>
      </c>
      <c r="K625" s="1168">
        <f t="shared" ref="K625:K627" si="964">I625+J625</f>
        <v>0</v>
      </c>
      <c r="L625" s="1197"/>
      <c r="M625" s="1169"/>
      <c r="N625" s="1199"/>
      <c r="O625" s="1169"/>
      <c r="P625" s="1169"/>
      <c r="Q625" s="1169">
        <f t="shared" ref="Q625:Q627" si="965">SUM(M625:P625)</f>
        <v>0</v>
      </c>
      <c r="R625" s="1169"/>
      <c r="S625" s="1170">
        <f t="shared" si="923"/>
        <v>0</v>
      </c>
      <c r="T625" s="1171"/>
      <c r="U625" s="1128"/>
      <c r="V625" s="1169"/>
      <c r="W625" s="1199"/>
      <c r="X625" s="1199"/>
      <c r="Y625" s="1169"/>
      <c r="Z625" s="1169">
        <f t="shared" ref="Z625:Z627" si="966">SUM(V625:Y625)</f>
        <v>0</v>
      </c>
      <c r="AA625" s="1169"/>
      <c r="AB625" s="1172">
        <f t="shared" si="925"/>
        <v>0</v>
      </c>
      <c r="AC625" s="1171"/>
      <c r="AD625" s="1128"/>
      <c r="AE625" s="1169"/>
      <c r="AF625" s="1199"/>
      <c r="AG625" s="1199"/>
      <c r="AH625" s="1169"/>
      <c r="AI625" s="1169">
        <f t="shared" ref="AI625:AI627" si="967">SUM(AE625:AH625)</f>
        <v>0</v>
      </c>
      <c r="AJ625" s="1169"/>
      <c r="AK625" s="1173">
        <f t="shared" si="927"/>
        <v>0</v>
      </c>
      <c r="AL625" s="1171"/>
      <c r="AM625" s="1128"/>
      <c r="AN625" s="1170"/>
      <c r="AO625" s="1200"/>
      <c r="AP625" s="1200"/>
      <c r="AQ625" s="1170"/>
      <c r="AR625" s="1170">
        <f t="shared" ref="AR625:AR627" si="968">SUM(AN625:AQ625)</f>
        <v>0</v>
      </c>
      <c r="AS625" s="1170"/>
      <c r="AT625" s="1170">
        <f t="shared" si="929"/>
        <v>0</v>
      </c>
      <c r="AU625" s="1174"/>
      <c r="AV625" s="1241"/>
      <c r="AW625" s="1169"/>
      <c r="AX625" s="1199"/>
      <c r="AY625" s="1199"/>
      <c r="AZ625" s="1169"/>
      <c r="BA625" s="1169">
        <f t="shared" ref="BA625:BA627" si="969">SUM(AW625:AZ625)</f>
        <v>0</v>
      </c>
      <c r="BB625" s="1169"/>
      <c r="BC625" s="1175">
        <f t="shared" si="931"/>
        <v>0</v>
      </c>
      <c r="BD625" s="1027"/>
      <c r="BE625" s="1029"/>
      <c r="BF625" s="1029"/>
    </row>
    <row r="626" ht="17.25" customHeight="1">
      <c r="A626" s="999" t="str">
        <f t="shared" si="893"/>
        <v xml:space="preserve">Майорова И.В.</v>
      </c>
      <c r="B626" s="1176" t="s">
        <v>392</v>
      </c>
      <c r="C626" s="1198"/>
      <c r="D626" s="1163" t="s">
        <v>488</v>
      </c>
      <c r="E626" s="1164">
        <f t="shared" si="944"/>
        <v>0</v>
      </c>
      <c r="F626" s="1164">
        <f t="shared" si="894"/>
        <v>0</v>
      </c>
      <c r="G626" s="1165">
        <f t="shared" si="963"/>
        <v>0</v>
      </c>
      <c r="H626" s="1166"/>
      <c r="I626" s="1167">
        <f t="shared" si="957"/>
        <v>0</v>
      </c>
      <c r="J626" s="1167">
        <f t="shared" si="895"/>
        <v>0</v>
      </c>
      <c r="K626" s="1168">
        <f t="shared" si="964"/>
        <v>0</v>
      </c>
      <c r="L626" s="1197"/>
      <c r="M626" s="1169"/>
      <c r="N626" s="1177"/>
      <c r="O626" s="1169"/>
      <c r="P626" s="1169"/>
      <c r="Q626" s="1169">
        <f t="shared" si="965"/>
        <v>0</v>
      </c>
      <c r="R626" s="1169"/>
      <c r="S626" s="1170">
        <f t="shared" si="923"/>
        <v>0</v>
      </c>
      <c r="T626" s="1171"/>
      <c r="U626" s="1128"/>
      <c r="V626" s="1169"/>
      <c r="W626" s="1177"/>
      <c r="X626" s="1177"/>
      <c r="Y626" s="1169"/>
      <c r="Z626" s="1169">
        <f t="shared" si="966"/>
        <v>0</v>
      </c>
      <c r="AA626" s="1169"/>
      <c r="AB626" s="1172">
        <f t="shared" si="925"/>
        <v>0</v>
      </c>
      <c r="AC626" s="1171"/>
      <c r="AD626" s="1128"/>
      <c r="AE626" s="1169"/>
      <c r="AF626" s="1177"/>
      <c r="AG626" s="1177"/>
      <c r="AH626" s="1169"/>
      <c r="AI626" s="1169">
        <f t="shared" si="967"/>
        <v>0</v>
      </c>
      <c r="AJ626" s="1169"/>
      <c r="AK626" s="1173">
        <f t="shared" si="927"/>
        <v>0</v>
      </c>
      <c r="AL626" s="1171"/>
      <c r="AM626" s="1128"/>
      <c r="AN626" s="1170"/>
      <c r="AO626" s="1175"/>
      <c r="AP626" s="1175"/>
      <c r="AQ626" s="1170"/>
      <c r="AR626" s="1170">
        <f t="shared" si="968"/>
        <v>0</v>
      </c>
      <c r="AS626" s="1170"/>
      <c r="AT626" s="1170">
        <f t="shared" si="929"/>
        <v>0</v>
      </c>
      <c r="AU626" s="1174"/>
      <c r="AV626" s="1241"/>
      <c r="AW626" s="1169"/>
      <c r="AX626" s="1177"/>
      <c r="AY626" s="1177"/>
      <c r="AZ626" s="1169"/>
      <c r="BA626" s="1169">
        <f t="shared" si="969"/>
        <v>0</v>
      </c>
      <c r="BB626" s="1169"/>
      <c r="BC626" s="1175">
        <f t="shared" si="931"/>
        <v>0</v>
      </c>
      <c r="BD626" s="1027"/>
      <c r="BE626" s="1029"/>
      <c r="BF626" s="1029"/>
    </row>
    <row r="627" ht="17.25" customHeight="1">
      <c r="A627" s="999" t="str">
        <f t="shared" ref="A627:A686" si="970">A530</f>
        <v xml:space="preserve">Гребенюк Ю.С.,  Молчанова Н.М.</v>
      </c>
      <c r="B627" s="1176" t="s">
        <v>265</v>
      </c>
      <c r="C627" s="1131"/>
      <c r="D627" s="1201" t="s">
        <v>489</v>
      </c>
      <c r="E627" s="1164">
        <f t="shared" si="944"/>
        <v>0</v>
      </c>
      <c r="F627" s="1164">
        <f t="shared" ref="F627:F690" si="971">R627+AA627+AJ627+AS627+BB627</f>
        <v>0</v>
      </c>
      <c r="G627" s="1165">
        <f t="shared" si="963"/>
        <v>0</v>
      </c>
      <c r="H627" s="1166"/>
      <c r="I627" s="1167">
        <f t="shared" si="957"/>
        <v>0</v>
      </c>
      <c r="J627" s="1167">
        <f t="shared" ref="J627:J690" si="972">F627-AA627</f>
        <v>0</v>
      </c>
      <c r="K627" s="1168">
        <f t="shared" si="964"/>
        <v>0</v>
      </c>
      <c r="L627" s="1128"/>
      <c r="M627" s="1169"/>
      <c r="N627" s="1177"/>
      <c r="O627" s="1169"/>
      <c r="P627" s="1169"/>
      <c r="Q627" s="1169">
        <f t="shared" si="965"/>
        <v>0</v>
      </c>
      <c r="R627" s="1169"/>
      <c r="S627" s="1170">
        <f t="shared" si="923"/>
        <v>0</v>
      </c>
      <c r="T627" s="1171"/>
      <c r="U627" s="1128"/>
      <c r="V627" s="1169"/>
      <c r="W627" s="1177"/>
      <c r="X627" s="1177"/>
      <c r="Y627" s="1169"/>
      <c r="Z627" s="1169">
        <f t="shared" si="966"/>
        <v>0</v>
      </c>
      <c r="AA627" s="1169"/>
      <c r="AB627" s="1172">
        <f t="shared" si="925"/>
        <v>0</v>
      </c>
      <c r="AC627" s="1171"/>
      <c r="AD627" s="1128"/>
      <c r="AE627" s="1169"/>
      <c r="AF627" s="1177"/>
      <c r="AG627" s="1177"/>
      <c r="AH627" s="1169"/>
      <c r="AI627" s="1169">
        <f t="shared" si="967"/>
        <v>0</v>
      </c>
      <c r="AJ627" s="1169"/>
      <c r="AK627" s="1173">
        <f t="shared" si="927"/>
        <v>0</v>
      </c>
      <c r="AL627" s="1171"/>
      <c r="AM627" s="1128"/>
      <c r="AN627" s="1170"/>
      <c r="AO627" s="1175"/>
      <c r="AP627" s="1175"/>
      <c r="AQ627" s="1170"/>
      <c r="AR627" s="1170">
        <f t="shared" si="968"/>
        <v>0</v>
      </c>
      <c r="AS627" s="1170"/>
      <c r="AT627" s="1170">
        <f t="shared" si="929"/>
        <v>0</v>
      </c>
      <c r="AU627" s="1174"/>
      <c r="AV627" s="1241"/>
      <c r="AW627" s="1169"/>
      <c r="AX627" s="1177"/>
      <c r="AY627" s="1177"/>
      <c r="AZ627" s="1169"/>
      <c r="BA627" s="1169">
        <f t="shared" si="969"/>
        <v>0</v>
      </c>
      <c r="BB627" s="1169"/>
      <c r="BC627" s="1175">
        <f t="shared" si="931"/>
        <v>0</v>
      </c>
      <c r="BD627" s="1027"/>
      <c r="BE627" s="1029"/>
      <c r="BF627" s="1029"/>
    </row>
    <row r="628" s="1180" customFormat="1" ht="17.25" customHeight="1">
      <c r="A628" s="999">
        <f t="shared" si="970"/>
        <v>0</v>
      </c>
      <c r="B628" s="1182" t="s">
        <v>394</v>
      </c>
      <c r="C628" s="1182"/>
      <c r="D628" s="1182"/>
      <c r="E628" s="1183">
        <f t="shared" si="944"/>
        <v>0</v>
      </c>
      <c r="F628" s="1183">
        <f t="shared" si="971"/>
        <v>0</v>
      </c>
      <c r="G628" s="1184">
        <f>SUM(G625:G627)</f>
        <v>0</v>
      </c>
      <c r="H628" s="1185"/>
      <c r="I628" s="1186">
        <f t="shared" si="957"/>
        <v>0</v>
      </c>
      <c r="J628" s="1186">
        <f t="shared" si="972"/>
        <v>0</v>
      </c>
      <c r="K628" s="1187">
        <f>SUM(K625:K627)</f>
        <v>0</v>
      </c>
      <c r="L628" s="1197"/>
      <c r="M628" s="1096">
        <f t="shared" ref="M628:R632" si="973">SUM(M625:M627)</f>
        <v>0</v>
      </c>
      <c r="N628" s="1096">
        <f t="shared" si="973"/>
        <v>0</v>
      </c>
      <c r="O628" s="1096">
        <f t="shared" si="973"/>
        <v>0</v>
      </c>
      <c r="P628" s="1096">
        <f t="shared" si="973"/>
        <v>0</v>
      </c>
      <c r="Q628" s="1096">
        <f t="shared" si="973"/>
        <v>0</v>
      </c>
      <c r="R628" s="1096">
        <f t="shared" si="973"/>
        <v>0</v>
      </c>
      <c r="S628" s="1170">
        <f t="shared" si="923"/>
        <v>0</v>
      </c>
      <c r="T628" s="1189"/>
      <c r="U628" s="1128"/>
      <c r="V628" s="1096">
        <f t="shared" ref="V628:AA632" si="974">SUM(V625:V627)</f>
        <v>0</v>
      </c>
      <c r="W628" s="1096">
        <f t="shared" si="974"/>
        <v>0</v>
      </c>
      <c r="X628" s="1096">
        <f t="shared" si="974"/>
        <v>0</v>
      </c>
      <c r="Y628" s="1096">
        <f t="shared" si="974"/>
        <v>0</v>
      </c>
      <c r="Z628" s="1096">
        <f t="shared" si="974"/>
        <v>0</v>
      </c>
      <c r="AA628" s="1096">
        <f t="shared" si="974"/>
        <v>0</v>
      </c>
      <c r="AB628" s="1172">
        <f t="shared" si="925"/>
        <v>0</v>
      </c>
      <c r="AC628" s="1189"/>
      <c r="AD628" s="1125"/>
      <c r="AE628" s="1096">
        <f t="shared" ref="AE628:AJ632" si="975">SUM(AE625:AE627)</f>
        <v>0</v>
      </c>
      <c r="AF628" s="1096">
        <f t="shared" si="975"/>
        <v>0</v>
      </c>
      <c r="AG628" s="1096">
        <f t="shared" si="975"/>
        <v>0</v>
      </c>
      <c r="AH628" s="1096">
        <f t="shared" si="975"/>
        <v>0</v>
      </c>
      <c r="AI628" s="1096">
        <f t="shared" si="975"/>
        <v>0</v>
      </c>
      <c r="AJ628" s="1096">
        <f t="shared" si="975"/>
        <v>0</v>
      </c>
      <c r="AK628" s="1173">
        <f t="shared" si="927"/>
        <v>0</v>
      </c>
      <c r="AL628" s="1189"/>
      <c r="AM628" s="1125"/>
      <c r="AN628" s="1190">
        <f t="shared" ref="AN628:AS632" si="976">SUM(AN625:AN627)</f>
        <v>0</v>
      </c>
      <c r="AO628" s="1190">
        <f t="shared" si="976"/>
        <v>0</v>
      </c>
      <c r="AP628" s="1190">
        <f t="shared" si="976"/>
        <v>0</v>
      </c>
      <c r="AQ628" s="1190">
        <f t="shared" si="976"/>
        <v>0</v>
      </c>
      <c r="AR628" s="1190">
        <f t="shared" si="976"/>
        <v>0</v>
      </c>
      <c r="AS628" s="1190">
        <f t="shared" si="976"/>
        <v>0</v>
      </c>
      <c r="AT628" s="1170">
        <f t="shared" si="929"/>
        <v>0</v>
      </c>
      <c r="AU628" s="1191"/>
      <c r="AV628" s="1245"/>
      <c r="AW628" s="1096">
        <f t="shared" ref="AW628:BB632" si="977">SUM(AW625:AW627)</f>
        <v>0</v>
      </c>
      <c r="AX628" s="1096">
        <f t="shared" si="977"/>
        <v>0</v>
      </c>
      <c r="AY628" s="1096">
        <f t="shared" si="977"/>
        <v>0</v>
      </c>
      <c r="AZ628" s="1096">
        <f t="shared" si="977"/>
        <v>0</v>
      </c>
      <c r="BA628" s="1096">
        <f t="shared" si="977"/>
        <v>0</v>
      </c>
      <c r="BB628" s="1096">
        <f t="shared" si="977"/>
        <v>0</v>
      </c>
      <c r="BC628" s="1175">
        <f t="shared" si="931"/>
        <v>0</v>
      </c>
      <c r="BD628" s="1052"/>
      <c r="BE628" s="1051"/>
      <c r="BF628" s="1051"/>
      <c r="BG628" s="1106"/>
      <c r="BH628" s="1106"/>
      <c r="BI628" s="1106"/>
      <c r="BJ628" s="1106"/>
      <c r="BK628" s="1106"/>
      <c r="BL628" s="1106"/>
      <c r="BM628" s="1106"/>
    </row>
    <row r="629" ht="17.25" customHeight="1">
      <c r="A629" s="999" t="str">
        <f t="shared" si="970"/>
        <v xml:space="preserve">Шевченко ЕА, Мацак ЕН</v>
      </c>
      <c r="B629" s="1202" t="s">
        <v>50</v>
      </c>
      <c r="C629" s="1203" t="s">
        <v>490</v>
      </c>
      <c r="D629" s="1201" t="s">
        <v>489</v>
      </c>
      <c r="E629" s="1164">
        <f t="shared" si="944"/>
        <v>0</v>
      </c>
      <c r="F629" s="1164">
        <f t="shared" si="971"/>
        <v>0</v>
      </c>
      <c r="G629" s="1165">
        <f t="shared" ref="G629:G631" si="978">E629+F629</f>
        <v>0</v>
      </c>
      <c r="H629" s="1166"/>
      <c r="I629" s="1167">
        <f t="shared" si="957"/>
        <v>0</v>
      </c>
      <c r="J629" s="1167">
        <f t="shared" si="972"/>
        <v>0</v>
      </c>
      <c r="K629" s="1168">
        <f t="shared" ref="K629:K631" si="979">I629+J629</f>
        <v>0</v>
      </c>
      <c r="L629" s="1128"/>
      <c r="M629" s="1169"/>
      <c r="N629" s="1177"/>
      <c r="O629" s="1169"/>
      <c r="P629" s="1169"/>
      <c r="Q629" s="1169">
        <f t="shared" ref="Q629:Q631" si="980">SUM(M629:P629)</f>
        <v>0</v>
      </c>
      <c r="R629" s="1169"/>
      <c r="S629" s="1170">
        <f t="shared" si="923"/>
        <v>0</v>
      </c>
      <c r="T629" s="1171"/>
      <c r="U629" s="1128"/>
      <c r="V629" s="1169"/>
      <c r="W629" s="1177"/>
      <c r="X629" s="1177"/>
      <c r="Y629" s="1169"/>
      <c r="Z629" s="1169">
        <f t="shared" ref="Z629:Z631" si="981">SUM(V629:Y629)</f>
        <v>0</v>
      </c>
      <c r="AA629" s="1169"/>
      <c r="AB629" s="1172">
        <f t="shared" si="925"/>
        <v>0</v>
      </c>
      <c r="AC629" s="1171"/>
      <c r="AD629" s="1128"/>
      <c r="AE629" s="1169"/>
      <c r="AF629" s="1177"/>
      <c r="AG629" s="1177"/>
      <c r="AH629" s="1169"/>
      <c r="AI629" s="1169">
        <f t="shared" ref="AI629:AI631" si="982">SUM(AE629:AH629)</f>
        <v>0</v>
      </c>
      <c r="AJ629" s="1169"/>
      <c r="AK629" s="1173">
        <f t="shared" si="927"/>
        <v>0</v>
      </c>
      <c r="AL629" s="1171"/>
      <c r="AM629" s="1128"/>
      <c r="AN629" s="1170"/>
      <c r="AO629" s="1175"/>
      <c r="AP629" s="1175"/>
      <c r="AQ629" s="1170"/>
      <c r="AR629" s="1170">
        <f t="shared" ref="AR629:AR631" si="983">SUM(AN629:AQ629)</f>
        <v>0</v>
      </c>
      <c r="AS629" s="1170"/>
      <c r="AT629" s="1170">
        <f t="shared" si="929"/>
        <v>0</v>
      </c>
      <c r="AU629" s="1174"/>
      <c r="AV629" s="1241"/>
      <c r="AW629" s="1169"/>
      <c r="AX629" s="1177"/>
      <c r="AY629" s="1177"/>
      <c r="AZ629" s="1169"/>
      <c r="BA629" s="1169">
        <f t="shared" ref="BA629:BA631" si="984">SUM(AW629:AZ629)</f>
        <v>0</v>
      </c>
      <c r="BB629" s="1169"/>
      <c r="BC629" s="1175">
        <f t="shared" si="931"/>
        <v>0</v>
      </c>
      <c r="BD629" s="1027"/>
      <c r="BE629" s="1029"/>
      <c r="BF629" s="1029"/>
    </row>
    <row r="630" ht="17.25" customHeight="1">
      <c r="A630" s="999" t="str">
        <f t="shared" si="970"/>
        <v xml:space="preserve">Лещенко О.А.</v>
      </c>
      <c r="B630" s="1202" t="s">
        <v>397</v>
      </c>
      <c r="C630" s="1203" t="s">
        <v>490</v>
      </c>
      <c r="D630" s="1201" t="s">
        <v>489</v>
      </c>
      <c r="E630" s="1164">
        <f t="shared" si="944"/>
        <v>0</v>
      </c>
      <c r="F630" s="1164">
        <f t="shared" si="971"/>
        <v>0</v>
      </c>
      <c r="G630" s="1165">
        <f t="shared" si="978"/>
        <v>0</v>
      </c>
      <c r="H630" s="1166"/>
      <c r="I630" s="1167">
        <f t="shared" si="957"/>
        <v>0</v>
      </c>
      <c r="J630" s="1167">
        <f t="shared" si="972"/>
        <v>0</v>
      </c>
      <c r="K630" s="1168">
        <f t="shared" si="979"/>
        <v>0</v>
      </c>
      <c r="L630" s="1128"/>
      <c r="M630" s="1169"/>
      <c r="N630" s="1177"/>
      <c r="O630" s="1169"/>
      <c r="P630" s="1169"/>
      <c r="Q630" s="1169">
        <f t="shared" si="980"/>
        <v>0</v>
      </c>
      <c r="R630" s="1169"/>
      <c r="S630" s="1170">
        <f t="shared" si="923"/>
        <v>0</v>
      </c>
      <c r="T630" s="1171"/>
      <c r="U630" s="1128"/>
      <c r="V630" s="1169"/>
      <c r="W630" s="1177"/>
      <c r="X630" s="1177"/>
      <c r="Y630" s="1169"/>
      <c r="Z630" s="1169">
        <f t="shared" si="981"/>
        <v>0</v>
      </c>
      <c r="AA630" s="1169"/>
      <c r="AB630" s="1172">
        <f t="shared" si="925"/>
        <v>0</v>
      </c>
      <c r="AC630" s="1171"/>
      <c r="AD630" s="1128"/>
      <c r="AE630" s="1169"/>
      <c r="AF630" s="1177"/>
      <c r="AG630" s="1177"/>
      <c r="AH630" s="1169"/>
      <c r="AI630" s="1169">
        <f t="shared" si="982"/>
        <v>0</v>
      </c>
      <c r="AJ630" s="1169"/>
      <c r="AK630" s="1173">
        <f t="shared" si="927"/>
        <v>0</v>
      </c>
      <c r="AL630" s="1171"/>
      <c r="AM630" s="1128"/>
      <c r="AN630" s="1170"/>
      <c r="AO630" s="1175"/>
      <c r="AP630" s="1175"/>
      <c r="AQ630" s="1170"/>
      <c r="AR630" s="1170">
        <f t="shared" si="983"/>
        <v>0</v>
      </c>
      <c r="AS630" s="1170"/>
      <c r="AT630" s="1170">
        <f t="shared" si="929"/>
        <v>0</v>
      </c>
      <c r="AU630" s="1174"/>
      <c r="AV630" s="1241"/>
      <c r="AW630" s="1169"/>
      <c r="AX630" s="1177"/>
      <c r="AY630" s="1177"/>
      <c r="AZ630" s="1169"/>
      <c r="BA630" s="1169">
        <f t="shared" si="984"/>
        <v>0</v>
      </c>
      <c r="BB630" s="1169"/>
      <c r="BC630" s="1175">
        <f t="shared" si="931"/>
        <v>0</v>
      </c>
      <c r="BD630" s="1027"/>
      <c r="BE630" s="1029"/>
      <c r="BF630" s="1029"/>
    </row>
    <row r="631" ht="17.25" customHeight="1">
      <c r="A631" s="999" t="str">
        <f t="shared" si="970"/>
        <v xml:space="preserve">Павленко И.В.</v>
      </c>
      <c r="B631" s="1202" t="s">
        <v>399</v>
      </c>
      <c r="C631" s="1204" t="s">
        <v>491</v>
      </c>
      <c r="D631" s="1201" t="s">
        <v>489</v>
      </c>
      <c r="E631" s="1164">
        <f t="shared" si="944"/>
        <v>0</v>
      </c>
      <c r="F631" s="1164">
        <f t="shared" si="971"/>
        <v>0</v>
      </c>
      <c r="G631" s="1165">
        <f t="shared" si="978"/>
        <v>0</v>
      </c>
      <c r="H631" s="1166"/>
      <c r="I631" s="1167">
        <f t="shared" si="957"/>
        <v>0</v>
      </c>
      <c r="J631" s="1167">
        <f t="shared" si="972"/>
        <v>0</v>
      </c>
      <c r="K631" s="1168">
        <f t="shared" si="979"/>
        <v>0</v>
      </c>
      <c r="L631" s="1128"/>
      <c r="M631" s="1169"/>
      <c r="N631" s="1177"/>
      <c r="O631" s="1169"/>
      <c r="P631" s="1169"/>
      <c r="Q631" s="1169">
        <f t="shared" si="980"/>
        <v>0</v>
      </c>
      <c r="R631" s="1169"/>
      <c r="S631" s="1170">
        <f t="shared" si="923"/>
        <v>0</v>
      </c>
      <c r="T631" s="1171"/>
      <c r="U631" s="1128"/>
      <c r="V631" s="1169"/>
      <c r="W631" s="1177"/>
      <c r="X631" s="1177"/>
      <c r="Y631" s="1169"/>
      <c r="Z631" s="1169">
        <f t="shared" si="981"/>
        <v>0</v>
      </c>
      <c r="AA631" s="1169"/>
      <c r="AB631" s="1172">
        <f t="shared" si="925"/>
        <v>0</v>
      </c>
      <c r="AC631" s="1171"/>
      <c r="AD631" s="1128"/>
      <c r="AE631" s="1169"/>
      <c r="AF631" s="1177"/>
      <c r="AG631" s="1177"/>
      <c r="AH631" s="1169"/>
      <c r="AI631" s="1169">
        <f t="shared" si="982"/>
        <v>0</v>
      </c>
      <c r="AJ631" s="1169"/>
      <c r="AK631" s="1173">
        <f t="shared" si="927"/>
        <v>0</v>
      </c>
      <c r="AL631" s="1171"/>
      <c r="AM631" s="1128"/>
      <c r="AN631" s="1170"/>
      <c r="AO631" s="1175"/>
      <c r="AP631" s="1175"/>
      <c r="AQ631" s="1170"/>
      <c r="AR631" s="1170">
        <f t="shared" si="983"/>
        <v>0</v>
      </c>
      <c r="AS631" s="1170"/>
      <c r="AT631" s="1170">
        <f t="shared" si="929"/>
        <v>0</v>
      </c>
      <c r="AU631" s="1174"/>
      <c r="AV631" s="1241"/>
      <c r="AW631" s="1169"/>
      <c r="AX631" s="1177"/>
      <c r="AY631" s="1177"/>
      <c r="AZ631" s="1169"/>
      <c r="BA631" s="1169">
        <f t="shared" si="984"/>
        <v>0</v>
      </c>
      <c r="BB631" s="1169"/>
      <c r="BC631" s="1175">
        <f t="shared" si="931"/>
        <v>0</v>
      </c>
      <c r="BD631" s="1027"/>
      <c r="BE631" s="1029"/>
      <c r="BF631" s="1029"/>
    </row>
    <row r="632" s="1180" customFormat="1" ht="17.25" customHeight="1">
      <c r="A632" s="999">
        <f t="shared" si="970"/>
        <v>0</v>
      </c>
      <c r="B632" s="1205" t="s">
        <v>363</v>
      </c>
      <c r="C632" s="1205"/>
      <c r="D632" s="1205"/>
      <c r="E632" s="1183">
        <f t="shared" si="944"/>
        <v>0</v>
      </c>
      <c r="F632" s="1183">
        <f t="shared" si="971"/>
        <v>0</v>
      </c>
      <c r="G632" s="1184">
        <f>SUM(G629:G631)</f>
        <v>0</v>
      </c>
      <c r="H632" s="1185"/>
      <c r="I632" s="1186">
        <f t="shared" si="957"/>
        <v>0</v>
      </c>
      <c r="J632" s="1186">
        <f t="shared" si="972"/>
        <v>0</v>
      </c>
      <c r="K632" s="1187">
        <f>SUM(K629:K631)</f>
        <v>0</v>
      </c>
      <c r="L632" s="1197"/>
      <c r="M632" s="1096">
        <f t="shared" si="973"/>
        <v>0</v>
      </c>
      <c r="N632" s="1096">
        <f t="shared" si="973"/>
        <v>0</v>
      </c>
      <c r="O632" s="1096">
        <f t="shared" si="973"/>
        <v>0</v>
      </c>
      <c r="P632" s="1096">
        <f t="shared" si="973"/>
        <v>0</v>
      </c>
      <c r="Q632" s="1096">
        <f t="shared" si="973"/>
        <v>0</v>
      </c>
      <c r="R632" s="1096">
        <f t="shared" si="973"/>
        <v>0</v>
      </c>
      <c r="S632" s="1170">
        <f t="shared" si="923"/>
        <v>0</v>
      </c>
      <c r="T632" s="1189"/>
      <c r="U632" s="1128"/>
      <c r="V632" s="1096">
        <f t="shared" si="974"/>
        <v>0</v>
      </c>
      <c r="W632" s="1096">
        <f t="shared" si="974"/>
        <v>0</v>
      </c>
      <c r="X632" s="1096">
        <f t="shared" si="974"/>
        <v>0</v>
      </c>
      <c r="Y632" s="1096">
        <f t="shared" si="974"/>
        <v>0</v>
      </c>
      <c r="Z632" s="1096">
        <f t="shared" si="974"/>
        <v>0</v>
      </c>
      <c r="AA632" s="1096">
        <f t="shared" si="974"/>
        <v>0</v>
      </c>
      <c r="AB632" s="1172">
        <f t="shared" si="925"/>
        <v>0</v>
      </c>
      <c r="AC632" s="1189"/>
      <c r="AD632" s="1125"/>
      <c r="AE632" s="1096">
        <f t="shared" si="975"/>
        <v>0</v>
      </c>
      <c r="AF632" s="1096">
        <f t="shared" si="975"/>
        <v>0</v>
      </c>
      <c r="AG632" s="1096">
        <f t="shared" si="975"/>
        <v>0</v>
      </c>
      <c r="AH632" s="1096">
        <f t="shared" si="975"/>
        <v>0</v>
      </c>
      <c r="AI632" s="1096">
        <f t="shared" si="975"/>
        <v>0</v>
      </c>
      <c r="AJ632" s="1096">
        <f t="shared" si="975"/>
        <v>0</v>
      </c>
      <c r="AK632" s="1173">
        <f t="shared" si="927"/>
        <v>0</v>
      </c>
      <c r="AL632" s="1189"/>
      <c r="AM632" s="1125"/>
      <c r="AN632" s="1190">
        <f t="shared" si="976"/>
        <v>0</v>
      </c>
      <c r="AO632" s="1190">
        <f t="shared" si="976"/>
        <v>0</v>
      </c>
      <c r="AP632" s="1190">
        <f t="shared" si="976"/>
        <v>0</v>
      </c>
      <c r="AQ632" s="1190">
        <f t="shared" si="976"/>
        <v>0</v>
      </c>
      <c r="AR632" s="1190">
        <f t="shared" si="976"/>
        <v>0</v>
      </c>
      <c r="AS632" s="1190">
        <f t="shared" si="976"/>
        <v>0</v>
      </c>
      <c r="AT632" s="1170">
        <f t="shared" si="929"/>
        <v>0</v>
      </c>
      <c r="AU632" s="1191"/>
      <c r="AV632" s="1245"/>
      <c r="AW632" s="1096">
        <f t="shared" si="977"/>
        <v>0</v>
      </c>
      <c r="AX632" s="1096">
        <f t="shared" si="977"/>
        <v>0</v>
      </c>
      <c r="AY632" s="1096">
        <f t="shared" si="977"/>
        <v>0</v>
      </c>
      <c r="AZ632" s="1096">
        <f t="shared" si="977"/>
        <v>0</v>
      </c>
      <c r="BA632" s="1096">
        <f t="shared" si="977"/>
        <v>0</v>
      </c>
      <c r="BB632" s="1096">
        <f t="shared" si="977"/>
        <v>0</v>
      </c>
      <c r="BC632" s="1175">
        <f t="shared" si="931"/>
        <v>0</v>
      </c>
      <c r="BD632" s="1052"/>
      <c r="BE632" s="1051"/>
      <c r="BF632" s="1051"/>
      <c r="BG632" s="1106"/>
      <c r="BH632" s="1106"/>
      <c r="BI632" s="1106"/>
      <c r="BJ632" s="1106"/>
      <c r="BK632" s="1106"/>
      <c r="BL632" s="1106"/>
      <c r="BM632" s="1106"/>
    </row>
    <row r="633" s="1180" customFormat="1" ht="17.25" customHeight="1">
      <c r="A633" s="999">
        <f t="shared" si="970"/>
        <v>0</v>
      </c>
      <c r="B633" s="1205" t="s">
        <v>400</v>
      </c>
      <c r="C633" s="1205"/>
      <c r="D633" s="1205"/>
      <c r="E633" s="1183">
        <f t="shared" si="944"/>
        <v>0</v>
      </c>
      <c r="F633" s="1183">
        <f t="shared" si="971"/>
        <v>0</v>
      </c>
      <c r="G633" s="1184">
        <f>G632+G628+G624+G618+G604</f>
        <v>0</v>
      </c>
      <c r="H633" s="1185"/>
      <c r="I633" s="1186">
        <f t="shared" si="957"/>
        <v>0</v>
      </c>
      <c r="J633" s="1186">
        <f t="shared" si="972"/>
        <v>0</v>
      </c>
      <c r="K633" s="1187">
        <f>K632+K628+K624+K618+K604</f>
        <v>0</v>
      </c>
      <c r="L633" s="1210">
        <f t="shared" ref="L633:R633" si="985">L632+L628+L624+L618+L604</f>
        <v>0</v>
      </c>
      <c r="M633" s="1209">
        <f t="shared" si="985"/>
        <v>0</v>
      </c>
      <c r="N633" s="1209">
        <f t="shared" si="985"/>
        <v>0</v>
      </c>
      <c r="O633" s="1209">
        <f t="shared" si="985"/>
        <v>0</v>
      </c>
      <c r="P633" s="1209">
        <f t="shared" si="985"/>
        <v>0</v>
      </c>
      <c r="Q633" s="1209">
        <f t="shared" si="985"/>
        <v>0</v>
      </c>
      <c r="R633" s="1209">
        <f t="shared" si="985"/>
        <v>0</v>
      </c>
      <c r="S633" s="1170">
        <f t="shared" si="923"/>
        <v>0</v>
      </c>
      <c r="T633" s="1208"/>
      <c r="U633" s="1211">
        <f t="shared" ref="U633:AA633" si="986">U632+U628+U624+U618+U604</f>
        <v>0</v>
      </c>
      <c r="V633" s="1209">
        <f t="shared" si="986"/>
        <v>0</v>
      </c>
      <c r="W633" s="1209">
        <f t="shared" si="986"/>
        <v>0</v>
      </c>
      <c r="X633" s="1209">
        <f t="shared" si="986"/>
        <v>0</v>
      </c>
      <c r="Y633" s="1209">
        <f t="shared" si="986"/>
        <v>0</v>
      </c>
      <c r="Z633" s="1209">
        <f t="shared" si="986"/>
        <v>0</v>
      </c>
      <c r="AA633" s="1209">
        <f t="shared" si="986"/>
        <v>0</v>
      </c>
      <c r="AB633" s="1172">
        <f t="shared" si="925"/>
        <v>0</v>
      </c>
      <c r="AC633" s="1208"/>
      <c r="AD633" s="1210">
        <f t="shared" ref="AD633:AJ633" si="987">AD632+AD628+AD624+AD618+AD604</f>
        <v>0</v>
      </c>
      <c r="AE633" s="1209">
        <f t="shared" si="987"/>
        <v>0</v>
      </c>
      <c r="AF633" s="1209">
        <f t="shared" si="987"/>
        <v>0</v>
      </c>
      <c r="AG633" s="1209">
        <f t="shared" si="987"/>
        <v>0</v>
      </c>
      <c r="AH633" s="1209">
        <f t="shared" si="987"/>
        <v>0</v>
      </c>
      <c r="AI633" s="1209">
        <f t="shared" si="987"/>
        <v>0</v>
      </c>
      <c r="AJ633" s="1209">
        <f t="shared" si="987"/>
        <v>0</v>
      </c>
      <c r="AK633" s="1173">
        <f t="shared" si="927"/>
        <v>0</v>
      </c>
      <c r="AL633" s="1208"/>
      <c r="AM633" s="1210">
        <f t="shared" ref="AM633:AS633" si="988">AM632+AM628+AM624+AM618+AM604</f>
        <v>0</v>
      </c>
      <c r="AN633" s="1211">
        <f t="shared" si="988"/>
        <v>0</v>
      </c>
      <c r="AO633" s="1211">
        <f t="shared" si="988"/>
        <v>0</v>
      </c>
      <c r="AP633" s="1211">
        <f t="shared" si="988"/>
        <v>0</v>
      </c>
      <c r="AQ633" s="1211">
        <f t="shared" si="988"/>
        <v>0</v>
      </c>
      <c r="AR633" s="1211">
        <f t="shared" si="988"/>
        <v>0</v>
      </c>
      <c r="AS633" s="1211">
        <f t="shared" si="988"/>
        <v>0</v>
      </c>
      <c r="AT633" s="1170">
        <f t="shared" si="929"/>
        <v>0</v>
      </c>
      <c r="AU633" s="1212"/>
      <c r="AV633" s="1211">
        <f t="shared" ref="AV633:BB633" si="989">AV632+AV628+AV624+AV618+AV604</f>
        <v>0</v>
      </c>
      <c r="AW633" s="1209">
        <f t="shared" si="989"/>
        <v>0</v>
      </c>
      <c r="AX633" s="1209">
        <f t="shared" si="989"/>
        <v>0</v>
      </c>
      <c r="AY633" s="1209">
        <f t="shared" si="989"/>
        <v>0</v>
      </c>
      <c r="AZ633" s="1209">
        <f t="shared" si="989"/>
        <v>0</v>
      </c>
      <c r="BA633" s="1209">
        <f t="shared" si="989"/>
        <v>0</v>
      </c>
      <c r="BB633" s="1209">
        <f t="shared" si="989"/>
        <v>0</v>
      </c>
      <c r="BC633" s="1175">
        <f t="shared" si="931"/>
        <v>0</v>
      </c>
      <c r="BD633" s="1052"/>
      <c r="BE633" s="1051"/>
      <c r="BF633" s="1051"/>
      <c r="BG633" s="1106"/>
      <c r="BH633" s="1106"/>
      <c r="BI633" s="1106"/>
      <c r="BJ633" s="1106"/>
      <c r="BK633" s="1106"/>
      <c r="BL633" s="1106"/>
      <c r="BM633" s="1106"/>
    </row>
    <row r="634" ht="17.25" customHeight="1">
      <c r="A634" s="999" t="str">
        <f t="shared" si="970"/>
        <v xml:space="preserve">Куприянова А.В.</v>
      </c>
      <c r="B634" s="1202" t="s">
        <v>402</v>
      </c>
      <c r="C634" s="1202"/>
      <c r="D634" s="1202"/>
      <c r="E634" s="1164">
        <f t="shared" si="944"/>
        <v>0</v>
      </c>
      <c r="F634" s="1164">
        <f t="shared" si="971"/>
        <v>0</v>
      </c>
      <c r="G634" s="1165">
        <f t="shared" ref="G634:G635" si="990">E634+F634</f>
        <v>0</v>
      </c>
      <c r="H634" s="1166"/>
      <c r="I634" s="1167">
        <f t="shared" si="957"/>
        <v>0</v>
      </c>
      <c r="J634" s="1167">
        <f t="shared" si="972"/>
        <v>0</v>
      </c>
      <c r="K634" s="1168">
        <f t="shared" ref="K634:K635" si="991">I634+J634</f>
        <v>0</v>
      </c>
      <c r="L634" s="1128"/>
      <c r="M634" s="1169"/>
      <c r="N634" s="1177"/>
      <c r="O634" s="1169"/>
      <c r="P634" s="1169"/>
      <c r="Q634" s="1169">
        <f t="shared" ref="Q634:Q635" si="992">SUM(M634:P634)</f>
        <v>0</v>
      </c>
      <c r="R634" s="1169"/>
      <c r="S634" s="1170">
        <f t="shared" si="923"/>
        <v>0</v>
      </c>
      <c r="T634" s="1171"/>
      <c r="U634" s="1128"/>
      <c r="V634" s="1169"/>
      <c r="W634" s="1177"/>
      <c r="X634" s="1177"/>
      <c r="Y634" s="1169"/>
      <c r="Z634" s="1169">
        <f t="shared" ref="Z634:Z635" si="993">SUM(V634:Y634)</f>
        <v>0</v>
      </c>
      <c r="AA634" s="1169"/>
      <c r="AB634" s="1172">
        <f t="shared" si="925"/>
        <v>0</v>
      </c>
      <c r="AC634" s="1171"/>
      <c r="AD634" s="1128"/>
      <c r="AE634" s="1169"/>
      <c r="AF634" s="1177"/>
      <c r="AG634" s="1177"/>
      <c r="AH634" s="1169"/>
      <c r="AI634" s="1169">
        <f t="shared" ref="AI634:AI635" si="994">SUM(AE634:AH634)</f>
        <v>0</v>
      </c>
      <c r="AJ634" s="1169"/>
      <c r="AK634" s="1173">
        <f t="shared" si="927"/>
        <v>0</v>
      </c>
      <c r="AL634" s="1171"/>
      <c r="AM634" s="1128"/>
      <c r="AN634" s="1170"/>
      <c r="AO634" s="1175"/>
      <c r="AP634" s="1175"/>
      <c r="AQ634" s="1170"/>
      <c r="AR634" s="1170">
        <f t="shared" ref="AR634:AR635" si="995">SUM(AN634:AQ634)</f>
        <v>0</v>
      </c>
      <c r="AS634" s="1170"/>
      <c r="AT634" s="1170">
        <f t="shared" si="929"/>
        <v>0</v>
      </c>
      <c r="AU634" s="1174"/>
      <c r="AV634" s="1241"/>
      <c r="AW634" s="1169"/>
      <c r="AX634" s="1177"/>
      <c r="AY634" s="1177"/>
      <c r="AZ634" s="1169"/>
      <c r="BA634" s="1169">
        <f t="shared" ref="BA634:BA635" si="996">SUM(AW634:AZ634)</f>
        <v>0</v>
      </c>
      <c r="BB634" s="1169"/>
      <c r="BC634" s="1175">
        <f t="shared" si="931"/>
        <v>0</v>
      </c>
      <c r="BD634" s="1027"/>
      <c r="BE634" s="1029"/>
      <c r="BF634" s="1029"/>
    </row>
    <row r="635" ht="17.25" customHeight="1">
      <c r="A635" s="999" t="str">
        <f t="shared" si="970"/>
        <v xml:space="preserve">Попова И.Ю.</v>
      </c>
      <c r="B635" s="1202" t="s">
        <v>404</v>
      </c>
      <c r="C635" s="1202"/>
      <c r="D635" s="1202"/>
      <c r="E635" s="1164">
        <f t="shared" si="944"/>
        <v>0</v>
      </c>
      <c r="F635" s="1164">
        <f t="shared" si="971"/>
        <v>0</v>
      </c>
      <c r="G635" s="1165">
        <f t="shared" si="990"/>
        <v>0</v>
      </c>
      <c r="H635" s="1166"/>
      <c r="I635" s="1167">
        <f t="shared" si="957"/>
        <v>0</v>
      </c>
      <c r="J635" s="1167">
        <f t="shared" si="972"/>
        <v>0</v>
      </c>
      <c r="K635" s="1168">
        <f t="shared" si="991"/>
        <v>0</v>
      </c>
      <c r="L635" s="1128"/>
      <c r="M635" s="1169"/>
      <c r="N635" s="1177"/>
      <c r="O635" s="1169"/>
      <c r="P635" s="1169"/>
      <c r="Q635" s="1169">
        <f t="shared" si="992"/>
        <v>0</v>
      </c>
      <c r="R635" s="1169"/>
      <c r="S635" s="1170">
        <f t="shared" si="923"/>
        <v>0</v>
      </c>
      <c r="T635" s="1171"/>
      <c r="U635" s="1128"/>
      <c r="V635" s="1169"/>
      <c r="W635" s="1177"/>
      <c r="X635" s="1177"/>
      <c r="Y635" s="1169"/>
      <c r="Z635" s="1169">
        <f t="shared" si="993"/>
        <v>0</v>
      </c>
      <c r="AA635" s="1169"/>
      <c r="AB635" s="1172">
        <f t="shared" si="925"/>
        <v>0</v>
      </c>
      <c r="AC635" s="1171"/>
      <c r="AD635" s="1128"/>
      <c r="AE635" s="1169"/>
      <c r="AF635" s="1177"/>
      <c r="AG635" s="1177"/>
      <c r="AH635" s="1169"/>
      <c r="AI635" s="1169">
        <f t="shared" si="994"/>
        <v>0</v>
      </c>
      <c r="AJ635" s="1169"/>
      <c r="AK635" s="1173">
        <f t="shared" si="927"/>
        <v>0</v>
      </c>
      <c r="AL635" s="1171"/>
      <c r="AM635" s="1128"/>
      <c r="AN635" s="1170"/>
      <c r="AO635" s="1175"/>
      <c r="AP635" s="1175"/>
      <c r="AQ635" s="1170"/>
      <c r="AR635" s="1170">
        <f t="shared" si="995"/>
        <v>0</v>
      </c>
      <c r="AS635" s="1170"/>
      <c r="AT635" s="1170">
        <f t="shared" si="929"/>
        <v>0</v>
      </c>
      <c r="AU635" s="1174"/>
      <c r="AV635" s="1241"/>
      <c r="AW635" s="1169"/>
      <c r="AX635" s="1177"/>
      <c r="AY635" s="1177"/>
      <c r="AZ635" s="1169"/>
      <c r="BA635" s="1169">
        <f t="shared" si="996"/>
        <v>0</v>
      </c>
      <c r="BB635" s="1169"/>
      <c r="BC635" s="1175">
        <f t="shared" si="931"/>
        <v>0</v>
      </c>
      <c r="BD635" s="1027"/>
      <c r="BE635" s="1029"/>
      <c r="BF635" s="1029"/>
    </row>
    <row r="636" s="1180" customFormat="1" ht="17.25" customHeight="1">
      <c r="A636" s="999">
        <f t="shared" si="970"/>
        <v>0</v>
      </c>
      <c r="B636" s="1205" t="s">
        <v>405</v>
      </c>
      <c r="C636" s="1205"/>
      <c r="D636" s="1205"/>
      <c r="E636" s="1183">
        <f t="shared" si="944"/>
        <v>0</v>
      </c>
      <c r="F636" s="1183">
        <f t="shared" si="971"/>
        <v>0</v>
      </c>
      <c r="G636" s="1184">
        <f>G634+G635</f>
        <v>0</v>
      </c>
      <c r="H636" s="1185"/>
      <c r="I636" s="1186">
        <f t="shared" si="957"/>
        <v>0</v>
      </c>
      <c r="J636" s="1186">
        <f t="shared" si="972"/>
        <v>0</v>
      </c>
      <c r="K636" s="1187">
        <f>K634+K635</f>
        <v>0</v>
      </c>
      <c r="L636" s="1210"/>
      <c r="M636" s="1213">
        <f t="shared" ref="M636:R636" si="997">M634+M635</f>
        <v>0</v>
      </c>
      <c r="N636" s="1213">
        <f t="shared" si="997"/>
        <v>0</v>
      </c>
      <c r="O636" s="1213">
        <f t="shared" si="997"/>
        <v>0</v>
      </c>
      <c r="P636" s="1213">
        <f t="shared" si="997"/>
        <v>0</v>
      </c>
      <c r="Q636" s="1213">
        <f t="shared" si="997"/>
        <v>0</v>
      </c>
      <c r="R636" s="1213">
        <f t="shared" si="997"/>
        <v>0</v>
      </c>
      <c r="S636" s="1170">
        <f t="shared" si="923"/>
        <v>0</v>
      </c>
      <c r="T636" s="1214"/>
      <c r="U636" s="1210"/>
      <c r="V636" s="1209">
        <f t="shared" ref="V636:AA636" si="998">V634+V635</f>
        <v>0</v>
      </c>
      <c r="W636" s="1209">
        <f t="shared" si="998"/>
        <v>0</v>
      </c>
      <c r="X636" s="1209">
        <f t="shared" si="998"/>
        <v>0</v>
      </c>
      <c r="Y636" s="1209">
        <f t="shared" si="998"/>
        <v>0</v>
      </c>
      <c r="Z636" s="1209">
        <f t="shared" si="998"/>
        <v>0</v>
      </c>
      <c r="AA636" s="1209">
        <f t="shared" si="998"/>
        <v>0</v>
      </c>
      <c r="AB636" s="1172">
        <f t="shared" si="925"/>
        <v>0</v>
      </c>
      <c r="AC636" s="1208"/>
      <c r="AD636" s="1210"/>
      <c r="AE636" s="1209">
        <f t="shared" ref="AE636:AJ636" si="999">AE634+AE635</f>
        <v>0</v>
      </c>
      <c r="AF636" s="1209">
        <f t="shared" si="999"/>
        <v>0</v>
      </c>
      <c r="AG636" s="1209">
        <f t="shared" si="999"/>
        <v>0</v>
      </c>
      <c r="AH636" s="1209">
        <f t="shared" si="999"/>
        <v>0</v>
      </c>
      <c r="AI636" s="1209">
        <f t="shared" si="999"/>
        <v>0</v>
      </c>
      <c r="AJ636" s="1209">
        <f t="shared" si="999"/>
        <v>0</v>
      </c>
      <c r="AK636" s="1173">
        <f t="shared" si="927"/>
        <v>0</v>
      </c>
      <c r="AL636" s="1208"/>
      <c r="AM636" s="1210"/>
      <c r="AN636" s="1211">
        <f t="shared" ref="AN636:AS636" si="1000">AN634+AN635</f>
        <v>0</v>
      </c>
      <c r="AO636" s="1211">
        <f t="shared" si="1000"/>
        <v>0</v>
      </c>
      <c r="AP636" s="1211">
        <f t="shared" si="1000"/>
        <v>0</v>
      </c>
      <c r="AQ636" s="1211">
        <f t="shared" si="1000"/>
        <v>0</v>
      </c>
      <c r="AR636" s="1211">
        <f t="shared" si="1000"/>
        <v>0</v>
      </c>
      <c r="AS636" s="1211">
        <f t="shared" si="1000"/>
        <v>0</v>
      </c>
      <c r="AT636" s="1170">
        <f t="shared" si="929"/>
        <v>0</v>
      </c>
      <c r="AU636" s="1212"/>
      <c r="AV636" s="1210">
        <f t="shared" ref="AV636:BB636" si="1001">AV634+AV635</f>
        <v>0</v>
      </c>
      <c r="AW636" s="1209">
        <f t="shared" si="1001"/>
        <v>0</v>
      </c>
      <c r="AX636" s="1209">
        <f t="shared" si="1001"/>
        <v>0</v>
      </c>
      <c r="AY636" s="1209">
        <f t="shared" si="1001"/>
        <v>0</v>
      </c>
      <c r="AZ636" s="1209">
        <f t="shared" si="1001"/>
        <v>0</v>
      </c>
      <c r="BA636" s="1209">
        <f t="shared" si="1001"/>
        <v>0</v>
      </c>
      <c r="BB636" s="1209">
        <f t="shared" si="1001"/>
        <v>0</v>
      </c>
      <c r="BC636" s="1175">
        <f t="shared" si="931"/>
        <v>0</v>
      </c>
      <c r="BD636" s="1052"/>
      <c r="BE636" s="1051"/>
      <c r="BF636" s="1051"/>
      <c r="BG636" s="1106"/>
      <c r="BH636" s="1106"/>
      <c r="BI636" s="1106"/>
      <c r="BJ636" s="1106"/>
      <c r="BK636" s="1106"/>
      <c r="BL636" s="1106"/>
      <c r="BM636" s="1106"/>
    </row>
    <row r="637" s="1180" customFormat="1" ht="17.25" customHeight="1">
      <c r="A637" s="999">
        <f t="shared" si="970"/>
        <v>0</v>
      </c>
      <c r="B637" s="1205" t="s">
        <v>406</v>
      </c>
      <c r="C637" s="1205"/>
      <c r="D637" s="1205"/>
      <c r="E637" s="1183">
        <f t="shared" si="944"/>
        <v>0</v>
      </c>
      <c r="F637" s="1183">
        <f t="shared" si="971"/>
        <v>0</v>
      </c>
      <c r="G637" s="1184">
        <f>G633+G636</f>
        <v>0</v>
      </c>
      <c r="H637" s="1185"/>
      <c r="I637" s="1186">
        <f t="shared" si="957"/>
        <v>0</v>
      </c>
      <c r="J637" s="1186">
        <f t="shared" si="972"/>
        <v>0</v>
      </c>
      <c r="K637" s="1187">
        <f>K633+K636</f>
        <v>0</v>
      </c>
      <c r="L637" s="1210">
        <f t="shared" ref="L637:R637" si="1002">L633+L636</f>
        <v>0</v>
      </c>
      <c r="M637" s="1209">
        <f t="shared" si="1002"/>
        <v>0</v>
      </c>
      <c r="N637" s="1209">
        <f t="shared" si="1002"/>
        <v>0</v>
      </c>
      <c r="O637" s="1209">
        <f t="shared" si="1002"/>
        <v>0</v>
      </c>
      <c r="P637" s="1209">
        <f t="shared" si="1002"/>
        <v>0</v>
      </c>
      <c r="Q637" s="1209">
        <f t="shared" si="1002"/>
        <v>0</v>
      </c>
      <c r="R637" s="1209">
        <f t="shared" si="1002"/>
        <v>0</v>
      </c>
      <c r="S637" s="1170">
        <f t="shared" si="923"/>
        <v>0</v>
      </c>
      <c r="T637" s="1208"/>
      <c r="U637" s="1211">
        <f t="shared" ref="U637:AA637" si="1003">U633+U636</f>
        <v>0</v>
      </c>
      <c r="V637" s="1209">
        <f t="shared" si="1003"/>
        <v>0</v>
      </c>
      <c r="W637" s="1209">
        <f t="shared" si="1003"/>
        <v>0</v>
      </c>
      <c r="X637" s="1209">
        <f t="shared" si="1003"/>
        <v>0</v>
      </c>
      <c r="Y637" s="1209">
        <f t="shared" si="1003"/>
        <v>0</v>
      </c>
      <c r="Z637" s="1209">
        <f t="shared" si="1003"/>
        <v>0</v>
      </c>
      <c r="AA637" s="1209">
        <f t="shared" si="1003"/>
        <v>0</v>
      </c>
      <c r="AB637" s="1172">
        <f t="shared" si="925"/>
        <v>0</v>
      </c>
      <c r="AC637" s="1208"/>
      <c r="AD637" s="1210">
        <f t="shared" ref="AD637:AJ637" si="1004">AD633+AD636</f>
        <v>0</v>
      </c>
      <c r="AE637" s="1209">
        <f t="shared" si="1004"/>
        <v>0</v>
      </c>
      <c r="AF637" s="1209">
        <f t="shared" si="1004"/>
        <v>0</v>
      </c>
      <c r="AG637" s="1209">
        <f t="shared" si="1004"/>
        <v>0</v>
      </c>
      <c r="AH637" s="1209">
        <f t="shared" si="1004"/>
        <v>0</v>
      </c>
      <c r="AI637" s="1209">
        <f t="shared" si="1004"/>
        <v>0</v>
      </c>
      <c r="AJ637" s="1209">
        <f t="shared" si="1004"/>
        <v>0</v>
      </c>
      <c r="AK637" s="1173">
        <f t="shared" si="927"/>
        <v>0</v>
      </c>
      <c r="AL637" s="1208"/>
      <c r="AM637" s="1210">
        <f t="shared" ref="AM637:AS637" si="1005">AM633+AM636</f>
        <v>0</v>
      </c>
      <c r="AN637" s="1211">
        <f t="shared" si="1005"/>
        <v>0</v>
      </c>
      <c r="AO637" s="1211">
        <f t="shared" si="1005"/>
        <v>0</v>
      </c>
      <c r="AP637" s="1211">
        <f t="shared" si="1005"/>
        <v>0</v>
      </c>
      <c r="AQ637" s="1211">
        <f t="shared" si="1005"/>
        <v>0</v>
      </c>
      <c r="AR637" s="1211">
        <f t="shared" si="1005"/>
        <v>0</v>
      </c>
      <c r="AS637" s="1211">
        <f t="shared" si="1005"/>
        <v>0</v>
      </c>
      <c r="AT637" s="1170">
        <f t="shared" si="929"/>
        <v>0</v>
      </c>
      <c r="AU637" s="1212"/>
      <c r="AV637" s="1211">
        <f t="shared" ref="AV637:BB637" si="1006">AV633+AV636</f>
        <v>0</v>
      </c>
      <c r="AW637" s="1209">
        <f t="shared" si="1006"/>
        <v>0</v>
      </c>
      <c r="AX637" s="1209">
        <f t="shared" si="1006"/>
        <v>0</v>
      </c>
      <c r="AY637" s="1209">
        <f t="shared" si="1006"/>
        <v>0</v>
      </c>
      <c r="AZ637" s="1209">
        <f t="shared" si="1006"/>
        <v>0</v>
      </c>
      <c r="BA637" s="1209">
        <f t="shared" si="1006"/>
        <v>0</v>
      </c>
      <c r="BB637" s="1209">
        <f t="shared" si="1006"/>
        <v>0</v>
      </c>
      <c r="BC637" s="1175">
        <f t="shared" si="931"/>
        <v>0</v>
      </c>
      <c r="BD637" s="1052"/>
      <c r="BE637" s="1051"/>
      <c r="BF637" s="1051"/>
      <c r="BG637" s="1106"/>
      <c r="BH637" s="1106"/>
      <c r="BI637" s="1106"/>
      <c r="BJ637" s="1106"/>
      <c r="BK637" s="1106"/>
      <c r="BL637" s="1106"/>
      <c r="BM637" s="1106"/>
    </row>
    <row r="638" ht="17.25" customHeight="1">
      <c r="A638" s="999">
        <f t="shared" si="970"/>
        <v>0</v>
      </c>
      <c r="B638" s="1202" t="s">
        <v>407</v>
      </c>
      <c r="C638" s="1202"/>
      <c r="D638" s="1202"/>
      <c r="E638" s="1164">
        <f t="shared" si="944"/>
        <v>0</v>
      </c>
      <c r="F638" s="1164">
        <f t="shared" si="971"/>
        <v>0</v>
      </c>
      <c r="G638" s="1165">
        <f t="shared" ref="G638:G645" si="1007">E638+F638</f>
        <v>0</v>
      </c>
      <c r="H638" s="1166"/>
      <c r="I638" s="1167">
        <f t="shared" si="957"/>
        <v>0</v>
      </c>
      <c r="J638" s="1167">
        <f t="shared" si="972"/>
        <v>0</v>
      </c>
      <c r="K638" s="1168">
        <f t="shared" ref="K638:K645" si="1008">I638+J638</f>
        <v>0</v>
      </c>
      <c r="L638" s="1128"/>
      <c r="M638" s="1169"/>
      <c r="N638" s="1177"/>
      <c r="O638" s="1169"/>
      <c r="P638" s="1169"/>
      <c r="Q638" s="1169">
        <f t="shared" ref="Q638:Q645" si="1009">SUM(M638:P638)</f>
        <v>0</v>
      </c>
      <c r="R638" s="1169"/>
      <c r="S638" s="1170">
        <f t="shared" si="923"/>
        <v>0</v>
      </c>
      <c r="T638" s="1171"/>
      <c r="U638" s="1128"/>
      <c r="V638" s="1169"/>
      <c r="W638" s="1177"/>
      <c r="X638" s="1177"/>
      <c r="Y638" s="1169"/>
      <c r="Z638" s="1169">
        <f t="shared" ref="Z638:Z645" si="1010">SUM(V638:Y638)</f>
        <v>0</v>
      </c>
      <c r="AA638" s="1169"/>
      <c r="AB638" s="1172">
        <f t="shared" si="925"/>
        <v>0</v>
      </c>
      <c r="AC638" s="1171"/>
      <c r="AD638" s="1128"/>
      <c r="AE638" s="1169"/>
      <c r="AF638" s="1177"/>
      <c r="AG638" s="1177"/>
      <c r="AH638" s="1169"/>
      <c r="AI638" s="1169">
        <f t="shared" ref="AI638:AI645" si="1011">SUM(AE638:AH638)</f>
        <v>0</v>
      </c>
      <c r="AJ638" s="1169"/>
      <c r="AK638" s="1173">
        <f t="shared" si="927"/>
        <v>0</v>
      </c>
      <c r="AL638" s="1171"/>
      <c r="AM638" s="1128"/>
      <c r="AN638" s="1170"/>
      <c r="AO638" s="1175"/>
      <c r="AP638" s="1175"/>
      <c r="AQ638" s="1170"/>
      <c r="AR638" s="1170">
        <f t="shared" ref="AR638:AR645" si="1012">SUM(AN638:AQ638)</f>
        <v>0</v>
      </c>
      <c r="AS638" s="1170"/>
      <c r="AT638" s="1170">
        <f t="shared" si="929"/>
        <v>0</v>
      </c>
      <c r="AU638" s="1174"/>
      <c r="AV638" s="1241"/>
      <c r="AW638" s="1169"/>
      <c r="AX638" s="1177"/>
      <c r="AY638" s="1177"/>
      <c r="AZ638" s="1169"/>
      <c r="BA638" s="1169">
        <f t="shared" ref="BA638:BA645" si="1013">SUM(AW638:AZ638)</f>
        <v>0</v>
      </c>
      <c r="BB638" s="1169"/>
      <c r="BC638" s="1175">
        <f t="shared" si="931"/>
        <v>0</v>
      </c>
      <c r="BD638" s="1027"/>
      <c r="BE638" s="1029"/>
      <c r="BF638" s="1029"/>
    </row>
    <row r="639" ht="17.25" customHeight="1">
      <c r="A639" s="999" t="str">
        <f t="shared" si="970"/>
        <v xml:space="preserve">Леоненко Г.Н</v>
      </c>
      <c r="B639" s="1202" t="s">
        <v>409</v>
      </c>
      <c r="C639" s="1202"/>
      <c r="D639" s="1202"/>
      <c r="E639" s="1164">
        <f t="shared" si="944"/>
        <v>0</v>
      </c>
      <c r="F639" s="1164">
        <f t="shared" si="971"/>
        <v>0</v>
      </c>
      <c r="G639" s="1165">
        <f t="shared" si="1007"/>
        <v>0</v>
      </c>
      <c r="H639" s="1166"/>
      <c r="I639" s="1167">
        <f t="shared" si="957"/>
        <v>0</v>
      </c>
      <c r="J639" s="1167">
        <f t="shared" si="972"/>
        <v>0</v>
      </c>
      <c r="K639" s="1168">
        <f t="shared" si="1008"/>
        <v>0</v>
      </c>
      <c r="L639" s="1128"/>
      <c r="M639" s="1169"/>
      <c r="N639" s="1177"/>
      <c r="O639" s="1169"/>
      <c r="P639" s="1169"/>
      <c r="Q639" s="1169">
        <f t="shared" si="1009"/>
        <v>0</v>
      </c>
      <c r="R639" s="1169"/>
      <c r="S639" s="1170">
        <f t="shared" si="923"/>
        <v>0</v>
      </c>
      <c r="T639" s="1171"/>
      <c r="U639" s="1128"/>
      <c r="V639" s="1169"/>
      <c r="W639" s="1177"/>
      <c r="X639" s="1177"/>
      <c r="Y639" s="1169"/>
      <c r="Z639" s="1169">
        <f t="shared" si="1010"/>
        <v>0</v>
      </c>
      <c r="AA639" s="1169"/>
      <c r="AB639" s="1172">
        <f t="shared" si="925"/>
        <v>0</v>
      </c>
      <c r="AC639" s="1171"/>
      <c r="AD639" s="1128"/>
      <c r="AE639" s="1169"/>
      <c r="AF639" s="1177"/>
      <c r="AG639" s="1177"/>
      <c r="AH639" s="1169"/>
      <c r="AI639" s="1169">
        <f t="shared" si="1011"/>
        <v>0</v>
      </c>
      <c r="AJ639" s="1169"/>
      <c r="AK639" s="1173">
        <f t="shared" si="927"/>
        <v>0</v>
      </c>
      <c r="AL639" s="1171"/>
      <c r="AM639" s="1128"/>
      <c r="AN639" s="1170"/>
      <c r="AO639" s="1175"/>
      <c r="AP639" s="1175"/>
      <c r="AQ639" s="1170"/>
      <c r="AR639" s="1170">
        <f t="shared" si="1012"/>
        <v>0</v>
      </c>
      <c r="AS639" s="1170"/>
      <c r="AT639" s="1170">
        <f t="shared" si="929"/>
        <v>0</v>
      </c>
      <c r="AU639" s="1174"/>
      <c r="AV639" s="1241"/>
      <c r="AW639" s="1169"/>
      <c r="AX639" s="1177"/>
      <c r="AY639" s="1177"/>
      <c r="AZ639" s="1169"/>
      <c r="BA639" s="1169">
        <f t="shared" si="1013"/>
        <v>0</v>
      </c>
      <c r="BB639" s="1169"/>
      <c r="BC639" s="1175">
        <f t="shared" si="931"/>
        <v>0</v>
      </c>
      <c r="BD639" s="1027"/>
      <c r="BE639" s="1029"/>
      <c r="BF639" s="1029"/>
    </row>
    <row r="640" s="1215" customFormat="1" ht="17.25" customHeight="1">
      <c r="A640" s="999" t="str">
        <f t="shared" si="970"/>
        <v xml:space="preserve">Саяпина О.А.</v>
      </c>
      <c r="B640" s="1202" t="s">
        <v>411</v>
      </c>
      <c r="C640" s="1217" t="s">
        <v>492</v>
      </c>
      <c r="D640" s="1217"/>
      <c r="E640" s="1164">
        <f t="shared" si="944"/>
        <v>0</v>
      </c>
      <c r="F640" s="1164">
        <f t="shared" si="971"/>
        <v>0</v>
      </c>
      <c r="G640" s="1165">
        <f t="shared" si="1007"/>
        <v>0</v>
      </c>
      <c r="H640" s="1166"/>
      <c r="I640" s="1167">
        <f t="shared" si="957"/>
        <v>0</v>
      </c>
      <c r="J640" s="1167">
        <f t="shared" si="972"/>
        <v>0</v>
      </c>
      <c r="K640" s="1168">
        <f t="shared" si="1008"/>
        <v>0</v>
      </c>
      <c r="L640" s="1128"/>
      <c r="M640" s="1169"/>
      <c r="N640" s="1177"/>
      <c r="O640" s="1169"/>
      <c r="P640" s="1169"/>
      <c r="Q640" s="1169">
        <f t="shared" si="1009"/>
        <v>0</v>
      </c>
      <c r="R640" s="1169"/>
      <c r="S640" s="1170">
        <f t="shared" si="923"/>
        <v>0</v>
      </c>
      <c r="T640" s="1171"/>
      <c r="U640" s="1128"/>
      <c r="V640" s="1169"/>
      <c r="W640" s="1177"/>
      <c r="X640" s="1177"/>
      <c r="Y640" s="1169"/>
      <c r="Z640" s="1169">
        <f t="shared" si="1010"/>
        <v>0</v>
      </c>
      <c r="AA640" s="1169"/>
      <c r="AB640" s="1172">
        <f t="shared" si="925"/>
        <v>0</v>
      </c>
      <c r="AC640" s="1171"/>
      <c r="AD640" s="1128"/>
      <c r="AE640" s="1169"/>
      <c r="AF640" s="1177"/>
      <c r="AG640" s="1177"/>
      <c r="AH640" s="1169"/>
      <c r="AI640" s="1169">
        <f t="shared" si="1011"/>
        <v>0</v>
      </c>
      <c r="AJ640" s="1169"/>
      <c r="AK640" s="1173">
        <f t="shared" si="927"/>
        <v>0</v>
      </c>
      <c r="AL640" s="1171"/>
      <c r="AM640" s="1128"/>
      <c r="AN640" s="1170"/>
      <c r="AO640" s="1175"/>
      <c r="AP640" s="1175"/>
      <c r="AQ640" s="1170"/>
      <c r="AR640" s="1170">
        <f t="shared" si="1012"/>
        <v>0</v>
      </c>
      <c r="AS640" s="1170"/>
      <c r="AT640" s="1170">
        <f t="shared" si="929"/>
        <v>0</v>
      </c>
      <c r="AU640" s="1174"/>
      <c r="AV640" s="1128"/>
      <c r="AW640" s="1169"/>
      <c r="AX640" s="1177"/>
      <c r="AY640" s="1177"/>
      <c r="AZ640" s="1169"/>
      <c r="BA640" s="1169">
        <f t="shared" si="1013"/>
        <v>0</v>
      </c>
      <c r="BB640" s="1169"/>
      <c r="BC640" s="1175">
        <f t="shared" si="931"/>
        <v>0</v>
      </c>
      <c r="BD640" s="1027"/>
      <c r="BE640" s="1024"/>
      <c r="BF640" s="1024"/>
      <c r="BG640" s="1008"/>
      <c r="BH640" s="1008"/>
      <c r="BI640" s="1008"/>
      <c r="BJ640" s="1008"/>
      <c r="BK640" s="1008"/>
      <c r="BL640" s="1008"/>
      <c r="BM640" s="1008"/>
    </row>
    <row r="641" s="1215" customFormat="1" ht="17.25" customHeight="1">
      <c r="A641" s="999" t="str">
        <f t="shared" si="970"/>
        <v xml:space="preserve">Дегтярева Е.И. Акилова С.В.</v>
      </c>
      <c r="B641" s="1202" t="s">
        <v>413</v>
      </c>
      <c r="C641" s="1217" t="s">
        <v>493</v>
      </c>
      <c r="D641" s="1217"/>
      <c r="E641" s="1164">
        <f t="shared" si="944"/>
        <v>0</v>
      </c>
      <c r="F641" s="1164">
        <f t="shared" si="971"/>
        <v>0</v>
      </c>
      <c r="G641" s="1165">
        <f t="shared" si="1007"/>
        <v>0</v>
      </c>
      <c r="H641" s="1166"/>
      <c r="I641" s="1167">
        <f t="shared" si="957"/>
        <v>0</v>
      </c>
      <c r="J641" s="1167">
        <f t="shared" si="972"/>
        <v>0</v>
      </c>
      <c r="K641" s="1168">
        <f t="shared" si="1008"/>
        <v>0</v>
      </c>
      <c r="L641" s="1128"/>
      <c r="M641" s="1169"/>
      <c r="N641" s="1177"/>
      <c r="O641" s="1169"/>
      <c r="P641" s="1169"/>
      <c r="Q641" s="1169">
        <f t="shared" si="1009"/>
        <v>0</v>
      </c>
      <c r="R641" s="1169"/>
      <c r="S641" s="1170">
        <f t="shared" si="923"/>
        <v>0</v>
      </c>
      <c r="T641" s="1171"/>
      <c r="U641" s="1128"/>
      <c r="V641" s="1169"/>
      <c r="W641" s="1177"/>
      <c r="X641" s="1177"/>
      <c r="Y641" s="1169"/>
      <c r="Z641" s="1169">
        <f t="shared" si="1010"/>
        <v>0</v>
      </c>
      <c r="AA641" s="1169"/>
      <c r="AB641" s="1172">
        <f t="shared" si="925"/>
        <v>0</v>
      </c>
      <c r="AC641" s="1171"/>
      <c r="AD641" s="1128"/>
      <c r="AE641" s="1169"/>
      <c r="AF641" s="1177"/>
      <c r="AG641" s="1177"/>
      <c r="AH641" s="1169"/>
      <c r="AI641" s="1169">
        <f t="shared" si="1011"/>
        <v>0</v>
      </c>
      <c r="AJ641" s="1169"/>
      <c r="AK641" s="1173">
        <f t="shared" si="927"/>
        <v>0</v>
      </c>
      <c r="AL641" s="1171"/>
      <c r="AM641" s="1128"/>
      <c r="AN641" s="1170"/>
      <c r="AO641" s="1175"/>
      <c r="AP641" s="1175"/>
      <c r="AQ641" s="1170"/>
      <c r="AR641" s="1170">
        <f t="shared" si="1012"/>
        <v>0</v>
      </c>
      <c r="AS641" s="1170"/>
      <c r="AT641" s="1170">
        <f t="shared" si="929"/>
        <v>0</v>
      </c>
      <c r="AU641" s="1174"/>
      <c r="AV641" s="1128"/>
      <c r="AW641" s="1169"/>
      <c r="AX641" s="1177"/>
      <c r="AY641" s="1177"/>
      <c r="AZ641" s="1169"/>
      <c r="BA641" s="1169">
        <f t="shared" si="1013"/>
        <v>0</v>
      </c>
      <c r="BB641" s="1169"/>
      <c r="BC641" s="1175">
        <f t="shared" si="931"/>
        <v>0</v>
      </c>
      <c r="BD641" s="1027"/>
      <c r="BE641" s="1024"/>
      <c r="BF641" s="1024"/>
      <c r="BG641" s="1008"/>
      <c r="BH641" s="1008"/>
      <c r="BI641" s="1008"/>
      <c r="BJ641" s="1008"/>
      <c r="BK641" s="1008"/>
      <c r="BL641" s="1008"/>
      <c r="BM641" s="1008"/>
    </row>
    <row r="642" s="1215" customFormat="1" ht="17.25" customHeight="1">
      <c r="A642" s="999">
        <f t="shared" si="970"/>
        <v>0</v>
      </c>
      <c r="B642" s="1202" t="s">
        <v>414</v>
      </c>
      <c r="C642" s="1202"/>
      <c r="D642" s="1202"/>
      <c r="E642" s="1164">
        <f t="shared" si="944"/>
        <v>0</v>
      </c>
      <c r="F642" s="1164">
        <f t="shared" si="971"/>
        <v>0</v>
      </c>
      <c r="G642" s="1165"/>
      <c r="H642" s="1166"/>
      <c r="I642" s="1167">
        <f t="shared" si="957"/>
        <v>0</v>
      </c>
      <c r="J642" s="1167">
        <f t="shared" si="972"/>
        <v>0</v>
      </c>
      <c r="K642" s="1168"/>
      <c r="L642" s="1128"/>
      <c r="M642" s="1169"/>
      <c r="N642" s="1177"/>
      <c r="O642" s="1169"/>
      <c r="P642" s="1169"/>
      <c r="Q642" s="1169">
        <f t="shared" si="1009"/>
        <v>0</v>
      </c>
      <c r="R642" s="1169"/>
      <c r="S642" s="1170">
        <f t="shared" si="923"/>
        <v>0</v>
      </c>
      <c r="T642" s="1171"/>
      <c r="U642" s="1128"/>
      <c r="V642" s="1169"/>
      <c r="W642" s="1177"/>
      <c r="X642" s="1177"/>
      <c r="Y642" s="1169"/>
      <c r="Z642" s="1169">
        <f t="shared" si="1010"/>
        <v>0</v>
      </c>
      <c r="AA642" s="1169"/>
      <c r="AB642" s="1172">
        <f t="shared" si="925"/>
        <v>0</v>
      </c>
      <c r="AC642" s="1171"/>
      <c r="AD642" s="1128"/>
      <c r="AE642" s="1169"/>
      <c r="AF642" s="1177"/>
      <c r="AG642" s="1177"/>
      <c r="AH642" s="1169"/>
      <c r="AI642" s="1169">
        <f t="shared" si="1011"/>
        <v>0</v>
      </c>
      <c r="AJ642" s="1169"/>
      <c r="AK642" s="1173">
        <f t="shared" si="927"/>
        <v>0</v>
      </c>
      <c r="AL642" s="1171"/>
      <c r="AM642" s="1128"/>
      <c r="AN642" s="1170"/>
      <c r="AO642" s="1175"/>
      <c r="AP642" s="1175"/>
      <c r="AQ642" s="1170"/>
      <c r="AR642" s="1170">
        <f t="shared" si="1012"/>
        <v>0</v>
      </c>
      <c r="AS642" s="1170"/>
      <c r="AT642" s="1170">
        <f t="shared" si="929"/>
        <v>0</v>
      </c>
      <c r="AU642" s="1174"/>
      <c r="AV642" s="1128"/>
      <c r="AW642" s="1169"/>
      <c r="AX642" s="1177"/>
      <c r="AY642" s="1177"/>
      <c r="AZ642" s="1169"/>
      <c r="BA642" s="1169">
        <f t="shared" si="1013"/>
        <v>0</v>
      </c>
      <c r="BB642" s="1169"/>
      <c r="BC642" s="1175">
        <f t="shared" si="931"/>
        <v>0</v>
      </c>
      <c r="BD642" s="1027"/>
      <c r="BE642" s="1024"/>
      <c r="BF642" s="1024"/>
      <c r="BG642" s="1008"/>
      <c r="BH642" s="1008"/>
      <c r="BI642" s="1008"/>
      <c r="BJ642" s="1008"/>
      <c r="BK642" s="1008"/>
      <c r="BL642" s="1008"/>
      <c r="BM642" s="1008"/>
    </row>
    <row r="643" s="1215" customFormat="1" ht="17.25" customHeight="1">
      <c r="A643" s="999" t="str">
        <f t="shared" si="970"/>
        <v xml:space="preserve">Ковалевская О.А.</v>
      </c>
      <c r="B643" s="1202" t="s">
        <v>416</v>
      </c>
      <c r="C643" s="1202" t="s">
        <v>494</v>
      </c>
      <c r="D643" s="1202"/>
      <c r="E643" s="1164">
        <f t="shared" si="944"/>
        <v>0</v>
      </c>
      <c r="F643" s="1164">
        <f t="shared" si="971"/>
        <v>0</v>
      </c>
      <c r="G643" s="1165">
        <f t="shared" si="1007"/>
        <v>0</v>
      </c>
      <c r="H643" s="1166"/>
      <c r="I643" s="1167">
        <f t="shared" si="957"/>
        <v>0</v>
      </c>
      <c r="J643" s="1167">
        <f t="shared" si="972"/>
        <v>0</v>
      </c>
      <c r="K643" s="1168">
        <f t="shared" si="1008"/>
        <v>0</v>
      </c>
      <c r="L643" s="1128"/>
      <c r="M643" s="1169"/>
      <c r="N643" s="1177"/>
      <c r="O643" s="1169"/>
      <c r="P643" s="1169"/>
      <c r="Q643" s="1169">
        <f t="shared" si="1009"/>
        <v>0</v>
      </c>
      <c r="R643" s="1169"/>
      <c r="S643" s="1170">
        <f t="shared" si="923"/>
        <v>0</v>
      </c>
      <c r="T643" s="1171"/>
      <c r="U643" s="1128"/>
      <c r="V643" s="1169"/>
      <c r="W643" s="1177"/>
      <c r="X643" s="1177"/>
      <c r="Y643" s="1169"/>
      <c r="Z643" s="1169">
        <f t="shared" si="1010"/>
        <v>0</v>
      </c>
      <c r="AA643" s="1169"/>
      <c r="AB643" s="1172">
        <f t="shared" si="925"/>
        <v>0</v>
      </c>
      <c r="AC643" s="1171"/>
      <c r="AD643" s="1128"/>
      <c r="AE643" s="1169"/>
      <c r="AF643" s="1177"/>
      <c r="AG643" s="1177"/>
      <c r="AH643" s="1169"/>
      <c r="AI643" s="1169">
        <f t="shared" si="1011"/>
        <v>0</v>
      </c>
      <c r="AJ643" s="1169"/>
      <c r="AK643" s="1173">
        <f t="shared" si="927"/>
        <v>0</v>
      </c>
      <c r="AL643" s="1171"/>
      <c r="AM643" s="1128"/>
      <c r="AN643" s="1170"/>
      <c r="AO643" s="1175"/>
      <c r="AP643" s="1175"/>
      <c r="AQ643" s="1170"/>
      <c r="AR643" s="1170">
        <f t="shared" si="1012"/>
        <v>0</v>
      </c>
      <c r="AS643" s="1170"/>
      <c r="AT643" s="1170">
        <f t="shared" si="929"/>
        <v>0</v>
      </c>
      <c r="AU643" s="1174"/>
      <c r="AV643" s="1128"/>
      <c r="AW643" s="1169"/>
      <c r="AX643" s="1177"/>
      <c r="AY643" s="1177"/>
      <c r="AZ643" s="1169"/>
      <c r="BA643" s="1169">
        <f t="shared" si="1013"/>
        <v>0</v>
      </c>
      <c r="BB643" s="1169"/>
      <c r="BC643" s="1175">
        <f t="shared" si="931"/>
        <v>0</v>
      </c>
      <c r="BD643" s="1027"/>
      <c r="BE643" s="1024"/>
      <c r="BF643" s="1024"/>
      <c r="BG643" s="1008"/>
      <c r="BH643" s="1008"/>
      <c r="BI643" s="1008"/>
      <c r="BJ643" s="1008"/>
      <c r="BK643" s="1008"/>
      <c r="BL643" s="1008"/>
      <c r="BM643" s="1008"/>
    </row>
    <row r="644" s="1215" customFormat="1" ht="17.25" customHeight="1">
      <c r="A644" s="999" t="str">
        <f t="shared" si="970"/>
        <v xml:space="preserve">Никонова-Цыганова Н.А. Столберова МИ</v>
      </c>
      <c r="B644" s="1202" t="s">
        <v>80</v>
      </c>
      <c r="C644" s="1218" t="s">
        <v>495</v>
      </c>
      <c r="D644" s="1217"/>
      <c r="E644" s="1164">
        <f t="shared" si="944"/>
        <v>0</v>
      </c>
      <c r="F644" s="1164">
        <f t="shared" si="971"/>
        <v>0</v>
      </c>
      <c r="G644" s="1165">
        <f t="shared" si="1007"/>
        <v>0</v>
      </c>
      <c r="H644" s="1166"/>
      <c r="I644" s="1167">
        <f t="shared" si="957"/>
        <v>0</v>
      </c>
      <c r="J644" s="1167">
        <f t="shared" si="972"/>
        <v>0</v>
      </c>
      <c r="K644" s="1168">
        <f t="shared" si="1008"/>
        <v>0</v>
      </c>
      <c r="L644" s="1128"/>
      <c r="M644" s="1169"/>
      <c r="N644" s="1199"/>
      <c r="O644" s="1169"/>
      <c r="P644" s="1169"/>
      <c r="Q644" s="1169">
        <f t="shared" si="1009"/>
        <v>0</v>
      </c>
      <c r="R644" s="1169"/>
      <c r="S644" s="1170">
        <f t="shared" si="923"/>
        <v>0</v>
      </c>
      <c r="T644" s="1171"/>
      <c r="U644" s="1128"/>
      <c r="V644" s="1169"/>
      <c r="W644" s="1199"/>
      <c r="X644" s="1177"/>
      <c r="Y644" s="1169"/>
      <c r="Z644" s="1169">
        <f t="shared" si="1010"/>
        <v>0</v>
      </c>
      <c r="AA644" s="1169"/>
      <c r="AB644" s="1172">
        <f t="shared" si="925"/>
        <v>0</v>
      </c>
      <c r="AC644" s="1171"/>
      <c r="AD644" s="1128"/>
      <c r="AE644" s="1169"/>
      <c r="AF644" s="1199"/>
      <c r="AG644" s="1177"/>
      <c r="AH644" s="1169"/>
      <c r="AI644" s="1169">
        <f t="shared" si="1011"/>
        <v>0</v>
      </c>
      <c r="AJ644" s="1169"/>
      <c r="AK644" s="1173">
        <f t="shared" si="927"/>
        <v>0</v>
      </c>
      <c r="AL644" s="1171"/>
      <c r="AM644" s="1128"/>
      <c r="AN644" s="1170"/>
      <c r="AO644" s="1200"/>
      <c r="AP644" s="1175"/>
      <c r="AQ644" s="1170"/>
      <c r="AR644" s="1170">
        <f t="shared" si="1012"/>
        <v>0</v>
      </c>
      <c r="AS644" s="1170"/>
      <c r="AT644" s="1170">
        <f t="shared" si="929"/>
        <v>0</v>
      </c>
      <c r="AU644" s="1174"/>
      <c r="AV644" s="1128"/>
      <c r="AW644" s="1169"/>
      <c r="AX644" s="1199"/>
      <c r="AY644" s="1177"/>
      <c r="AZ644" s="1169"/>
      <c r="BA644" s="1169">
        <f t="shared" si="1013"/>
        <v>0</v>
      </c>
      <c r="BB644" s="1169"/>
      <c r="BC644" s="1175">
        <f t="shared" si="931"/>
        <v>0</v>
      </c>
      <c r="BD644" s="1027"/>
      <c r="BE644" s="1024"/>
      <c r="BF644" s="1024"/>
      <c r="BG644" s="1008"/>
      <c r="BH644" s="1008"/>
      <c r="BI644" s="1008"/>
      <c r="BJ644" s="1008"/>
      <c r="BK644" s="1008"/>
      <c r="BL644" s="1008"/>
      <c r="BM644" s="1008"/>
    </row>
    <row r="645" s="1215" customFormat="1" ht="17.25" customHeight="1">
      <c r="A645" s="999" t="str">
        <f t="shared" si="970"/>
        <v xml:space="preserve">Шевкунова С.А.</v>
      </c>
      <c r="B645" s="1202" t="s">
        <v>419</v>
      </c>
      <c r="C645" s="1219"/>
      <c r="D645" s="1202"/>
      <c r="E645" s="1164">
        <f t="shared" si="944"/>
        <v>0</v>
      </c>
      <c r="F645" s="1164">
        <f t="shared" si="971"/>
        <v>0</v>
      </c>
      <c r="G645" s="1165">
        <f t="shared" si="1007"/>
        <v>0</v>
      </c>
      <c r="H645" s="1166"/>
      <c r="I645" s="1167">
        <f t="shared" si="957"/>
        <v>0</v>
      </c>
      <c r="J645" s="1167">
        <f t="shared" si="972"/>
        <v>0</v>
      </c>
      <c r="K645" s="1168">
        <f t="shared" si="1008"/>
        <v>0</v>
      </c>
      <c r="L645" s="1128"/>
      <c r="M645" s="1169"/>
      <c r="N645" s="1177"/>
      <c r="O645" s="1169"/>
      <c r="P645" s="1169"/>
      <c r="Q645" s="1169">
        <f t="shared" si="1009"/>
        <v>0</v>
      </c>
      <c r="R645" s="1169"/>
      <c r="S645" s="1170">
        <f t="shared" si="923"/>
        <v>0</v>
      </c>
      <c r="T645" s="1171"/>
      <c r="U645" s="1128"/>
      <c r="V645" s="1169"/>
      <c r="W645" s="1177"/>
      <c r="X645" s="1177"/>
      <c r="Y645" s="1169"/>
      <c r="Z645" s="1169">
        <f t="shared" si="1010"/>
        <v>0</v>
      </c>
      <c r="AA645" s="1169"/>
      <c r="AB645" s="1172">
        <f t="shared" si="925"/>
        <v>0</v>
      </c>
      <c r="AC645" s="1171"/>
      <c r="AD645" s="1128"/>
      <c r="AE645" s="1169"/>
      <c r="AF645" s="1177"/>
      <c r="AG645" s="1177"/>
      <c r="AH645" s="1169"/>
      <c r="AI645" s="1169">
        <f t="shared" si="1011"/>
        <v>0</v>
      </c>
      <c r="AJ645" s="1169"/>
      <c r="AK645" s="1173">
        <f t="shared" si="927"/>
        <v>0</v>
      </c>
      <c r="AL645" s="1171"/>
      <c r="AM645" s="1128"/>
      <c r="AN645" s="1170"/>
      <c r="AO645" s="1175"/>
      <c r="AP645" s="1175"/>
      <c r="AQ645" s="1170"/>
      <c r="AR645" s="1170">
        <f t="shared" si="1012"/>
        <v>0</v>
      </c>
      <c r="AS645" s="1170"/>
      <c r="AT645" s="1170">
        <f t="shared" si="929"/>
        <v>0</v>
      </c>
      <c r="AU645" s="1174"/>
      <c r="AV645" s="1128"/>
      <c r="AW645" s="1169"/>
      <c r="AX645" s="1177"/>
      <c r="AY645" s="1177"/>
      <c r="AZ645" s="1169"/>
      <c r="BA645" s="1169">
        <f t="shared" si="1013"/>
        <v>0</v>
      </c>
      <c r="BB645" s="1169"/>
      <c r="BC645" s="1175">
        <f t="shared" si="931"/>
        <v>0</v>
      </c>
      <c r="BD645" s="1027"/>
      <c r="BE645" s="1024"/>
      <c r="BF645" s="1024"/>
      <c r="BG645" s="1008"/>
      <c r="BH645" s="1008"/>
      <c r="BI645" s="1008"/>
      <c r="BJ645" s="1008"/>
      <c r="BK645" s="1008"/>
      <c r="BL645" s="1008"/>
      <c r="BM645" s="1008"/>
    </row>
    <row r="646" s="1215" customFormat="1" ht="17.25" customHeight="1">
      <c r="A646" s="999" t="str">
        <f t="shared" si="970"/>
        <v xml:space="preserve">Никонова-Цыганова Н.А. Столберова МИ</v>
      </c>
      <c r="B646" s="1205" t="s">
        <v>363</v>
      </c>
      <c r="C646" s="1205"/>
      <c r="D646" s="1205"/>
      <c r="E646" s="1183">
        <f t="shared" si="944"/>
        <v>0</v>
      </c>
      <c r="F646" s="1183">
        <f t="shared" si="971"/>
        <v>0</v>
      </c>
      <c r="G646" s="1220">
        <f>SUM(G638:G645)</f>
        <v>0</v>
      </c>
      <c r="H646" s="1221"/>
      <c r="I646" s="1186">
        <f t="shared" si="957"/>
        <v>0</v>
      </c>
      <c r="J646" s="1186">
        <f t="shared" si="972"/>
        <v>0</v>
      </c>
      <c r="K646" s="1222">
        <f>SUM(K638:K645)</f>
        <v>0</v>
      </c>
      <c r="L646" s="1197"/>
      <c r="M646" s="1096">
        <f t="shared" ref="M646:R646" si="1014">SUM(M638:M645)</f>
        <v>0</v>
      </c>
      <c r="N646" s="1096">
        <f t="shared" si="1014"/>
        <v>0</v>
      </c>
      <c r="O646" s="1096">
        <f t="shared" si="1014"/>
        <v>0</v>
      </c>
      <c r="P646" s="1096">
        <f t="shared" si="1014"/>
        <v>0</v>
      </c>
      <c r="Q646" s="1096">
        <f t="shared" si="1014"/>
        <v>0</v>
      </c>
      <c r="R646" s="1096">
        <f t="shared" si="1014"/>
        <v>0</v>
      </c>
      <c r="S646" s="1170">
        <f t="shared" si="923"/>
        <v>0</v>
      </c>
      <c r="T646" s="1189"/>
      <c r="U646" s="1197"/>
      <c r="V646" s="1096">
        <f t="shared" ref="V646:AA646" si="1015">SUM(V638:V645)</f>
        <v>0</v>
      </c>
      <c r="W646" s="1096">
        <f t="shared" si="1015"/>
        <v>0</v>
      </c>
      <c r="X646" s="1096">
        <f t="shared" si="1015"/>
        <v>0</v>
      </c>
      <c r="Y646" s="1096">
        <f t="shared" si="1015"/>
        <v>0</v>
      </c>
      <c r="Z646" s="1096">
        <f t="shared" si="1015"/>
        <v>0</v>
      </c>
      <c r="AA646" s="1096">
        <f t="shared" si="1015"/>
        <v>0</v>
      </c>
      <c r="AB646" s="1172">
        <f t="shared" si="925"/>
        <v>0</v>
      </c>
      <c r="AC646" s="1189"/>
      <c r="AD646" s="1197"/>
      <c r="AE646" s="1096">
        <f t="shared" ref="AE646:AJ646" si="1016">SUM(AE638:AE645)</f>
        <v>0</v>
      </c>
      <c r="AF646" s="1096">
        <f t="shared" si="1016"/>
        <v>0</v>
      </c>
      <c r="AG646" s="1096">
        <f t="shared" si="1016"/>
        <v>0</v>
      </c>
      <c r="AH646" s="1096">
        <f t="shared" si="1016"/>
        <v>0</v>
      </c>
      <c r="AI646" s="1096">
        <f t="shared" si="1016"/>
        <v>0</v>
      </c>
      <c r="AJ646" s="1096">
        <f t="shared" si="1016"/>
        <v>0</v>
      </c>
      <c r="AK646" s="1173">
        <f t="shared" si="927"/>
        <v>0</v>
      </c>
      <c r="AL646" s="1189"/>
      <c r="AM646" s="1197"/>
      <c r="AN646" s="1190">
        <f t="shared" ref="AN646:AS646" si="1017">SUM(AN638:AN645)</f>
        <v>0</v>
      </c>
      <c r="AO646" s="1190">
        <f t="shared" si="1017"/>
        <v>0</v>
      </c>
      <c r="AP646" s="1190">
        <f t="shared" si="1017"/>
        <v>0</v>
      </c>
      <c r="AQ646" s="1190">
        <f t="shared" si="1017"/>
        <v>0</v>
      </c>
      <c r="AR646" s="1190">
        <f t="shared" si="1017"/>
        <v>0</v>
      </c>
      <c r="AS646" s="1190">
        <f t="shared" si="1017"/>
        <v>0</v>
      </c>
      <c r="AT646" s="1170">
        <f t="shared" si="929"/>
        <v>0</v>
      </c>
      <c r="AU646" s="1191"/>
      <c r="AV646" s="1197">
        <f t="shared" ref="AV646:BB646" si="1018">SUM(AV638:AV645)</f>
        <v>0</v>
      </c>
      <c r="AW646" s="1096">
        <f t="shared" si="1018"/>
        <v>0</v>
      </c>
      <c r="AX646" s="1096">
        <f t="shared" si="1018"/>
        <v>0</v>
      </c>
      <c r="AY646" s="1096">
        <f t="shared" si="1018"/>
        <v>0</v>
      </c>
      <c r="AZ646" s="1096">
        <f t="shared" si="1018"/>
        <v>0</v>
      </c>
      <c r="BA646" s="1096">
        <f t="shared" si="1018"/>
        <v>0</v>
      </c>
      <c r="BB646" s="1096">
        <f t="shared" si="1018"/>
        <v>0</v>
      </c>
      <c r="BC646" s="1175">
        <f t="shared" si="931"/>
        <v>0</v>
      </c>
      <c r="BD646" s="1027"/>
      <c r="BE646" s="1024"/>
      <c r="BF646" s="1024"/>
      <c r="BG646" s="1008"/>
      <c r="BH646" s="1008"/>
      <c r="BI646" s="1008"/>
      <c r="BJ646" s="1008"/>
      <c r="BK646" s="1008"/>
      <c r="BL646" s="1008"/>
      <c r="BM646" s="1008"/>
    </row>
    <row r="647" s="1215" customFormat="1">
      <c r="A647" s="999" t="str">
        <f t="shared" si="970"/>
        <v xml:space="preserve">Шеламкова Н.В.</v>
      </c>
      <c r="B647" s="1202" t="s">
        <v>421</v>
      </c>
      <c r="C647" s="1203" t="s">
        <v>496</v>
      </c>
      <c r="D647" s="1202"/>
      <c r="E647" s="1164">
        <f t="shared" si="944"/>
        <v>0</v>
      </c>
      <c r="F647" s="1164">
        <f t="shared" si="971"/>
        <v>0</v>
      </c>
      <c r="G647" s="1165">
        <f t="shared" ref="G647:G659" si="1019">E647+F647</f>
        <v>0</v>
      </c>
      <c r="H647" s="1166"/>
      <c r="I647" s="1167">
        <f t="shared" si="957"/>
        <v>0</v>
      </c>
      <c r="J647" s="1167">
        <f t="shared" si="972"/>
        <v>0</v>
      </c>
      <c r="K647" s="1168">
        <f t="shared" ref="K647:K659" si="1020">I647+J647</f>
        <v>0</v>
      </c>
      <c r="L647" s="1128"/>
      <c r="M647" s="1169"/>
      <c r="N647" s="1177"/>
      <c r="O647" s="1169"/>
      <c r="P647" s="1169"/>
      <c r="Q647" s="1169">
        <f t="shared" ref="Q647:Q659" si="1021">SUM(M647:P647)</f>
        <v>0</v>
      </c>
      <c r="R647" s="1169"/>
      <c r="S647" s="1170">
        <f t="shared" si="923"/>
        <v>0</v>
      </c>
      <c r="T647" s="1171"/>
      <c r="U647" s="1128"/>
      <c r="V647" s="1169"/>
      <c r="W647" s="1177"/>
      <c r="X647" s="1177"/>
      <c r="Y647" s="1169"/>
      <c r="Z647" s="1169">
        <f t="shared" ref="Z647:Z659" si="1022">SUM(V647:Y647)</f>
        <v>0</v>
      </c>
      <c r="AA647" s="1169"/>
      <c r="AB647" s="1172">
        <f t="shared" si="925"/>
        <v>0</v>
      </c>
      <c r="AC647" s="1171"/>
      <c r="AD647" s="1128"/>
      <c r="AE647" s="1169"/>
      <c r="AF647" s="1177"/>
      <c r="AG647" s="1177"/>
      <c r="AH647" s="1169"/>
      <c r="AI647" s="1169">
        <f t="shared" ref="AI647:AI659" si="1023">SUM(AE647:AH647)</f>
        <v>0</v>
      </c>
      <c r="AJ647" s="1169"/>
      <c r="AK647" s="1173">
        <f t="shared" si="927"/>
        <v>0</v>
      </c>
      <c r="AL647" s="1171"/>
      <c r="AM647" s="1128"/>
      <c r="AN647" s="1170"/>
      <c r="AO647" s="1175"/>
      <c r="AP647" s="1175"/>
      <c r="AQ647" s="1170"/>
      <c r="AR647" s="1170">
        <f t="shared" ref="AR647:AR659" si="1024">SUM(AN647:AQ647)</f>
        <v>0</v>
      </c>
      <c r="AS647" s="1170"/>
      <c r="AT647" s="1170">
        <f t="shared" si="929"/>
        <v>0</v>
      </c>
      <c r="AU647" s="1174"/>
      <c r="AV647" s="1128"/>
      <c r="AW647" s="1169"/>
      <c r="AX647" s="1177"/>
      <c r="AY647" s="1177"/>
      <c r="AZ647" s="1169"/>
      <c r="BA647" s="1169">
        <f t="shared" ref="BA647:BA659" si="1025">SUM(AW647:AZ647)</f>
        <v>0</v>
      </c>
      <c r="BB647" s="1169"/>
      <c r="BC647" s="1175">
        <f t="shared" si="931"/>
        <v>0</v>
      </c>
      <c r="BD647" s="1027"/>
      <c r="BE647" s="1024"/>
      <c r="BF647" s="1024"/>
      <c r="BG647" s="1008"/>
      <c r="BH647" s="1008"/>
      <c r="BI647" s="1008"/>
      <c r="BJ647" s="1008"/>
      <c r="BK647" s="1008"/>
      <c r="BL647" s="1008"/>
      <c r="BM647" s="1008"/>
    </row>
    <row r="648" s="1215" customFormat="1">
      <c r="A648" s="999" t="str">
        <f t="shared" si="970"/>
        <v xml:space="preserve">Буланова О.Н. Сычева Ю.В.</v>
      </c>
      <c r="B648" s="1202" t="s">
        <v>68</v>
      </c>
      <c r="C648" s="1219"/>
      <c r="D648" s="1202"/>
      <c r="E648" s="1164">
        <f t="shared" si="944"/>
        <v>0</v>
      </c>
      <c r="F648" s="1164">
        <f t="shared" si="971"/>
        <v>0</v>
      </c>
      <c r="G648" s="1165">
        <f t="shared" si="1019"/>
        <v>0</v>
      </c>
      <c r="H648" s="1166"/>
      <c r="I648" s="1167">
        <f t="shared" si="957"/>
        <v>0</v>
      </c>
      <c r="J648" s="1167">
        <f t="shared" si="972"/>
        <v>0</v>
      </c>
      <c r="K648" s="1168">
        <f t="shared" si="1020"/>
        <v>0</v>
      </c>
      <c r="L648" s="1128"/>
      <c r="M648" s="1169"/>
      <c r="N648" s="1177"/>
      <c r="O648" s="1169"/>
      <c r="P648" s="1169"/>
      <c r="Q648" s="1169">
        <f t="shared" si="1021"/>
        <v>0</v>
      </c>
      <c r="R648" s="1169"/>
      <c r="S648" s="1170">
        <f t="shared" si="923"/>
        <v>0</v>
      </c>
      <c r="T648" s="1171"/>
      <c r="U648" s="1128"/>
      <c r="V648" s="1169"/>
      <c r="W648" s="1177"/>
      <c r="X648" s="1177"/>
      <c r="Y648" s="1169"/>
      <c r="Z648" s="1169">
        <f t="shared" si="1022"/>
        <v>0</v>
      </c>
      <c r="AA648" s="1169"/>
      <c r="AB648" s="1172">
        <f t="shared" si="925"/>
        <v>0</v>
      </c>
      <c r="AC648" s="1171"/>
      <c r="AD648" s="1128"/>
      <c r="AE648" s="1169"/>
      <c r="AF648" s="1177"/>
      <c r="AG648" s="1177"/>
      <c r="AH648" s="1169"/>
      <c r="AI648" s="1169">
        <f t="shared" si="1023"/>
        <v>0</v>
      </c>
      <c r="AJ648" s="1169"/>
      <c r="AK648" s="1173">
        <f t="shared" si="927"/>
        <v>0</v>
      </c>
      <c r="AL648" s="1171"/>
      <c r="AM648" s="1128"/>
      <c r="AN648" s="1170"/>
      <c r="AO648" s="1175"/>
      <c r="AP648" s="1175"/>
      <c r="AQ648" s="1170"/>
      <c r="AR648" s="1170">
        <f t="shared" si="1024"/>
        <v>0</v>
      </c>
      <c r="AS648" s="1170"/>
      <c r="AT648" s="1170">
        <f t="shared" si="929"/>
        <v>0</v>
      </c>
      <c r="AU648" s="1174"/>
      <c r="AV648" s="1128"/>
      <c r="AW648" s="1169"/>
      <c r="AX648" s="1177"/>
      <c r="AY648" s="1177"/>
      <c r="AZ648" s="1169"/>
      <c r="BA648" s="1169">
        <f t="shared" si="1025"/>
        <v>0</v>
      </c>
      <c r="BB648" s="1169"/>
      <c r="BC648" s="1175">
        <f t="shared" si="931"/>
        <v>0</v>
      </c>
      <c r="BD648" s="1027"/>
      <c r="BE648" s="1024"/>
      <c r="BF648" s="1024"/>
      <c r="BG648" s="1008"/>
      <c r="BH648" s="1008"/>
      <c r="BI648" s="1008"/>
      <c r="BJ648" s="1008"/>
      <c r="BK648" s="1008"/>
      <c r="BL648" s="1008"/>
      <c r="BM648" s="1008"/>
    </row>
    <row r="649" s="1215" customFormat="1">
      <c r="A649" s="999" t="str">
        <f t="shared" si="970"/>
        <v xml:space="preserve">Бояринцева Н.А.</v>
      </c>
      <c r="B649" s="1202" t="s">
        <v>289</v>
      </c>
      <c r="C649" s="1202" t="s">
        <v>497</v>
      </c>
      <c r="D649" s="1202"/>
      <c r="E649" s="1164">
        <f t="shared" si="944"/>
        <v>0</v>
      </c>
      <c r="F649" s="1164">
        <f t="shared" si="971"/>
        <v>0</v>
      </c>
      <c r="G649" s="1165">
        <f t="shared" si="1019"/>
        <v>0</v>
      </c>
      <c r="H649" s="1166"/>
      <c r="I649" s="1167">
        <f t="shared" si="957"/>
        <v>0</v>
      </c>
      <c r="J649" s="1167">
        <f t="shared" si="972"/>
        <v>0</v>
      </c>
      <c r="K649" s="1168">
        <f t="shared" si="1020"/>
        <v>0</v>
      </c>
      <c r="L649" s="1128"/>
      <c r="M649" s="1169"/>
      <c r="N649" s="1177"/>
      <c r="O649" s="1169"/>
      <c r="P649" s="1169"/>
      <c r="Q649" s="1169">
        <f t="shared" si="1021"/>
        <v>0</v>
      </c>
      <c r="R649" s="1169"/>
      <c r="S649" s="1170">
        <f t="shared" si="923"/>
        <v>0</v>
      </c>
      <c r="T649" s="1171"/>
      <c r="U649" s="1128"/>
      <c r="V649" s="1169"/>
      <c r="W649" s="1177"/>
      <c r="X649" s="1177"/>
      <c r="Y649" s="1169"/>
      <c r="Z649" s="1169">
        <f t="shared" si="1022"/>
        <v>0</v>
      </c>
      <c r="AA649" s="1169"/>
      <c r="AB649" s="1172">
        <f t="shared" si="925"/>
        <v>0</v>
      </c>
      <c r="AC649" s="1171"/>
      <c r="AD649" s="1128"/>
      <c r="AE649" s="1169"/>
      <c r="AF649" s="1177"/>
      <c r="AG649" s="1177"/>
      <c r="AH649" s="1169"/>
      <c r="AI649" s="1169">
        <f t="shared" si="1023"/>
        <v>0</v>
      </c>
      <c r="AJ649" s="1169"/>
      <c r="AK649" s="1173">
        <f t="shared" si="927"/>
        <v>0</v>
      </c>
      <c r="AL649" s="1171"/>
      <c r="AM649" s="1128"/>
      <c r="AN649" s="1170"/>
      <c r="AO649" s="1175"/>
      <c r="AP649" s="1175"/>
      <c r="AQ649" s="1170"/>
      <c r="AR649" s="1170">
        <f t="shared" si="1024"/>
        <v>0</v>
      </c>
      <c r="AS649" s="1170"/>
      <c r="AT649" s="1170">
        <f t="shared" si="929"/>
        <v>0</v>
      </c>
      <c r="AU649" s="1174"/>
      <c r="AV649" s="1128"/>
      <c r="AW649" s="1169"/>
      <c r="AX649" s="1177"/>
      <c r="AY649" s="1177"/>
      <c r="AZ649" s="1169"/>
      <c r="BA649" s="1169">
        <f t="shared" si="1025"/>
        <v>0</v>
      </c>
      <c r="BB649" s="1169"/>
      <c r="BC649" s="1175">
        <f t="shared" si="931"/>
        <v>0</v>
      </c>
      <c r="BD649" s="1027"/>
      <c r="BE649" s="1024"/>
      <c r="BF649" s="1024"/>
      <c r="BG649" s="1008"/>
      <c r="BH649" s="1008"/>
      <c r="BI649" s="1008"/>
      <c r="BJ649" s="1008"/>
      <c r="BK649" s="1008"/>
      <c r="BL649" s="1008"/>
      <c r="BM649" s="1008"/>
    </row>
    <row r="650" s="1215" customFormat="1">
      <c r="A650" s="999">
        <f t="shared" si="970"/>
        <v>0</v>
      </c>
      <c r="B650" s="1202" t="s">
        <v>424</v>
      </c>
      <c r="C650" s="1219"/>
      <c r="D650" s="1202"/>
      <c r="E650" s="1164">
        <f t="shared" si="944"/>
        <v>0</v>
      </c>
      <c r="F650" s="1164">
        <f t="shared" si="971"/>
        <v>0</v>
      </c>
      <c r="G650" s="1165">
        <f t="shared" si="1019"/>
        <v>0</v>
      </c>
      <c r="H650" s="1166"/>
      <c r="I650" s="1167">
        <f t="shared" si="957"/>
        <v>0</v>
      </c>
      <c r="J650" s="1167">
        <f t="shared" si="972"/>
        <v>0</v>
      </c>
      <c r="K650" s="1168">
        <f t="shared" si="1020"/>
        <v>0</v>
      </c>
      <c r="L650" s="1128"/>
      <c r="M650" s="1169"/>
      <c r="N650" s="1177"/>
      <c r="O650" s="1169"/>
      <c r="P650" s="1169"/>
      <c r="Q650" s="1169">
        <f t="shared" si="1021"/>
        <v>0</v>
      </c>
      <c r="R650" s="1169"/>
      <c r="S650" s="1170">
        <f t="shared" si="923"/>
        <v>0</v>
      </c>
      <c r="T650" s="1171"/>
      <c r="U650" s="1128"/>
      <c r="V650" s="1169"/>
      <c r="W650" s="1177"/>
      <c r="X650" s="1177"/>
      <c r="Y650" s="1169"/>
      <c r="Z650" s="1169">
        <f t="shared" si="1022"/>
        <v>0</v>
      </c>
      <c r="AA650" s="1169"/>
      <c r="AB650" s="1172">
        <f t="shared" si="925"/>
        <v>0</v>
      </c>
      <c r="AC650" s="1171"/>
      <c r="AD650" s="1128"/>
      <c r="AE650" s="1169"/>
      <c r="AF650" s="1177"/>
      <c r="AG650" s="1177"/>
      <c r="AH650" s="1169"/>
      <c r="AI650" s="1169">
        <f t="shared" si="1023"/>
        <v>0</v>
      </c>
      <c r="AJ650" s="1169"/>
      <c r="AK650" s="1173">
        <f t="shared" si="927"/>
        <v>0</v>
      </c>
      <c r="AL650" s="1171"/>
      <c r="AM650" s="1128"/>
      <c r="AN650" s="1170"/>
      <c r="AO650" s="1175"/>
      <c r="AP650" s="1175"/>
      <c r="AQ650" s="1170"/>
      <c r="AR650" s="1170">
        <f t="shared" si="1024"/>
        <v>0</v>
      </c>
      <c r="AS650" s="1170"/>
      <c r="AT650" s="1170">
        <f t="shared" si="929"/>
        <v>0</v>
      </c>
      <c r="AU650" s="1174"/>
      <c r="AV650" s="1128"/>
      <c r="AW650" s="1169"/>
      <c r="AX650" s="1177"/>
      <c r="AY650" s="1177"/>
      <c r="AZ650" s="1169"/>
      <c r="BA650" s="1169">
        <f t="shared" si="1025"/>
        <v>0</v>
      </c>
      <c r="BB650" s="1169"/>
      <c r="BC650" s="1175">
        <f t="shared" si="931"/>
        <v>0</v>
      </c>
      <c r="BD650" s="1027"/>
      <c r="BE650" s="1024"/>
      <c r="BF650" s="1024"/>
      <c r="BG650" s="1008"/>
      <c r="BH650" s="1008"/>
      <c r="BI650" s="1008"/>
      <c r="BJ650" s="1008"/>
      <c r="BK650" s="1008"/>
      <c r="BL650" s="1008"/>
      <c r="BM650" s="1008"/>
    </row>
    <row r="651" s="1215" customFormat="1">
      <c r="A651" s="999" t="str">
        <f t="shared" si="970"/>
        <v xml:space="preserve">Соболева Т.Ю.</v>
      </c>
      <c r="B651" s="1202" t="s">
        <v>426</v>
      </c>
      <c r="C651" s="1202" t="s">
        <v>497</v>
      </c>
      <c r="D651" s="1202"/>
      <c r="E651" s="1164">
        <f t="shared" si="944"/>
        <v>0</v>
      </c>
      <c r="F651" s="1164">
        <f t="shared" si="971"/>
        <v>0</v>
      </c>
      <c r="G651" s="1165">
        <f t="shared" si="1019"/>
        <v>0</v>
      </c>
      <c r="H651" s="1166"/>
      <c r="I651" s="1167">
        <f t="shared" si="957"/>
        <v>0</v>
      </c>
      <c r="J651" s="1167">
        <f t="shared" si="972"/>
        <v>0</v>
      </c>
      <c r="K651" s="1168">
        <f t="shared" si="1020"/>
        <v>0</v>
      </c>
      <c r="L651" s="1128"/>
      <c r="M651" s="1169"/>
      <c r="N651" s="1177"/>
      <c r="O651" s="1169"/>
      <c r="P651" s="1169"/>
      <c r="Q651" s="1169">
        <f t="shared" si="1021"/>
        <v>0</v>
      </c>
      <c r="R651" s="1169"/>
      <c r="S651" s="1170">
        <f t="shared" si="923"/>
        <v>0</v>
      </c>
      <c r="T651" s="1171"/>
      <c r="U651" s="1128"/>
      <c r="V651" s="1169"/>
      <c r="W651" s="1177"/>
      <c r="X651" s="1177"/>
      <c r="Y651" s="1169"/>
      <c r="Z651" s="1169">
        <f t="shared" si="1022"/>
        <v>0</v>
      </c>
      <c r="AA651" s="1169"/>
      <c r="AB651" s="1172">
        <f t="shared" si="925"/>
        <v>0</v>
      </c>
      <c r="AC651" s="1171"/>
      <c r="AD651" s="1128"/>
      <c r="AE651" s="1169"/>
      <c r="AF651" s="1177"/>
      <c r="AG651" s="1177"/>
      <c r="AH651" s="1169"/>
      <c r="AI651" s="1169">
        <f t="shared" si="1023"/>
        <v>0</v>
      </c>
      <c r="AJ651" s="1169"/>
      <c r="AK651" s="1173">
        <f t="shared" si="927"/>
        <v>0</v>
      </c>
      <c r="AL651" s="1171"/>
      <c r="AM651" s="1128"/>
      <c r="AN651" s="1170"/>
      <c r="AO651" s="1175"/>
      <c r="AP651" s="1175"/>
      <c r="AQ651" s="1170"/>
      <c r="AR651" s="1170">
        <f t="shared" si="1024"/>
        <v>0</v>
      </c>
      <c r="AS651" s="1170"/>
      <c r="AT651" s="1170">
        <f t="shared" si="929"/>
        <v>0</v>
      </c>
      <c r="AU651" s="1174"/>
      <c r="AV651" s="1128"/>
      <c r="AW651" s="1169"/>
      <c r="AX651" s="1177"/>
      <c r="AY651" s="1177"/>
      <c r="AZ651" s="1169"/>
      <c r="BA651" s="1169">
        <f t="shared" si="1025"/>
        <v>0</v>
      </c>
      <c r="BB651" s="1169"/>
      <c r="BC651" s="1175">
        <f t="shared" si="931"/>
        <v>0</v>
      </c>
      <c r="BD651" s="1027"/>
      <c r="BE651" s="1024"/>
      <c r="BF651" s="1024"/>
      <c r="BG651" s="1008"/>
      <c r="BH651" s="1008"/>
      <c r="BI651" s="1008"/>
      <c r="BJ651" s="1008"/>
      <c r="BK651" s="1008"/>
      <c r="BL651" s="1008"/>
      <c r="BM651" s="1008"/>
    </row>
    <row r="652" s="1215" customFormat="1">
      <c r="A652" s="999">
        <f t="shared" si="970"/>
        <v>0</v>
      </c>
      <c r="B652" s="1202" t="s">
        <v>427</v>
      </c>
      <c r="C652" s="1202" t="s">
        <v>497</v>
      </c>
      <c r="D652" s="1202"/>
      <c r="E652" s="1164">
        <f t="shared" si="944"/>
        <v>0</v>
      </c>
      <c r="F652" s="1164">
        <f t="shared" si="971"/>
        <v>0</v>
      </c>
      <c r="G652" s="1165">
        <f t="shared" si="1019"/>
        <v>0</v>
      </c>
      <c r="H652" s="1166"/>
      <c r="I652" s="1167">
        <f t="shared" si="957"/>
        <v>0</v>
      </c>
      <c r="J652" s="1167">
        <f t="shared" si="972"/>
        <v>0</v>
      </c>
      <c r="K652" s="1168">
        <f t="shared" si="1020"/>
        <v>0</v>
      </c>
      <c r="L652" s="1128"/>
      <c r="M652" s="1169"/>
      <c r="N652" s="1177"/>
      <c r="O652" s="1169"/>
      <c r="P652" s="1169"/>
      <c r="Q652" s="1169">
        <f t="shared" si="1021"/>
        <v>0</v>
      </c>
      <c r="R652" s="1169"/>
      <c r="S652" s="1170">
        <f t="shared" si="923"/>
        <v>0</v>
      </c>
      <c r="T652" s="1171"/>
      <c r="U652" s="1128"/>
      <c r="V652" s="1169"/>
      <c r="W652" s="1177"/>
      <c r="X652" s="1177"/>
      <c r="Y652" s="1169"/>
      <c r="Z652" s="1169">
        <f t="shared" si="1022"/>
        <v>0</v>
      </c>
      <c r="AA652" s="1169"/>
      <c r="AB652" s="1172">
        <f t="shared" si="925"/>
        <v>0</v>
      </c>
      <c r="AC652" s="1171"/>
      <c r="AD652" s="1128"/>
      <c r="AE652" s="1169"/>
      <c r="AF652" s="1177"/>
      <c r="AG652" s="1177"/>
      <c r="AH652" s="1169"/>
      <c r="AI652" s="1169">
        <f t="shared" si="1023"/>
        <v>0</v>
      </c>
      <c r="AJ652" s="1169"/>
      <c r="AK652" s="1173">
        <f t="shared" si="927"/>
        <v>0</v>
      </c>
      <c r="AL652" s="1171"/>
      <c r="AM652" s="1128"/>
      <c r="AN652" s="1170"/>
      <c r="AO652" s="1175"/>
      <c r="AP652" s="1175"/>
      <c r="AQ652" s="1170"/>
      <c r="AR652" s="1170">
        <f t="shared" si="1024"/>
        <v>0</v>
      </c>
      <c r="AS652" s="1170"/>
      <c r="AT652" s="1170">
        <f t="shared" si="929"/>
        <v>0</v>
      </c>
      <c r="AU652" s="1174"/>
      <c r="AV652" s="1128"/>
      <c r="AW652" s="1169"/>
      <c r="AX652" s="1177"/>
      <c r="AY652" s="1177"/>
      <c r="AZ652" s="1169"/>
      <c r="BA652" s="1169">
        <f t="shared" si="1025"/>
        <v>0</v>
      </c>
      <c r="BB652" s="1169"/>
      <c r="BC652" s="1175">
        <f t="shared" si="931"/>
        <v>0</v>
      </c>
      <c r="BD652" s="1027"/>
      <c r="BE652" s="1024"/>
      <c r="BF652" s="1024"/>
      <c r="BG652" s="1008"/>
      <c r="BH652" s="1008"/>
      <c r="BI652" s="1008"/>
      <c r="BJ652" s="1008"/>
      <c r="BK652" s="1008"/>
      <c r="BL652" s="1008"/>
      <c r="BM652" s="1008"/>
    </row>
    <row r="653" s="1215" customFormat="1">
      <c r="A653" s="999" t="str">
        <f t="shared" si="970"/>
        <v xml:space="preserve">Астапова С.А.</v>
      </c>
      <c r="B653" s="1202" t="s">
        <v>73</v>
      </c>
      <c r="C653" s="1202" t="s">
        <v>497</v>
      </c>
      <c r="D653" s="1202"/>
      <c r="E653" s="1164">
        <f t="shared" si="944"/>
        <v>0</v>
      </c>
      <c r="F653" s="1164">
        <f t="shared" si="971"/>
        <v>0</v>
      </c>
      <c r="G653" s="1165">
        <f t="shared" si="1019"/>
        <v>0</v>
      </c>
      <c r="H653" s="1166"/>
      <c r="I653" s="1167">
        <f t="shared" si="957"/>
        <v>0</v>
      </c>
      <c r="J653" s="1167">
        <f t="shared" si="972"/>
        <v>0</v>
      </c>
      <c r="K653" s="1168">
        <f t="shared" si="1020"/>
        <v>0</v>
      </c>
      <c r="L653" s="1128"/>
      <c r="M653" s="1169"/>
      <c r="N653" s="1177"/>
      <c r="O653" s="1169"/>
      <c r="P653" s="1169"/>
      <c r="Q653" s="1169">
        <f t="shared" si="1021"/>
        <v>0</v>
      </c>
      <c r="R653" s="1169"/>
      <c r="S653" s="1170">
        <f t="shared" si="923"/>
        <v>0</v>
      </c>
      <c r="T653" s="1171"/>
      <c r="U653" s="1128"/>
      <c r="V653" s="1169"/>
      <c r="W653" s="1177"/>
      <c r="X653" s="1177"/>
      <c r="Y653" s="1169"/>
      <c r="Z653" s="1169">
        <f t="shared" si="1022"/>
        <v>0</v>
      </c>
      <c r="AA653" s="1169"/>
      <c r="AB653" s="1172">
        <f t="shared" si="925"/>
        <v>0</v>
      </c>
      <c r="AC653" s="1171"/>
      <c r="AD653" s="1128"/>
      <c r="AE653" s="1169"/>
      <c r="AF653" s="1177"/>
      <c r="AG653" s="1177"/>
      <c r="AH653" s="1169"/>
      <c r="AI653" s="1169">
        <f t="shared" si="1023"/>
        <v>0</v>
      </c>
      <c r="AJ653" s="1169"/>
      <c r="AK653" s="1173">
        <f t="shared" si="927"/>
        <v>0</v>
      </c>
      <c r="AL653" s="1171"/>
      <c r="AM653" s="1128"/>
      <c r="AN653" s="1170"/>
      <c r="AO653" s="1175"/>
      <c r="AP653" s="1175"/>
      <c r="AQ653" s="1170"/>
      <c r="AR653" s="1170">
        <f t="shared" si="1024"/>
        <v>0</v>
      </c>
      <c r="AS653" s="1170"/>
      <c r="AT653" s="1170">
        <f t="shared" si="929"/>
        <v>0</v>
      </c>
      <c r="AU653" s="1174"/>
      <c r="AV653" s="1128"/>
      <c r="AW653" s="1169"/>
      <c r="AX653" s="1177"/>
      <c r="AY653" s="1177"/>
      <c r="AZ653" s="1169"/>
      <c r="BA653" s="1169">
        <f t="shared" si="1025"/>
        <v>0</v>
      </c>
      <c r="BB653" s="1169"/>
      <c r="BC653" s="1175">
        <f t="shared" si="931"/>
        <v>0</v>
      </c>
      <c r="BD653" s="1027"/>
      <c r="BE653" s="1024"/>
      <c r="BF653" s="1024"/>
      <c r="BG653" s="1008"/>
      <c r="BH653" s="1008"/>
      <c r="BI653" s="1008"/>
      <c r="BJ653" s="1008"/>
      <c r="BK653" s="1008"/>
      <c r="BL653" s="1008"/>
      <c r="BM653" s="1008"/>
    </row>
    <row r="654" s="1215" customFormat="1" ht="21" customHeight="1">
      <c r="A654" s="999" t="str">
        <f t="shared" si="970"/>
        <v xml:space="preserve">Кирпа Е.Д.</v>
      </c>
      <c r="B654" s="1202" t="s">
        <v>75</v>
      </c>
      <c r="C654" s="1203" t="s">
        <v>496</v>
      </c>
      <c r="D654" s="1202"/>
      <c r="E654" s="1164">
        <f t="shared" si="944"/>
        <v>0</v>
      </c>
      <c r="F654" s="1164">
        <f t="shared" si="971"/>
        <v>0</v>
      </c>
      <c r="G654" s="1165">
        <f t="shared" si="1019"/>
        <v>0</v>
      </c>
      <c r="H654" s="1166"/>
      <c r="I654" s="1167">
        <f t="shared" si="957"/>
        <v>0</v>
      </c>
      <c r="J654" s="1167">
        <f t="shared" si="972"/>
        <v>0</v>
      </c>
      <c r="K654" s="1168">
        <f t="shared" si="1020"/>
        <v>0</v>
      </c>
      <c r="L654" s="1128"/>
      <c r="M654" s="1169"/>
      <c r="N654" s="1177"/>
      <c r="O654" s="1169"/>
      <c r="P654" s="1169"/>
      <c r="Q654" s="1169">
        <f t="shared" si="1021"/>
        <v>0</v>
      </c>
      <c r="R654" s="1169"/>
      <c r="S654" s="1170">
        <f t="shared" si="923"/>
        <v>0</v>
      </c>
      <c r="T654" s="1171"/>
      <c r="U654" s="1128"/>
      <c r="V654" s="1169"/>
      <c r="W654" s="1177"/>
      <c r="X654" s="1177"/>
      <c r="Y654" s="1169"/>
      <c r="Z654" s="1169">
        <f t="shared" si="1022"/>
        <v>0</v>
      </c>
      <c r="AA654" s="1169"/>
      <c r="AB654" s="1172">
        <f t="shared" si="925"/>
        <v>0</v>
      </c>
      <c r="AC654" s="1171"/>
      <c r="AD654" s="1128"/>
      <c r="AE654" s="1169"/>
      <c r="AF654" s="1177"/>
      <c r="AG654" s="1177"/>
      <c r="AH654" s="1169"/>
      <c r="AI654" s="1169">
        <f t="shared" si="1023"/>
        <v>0</v>
      </c>
      <c r="AJ654" s="1169"/>
      <c r="AK654" s="1173">
        <f t="shared" si="927"/>
        <v>0</v>
      </c>
      <c r="AL654" s="1171"/>
      <c r="AM654" s="1128"/>
      <c r="AN654" s="1170"/>
      <c r="AO654" s="1175"/>
      <c r="AP654" s="1175"/>
      <c r="AQ654" s="1170"/>
      <c r="AR654" s="1170">
        <f t="shared" si="1024"/>
        <v>0</v>
      </c>
      <c r="AS654" s="1170"/>
      <c r="AT654" s="1170">
        <f t="shared" si="929"/>
        <v>0</v>
      </c>
      <c r="AU654" s="1174"/>
      <c r="AV654" s="1128"/>
      <c r="AW654" s="1169"/>
      <c r="AX654" s="1177"/>
      <c r="AY654" s="1177"/>
      <c r="AZ654" s="1169"/>
      <c r="BA654" s="1169">
        <f t="shared" si="1025"/>
        <v>0</v>
      </c>
      <c r="BB654" s="1169"/>
      <c r="BC654" s="1175">
        <f t="shared" si="931"/>
        <v>0</v>
      </c>
      <c r="BD654" s="1027"/>
      <c r="BE654" s="1024"/>
      <c r="BF654" s="1024"/>
      <c r="BG654" s="1008"/>
      <c r="BH654" s="1008"/>
      <c r="BI654" s="1008"/>
      <c r="BJ654" s="1008"/>
      <c r="BK654" s="1008"/>
      <c r="BL654" s="1008"/>
      <c r="BM654" s="1008"/>
    </row>
    <row r="655" s="1215" customFormat="1" ht="21" customHeight="1">
      <c r="A655" s="999" t="str">
        <f t="shared" si="970"/>
        <v xml:space="preserve">Трофимкина Н.В.</v>
      </c>
      <c r="B655" s="1202" t="s">
        <v>431</v>
      </c>
      <c r="C655" s="1203" t="s">
        <v>496</v>
      </c>
      <c r="D655" s="1202"/>
      <c r="E655" s="1164">
        <f t="shared" si="944"/>
        <v>0</v>
      </c>
      <c r="F655" s="1164">
        <f t="shared" si="971"/>
        <v>0</v>
      </c>
      <c r="G655" s="1165">
        <f t="shared" si="1019"/>
        <v>0</v>
      </c>
      <c r="H655" s="1166"/>
      <c r="I655" s="1167">
        <f t="shared" si="957"/>
        <v>0</v>
      </c>
      <c r="J655" s="1167">
        <f t="shared" si="972"/>
        <v>0</v>
      </c>
      <c r="K655" s="1168">
        <f t="shared" si="1020"/>
        <v>0</v>
      </c>
      <c r="L655" s="1128"/>
      <c r="M655" s="1169"/>
      <c r="N655" s="1177"/>
      <c r="O655" s="1169"/>
      <c r="P655" s="1169"/>
      <c r="Q655" s="1169">
        <f t="shared" si="1021"/>
        <v>0</v>
      </c>
      <c r="R655" s="1169"/>
      <c r="S655" s="1170">
        <f t="shared" si="923"/>
        <v>0</v>
      </c>
      <c r="T655" s="1171"/>
      <c r="U655" s="1128"/>
      <c r="V655" s="1169"/>
      <c r="W655" s="1177"/>
      <c r="X655" s="1177"/>
      <c r="Y655" s="1169"/>
      <c r="Z655" s="1169">
        <f t="shared" si="1022"/>
        <v>0</v>
      </c>
      <c r="AA655" s="1169"/>
      <c r="AB655" s="1172">
        <f t="shared" si="925"/>
        <v>0</v>
      </c>
      <c r="AC655" s="1171"/>
      <c r="AD655" s="1128"/>
      <c r="AE655" s="1169"/>
      <c r="AF655" s="1177"/>
      <c r="AG655" s="1177"/>
      <c r="AH655" s="1169"/>
      <c r="AI655" s="1169">
        <f t="shared" si="1023"/>
        <v>0</v>
      </c>
      <c r="AJ655" s="1169"/>
      <c r="AK655" s="1173">
        <f t="shared" si="927"/>
        <v>0</v>
      </c>
      <c r="AL655" s="1171"/>
      <c r="AM655" s="1128"/>
      <c r="AN655" s="1170"/>
      <c r="AO655" s="1175"/>
      <c r="AP655" s="1175"/>
      <c r="AQ655" s="1170"/>
      <c r="AR655" s="1170">
        <f t="shared" si="1024"/>
        <v>0</v>
      </c>
      <c r="AS655" s="1170"/>
      <c r="AT655" s="1170">
        <f t="shared" ref="AT655:AT688" si="1026">AR655+AS655</f>
        <v>0</v>
      </c>
      <c r="AU655" s="1174"/>
      <c r="AV655" s="1128"/>
      <c r="AW655" s="1169"/>
      <c r="AX655" s="1177"/>
      <c r="AY655" s="1177"/>
      <c r="AZ655" s="1169"/>
      <c r="BA655" s="1169">
        <f t="shared" si="1025"/>
        <v>0</v>
      </c>
      <c r="BB655" s="1169"/>
      <c r="BC655" s="1175">
        <f t="shared" ref="BC655:BC688" si="1027">BA655+BB655</f>
        <v>0</v>
      </c>
      <c r="BD655" s="1027"/>
      <c r="BE655" s="1024"/>
      <c r="BF655" s="1024"/>
      <c r="BG655" s="1008"/>
      <c r="BH655" s="1008"/>
      <c r="BI655" s="1008"/>
      <c r="BJ655" s="1008"/>
      <c r="BK655" s="1008"/>
      <c r="BL655" s="1008"/>
      <c r="BM655" s="1008"/>
    </row>
    <row r="656" s="1215" customFormat="1" ht="21" customHeight="1">
      <c r="A656" s="999" t="str">
        <f t="shared" si="970"/>
        <v xml:space="preserve">Жилкина В.В.</v>
      </c>
      <c r="B656" s="1202" t="s">
        <v>433</v>
      </c>
      <c r="C656" s="1203" t="s">
        <v>496</v>
      </c>
      <c r="D656" s="1217"/>
      <c r="E656" s="1164">
        <f t="shared" si="944"/>
        <v>0</v>
      </c>
      <c r="F656" s="1164">
        <f t="shared" si="971"/>
        <v>0</v>
      </c>
      <c r="G656" s="1165">
        <f t="shared" si="1019"/>
        <v>0</v>
      </c>
      <c r="H656" s="1166"/>
      <c r="I656" s="1167">
        <f t="shared" si="957"/>
        <v>0</v>
      </c>
      <c r="J656" s="1167">
        <f t="shared" si="972"/>
        <v>0</v>
      </c>
      <c r="K656" s="1168">
        <f t="shared" si="1020"/>
        <v>0</v>
      </c>
      <c r="L656" s="1128"/>
      <c r="M656" s="1169"/>
      <c r="N656" s="1177"/>
      <c r="O656" s="1169"/>
      <c r="P656" s="1169"/>
      <c r="Q656" s="1169">
        <f t="shared" si="1021"/>
        <v>0</v>
      </c>
      <c r="R656" s="1169"/>
      <c r="S656" s="1170">
        <f t="shared" si="923"/>
        <v>0</v>
      </c>
      <c r="T656" s="1171"/>
      <c r="U656" s="1128"/>
      <c r="V656" s="1169"/>
      <c r="W656" s="1177"/>
      <c r="X656" s="1177"/>
      <c r="Y656" s="1169"/>
      <c r="Z656" s="1169">
        <f t="shared" si="1022"/>
        <v>0</v>
      </c>
      <c r="AA656" s="1169"/>
      <c r="AB656" s="1172">
        <f t="shared" si="925"/>
        <v>0</v>
      </c>
      <c r="AC656" s="1171"/>
      <c r="AD656" s="1128"/>
      <c r="AE656" s="1169"/>
      <c r="AF656" s="1177"/>
      <c r="AG656" s="1177"/>
      <c r="AH656" s="1169"/>
      <c r="AI656" s="1169">
        <f t="shared" si="1023"/>
        <v>0</v>
      </c>
      <c r="AJ656" s="1169"/>
      <c r="AK656" s="1173">
        <f t="shared" si="927"/>
        <v>0</v>
      </c>
      <c r="AL656" s="1171"/>
      <c r="AM656" s="1128"/>
      <c r="AN656" s="1170"/>
      <c r="AO656" s="1175"/>
      <c r="AP656" s="1175"/>
      <c r="AQ656" s="1170"/>
      <c r="AR656" s="1170">
        <f t="shared" si="1024"/>
        <v>0</v>
      </c>
      <c r="AS656" s="1170"/>
      <c r="AT656" s="1170">
        <f t="shared" si="1026"/>
        <v>0</v>
      </c>
      <c r="AU656" s="1174"/>
      <c r="AV656" s="1128"/>
      <c r="AW656" s="1169"/>
      <c r="AX656" s="1177"/>
      <c r="AY656" s="1177"/>
      <c r="AZ656" s="1169"/>
      <c r="BA656" s="1169">
        <f t="shared" si="1025"/>
        <v>0</v>
      </c>
      <c r="BB656" s="1169"/>
      <c r="BC656" s="1175">
        <f t="shared" si="1027"/>
        <v>0</v>
      </c>
      <c r="BD656" s="1027"/>
      <c r="BE656" s="1024"/>
      <c r="BF656" s="1024"/>
      <c r="BG656" s="1008"/>
      <c r="BH656" s="1008"/>
      <c r="BI656" s="1008"/>
      <c r="BJ656" s="1008"/>
      <c r="BK656" s="1008"/>
      <c r="BL656" s="1008"/>
      <c r="BM656" s="1008"/>
    </row>
    <row r="657" s="1215" customFormat="1" ht="21" customHeight="1">
      <c r="A657" s="999" t="str">
        <f t="shared" si="970"/>
        <v xml:space="preserve">Марушенко В.Н. Донцова Н.Г.</v>
      </c>
      <c r="B657" s="1202" t="s">
        <v>435</v>
      </c>
      <c r="C657" s="1203" t="s">
        <v>496</v>
      </c>
      <c r="D657" s="1202"/>
      <c r="E657" s="1164">
        <f t="shared" si="944"/>
        <v>0</v>
      </c>
      <c r="F657" s="1164">
        <f t="shared" si="971"/>
        <v>0</v>
      </c>
      <c r="G657" s="1165">
        <f t="shared" si="1019"/>
        <v>0</v>
      </c>
      <c r="H657" s="1166"/>
      <c r="I657" s="1167">
        <f t="shared" si="957"/>
        <v>0</v>
      </c>
      <c r="J657" s="1167">
        <f t="shared" si="972"/>
        <v>0</v>
      </c>
      <c r="K657" s="1168">
        <f t="shared" si="1020"/>
        <v>0</v>
      </c>
      <c r="L657" s="1128"/>
      <c r="M657" s="1169"/>
      <c r="N657" s="1177"/>
      <c r="O657" s="1169"/>
      <c r="P657" s="1169"/>
      <c r="Q657" s="1169">
        <f t="shared" si="1021"/>
        <v>0</v>
      </c>
      <c r="R657" s="1169"/>
      <c r="S657" s="1170">
        <f t="shared" si="923"/>
        <v>0</v>
      </c>
      <c r="T657" s="1171"/>
      <c r="U657" s="1128"/>
      <c r="V657" s="1169"/>
      <c r="W657" s="1177"/>
      <c r="X657" s="1177"/>
      <c r="Y657" s="1169"/>
      <c r="Z657" s="1169">
        <f t="shared" si="1022"/>
        <v>0</v>
      </c>
      <c r="AA657" s="1169"/>
      <c r="AB657" s="1172">
        <f t="shared" si="925"/>
        <v>0</v>
      </c>
      <c r="AC657" s="1171"/>
      <c r="AD657" s="1128"/>
      <c r="AE657" s="1169"/>
      <c r="AF657" s="1177"/>
      <c r="AG657" s="1177"/>
      <c r="AH657" s="1169"/>
      <c r="AI657" s="1169">
        <f t="shared" si="1023"/>
        <v>0</v>
      </c>
      <c r="AJ657" s="1169"/>
      <c r="AK657" s="1173">
        <f t="shared" si="927"/>
        <v>0</v>
      </c>
      <c r="AL657" s="1171"/>
      <c r="AM657" s="1128"/>
      <c r="AN657" s="1170"/>
      <c r="AO657" s="1175"/>
      <c r="AP657" s="1175"/>
      <c r="AQ657" s="1170"/>
      <c r="AR657" s="1170">
        <f t="shared" si="1024"/>
        <v>0</v>
      </c>
      <c r="AS657" s="1170"/>
      <c r="AT657" s="1170">
        <f t="shared" si="1026"/>
        <v>0</v>
      </c>
      <c r="AU657" s="1174"/>
      <c r="AV657" s="1128"/>
      <c r="AW657" s="1169"/>
      <c r="AX657" s="1177"/>
      <c r="AY657" s="1177"/>
      <c r="AZ657" s="1169"/>
      <c r="BA657" s="1169">
        <f t="shared" si="1025"/>
        <v>0</v>
      </c>
      <c r="BB657" s="1169"/>
      <c r="BC657" s="1175">
        <f t="shared" si="1027"/>
        <v>0</v>
      </c>
      <c r="BD657" s="1027"/>
      <c r="BE657" s="1024"/>
      <c r="BF657" s="1024"/>
      <c r="BG657" s="1008"/>
      <c r="BH657" s="1008"/>
      <c r="BI657" s="1008"/>
      <c r="BJ657" s="1008"/>
      <c r="BK657" s="1008"/>
      <c r="BL657" s="1008"/>
      <c r="BM657" s="1008"/>
    </row>
    <row r="658" s="1215" customFormat="1" ht="21" customHeight="1">
      <c r="A658" s="999">
        <f t="shared" si="970"/>
        <v>0</v>
      </c>
      <c r="B658" s="1202" t="s">
        <v>436</v>
      </c>
      <c r="C658" s="1202"/>
      <c r="D658" s="1202"/>
      <c r="E658" s="1164">
        <f t="shared" si="944"/>
        <v>0</v>
      </c>
      <c r="F658" s="1164">
        <f t="shared" si="971"/>
        <v>0</v>
      </c>
      <c r="G658" s="1165">
        <f t="shared" si="1019"/>
        <v>0</v>
      </c>
      <c r="H658" s="1166"/>
      <c r="I658" s="1167">
        <f t="shared" si="957"/>
        <v>0</v>
      </c>
      <c r="J658" s="1167">
        <f t="shared" si="972"/>
        <v>0</v>
      </c>
      <c r="K658" s="1168">
        <f t="shared" si="1020"/>
        <v>0</v>
      </c>
      <c r="L658" s="1128"/>
      <c r="M658" s="1169"/>
      <c r="N658" s="1177"/>
      <c r="O658" s="1169"/>
      <c r="P658" s="1169"/>
      <c r="Q658" s="1169">
        <f t="shared" si="1021"/>
        <v>0</v>
      </c>
      <c r="R658" s="1169"/>
      <c r="S658" s="1170">
        <f t="shared" si="923"/>
        <v>0</v>
      </c>
      <c r="T658" s="1171"/>
      <c r="U658" s="1128"/>
      <c r="V658" s="1169"/>
      <c r="W658" s="1177"/>
      <c r="X658" s="1177"/>
      <c r="Y658" s="1169"/>
      <c r="Z658" s="1169">
        <f t="shared" si="1022"/>
        <v>0</v>
      </c>
      <c r="AA658" s="1169"/>
      <c r="AB658" s="1172">
        <f t="shared" si="925"/>
        <v>0</v>
      </c>
      <c r="AC658" s="1171"/>
      <c r="AD658" s="1128"/>
      <c r="AE658" s="1169"/>
      <c r="AF658" s="1177"/>
      <c r="AG658" s="1177"/>
      <c r="AH658" s="1169"/>
      <c r="AI658" s="1169">
        <f t="shared" si="1023"/>
        <v>0</v>
      </c>
      <c r="AJ658" s="1169"/>
      <c r="AK658" s="1173">
        <f t="shared" si="927"/>
        <v>0</v>
      </c>
      <c r="AL658" s="1171"/>
      <c r="AM658" s="1128"/>
      <c r="AN658" s="1170"/>
      <c r="AO658" s="1175"/>
      <c r="AP658" s="1175"/>
      <c r="AQ658" s="1170"/>
      <c r="AR658" s="1170">
        <f t="shared" si="1024"/>
        <v>0</v>
      </c>
      <c r="AS658" s="1170"/>
      <c r="AT658" s="1170">
        <f t="shared" si="1026"/>
        <v>0</v>
      </c>
      <c r="AU658" s="1174"/>
      <c r="AV658" s="1128"/>
      <c r="AW658" s="1169"/>
      <c r="AX658" s="1177"/>
      <c r="AY658" s="1177"/>
      <c r="AZ658" s="1169"/>
      <c r="BA658" s="1169">
        <f t="shared" si="1025"/>
        <v>0</v>
      </c>
      <c r="BB658" s="1169"/>
      <c r="BC658" s="1175">
        <f t="shared" si="1027"/>
        <v>0</v>
      </c>
      <c r="BD658" s="1027"/>
      <c r="BE658" s="1024"/>
      <c r="BF658" s="1024"/>
      <c r="BG658" s="1008"/>
      <c r="BH658" s="1008"/>
      <c r="BI658" s="1008"/>
      <c r="BJ658" s="1008"/>
      <c r="BK658" s="1008"/>
      <c r="BL658" s="1008"/>
      <c r="BM658" s="1008"/>
    </row>
    <row r="659" s="1215" customFormat="1" ht="21" customHeight="1">
      <c r="A659" s="999" t="str">
        <f t="shared" si="970"/>
        <v xml:space="preserve">Кузнецова Е.В.</v>
      </c>
      <c r="B659" s="1202" t="s">
        <v>78</v>
      </c>
      <c r="C659" s="1223" t="s">
        <v>498</v>
      </c>
      <c r="D659" s="1223"/>
      <c r="E659" s="1164">
        <f t="shared" si="944"/>
        <v>0</v>
      </c>
      <c r="F659" s="1164">
        <f t="shared" si="971"/>
        <v>0</v>
      </c>
      <c r="G659" s="1165">
        <f t="shared" si="1019"/>
        <v>0</v>
      </c>
      <c r="H659" s="1166"/>
      <c r="I659" s="1167">
        <f t="shared" si="957"/>
        <v>0</v>
      </c>
      <c r="J659" s="1167">
        <f t="shared" si="972"/>
        <v>0</v>
      </c>
      <c r="K659" s="1168">
        <f t="shared" si="1020"/>
        <v>0</v>
      </c>
      <c r="L659" s="1128"/>
      <c r="M659" s="1169"/>
      <c r="N659" s="1177"/>
      <c r="O659" s="1169"/>
      <c r="P659" s="1169"/>
      <c r="Q659" s="1169">
        <f t="shared" si="1021"/>
        <v>0</v>
      </c>
      <c r="R659" s="1169"/>
      <c r="S659" s="1170">
        <f t="shared" si="923"/>
        <v>0</v>
      </c>
      <c r="T659" s="1171"/>
      <c r="U659" s="1128"/>
      <c r="V659" s="1169"/>
      <c r="W659" s="1177"/>
      <c r="X659" s="1177"/>
      <c r="Y659" s="1169"/>
      <c r="Z659" s="1169">
        <f t="shared" si="1022"/>
        <v>0</v>
      </c>
      <c r="AA659" s="1169"/>
      <c r="AB659" s="1172">
        <f t="shared" si="925"/>
        <v>0</v>
      </c>
      <c r="AC659" s="1171"/>
      <c r="AD659" s="1128"/>
      <c r="AE659" s="1169"/>
      <c r="AF659" s="1177"/>
      <c r="AG659" s="1177"/>
      <c r="AH659" s="1169"/>
      <c r="AI659" s="1169">
        <f t="shared" si="1023"/>
        <v>0</v>
      </c>
      <c r="AJ659" s="1169"/>
      <c r="AK659" s="1173">
        <f t="shared" si="927"/>
        <v>0</v>
      </c>
      <c r="AL659" s="1171"/>
      <c r="AM659" s="1128"/>
      <c r="AN659" s="1170"/>
      <c r="AO659" s="1175"/>
      <c r="AP659" s="1175"/>
      <c r="AQ659" s="1170"/>
      <c r="AR659" s="1170">
        <f t="shared" si="1024"/>
        <v>0</v>
      </c>
      <c r="AS659" s="1170"/>
      <c r="AT659" s="1170">
        <f t="shared" si="1026"/>
        <v>0</v>
      </c>
      <c r="AU659" s="1174"/>
      <c r="AV659" s="1128"/>
      <c r="AW659" s="1169"/>
      <c r="AX659" s="1177"/>
      <c r="AY659" s="1177"/>
      <c r="AZ659" s="1169"/>
      <c r="BA659" s="1169">
        <f t="shared" si="1025"/>
        <v>0</v>
      </c>
      <c r="BB659" s="1169"/>
      <c r="BC659" s="1175">
        <f t="shared" si="1027"/>
        <v>0</v>
      </c>
      <c r="BD659" s="1027"/>
      <c r="BE659" s="1024"/>
      <c r="BF659" s="1024"/>
      <c r="BG659" s="1008"/>
      <c r="BH659" s="1008"/>
      <c r="BI659" s="1008"/>
      <c r="BJ659" s="1008"/>
      <c r="BK659" s="1008"/>
      <c r="BL659" s="1008"/>
      <c r="BM659" s="1008"/>
    </row>
    <row r="660" s="1215" customFormat="1" ht="21" customHeight="1">
      <c r="A660" s="999">
        <f t="shared" si="970"/>
        <v>0</v>
      </c>
      <c r="B660" s="1205" t="s">
        <v>22</v>
      </c>
      <c r="C660" s="1205"/>
      <c r="D660" s="1205"/>
      <c r="E660" s="1183">
        <f t="shared" si="944"/>
        <v>0</v>
      </c>
      <c r="F660" s="1183">
        <f t="shared" si="971"/>
        <v>0</v>
      </c>
      <c r="G660" s="1184">
        <f>SUM(G647:G659)</f>
        <v>0</v>
      </c>
      <c r="H660" s="1185"/>
      <c r="I660" s="1186">
        <f t="shared" si="957"/>
        <v>0</v>
      </c>
      <c r="J660" s="1186">
        <f t="shared" si="972"/>
        <v>0</v>
      </c>
      <c r="K660" s="1187">
        <f>SUM(K647:K659)</f>
        <v>0</v>
      </c>
      <c r="L660" s="1128"/>
      <c r="M660" s="1096">
        <f t="shared" ref="M660:R660" si="1028">SUM(M647:M659)</f>
        <v>0</v>
      </c>
      <c r="N660" s="1096">
        <f t="shared" si="1028"/>
        <v>0</v>
      </c>
      <c r="O660" s="1096">
        <f t="shared" si="1028"/>
        <v>0</v>
      </c>
      <c r="P660" s="1096">
        <f t="shared" si="1028"/>
        <v>0</v>
      </c>
      <c r="Q660" s="1096">
        <f t="shared" si="1028"/>
        <v>0</v>
      </c>
      <c r="R660" s="1096">
        <f t="shared" si="1028"/>
        <v>0</v>
      </c>
      <c r="S660" s="1170">
        <f t="shared" ref="S660:S688" si="1029">Q660+R660</f>
        <v>0</v>
      </c>
      <c r="T660" s="1189"/>
      <c r="U660" s="1128"/>
      <c r="V660" s="1096">
        <f t="shared" ref="V660:AA660" si="1030">SUM(V647:V659)</f>
        <v>0</v>
      </c>
      <c r="W660" s="1096">
        <f t="shared" si="1030"/>
        <v>0</v>
      </c>
      <c r="X660" s="1096">
        <f t="shared" si="1030"/>
        <v>0</v>
      </c>
      <c r="Y660" s="1096">
        <f t="shared" si="1030"/>
        <v>0</v>
      </c>
      <c r="Z660" s="1096">
        <f t="shared" si="1030"/>
        <v>0</v>
      </c>
      <c r="AA660" s="1096">
        <f t="shared" si="1030"/>
        <v>0</v>
      </c>
      <c r="AB660" s="1172">
        <f t="shared" ref="AB660:AB688" si="1031">Z660+AA660</f>
        <v>0</v>
      </c>
      <c r="AC660" s="1189"/>
      <c r="AD660" s="1128"/>
      <c r="AE660" s="1096">
        <f t="shared" ref="AE660:AJ660" si="1032">SUM(AE647:AE659)</f>
        <v>0</v>
      </c>
      <c r="AF660" s="1096">
        <f t="shared" si="1032"/>
        <v>0</v>
      </c>
      <c r="AG660" s="1096">
        <f t="shared" si="1032"/>
        <v>0</v>
      </c>
      <c r="AH660" s="1096">
        <f t="shared" si="1032"/>
        <v>0</v>
      </c>
      <c r="AI660" s="1096">
        <f t="shared" si="1032"/>
        <v>0</v>
      </c>
      <c r="AJ660" s="1096">
        <f t="shared" si="1032"/>
        <v>0</v>
      </c>
      <c r="AK660" s="1173">
        <f t="shared" ref="AK660:AK688" si="1033">AI660+AJ660</f>
        <v>0</v>
      </c>
      <c r="AL660" s="1189"/>
      <c r="AM660" s="1128"/>
      <c r="AN660" s="1190">
        <f t="shared" ref="AN660:AS660" si="1034">SUM(AN647:AN659)</f>
        <v>0</v>
      </c>
      <c r="AO660" s="1190">
        <f t="shared" si="1034"/>
        <v>0</v>
      </c>
      <c r="AP660" s="1190">
        <f t="shared" si="1034"/>
        <v>0</v>
      </c>
      <c r="AQ660" s="1190">
        <f t="shared" si="1034"/>
        <v>0</v>
      </c>
      <c r="AR660" s="1190">
        <f t="shared" si="1034"/>
        <v>0</v>
      </c>
      <c r="AS660" s="1190">
        <f t="shared" si="1034"/>
        <v>0</v>
      </c>
      <c r="AT660" s="1170">
        <f t="shared" si="1026"/>
        <v>0</v>
      </c>
      <c r="AU660" s="1191"/>
      <c r="AV660" s="1128"/>
      <c r="AW660" s="1096">
        <f t="shared" ref="AW660:BB660" si="1035">SUM(AW647:AW659)</f>
        <v>0</v>
      </c>
      <c r="AX660" s="1096">
        <f t="shared" si="1035"/>
        <v>0</v>
      </c>
      <c r="AY660" s="1096">
        <f t="shared" si="1035"/>
        <v>0</v>
      </c>
      <c r="AZ660" s="1096">
        <f t="shared" si="1035"/>
        <v>0</v>
      </c>
      <c r="BA660" s="1096">
        <f t="shared" si="1035"/>
        <v>0</v>
      </c>
      <c r="BB660" s="1096">
        <f t="shared" si="1035"/>
        <v>0</v>
      </c>
      <c r="BC660" s="1175">
        <f t="shared" si="1027"/>
        <v>0</v>
      </c>
      <c r="BD660" s="1027"/>
      <c r="BE660" s="1024"/>
      <c r="BF660" s="1024"/>
      <c r="BG660" s="1008"/>
      <c r="BH660" s="1008"/>
      <c r="BI660" s="1008"/>
      <c r="BJ660" s="1008"/>
      <c r="BK660" s="1008"/>
      <c r="BL660" s="1008"/>
      <c r="BM660" s="1008"/>
    </row>
    <row r="661" s="1215" customFormat="1" ht="21" customHeight="1">
      <c r="A661" s="999" t="str">
        <f t="shared" si="970"/>
        <v xml:space="preserve">Титякова Т.А.</v>
      </c>
      <c r="B661" s="1202" t="s">
        <v>26</v>
      </c>
      <c r="C661" s="1202" t="s">
        <v>494</v>
      </c>
      <c r="D661" s="1202"/>
      <c r="E661" s="1164">
        <f t="shared" si="944"/>
        <v>0</v>
      </c>
      <c r="F661" s="1164">
        <f t="shared" si="971"/>
        <v>0</v>
      </c>
      <c r="G661" s="1165">
        <f t="shared" ref="G661:G686" si="1036">E661+F661</f>
        <v>0</v>
      </c>
      <c r="H661" s="1166"/>
      <c r="I661" s="1167">
        <f t="shared" si="957"/>
        <v>0</v>
      </c>
      <c r="J661" s="1167">
        <f t="shared" si="972"/>
        <v>0</v>
      </c>
      <c r="K661" s="1168">
        <f t="shared" ref="K661:K686" si="1037">I661+J661</f>
        <v>0</v>
      </c>
      <c r="L661" s="1128"/>
      <c r="M661" s="1169"/>
      <c r="N661" s="1177"/>
      <c r="O661" s="1169"/>
      <c r="P661" s="1169"/>
      <c r="Q661" s="1169">
        <f t="shared" ref="Q661:Q686" si="1038">SUM(M661:P661)</f>
        <v>0</v>
      </c>
      <c r="R661" s="1169"/>
      <c r="S661" s="1170">
        <f t="shared" si="1029"/>
        <v>0</v>
      </c>
      <c r="T661" s="1171"/>
      <c r="U661" s="1128"/>
      <c r="V661" s="1169"/>
      <c r="W661" s="1177"/>
      <c r="X661" s="1177"/>
      <c r="Y661" s="1169"/>
      <c r="Z661" s="1169">
        <f t="shared" ref="Z661:Z686" si="1039">SUM(V661:Y661)</f>
        <v>0</v>
      </c>
      <c r="AA661" s="1169"/>
      <c r="AB661" s="1172">
        <f t="shared" si="1031"/>
        <v>0</v>
      </c>
      <c r="AC661" s="1171"/>
      <c r="AD661" s="1128"/>
      <c r="AE661" s="1169"/>
      <c r="AF661" s="1177"/>
      <c r="AG661" s="1177"/>
      <c r="AH661" s="1169"/>
      <c r="AI661" s="1169">
        <f t="shared" ref="AI661:AI686" si="1040">SUM(AE661:AH661)</f>
        <v>0</v>
      </c>
      <c r="AJ661" s="1169"/>
      <c r="AK661" s="1173">
        <f t="shared" si="1033"/>
        <v>0</v>
      </c>
      <c r="AL661" s="1171"/>
      <c r="AM661" s="1128"/>
      <c r="AN661" s="1170"/>
      <c r="AO661" s="1175"/>
      <c r="AP661" s="1175"/>
      <c r="AQ661" s="1170"/>
      <c r="AR661" s="1170">
        <f t="shared" ref="AR661:AR686" si="1041">SUM(AN661:AQ661)</f>
        <v>0</v>
      </c>
      <c r="AS661" s="1170"/>
      <c r="AT661" s="1170">
        <f t="shared" si="1026"/>
        <v>0</v>
      </c>
      <c r="AU661" s="1174"/>
      <c r="AV661" s="1128"/>
      <c r="AW661" s="1169"/>
      <c r="AX661" s="1177"/>
      <c r="AY661" s="1177"/>
      <c r="AZ661" s="1169"/>
      <c r="BA661" s="1169">
        <f t="shared" ref="BA661:BA686" si="1042">SUM(AW661:AZ661)</f>
        <v>0</v>
      </c>
      <c r="BB661" s="1169"/>
      <c r="BC661" s="1175">
        <f t="shared" si="1027"/>
        <v>0</v>
      </c>
      <c r="BD661" s="1027"/>
      <c r="BE661" s="1024"/>
      <c r="BF661" s="1024"/>
      <c r="BG661" s="1008"/>
      <c r="BH661" s="1008"/>
      <c r="BI661" s="1008"/>
      <c r="BJ661" s="1008"/>
      <c r="BK661" s="1008"/>
      <c r="BL661" s="1008"/>
      <c r="BM661" s="1008"/>
    </row>
    <row r="662" s="1215" customFormat="1" ht="21" customHeight="1">
      <c r="A662" s="999">
        <f t="shared" si="970"/>
        <v>0</v>
      </c>
      <c r="B662" s="1202" t="s">
        <v>439</v>
      </c>
      <c r="C662" s="1202"/>
      <c r="D662" s="1202"/>
      <c r="E662" s="1164">
        <f t="shared" si="944"/>
        <v>0</v>
      </c>
      <c r="F662" s="1164">
        <f t="shared" si="971"/>
        <v>0</v>
      </c>
      <c r="G662" s="1165">
        <f t="shared" si="1036"/>
        <v>0</v>
      </c>
      <c r="H662" s="1166"/>
      <c r="I662" s="1167">
        <f t="shared" si="957"/>
        <v>0</v>
      </c>
      <c r="J662" s="1167">
        <f t="shared" si="972"/>
        <v>0</v>
      </c>
      <c r="K662" s="1168">
        <f t="shared" si="1037"/>
        <v>0</v>
      </c>
      <c r="L662" s="1128"/>
      <c r="M662" s="1169"/>
      <c r="N662" s="1177"/>
      <c r="O662" s="1169"/>
      <c r="P662" s="1169"/>
      <c r="Q662" s="1169">
        <f t="shared" si="1038"/>
        <v>0</v>
      </c>
      <c r="R662" s="1169"/>
      <c r="S662" s="1170">
        <f t="shared" si="1029"/>
        <v>0</v>
      </c>
      <c r="T662" s="1171"/>
      <c r="U662" s="1128"/>
      <c r="V662" s="1169"/>
      <c r="W662" s="1177"/>
      <c r="X662" s="1177"/>
      <c r="Y662" s="1169"/>
      <c r="Z662" s="1169">
        <f t="shared" si="1039"/>
        <v>0</v>
      </c>
      <c r="AA662" s="1169"/>
      <c r="AB662" s="1172">
        <f t="shared" si="1031"/>
        <v>0</v>
      </c>
      <c r="AC662" s="1171"/>
      <c r="AD662" s="1128"/>
      <c r="AE662" s="1169"/>
      <c r="AF662" s="1177"/>
      <c r="AG662" s="1177"/>
      <c r="AH662" s="1169"/>
      <c r="AI662" s="1169">
        <f t="shared" si="1040"/>
        <v>0</v>
      </c>
      <c r="AJ662" s="1169"/>
      <c r="AK662" s="1173">
        <f t="shared" si="1033"/>
        <v>0</v>
      </c>
      <c r="AL662" s="1171"/>
      <c r="AM662" s="1128"/>
      <c r="AN662" s="1170"/>
      <c r="AO662" s="1175"/>
      <c r="AP662" s="1175"/>
      <c r="AQ662" s="1170"/>
      <c r="AR662" s="1170">
        <f t="shared" si="1041"/>
        <v>0</v>
      </c>
      <c r="AS662" s="1170"/>
      <c r="AT662" s="1170">
        <f t="shared" si="1026"/>
        <v>0</v>
      </c>
      <c r="AU662" s="1174"/>
      <c r="AV662" s="1128"/>
      <c r="AW662" s="1169"/>
      <c r="AX662" s="1177"/>
      <c r="AY662" s="1177"/>
      <c r="AZ662" s="1169"/>
      <c r="BA662" s="1169">
        <f t="shared" si="1042"/>
        <v>0</v>
      </c>
      <c r="BB662" s="1169"/>
      <c r="BC662" s="1175">
        <f t="shared" si="1027"/>
        <v>0</v>
      </c>
      <c r="BD662" s="1027"/>
      <c r="BE662" s="1024"/>
      <c r="BF662" s="1024"/>
      <c r="BG662" s="1008"/>
      <c r="BH662" s="1008"/>
      <c r="BI662" s="1008"/>
      <c r="BJ662" s="1008"/>
      <c r="BK662" s="1008"/>
      <c r="BL662" s="1008"/>
      <c r="BM662" s="1008"/>
    </row>
    <row r="663" s="1215" customFormat="1" ht="21" customHeight="1">
      <c r="A663" s="999" t="str">
        <f t="shared" si="970"/>
        <v xml:space="preserve">Стрельникова АГ, Липатова СН</v>
      </c>
      <c r="B663" s="1202" t="s">
        <v>441</v>
      </c>
      <c r="C663" s="1202"/>
      <c r="D663" s="1202"/>
      <c r="E663" s="1164">
        <f t="shared" si="944"/>
        <v>0</v>
      </c>
      <c r="F663" s="1164">
        <f t="shared" si="971"/>
        <v>0</v>
      </c>
      <c r="G663" s="1165">
        <f t="shared" si="1036"/>
        <v>0</v>
      </c>
      <c r="H663" s="1166"/>
      <c r="I663" s="1167">
        <f t="shared" si="957"/>
        <v>0</v>
      </c>
      <c r="J663" s="1167">
        <f t="shared" si="972"/>
        <v>0</v>
      </c>
      <c r="K663" s="1168">
        <f t="shared" si="1037"/>
        <v>0</v>
      </c>
      <c r="L663" s="1128"/>
      <c r="M663" s="1169"/>
      <c r="N663" s="1177"/>
      <c r="O663" s="1169"/>
      <c r="P663" s="1169"/>
      <c r="Q663" s="1169">
        <f t="shared" si="1038"/>
        <v>0</v>
      </c>
      <c r="R663" s="1169"/>
      <c r="S663" s="1170">
        <f t="shared" si="1029"/>
        <v>0</v>
      </c>
      <c r="T663" s="1171"/>
      <c r="U663" s="1128"/>
      <c r="V663" s="1169"/>
      <c r="W663" s="1177"/>
      <c r="X663" s="1177"/>
      <c r="Y663" s="1169"/>
      <c r="Z663" s="1169">
        <f t="shared" si="1039"/>
        <v>0</v>
      </c>
      <c r="AA663" s="1169"/>
      <c r="AB663" s="1172">
        <f t="shared" si="1031"/>
        <v>0</v>
      </c>
      <c r="AC663" s="1171"/>
      <c r="AD663" s="1128"/>
      <c r="AE663" s="1169"/>
      <c r="AF663" s="1177"/>
      <c r="AG663" s="1177"/>
      <c r="AH663" s="1169"/>
      <c r="AI663" s="1169">
        <f t="shared" si="1040"/>
        <v>0</v>
      </c>
      <c r="AJ663" s="1169"/>
      <c r="AK663" s="1173">
        <f t="shared" si="1033"/>
        <v>0</v>
      </c>
      <c r="AL663" s="1171"/>
      <c r="AM663" s="1128"/>
      <c r="AN663" s="1170"/>
      <c r="AO663" s="1175"/>
      <c r="AP663" s="1175"/>
      <c r="AQ663" s="1170"/>
      <c r="AR663" s="1170">
        <f t="shared" si="1041"/>
        <v>0</v>
      </c>
      <c r="AS663" s="1170"/>
      <c r="AT663" s="1170">
        <f t="shared" si="1026"/>
        <v>0</v>
      </c>
      <c r="AU663" s="1174"/>
      <c r="AV663" s="1128"/>
      <c r="AW663" s="1169"/>
      <c r="AX663" s="1177"/>
      <c r="AY663" s="1177"/>
      <c r="AZ663" s="1169"/>
      <c r="BA663" s="1169">
        <f t="shared" si="1042"/>
        <v>0</v>
      </c>
      <c r="BB663" s="1169"/>
      <c r="BC663" s="1175">
        <f t="shared" si="1027"/>
        <v>0</v>
      </c>
      <c r="BD663" s="1027"/>
      <c r="BE663" s="1024"/>
      <c r="BF663" s="1024"/>
      <c r="BG663" s="1008"/>
      <c r="BH663" s="1008"/>
      <c r="BI663" s="1008"/>
      <c r="BJ663" s="1008"/>
      <c r="BK663" s="1008"/>
      <c r="BL663" s="1008"/>
      <c r="BM663" s="1008"/>
    </row>
    <row r="664" s="1215" customFormat="1" ht="21" customHeight="1">
      <c r="A664" s="999" t="str">
        <f t="shared" si="970"/>
        <v xml:space="preserve">Куликова А.Г.</v>
      </c>
      <c r="B664" s="1202" t="s">
        <v>84</v>
      </c>
      <c r="C664" s="1202" t="s">
        <v>499</v>
      </c>
      <c r="D664" s="1202"/>
      <c r="E664" s="1164">
        <f t="shared" si="944"/>
        <v>0</v>
      </c>
      <c r="F664" s="1164">
        <f t="shared" si="971"/>
        <v>0</v>
      </c>
      <c r="G664" s="1165">
        <f t="shared" si="1036"/>
        <v>0</v>
      </c>
      <c r="H664" s="1166"/>
      <c r="I664" s="1167">
        <f t="shared" si="957"/>
        <v>0</v>
      </c>
      <c r="J664" s="1167">
        <f t="shared" si="972"/>
        <v>0</v>
      </c>
      <c r="K664" s="1168">
        <f t="shared" si="1037"/>
        <v>0</v>
      </c>
      <c r="L664" s="1128"/>
      <c r="M664" s="1169"/>
      <c r="N664" s="1177"/>
      <c r="O664" s="1169"/>
      <c r="P664" s="1169"/>
      <c r="Q664" s="1169">
        <f t="shared" si="1038"/>
        <v>0</v>
      </c>
      <c r="R664" s="1169"/>
      <c r="S664" s="1170">
        <f t="shared" si="1029"/>
        <v>0</v>
      </c>
      <c r="T664" s="1171"/>
      <c r="U664" s="1128"/>
      <c r="V664" s="1169"/>
      <c r="W664" s="1177"/>
      <c r="X664" s="1177"/>
      <c r="Y664" s="1169"/>
      <c r="Z664" s="1169">
        <f t="shared" si="1039"/>
        <v>0</v>
      </c>
      <c r="AA664" s="1169"/>
      <c r="AB664" s="1172">
        <f t="shared" si="1031"/>
        <v>0</v>
      </c>
      <c r="AC664" s="1171"/>
      <c r="AD664" s="1128"/>
      <c r="AE664" s="1169"/>
      <c r="AF664" s="1177"/>
      <c r="AG664" s="1177"/>
      <c r="AH664" s="1169"/>
      <c r="AI664" s="1169">
        <f t="shared" si="1040"/>
        <v>0</v>
      </c>
      <c r="AJ664" s="1169"/>
      <c r="AK664" s="1173">
        <f t="shared" si="1033"/>
        <v>0</v>
      </c>
      <c r="AL664" s="1171"/>
      <c r="AM664" s="1128"/>
      <c r="AN664" s="1170"/>
      <c r="AO664" s="1175"/>
      <c r="AP664" s="1175"/>
      <c r="AQ664" s="1170"/>
      <c r="AR664" s="1170">
        <f t="shared" si="1041"/>
        <v>0</v>
      </c>
      <c r="AS664" s="1170"/>
      <c r="AT664" s="1170">
        <f t="shared" si="1026"/>
        <v>0</v>
      </c>
      <c r="AU664" s="1174"/>
      <c r="AV664" s="1128"/>
      <c r="AW664" s="1169"/>
      <c r="AX664" s="1177"/>
      <c r="AY664" s="1177"/>
      <c r="AZ664" s="1169"/>
      <c r="BA664" s="1169">
        <f t="shared" si="1042"/>
        <v>0</v>
      </c>
      <c r="BB664" s="1169"/>
      <c r="BC664" s="1175">
        <f t="shared" si="1027"/>
        <v>0</v>
      </c>
      <c r="BD664" s="1027"/>
      <c r="BE664" s="1024"/>
      <c r="BF664" s="1024"/>
      <c r="BG664" s="1008"/>
      <c r="BH664" s="1008"/>
      <c r="BI664" s="1008"/>
      <c r="BJ664" s="1008"/>
      <c r="BK664" s="1008"/>
      <c r="BL664" s="1008"/>
      <c r="BM664" s="1008"/>
    </row>
    <row r="665" s="1215" customFormat="1" ht="21" customHeight="1">
      <c r="A665" s="999" t="str">
        <f t="shared" si="970"/>
        <v xml:space="preserve">Жандарова ИВ, Елина С.И.</v>
      </c>
      <c r="B665" s="1202" t="s">
        <v>288</v>
      </c>
      <c r="C665" s="1202" t="s">
        <v>497</v>
      </c>
      <c r="D665" s="1202" t="s">
        <v>500</v>
      </c>
      <c r="E665" s="1164">
        <f t="shared" si="944"/>
        <v>0</v>
      </c>
      <c r="F665" s="1164">
        <f t="shared" si="971"/>
        <v>0</v>
      </c>
      <c r="G665" s="1165">
        <f t="shared" si="1036"/>
        <v>0</v>
      </c>
      <c r="H665" s="1166"/>
      <c r="I665" s="1167">
        <f t="shared" si="957"/>
        <v>0</v>
      </c>
      <c r="J665" s="1167">
        <f t="shared" si="972"/>
        <v>0</v>
      </c>
      <c r="K665" s="1168">
        <f t="shared" si="1037"/>
        <v>0</v>
      </c>
      <c r="L665" s="1128"/>
      <c r="M665" s="1169"/>
      <c r="N665" s="1177"/>
      <c r="O665" s="1169"/>
      <c r="P665" s="1169"/>
      <c r="Q665" s="1169">
        <f t="shared" si="1038"/>
        <v>0</v>
      </c>
      <c r="R665" s="1169"/>
      <c r="S665" s="1170">
        <f t="shared" si="1029"/>
        <v>0</v>
      </c>
      <c r="T665" s="1171"/>
      <c r="U665" s="1128"/>
      <c r="V665" s="1169"/>
      <c r="W665" s="1177"/>
      <c r="X665" s="1177"/>
      <c r="Y665" s="1169"/>
      <c r="Z665" s="1169">
        <f t="shared" si="1039"/>
        <v>0</v>
      </c>
      <c r="AA665" s="1169"/>
      <c r="AB665" s="1172">
        <f t="shared" si="1031"/>
        <v>0</v>
      </c>
      <c r="AC665" s="1171"/>
      <c r="AD665" s="1128"/>
      <c r="AE665" s="1169"/>
      <c r="AF665" s="1177"/>
      <c r="AG665" s="1177"/>
      <c r="AH665" s="1169"/>
      <c r="AI665" s="1169">
        <f t="shared" si="1040"/>
        <v>0</v>
      </c>
      <c r="AJ665" s="1169"/>
      <c r="AK665" s="1173">
        <f t="shared" si="1033"/>
        <v>0</v>
      </c>
      <c r="AL665" s="1171"/>
      <c r="AM665" s="1128"/>
      <c r="AN665" s="1170"/>
      <c r="AO665" s="1175"/>
      <c r="AP665" s="1175"/>
      <c r="AQ665" s="1170"/>
      <c r="AR665" s="1170">
        <f t="shared" si="1041"/>
        <v>0</v>
      </c>
      <c r="AS665" s="1170"/>
      <c r="AT665" s="1170">
        <f t="shared" si="1026"/>
        <v>0</v>
      </c>
      <c r="AU665" s="1174"/>
      <c r="AV665" s="1128"/>
      <c r="AW665" s="1169"/>
      <c r="AX665" s="1177"/>
      <c r="AY665" s="1177"/>
      <c r="AZ665" s="1169"/>
      <c r="BA665" s="1169">
        <f t="shared" si="1042"/>
        <v>0</v>
      </c>
      <c r="BB665" s="1169"/>
      <c r="BC665" s="1175">
        <f t="shared" si="1027"/>
        <v>0</v>
      </c>
      <c r="BD665" s="1027"/>
      <c r="BE665" s="1024"/>
      <c r="BF665" s="1024"/>
      <c r="BG665" s="1008"/>
      <c r="BH665" s="1008"/>
      <c r="BI665" s="1008"/>
      <c r="BJ665" s="1008"/>
      <c r="BK665" s="1008"/>
      <c r="BL665" s="1008"/>
      <c r="BM665" s="1008"/>
    </row>
    <row r="666" s="1215" customFormat="1" ht="21" customHeight="1">
      <c r="A666" s="999" t="str">
        <f t="shared" si="970"/>
        <v xml:space="preserve">Бояркина Л.Е. Кондратьева АА</v>
      </c>
      <c r="B666" s="1176" t="s">
        <v>445</v>
      </c>
      <c r="C666" s="1176"/>
      <c r="D666" s="1176"/>
      <c r="E666" s="1164">
        <f t="shared" si="944"/>
        <v>0</v>
      </c>
      <c r="F666" s="1164">
        <f t="shared" si="971"/>
        <v>0</v>
      </c>
      <c r="G666" s="1165">
        <f t="shared" si="1036"/>
        <v>0</v>
      </c>
      <c r="H666" s="1166"/>
      <c r="I666" s="1167">
        <f t="shared" si="957"/>
        <v>0</v>
      </c>
      <c r="J666" s="1167">
        <f t="shared" si="972"/>
        <v>0</v>
      </c>
      <c r="K666" s="1168">
        <f t="shared" si="1037"/>
        <v>0</v>
      </c>
      <c r="L666" s="1128"/>
      <c r="M666" s="1169"/>
      <c r="N666" s="1177"/>
      <c r="O666" s="1169"/>
      <c r="P666" s="1169"/>
      <c r="Q666" s="1169">
        <f t="shared" si="1038"/>
        <v>0</v>
      </c>
      <c r="R666" s="1169"/>
      <c r="S666" s="1170">
        <f t="shared" si="1029"/>
        <v>0</v>
      </c>
      <c r="T666" s="1171"/>
      <c r="U666" s="1128"/>
      <c r="V666" s="1169"/>
      <c r="W666" s="1177"/>
      <c r="X666" s="1177"/>
      <c r="Y666" s="1169"/>
      <c r="Z666" s="1169">
        <f t="shared" si="1039"/>
        <v>0</v>
      </c>
      <c r="AA666" s="1169"/>
      <c r="AB666" s="1172">
        <f t="shared" si="1031"/>
        <v>0</v>
      </c>
      <c r="AC666" s="1171"/>
      <c r="AD666" s="1128"/>
      <c r="AE666" s="1169"/>
      <c r="AF666" s="1177"/>
      <c r="AG666" s="1177"/>
      <c r="AH666" s="1169"/>
      <c r="AI666" s="1169">
        <f t="shared" si="1040"/>
        <v>0</v>
      </c>
      <c r="AJ666" s="1169"/>
      <c r="AK666" s="1173">
        <f t="shared" si="1033"/>
        <v>0</v>
      </c>
      <c r="AL666" s="1171"/>
      <c r="AM666" s="1128"/>
      <c r="AN666" s="1170"/>
      <c r="AO666" s="1175"/>
      <c r="AP666" s="1175"/>
      <c r="AQ666" s="1170"/>
      <c r="AR666" s="1170">
        <f t="shared" si="1041"/>
        <v>0</v>
      </c>
      <c r="AS666" s="1170"/>
      <c r="AT666" s="1170">
        <f t="shared" si="1026"/>
        <v>0</v>
      </c>
      <c r="AU666" s="1174"/>
      <c r="AV666" s="1128"/>
      <c r="AW666" s="1169"/>
      <c r="AX666" s="1177"/>
      <c r="AY666" s="1177"/>
      <c r="AZ666" s="1169"/>
      <c r="BA666" s="1169">
        <f t="shared" si="1042"/>
        <v>0</v>
      </c>
      <c r="BB666" s="1169"/>
      <c r="BC666" s="1175">
        <f t="shared" si="1027"/>
        <v>0</v>
      </c>
      <c r="BD666" s="1027"/>
      <c r="BE666" s="1024"/>
      <c r="BF666" s="1024"/>
      <c r="BG666" s="1008"/>
      <c r="BH666" s="1008"/>
      <c r="BI666" s="1008"/>
      <c r="BJ666" s="1008"/>
      <c r="BK666" s="1008"/>
      <c r="BL666" s="1008"/>
      <c r="BM666" s="1008"/>
    </row>
    <row r="667" s="1215" customFormat="1" ht="21" customHeight="1">
      <c r="A667" s="999" t="str">
        <f t="shared" si="970"/>
        <v xml:space="preserve">Трофимчук О.Е., Радченко Т.А.   Куция НЛ  Красносельская (усть-Ивановка)</v>
      </c>
      <c r="B667" s="1176" t="s">
        <v>447</v>
      </c>
      <c r="C667" s="1176"/>
      <c r="D667" s="1176"/>
      <c r="E667" s="1164">
        <f t="shared" si="944"/>
        <v>0</v>
      </c>
      <c r="F667" s="1164">
        <f t="shared" si="971"/>
        <v>0</v>
      </c>
      <c r="G667" s="1165">
        <f t="shared" si="1036"/>
        <v>0</v>
      </c>
      <c r="H667" s="1166"/>
      <c r="I667" s="1167">
        <f t="shared" si="957"/>
        <v>0</v>
      </c>
      <c r="J667" s="1167">
        <f t="shared" si="972"/>
        <v>0</v>
      </c>
      <c r="K667" s="1168">
        <f t="shared" si="1037"/>
        <v>0</v>
      </c>
      <c r="L667" s="1128"/>
      <c r="M667" s="1169"/>
      <c r="N667" s="1177"/>
      <c r="O667" s="1169"/>
      <c r="P667" s="1169"/>
      <c r="Q667" s="1169">
        <f t="shared" si="1038"/>
        <v>0</v>
      </c>
      <c r="R667" s="1169"/>
      <c r="S667" s="1170">
        <f t="shared" si="1029"/>
        <v>0</v>
      </c>
      <c r="T667" s="1171"/>
      <c r="U667" s="1128"/>
      <c r="V667" s="1169"/>
      <c r="W667" s="1177"/>
      <c r="X667" s="1177"/>
      <c r="Y667" s="1169"/>
      <c r="Z667" s="1169">
        <f t="shared" si="1039"/>
        <v>0</v>
      </c>
      <c r="AA667" s="1169"/>
      <c r="AB667" s="1172">
        <f t="shared" si="1031"/>
        <v>0</v>
      </c>
      <c r="AC667" s="1171"/>
      <c r="AD667" s="1128"/>
      <c r="AE667" s="1169"/>
      <c r="AF667" s="1177"/>
      <c r="AG667" s="1177"/>
      <c r="AH667" s="1169"/>
      <c r="AI667" s="1169">
        <f t="shared" si="1040"/>
        <v>0</v>
      </c>
      <c r="AJ667" s="1169"/>
      <c r="AK667" s="1173">
        <f t="shared" si="1033"/>
        <v>0</v>
      </c>
      <c r="AL667" s="1171"/>
      <c r="AM667" s="1128"/>
      <c r="AN667" s="1170"/>
      <c r="AO667" s="1175"/>
      <c r="AP667" s="1175"/>
      <c r="AQ667" s="1170"/>
      <c r="AR667" s="1170">
        <f t="shared" si="1041"/>
        <v>0</v>
      </c>
      <c r="AS667" s="1170"/>
      <c r="AT667" s="1170">
        <f t="shared" si="1026"/>
        <v>0</v>
      </c>
      <c r="AU667" s="1174"/>
      <c r="AV667" s="1128"/>
      <c r="AW667" s="1169"/>
      <c r="AX667" s="1177"/>
      <c r="AY667" s="1177"/>
      <c r="AZ667" s="1169"/>
      <c r="BA667" s="1169">
        <f t="shared" si="1042"/>
        <v>0</v>
      </c>
      <c r="BB667" s="1169"/>
      <c r="BC667" s="1175">
        <f t="shared" si="1027"/>
        <v>0</v>
      </c>
      <c r="BD667" s="1027"/>
      <c r="BE667" s="1024"/>
      <c r="BF667" s="1024"/>
      <c r="BG667" s="1008"/>
      <c r="BH667" s="1008"/>
      <c r="BI667" s="1008"/>
      <c r="BJ667" s="1008"/>
      <c r="BK667" s="1008"/>
      <c r="BL667" s="1008"/>
      <c r="BM667" s="1008"/>
    </row>
    <row r="668" s="1215" customFormat="1" ht="21" customHeight="1">
      <c r="A668" s="999" t="str">
        <f t="shared" si="970"/>
        <v xml:space="preserve">Третьяк О.М.</v>
      </c>
      <c r="B668" s="1176" t="s">
        <v>449</v>
      </c>
      <c r="C668" s="1176"/>
      <c r="D668" s="1176"/>
      <c r="E668" s="1164">
        <f t="shared" si="944"/>
        <v>0</v>
      </c>
      <c r="F668" s="1164">
        <f t="shared" si="971"/>
        <v>0</v>
      </c>
      <c r="G668" s="1165">
        <f t="shared" si="1036"/>
        <v>0</v>
      </c>
      <c r="H668" s="1166"/>
      <c r="I668" s="1167">
        <f t="shared" si="957"/>
        <v>0</v>
      </c>
      <c r="J668" s="1167">
        <f t="shared" si="972"/>
        <v>0</v>
      </c>
      <c r="K668" s="1168">
        <f t="shared" si="1037"/>
        <v>0</v>
      </c>
      <c r="L668" s="1128"/>
      <c r="M668" s="1169"/>
      <c r="N668" s="1177"/>
      <c r="O668" s="1169"/>
      <c r="P668" s="1169"/>
      <c r="Q668" s="1169">
        <f t="shared" si="1038"/>
        <v>0</v>
      </c>
      <c r="R668" s="1169"/>
      <c r="S668" s="1170">
        <f t="shared" si="1029"/>
        <v>0</v>
      </c>
      <c r="T668" s="1171"/>
      <c r="U668" s="1128"/>
      <c r="V668" s="1169"/>
      <c r="W668" s="1177"/>
      <c r="X668" s="1177"/>
      <c r="Y668" s="1169"/>
      <c r="Z668" s="1169">
        <f t="shared" si="1039"/>
        <v>0</v>
      </c>
      <c r="AA668" s="1169"/>
      <c r="AB668" s="1172">
        <f t="shared" si="1031"/>
        <v>0</v>
      </c>
      <c r="AC668" s="1171"/>
      <c r="AD668" s="1128"/>
      <c r="AE668" s="1169"/>
      <c r="AF668" s="1177"/>
      <c r="AG668" s="1177"/>
      <c r="AH668" s="1169"/>
      <c r="AI668" s="1169">
        <f t="shared" si="1040"/>
        <v>0</v>
      </c>
      <c r="AJ668" s="1169"/>
      <c r="AK668" s="1173">
        <f t="shared" si="1033"/>
        <v>0</v>
      </c>
      <c r="AL668" s="1171"/>
      <c r="AM668" s="1128"/>
      <c r="AN668" s="1170"/>
      <c r="AO668" s="1175"/>
      <c r="AP668" s="1175"/>
      <c r="AQ668" s="1170"/>
      <c r="AR668" s="1170">
        <f t="shared" si="1041"/>
        <v>0</v>
      </c>
      <c r="AS668" s="1170"/>
      <c r="AT668" s="1170">
        <f t="shared" si="1026"/>
        <v>0</v>
      </c>
      <c r="AU668" s="1174"/>
      <c r="AV668" s="1128"/>
      <c r="AW668" s="1169"/>
      <c r="AX668" s="1177"/>
      <c r="AY668" s="1177"/>
      <c r="AZ668" s="1169"/>
      <c r="BA668" s="1169">
        <f t="shared" si="1042"/>
        <v>0</v>
      </c>
      <c r="BB668" s="1169"/>
      <c r="BC668" s="1175">
        <f t="shared" si="1027"/>
        <v>0</v>
      </c>
      <c r="BD668" s="1027"/>
      <c r="BE668" s="1024"/>
      <c r="BF668" s="1024"/>
      <c r="BG668" s="1008"/>
      <c r="BH668" s="1008"/>
      <c r="BI668" s="1008"/>
      <c r="BJ668" s="1008"/>
      <c r="BK668" s="1008"/>
      <c r="BL668" s="1008"/>
      <c r="BM668" s="1008"/>
    </row>
    <row r="669" s="1215" customFormat="1" ht="21" customHeight="1">
      <c r="A669" s="999">
        <f t="shared" si="970"/>
        <v>0</v>
      </c>
      <c r="B669" s="1176" t="s">
        <v>450</v>
      </c>
      <c r="C669" s="1176"/>
      <c r="D669" s="1176"/>
      <c r="E669" s="1164">
        <f t="shared" si="944"/>
        <v>0</v>
      </c>
      <c r="F669" s="1164">
        <f t="shared" si="971"/>
        <v>0</v>
      </c>
      <c r="G669" s="1165">
        <f t="shared" si="1036"/>
        <v>0</v>
      </c>
      <c r="H669" s="1166"/>
      <c r="I669" s="1167">
        <f t="shared" si="957"/>
        <v>0</v>
      </c>
      <c r="J669" s="1167">
        <f t="shared" si="972"/>
        <v>0</v>
      </c>
      <c r="K669" s="1168">
        <f t="shared" si="1037"/>
        <v>0</v>
      </c>
      <c r="L669" s="1128"/>
      <c r="M669" s="1169"/>
      <c r="N669" s="1177"/>
      <c r="O669" s="1169"/>
      <c r="P669" s="1169"/>
      <c r="Q669" s="1169">
        <f t="shared" si="1038"/>
        <v>0</v>
      </c>
      <c r="R669" s="1169"/>
      <c r="S669" s="1170">
        <f t="shared" si="1029"/>
        <v>0</v>
      </c>
      <c r="T669" s="1171"/>
      <c r="U669" s="1128"/>
      <c r="V669" s="1169"/>
      <c r="W669" s="1177"/>
      <c r="X669" s="1177"/>
      <c r="Y669" s="1169"/>
      <c r="Z669" s="1169">
        <f t="shared" si="1039"/>
        <v>0</v>
      </c>
      <c r="AA669" s="1169"/>
      <c r="AB669" s="1172">
        <f t="shared" si="1031"/>
        <v>0</v>
      </c>
      <c r="AC669" s="1171"/>
      <c r="AD669" s="1128"/>
      <c r="AE669" s="1169"/>
      <c r="AF669" s="1177"/>
      <c r="AG669" s="1177"/>
      <c r="AH669" s="1169"/>
      <c r="AI669" s="1169">
        <f t="shared" si="1040"/>
        <v>0</v>
      </c>
      <c r="AJ669" s="1169"/>
      <c r="AK669" s="1173">
        <f t="shared" si="1033"/>
        <v>0</v>
      </c>
      <c r="AL669" s="1171"/>
      <c r="AM669" s="1128"/>
      <c r="AN669" s="1170"/>
      <c r="AO669" s="1175"/>
      <c r="AP669" s="1175"/>
      <c r="AQ669" s="1170"/>
      <c r="AR669" s="1170">
        <f t="shared" si="1041"/>
        <v>0</v>
      </c>
      <c r="AS669" s="1170"/>
      <c r="AT669" s="1170">
        <f t="shared" si="1026"/>
        <v>0</v>
      </c>
      <c r="AU669" s="1174"/>
      <c r="AV669" s="1128"/>
      <c r="AW669" s="1169"/>
      <c r="AX669" s="1177"/>
      <c r="AY669" s="1177"/>
      <c r="AZ669" s="1169"/>
      <c r="BA669" s="1169">
        <f t="shared" si="1042"/>
        <v>0</v>
      </c>
      <c r="BB669" s="1169"/>
      <c r="BC669" s="1175">
        <f t="shared" si="1027"/>
        <v>0</v>
      </c>
      <c r="BD669" s="1027"/>
      <c r="BE669" s="1024"/>
      <c r="BF669" s="1024"/>
      <c r="BG669" s="1008"/>
      <c r="BH669" s="1008"/>
      <c r="BI669" s="1008"/>
      <c r="BJ669" s="1008"/>
      <c r="BK669" s="1008"/>
      <c r="BL669" s="1008"/>
      <c r="BM669" s="1008"/>
    </row>
    <row r="670" s="1215" customFormat="1" ht="21" customHeight="1">
      <c r="A670" s="999" t="str">
        <f t="shared" si="970"/>
        <v xml:space="preserve">Бедина и Позднякова</v>
      </c>
      <c r="B670" s="1202" t="s">
        <v>452</v>
      </c>
      <c r="C670" s="1202"/>
      <c r="D670" s="1202"/>
      <c r="E670" s="1164">
        <f t="shared" si="944"/>
        <v>0</v>
      </c>
      <c r="F670" s="1164">
        <f t="shared" si="971"/>
        <v>0</v>
      </c>
      <c r="G670" s="1165">
        <f t="shared" si="1036"/>
        <v>0</v>
      </c>
      <c r="H670" s="1166"/>
      <c r="I670" s="1167">
        <f t="shared" si="957"/>
        <v>0</v>
      </c>
      <c r="J670" s="1167">
        <f t="shared" si="972"/>
        <v>0</v>
      </c>
      <c r="K670" s="1168">
        <f t="shared" si="1037"/>
        <v>0</v>
      </c>
      <c r="L670" s="1128"/>
      <c r="M670" s="1169"/>
      <c r="N670" s="1177"/>
      <c r="O670" s="1169"/>
      <c r="P670" s="1169"/>
      <c r="Q670" s="1169">
        <f t="shared" si="1038"/>
        <v>0</v>
      </c>
      <c r="R670" s="1169"/>
      <c r="S670" s="1170">
        <f t="shared" si="1029"/>
        <v>0</v>
      </c>
      <c r="T670" s="1171"/>
      <c r="U670" s="1128"/>
      <c r="V670" s="1169"/>
      <c r="W670" s="1177"/>
      <c r="X670" s="1177"/>
      <c r="Y670" s="1169"/>
      <c r="Z670" s="1169">
        <f t="shared" si="1039"/>
        <v>0</v>
      </c>
      <c r="AA670" s="1169"/>
      <c r="AB670" s="1172">
        <f t="shared" si="1031"/>
        <v>0</v>
      </c>
      <c r="AC670" s="1171"/>
      <c r="AD670" s="1128"/>
      <c r="AE670" s="1169"/>
      <c r="AF670" s="1177"/>
      <c r="AG670" s="1177"/>
      <c r="AH670" s="1169"/>
      <c r="AI670" s="1169">
        <f t="shared" si="1040"/>
        <v>0</v>
      </c>
      <c r="AJ670" s="1169"/>
      <c r="AK670" s="1173">
        <f t="shared" si="1033"/>
        <v>0</v>
      </c>
      <c r="AL670" s="1171"/>
      <c r="AM670" s="1128"/>
      <c r="AN670" s="1170"/>
      <c r="AO670" s="1175"/>
      <c r="AP670" s="1175"/>
      <c r="AQ670" s="1170"/>
      <c r="AR670" s="1170">
        <f t="shared" si="1041"/>
        <v>0</v>
      </c>
      <c r="AS670" s="1170"/>
      <c r="AT670" s="1170">
        <f t="shared" si="1026"/>
        <v>0</v>
      </c>
      <c r="AU670" s="1174"/>
      <c r="AV670" s="1128"/>
      <c r="AW670" s="1169"/>
      <c r="AX670" s="1177"/>
      <c r="AY670" s="1177"/>
      <c r="AZ670" s="1169"/>
      <c r="BA670" s="1169">
        <f t="shared" si="1042"/>
        <v>0</v>
      </c>
      <c r="BB670" s="1169"/>
      <c r="BC670" s="1175">
        <f t="shared" si="1027"/>
        <v>0</v>
      </c>
      <c r="BD670" s="1027"/>
      <c r="BE670" s="1024"/>
      <c r="BF670" s="1024"/>
      <c r="BG670" s="1008"/>
      <c r="BH670" s="1008"/>
      <c r="BI670" s="1008"/>
      <c r="BJ670" s="1008"/>
      <c r="BK670" s="1008"/>
      <c r="BL670" s="1008"/>
      <c r="BM670" s="1008"/>
    </row>
    <row r="671" s="1215" customFormat="1" ht="21" customHeight="1">
      <c r="A671" s="999" t="str">
        <f t="shared" si="970"/>
        <v xml:space="preserve">Макарова Е.В.</v>
      </c>
      <c r="B671" s="1202" t="s">
        <v>454</v>
      </c>
      <c r="C671" s="1202"/>
      <c r="D671" s="1202" t="s">
        <v>500</v>
      </c>
      <c r="E671" s="1164">
        <f t="shared" si="944"/>
        <v>0</v>
      </c>
      <c r="F671" s="1164">
        <f t="shared" si="971"/>
        <v>0</v>
      </c>
      <c r="G671" s="1165">
        <f t="shared" si="1036"/>
        <v>0</v>
      </c>
      <c r="H671" s="1166"/>
      <c r="I671" s="1167">
        <f t="shared" si="957"/>
        <v>0</v>
      </c>
      <c r="J671" s="1167">
        <f t="shared" si="972"/>
        <v>0</v>
      </c>
      <c r="K671" s="1168">
        <f t="shared" si="1037"/>
        <v>0</v>
      </c>
      <c r="L671" s="1128"/>
      <c r="M671" s="1169"/>
      <c r="N671" s="1177"/>
      <c r="O671" s="1169"/>
      <c r="P671" s="1169"/>
      <c r="Q671" s="1169">
        <f t="shared" si="1038"/>
        <v>0</v>
      </c>
      <c r="R671" s="1169"/>
      <c r="S671" s="1170">
        <f t="shared" si="1029"/>
        <v>0</v>
      </c>
      <c r="T671" s="1171"/>
      <c r="U671" s="1128"/>
      <c r="V671" s="1169"/>
      <c r="W671" s="1177"/>
      <c r="X671" s="1177"/>
      <c r="Y671" s="1169"/>
      <c r="Z671" s="1169">
        <f t="shared" si="1039"/>
        <v>0</v>
      </c>
      <c r="AA671" s="1169"/>
      <c r="AB671" s="1172">
        <f t="shared" si="1031"/>
        <v>0</v>
      </c>
      <c r="AC671" s="1171"/>
      <c r="AD671" s="1128"/>
      <c r="AE671" s="1169"/>
      <c r="AF671" s="1177"/>
      <c r="AG671" s="1177"/>
      <c r="AH671" s="1169"/>
      <c r="AI671" s="1169">
        <f t="shared" si="1040"/>
        <v>0</v>
      </c>
      <c r="AJ671" s="1169"/>
      <c r="AK671" s="1173">
        <f t="shared" si="1033"/>
        <v>0</v>
      </c>
      <c r="AL671" s="1171"/>
      <c r="AM671" s="1128"/>
      <c r="AN671" s="1170"/>
      <c r="AO671" s="1175"/>
      <c r="AP671" s="1175"/>
      <c r="AQ671" s="1170"/>
      <c r="AR671" s="1170">
        <f t="shared" si="1041"/>
        <v>0</v>
      </c>
      <c r="AS671" s="1170"/>
      <c r="AT671" s="1170">
        <f t="shared" si="1026"/>
        <v>0</v>
      </c>
      <c r="AU671" s="1174"/>
      <c r="AV671" s="1128"/>
      <c r="AW671" s="1169"/>
      <c r="AX671" s="1177"/>
      <c r="AY671" s="1177"/>
      <c r="AZ671" s="1169"/>
      <c r="BA671" s="1169">
        <f t="shared" si="1042"/>
        <v>0</v>
      </c>
      <c r="BB671" s="1169"/>
      <c r="BC671" s="1175">
        <f t="shared" si="1027"/>
        <v>0</v>
      </c>
      <c r="BD671" s="1027"/>
      <c r="BE671" s="1024"/>
      <c r="BF671" s="1024"/>
      <c r="BG671" s="1008"/>
      <c r="BH671" s="1008"/>
      <c r="BI671" s="1008"/>
      <c r="BJ671" s="1008"/>
      <c r="BK671" s="1008"/>
      <c r="BL671" s="1008"/>
      <c r="BM671" s="1008"/>
    </row>
    <row r="672" s="1215" customFormat="1" ht="21" customHeight="1">
      <c r="A672" s="999" t="str">
        <f t="shared" si="970"/>
        <v xml:space="preserve">Юшкова Н.Г.</v>
      </c>
      <c r="B672" s="1202" t="s">
        <v>311</v>
      </c>
      <c r="C672" s="1202"/>
      <c r="D672" s="1202" t="s">
        <v>500</v>
      </c>
      <c r="E672" s="1164">
        <f t="shared" si="944"/>
        <v>0</v>
      </c>
      <c r="F672" s="1164">
        <f t="shared" si="971"/>
        <v>0</v>
      </c>
      <c r="G672" s="1165">
        <f t="shared" si="1036"/>
        <v>0</v>
      </c>
      <c r="H672" s="1166"/>
      <c r="I672" s="1167">
        <f t="shared" si="957"/>
        <v>0</v>
      </c>
      <c r="J672" s="1167">
        <f t="shared" si="972"/>
        <v>0</v>
      </c>
      <c r="K672" s="1168">
        <f t="shared" si="1037"/>
        <v>0</v>
      </c>
      <c r="L672" s="1128"/>
      <c r="M672" s="1169"/>
      <c r="N672" s="1177"/>
      <c r="O672" s="1169"/>
      <c r="P672" s="1169"/>
      <c r="Q672" s="1169">
        <f t="shared" si="1038"/>
        <v>0</v>
      </c>
      <c r="R672" s="1169"/>
      <c r="S672" s="1170">
        <f t="shared" si="1029"/>
        <v>0</v>
      </c>
      <c r="T672" s="1171"/>
      <c r="U672" s="1128"/>
      <c r="V672" s="1169"/>
      <c r="W672" s="1177"/>
      <c r="X672" s="1177"/>
      <c r="Y672" s="1169"/>
      <c r="Z672" s="1169">
        <f t="shared" si="1039"/>
        <v>0</v>
      </c>
      <c r="AA672" s="1169"/>
      <c r="AB672" s="1172">
        <f t="shared" si="1031"/>
        <v>0</v>
      </c>
      <c r="AC672" s="1171"/>
      <c r="AD672" s="1128"/>
      <c r="AE672" s="1169"/>
      <c r="AF672" s="1177"/>
      <c r="AG672" s="1177"/>
      <c r="AH672" s="1169"/>
      <c r="AI672" s="1169">
        <f t="shared" si="1040"/>
        <v>0</v>
      </c>
      <c r="AJ672" s="1169"/>
      <c r="AK672" s="1173">
        <f t="shared" si="1033"/>
        <v>0</v>
      </c>
      <c r="AL672" s="1171"/>
      <c r="AM672" s="1128"/>
      <c r="AN672" s="1170"/>
      <c r="AO672" s="1175"/>
      <c r="AP672" s="1175"/>
      <c r="AQ672" s="1170"/>
      <c r="AR672" s="1170">
        <f t="shared" si="1041"/>
        <v>0</v>
      </c>
      <c r="AS672" s="1170"/>
      <c r="AT672" s="1170">
        <f t="shared" si="1026"/>
        <v>0</v>
      </c>
      <c r="AU672" s="1174"/>
      <c r="AV672" s="1128"/>
      <c r="AW672" s="1169"/>
      <c r="AX672" s="1177"/>
      <c r="AY672" s="1177"/>
      <c r="AZ672" s="1169"/>
      <c r="BA672" s="1169">
        <f t="shared" si="1042"/>
        <v>0</v>
      </c>
      <c r="BB672" s="1169"/>
      <c r="BC672" s="1175">
        <f t="shared" si="1027"/>
        <v>0</v>
      </c>
      <c r="BD672" s="1027"/>
      <c r="BE672" s="1024"/>
      <c r="BF672" s="1024"/>
      <c r="BG672" s="1008"/>
      <c r="BH672" s="1008"/>
      <c r="BI672" s="1008"/>
      <c r="BJ672" s="1008"/>
      <c r="BK672" s="1008"/>
      <c r="BL672" s="1008"/>
      <c r="BM672" s="1008"/>
    </row>
    <row r="673" s="1215" customFormat="1" ht="21" customHeight="1">
      <c r="A673" s="999">
        <f t="shared" si="970"/>
        <v>0</v>
      </c>
      <c r="B673" s="1202" t="s">
        <v>456</v>
      </c>
      <c r="C673" s="1202"/>
      <c r="D673" s="1202"/>
      <c r="E673" s="1164">
        <f t="shared" si="944"/>
        <v>0</v>
      </c>
      <c r="F673" s="1164">
        <f t="shared" si="971"/>
        <v>0</v>
      </c>
      <c r="G673" s="1165">
        <f t="shared" si="1036"/>
        <v>0</v>
      </c>
      <c r="H673" s="1166"/>
      <c r="I673" s="1167">
        <f t="shared" si="957"/>
        <v>0</v>
      </c>
      <c r="J673" s="1167">
        <f t="shared" si="972"/>
        <v>0</v>
      </c>
      <c r="K673" s="1168">
        <f t="shared" si="1037"/>
        <v>0</v>
      </c>
      <c r="L673" s="1128"/>
      <c r="M673" s="1169"/>
      <c r="N673" s="1177"/>
      <c r="O673" s="1169"/>
      <c r="P673" s="1169"/>
      <c r="Q673" s="1169">
        <f t="shared" si="1038"/>
        <v>0</v>
      </c>
      <c r="R673" s="1169"/>
      <c r="S673" s="1170">
        <f t="shared" si="1029"/>
        <v>0</v>
      </c>
      <c r="T673" s="1171"/>
      <c r="U673" s="1128"/>
      <c r="V673" s="1169"/>
      <c r="W673" s="1177"/>
      <c r="X673" s="1177"/>
      <c r="Y673" s="1169"/>
      <c r="Z673" s="1169">
        <f t="shared" si="1039"/>
        <v>0</v>
      </c>
      <c r="AA673" s="1169"/>
      <c r="AB673" s="1172">
        <f t="shared" si="1031"/>
        <v>0</v>
      </c>
      <c r="AC673" s="1171"/>
      <c r="AD673" s="1128"/>
      <c r="AE673" s="1169"/>
      <c r="AF673" s="1177"/>
      <c r="AG673" s="1177"/>
      <c r="AH673" s="1169"/>
      <c r="AI673" s="1169">
        <f t="shared" si="1040"/>
        <v>0</v>
      </c>
      <c r="AJ673" s="1169"/>
      <c r="AK673" s="1173">
        <f t="shared" si="1033"/>
        <v>0</v>
      </c>
      <c r="AL673" s="1171"/>
      <c r="AM673" s="1128"/>
      <c r="AN673" s="1170"/>
      <c r="AO673" s="1175"/>
      <c r="AP673" s="1175"/>
      <c r="AQ673" s="1170"/>
      <c r="AR673" s="1170">
        <f t="shared" si="1041"/>
        <v>0</v>
      </c>
      <c r="AS673" s="1170"/>
      <c r="AT673" s="1170">
        <f t="shared" si="1026"/>
        <v>0</v>
      </c>
      <c r="AU673" s="1174"/>
      <c r="AV673" s="1128"/>
      <c r="AW673" s="1169"/>
      <c r="AX673" s="1177"/>
      <c r="AY673" s="1177"/>
      <c r="AZ673" s="1169"/>
      <c r="BA673" s="1169">
        <f t="shared" si="1042"/>
        <v>0</v>
      </c>
      <c r="BB673" s="1169"/>
      <c r="BC673" s="1175">
        <f t="shared" si="1027"/>
        <v>0</v>
      </c>
      <c r="BD673" s="1027"/>
      <c r="BE673" s="1024"/>
      <c r="BF673" s="1024"/>
      <c r="BG673" s="1008"/>
      <c r="BH673" s="1008"/>
      <c r="BI673" s="1008"/>
      <c r="BJ673" s="1008"/>
      <c r="BK673" s="1008"/>
      <c r="BL673" s="1008"/>
      <c r="BM673" s="1008"/>
    </row>
    <row r="674" s="1215" customFormat="1" ht="21" customHeight="1">
      <c r="A674" s="999">
        <f t="shared" si="970"/>
        <v>0</v>
      </c>
      <c r="B674" s="1202" t="s">
        <v>457</v>
      </c>
      <c r="C674" s="1202"/>
      <c r="D674" s="1202"/>
      <c r="E674" s="1164">
        <f t="shared" si="944"/>
        <v>0</v>
      </c>
      <c r="F674" s="1164">
        <f t="shared" si="971"/>
        <v>0</v>
      </c>
      <c r="G674" s="1165">
        <f t="shared" si="1036"/>
        <v>0</v>
      </c>
      <c r="H674" s="1166"/>
      <c r="I674" s="1167">
        <f t="shared" si="957"/>
        <v>0</v>
      </c>
      <c r="J674" s="1167">
        <f t="shared" si="972"/>
        <v>0</v>
      </c>
      <c r="K674" s="1168">
        <f t="shared" si="1037"/>
        <v>0</v>
      </c>
      <c r="L674" s="1128"/>
      <c r="M674" s="1169"/>
      <c r="N674" s="1177"/>
      <c r="O674" s="1169"/>
      <c r="P674" s="1169"/>
      <c r="Q674" s="1169">
        <f t="shared" si="1038"/>
        <v>0</v>
      </c>
      <c r="R674" s="1169"/>
      <c r="S674" s="1170">
        <f t="shared" si="1029"/>
        <v>0</v>
      </c>
      <c r="T674" s="1171"/>
      <c r="U674" s="1128"/>
      <c r="V674" s="1169"/>
      <c r="W674" s="1177"/>
      <c r="X674" s="1177"/>
      <c r="Y674" s="1169"/>
      <c r="Z674" s="1169">
        <f t="shared" si="1039"/>
        <v>0</v>
      </c>
      <c r="AA674" s="1169"/>
      <c r="AB674" s="1172">
        <f t="shared" si="1031"/>
        <v>0</v>
      </c>
      <c r="AC674" s="1171"/>
      <c r="AD674" s="1128"/>
      <c r="AE674" s="1169"/>
      <c r="AF674" s="1177"/>
      <c r="AG674" s="1177"/>
      <c r="AH674" s="1169"/>
      <c r="AI674" s="1169">
        <f t="shared" si="1040"/>
        <v>0</v>
      </c>
      <c r="AJ674" s="1169"/>
      <c r="AK674" s="1173">
        <f t="shared" si="1033"/>
        <v>0</v>
      </c>
      <c r="AL674" s="1171"/>
      <c r="AM674" s="1128"/>
      <c r="AN674" s="1170"/>
      <c r="AO674" s="1175"/>
      <c r="AP674" s="1175"/>
      <c r="AQ674" s="1170"/>
      <c r="AR674" s="1170">
        <f t="shared" si="1041"/>
        <v>0</v>
      </c>
      <c r="AS674" s="1170"/>
      <c r="AT674" s="1170">
        <f t="shared" si="1026"/>
        <v>0</v>
      </c>
      <c r="AU674" s="1174"/>
      <c r="AV674" s="1128"/>
      <c r="AW674" s="1169"/>
      <c r="AX674" s="1177"/>
      <c r="AY674" s="1177"/>
      <c r="AZ674" s="1169"/>
      <c r="BA674" s="1169">
        <f t="shared" si="1042"/>
        <v>0</v>
      </c>
      <c r="BB674" s="1169"/>
      <c r="BC674" s="1175">
        <f t="shared" si="1027"/>
        <v>0</v>
      </c>
      <c r="BD674" s="1027"/>
      <c r="BE674" s="1024"/>
      <c r="BF674" s="1024"/>
      <c r="BG674" s="1008"/>
      <c r="BH674" s="1008"/>
      <c r="BI674" s="1008"/>
      <c r="BJ674" s="1008"/>
      <c r="BK674" s="1008"/>
      <c r="BL674" s="1008"/>
      <c r="BM674" s="1008"/>
    </row>
    <row r="675" s="1215" customFormat="1" ht="21" customHeight="1">
      <c r="A675" s="999">
        <f t="shared" si="970"/>
        <v>0</v>
      </c>
      <c r="B675" s="1202" t="s">
        <v>458</v>
      </c>
      <c r="C675" s="1202"/>
      <c r="D675" s="1202"/>
      <c r="E675" s="1164">
        <f t="shared" si="944"/>
        <v>0</v>
      </c>
      <c r="F675" s="1164">
        <f t="shared" si="971"/>
        <v>0</v>
      </c>
      <c r="G675" s="1165">
        <f t="shared" si="1036"/>
        <v>0</v>
      </c>
      <c r="H675" s="1166"/>
      <c r="I675" s="1167">
        <f t="shared" si="957"/>
        <v>0</v>
      </c>
      <c r="J675" s="1167">
        <f t="shared" si="972"/>
        <v>0</v>
      </c>
      <c r="K675" s="1168">
        <f t="shared" si="1037"/>
        <v>0</v>
      </c>
      <c r="L675" s="1128"/>
      <c r="M675" s="1169"/>
      <c r="N675" s="1177"/>
      <c r="O675" s="1169"/>
      <c r="P675" s="1169"/>
      <c r="Q675" s="1169">
        <f t="shared" si="1038"/>
        <v>0</v>
      </c>
      <c r="R675" s="1169"/>
      <c r="S675" s="1170">
        <f t="shared" si="1029"/>
        <v>0</v>
      </c>
      <c r="T675" s="1171"/>
      <c r="U675" s="1128"/>
      <c r="V675" s="1169"/>
      <c r="W675" s="1177"/>
      <c r="X675" s="1177"/>
      <c r="Y675" s="1169"/>
      <c r="Z675" s="1169">
        <f t="shared" si="1039"/>
        <v>0</v>
      </c>
      <c r="AA675" s="1169"/>
      <c r="AB675" s="1172">
        <f t="shared" si="1031"/>
        <v>0</v>
      </c>
      <c r="AC675" s="1171"/>
      <c r="AD675" s="1128"/>
      <c r="AE675" s="1169"/>
      <c r="AF675" s="1177"/>
      <c r="AG675" s="1177"/>
      <c r="AH675" s="1169"/>
      <c r="AI675" s="1169">
        <f t="shared" si="1040"/>
        <v>0</v>
      </c>
      <c r="AJ675" s="1169"/>
      <c r="AK675" s="1173">
        <f t="shared" si="1033"/>
        <v>0</v>
      </c>
      <c r="AL675" s="1171"/>
      <c r="AM675" s="1128"/>
      <c r="AN675" s="1170"/>
      <c r="AO675" s="1175"/>
      <c r="AP675" s="1175"/>
      <c r="AQ675" s="1170"/>
      <c r="AR675" s="1170">
        <f t="shared" si="1041"/>
        <v>0</v>
      </c>
      <c r="AS675" s="1170"/>
      <c r="AT675" s="1170">
        <f t="shared" si="1026"/>
        <v>0</v>
      </c>
      <c r="AU675" s="1174"/>
      <c r="AV675" s="1128"/>
      <c r="AW675" s="1169"/>
      <c r="AX675" s="1177"/>
      <c r="AY675" s="1177"/>
      <c r="AZ675" s="1169"/>
      <c r="BA675" s="1169">
        <f t="shared" si="1042"/>
        <v>0</v>
      </c>
      <c r="BB675" s="1169"/>
      <c r="BC675" s="1175">
        <f t="shared" si="1027"/>
        <v>0</v>
      </c>
      <c r="BD675" s="1027"/>
      <c r="BE675" s="1024"/>
      <c r="BF675" s="1024"/>
      <c r="BG675" s="1008"/>
      <c r="BH675" s="1008"/>
      <c r="BI675" s="1008"/>
      <c r="BJ675" s="1008"/>
      <c r="BK675" s="1008"/>
      <c r="BL675" s="1008"/>
      <c r="BM675" s="1008"/>
    </row>
    <row r="676" s="1215" customFormat="1" ht="21" customHeight="1">
      <c r="A676" s="999">
        <f t="shared" si="970"/>
        <v>0</v>
      </c>
      <c r="B676" s="1202" t="s">
        <v>459</v>
      </c>
      <c r="C676" s="1202"/>
      <c r="D676" s="1202"/>
      <c r="E676" s="1164">
        <f t="shared" si="944"/>
        <v>0</v>
      </c>
      <c r="F676" s="1164">
        <f t="shared" si="971"/>
        <v>0</v>
      </c>
      <c r="G676" s="1165">
        <f t="shared" si="1036"/>
        <v>0</v>
      </c>
      <c r="H676" s="1166"/>
      <c r="I676" s="1167">
        <f t="shared" si="957"/>
        <v>0</v>
      </c>
      <c r="J676" s="1167">
        <f t="shared" si="972"/>
        <v>0</v>
      </c>
      <c r="K676" s="1168">
        <f t="shared" si="1037"/>
        <v>0</v>
      </c>
      <c r="L676" s="1128"/>
      <c r="M676" s="1169"/>
      <c r="N676" s="1177"/>
      <c r="O676" s="1169"/>
      <c r="P676" s="1169"/>
      <c r="Q676" s="1169">
        <f t="shared" si="1038"/>
        <v>0</v>
      </c>
      <c r="R676" s="1169"/>
      <c r="S676" s="1170">
        <f t="shared" si="1029"/>
        <v>0</v>
      </c>
      <c r="T676" s="1171"/>
      <c r="U676" s="1128"/>
      <c r="V676" s="1169"/>
      <c r="W676" s="1177"/>
      <c r="X676" s="1177"/>
      <c r="Y676" s="1169"/>
      <c r="Z676" s="1169">
        <f t="shared" si="1039"/>
        <v>0</v>
      </c>
      <c r="AA676" s="1169"/>
      <c r="AB676" s="1172">
        <f t="shared" si="1031"/>
        <v>0</v>
      </c>
      <c r="AC676" s="1171"/>
      <c r="AD676" s="1128"/>
      <c r="AE676" s="1169"/>
      <c r="AF676" s="1177"/>
      <c r="AG676" s="1177"/>
      <c r="AH676" s="1169"/>
      <c r="AI676" s="1169">
        <f t="shared" si="1040"/>
        <v>0</v>
      </c>
      <c r="AJ676" s="1169"/>
      <c r="AK676" s="1173">
        <f t="shared" si="1033"/>
        <v>0</v>
      </c>
      <c r="AL676" s="1171"/>
      <c r="AM676" s="1128"/>
      <c r="AN676" s="1170"/>
      <c r="AO676" s="1175"/>
      <c r="AP676" s="1175"/>
      <c r="AQ676" s="1170"/>
      <c r="AR676" s="1170">
        <f t="shared" si="1041"/>
        <v>0</v>
      </c>
      <c r="AS676" s="1170"/>
      <c r="AT676" s="1170">
        <f t="shared" si="1026"/>
        <v>0</v>
      </c>
      <c r="AU676" s="1174"/>
      <c r="AV676" s="1128"/>
      <c r="AW676" s="1169"/>
      <c r="AX676" s="1177"/>
      <c r="AY676" s="1177"/>
      <c r="AZ676" s="1169"/>
      <c r="BA676" s="1169">
        <f t="shared" si="1042"/>
        <v>0</v>
      </c>
      <c r="BB676" s="1169"/>
      <c r="BC676" s="1175">
        <f t="shared" si="1027"/>
        <v>0</v>
      </c>
      <c r="BD676" s="1027"/>
      <c r="BE676" s="1024"/>
      <c r="BF676" s="1024"/>
      <c r="BG676" s="1008"/>
      <c r="BH676" s="1008"/>
      <c r="BI676" s="1008"/>
      <c r="BJ676" s="1008"/>
      <c r="BK676" s="1008"/>
      <c r="BL676" s="1008"/>
      <c r="BM676" s="1008"/>
    </row>
    <row r="677" s="1215" customFormat="1" ht="21" customHeight="1">
      <c r="A677" s="999">
        <f t="shared" si="970"/>
        <v>0</v>
      </c>
      <c r="B677" s="1202" t="s">
        <v>460</v>
      </c>
      <c r="C677" s="1202"/>
      <c r="D677" s="1202"/>
      <c r="E677" s="1164">
        <f t="shared" si="944"/>
        <v>0</v>
      </c>
      <c r="F677" s="1164">
        <f t="shared" si="971"/>
        <v>0</v>
      </c>
      <c r="G677" s="1165">
        <f t="shared" si="1036"/>
        <v>0</v>
      </c>
      <c r="H677" s="1166"/>
      <c r="I677" s="1167">
        <f t="shared" si="957"/>
        <v>0</v>
      </c>
      <c r="J677" s="1167">
        <f t="shared" si="972"/>
        <v>0</v>
      </c>
      <c r="K677" s="1168">
        <f t="shared" si="1037"/>
        <v>0</v>
      </c>
      <c r="L677" s="1128"/>
      <c r="M677" s="1169"/>
      <c r="N677" s="1177"/>
      <c r="O677" s="1169"/>
      <c r="P677" s="1169"/>
      <c r="Q677" s="1169">
        <f t="shared" si="1038"/>
        <v>0</v>
      </c>
      <c r="R677" s="1169"/>
      <c r="S677" s="1170">
        <f t="shared" si="1029"/>
        <v>0</v>
      </c>
      <c r="T677" s="1171"/>
      <c r="U677" s="1128"/>
      <c r="V677" s="1169"/>
      <c r="W677" s="1177"/>
      <c r="X677" s="1177"/>
      <c r="Y677" s="1169"/>
      <c r="Z677" s="1169">
        <f t="shared" si="1039"/>
        <v>0</v>
      </c>
      <c r="AA677" s="1169"/>
      <c r="AB677" s="1172">
        <f t="shared" si="1031"/>
        <v>0</v>
      </c>
      <c r="AC677" s="1171"/>
      <c r="AD677" s="1128"/>
      <c r="AE677" s="1169"/>
      <c r="AF677" s="1177"/>
      <c r="AG677" s="1177"/>
      <c r="AH677" s="1169"/>
      <c r="AI677" s="1169">
        <f t="shared" si="1040"/>
        <v>0</v>
      </c>
      <c r="AJ677" s="1169"/>
      <c r="AK677" s="1173">
        <f t="shared" si="1033"/>
        <v>0</v>
      </c>
      <c r="AL677" s="1171"/>
      <c r="AM677" s="1128"/>
      <c r="AN677" s="1170"/>
      <c r="AO677" s="1175"/>
      <c r="AP677" s="1175"/>
      <c r="AQ677" s="1170"/>
      <c r="AR677" s="1170">
        <f t="shared" si="1041"/>
        <v>0</v>
      </c>
      <c r="AS677" s="1170"/>
      <c r="AT677" s="1170">
        <f t="shared" si="1026"/>
        <v>0</v>
      </c>
      <c r="AU677" s="1174"/>
      <c r="AV677" s="1128"/>
      <c r="AW677" s="1169"/>
      <c r="AX677" s="1177"/>
      <c r="AY677" s="1177"/>
      <c r="AZ677" s="1169"/>
      <c r="BA677" s="1169">
        <f t="shared" si="1042"/>
        <v>0</v>
      </c>
      <c r="BB677" s="1169"/>
      <c r="BC677" s="1175">
        <f t="shared" si="1027"/>
        <v>0</v>
      </c>
      <c r="BD677" s="1027"/>
      <c r="BE677" s="1024"/>
      <c r="BF677" s="1024"/>
      <c r="BG677" s="1008"/>
      <c r="BH677" s="1008"/>
      <c r="BI677" s="1008"/>
      <c r="BJ677" s="1008"/>
      <c r="BK677" s="1008"/>
      <c r="BL677" s="1008"/>
      <c r="BM677" s="1008"/>
    </row>
    <row r="678" s="1215" customFormat="1" ht="21" customHeight="1">
      <c r="A678" s="999" t="str">
        <f t="shared" si="970"/>
        <v xml:space="preserve">Белова СА</v>
      </c>
      <c r="B678" s="1202" t="s">
        <v>461</v>
      </c>
      <c r="C678" s="1202"/>
      <c r="D678" s="1202"/>
      <c r="E678" s="1164">
        <f t="shared" ref="E678:F741" si="1043">Q678+Z678+AI678+AR678+BA678</f>
        <v>0</v>
      </c>
      <c r="F678" s="1164">
        <f t="shared" si="971"/>
        <v>0</v>
      </c>
      <c r="G678" s="1165">
        <f t="shared" si="1036"/>
        <v>0</v>
      </c>
      <c r="H678" s="1166"/>
      <c r="I678" s="1167">
        <f t="shared" si="957"/>
        <v>0</v>
      </c>
      <c r="J678" s="1167">
        <f t="shared" si="972"/>
        <v>0</v>
      </c>
      <c r="K678" s="1168">
        <f t="shared" si="1037"/>
        <v>0</v>
      </c>
      <c r="L678" s="1128"/>
      <c r="M678" s="1169"/>
      <c r="N678" s="1177"/>
      <c r="O678" s="1169"/>
      <c r="P678" s="1169"/>
      <c r="Q678" s="1169">
        <f t="shared" si="1038"/>
        <v>0</v>
      </c>
      <c r="R678" s="1169"/>
      <c r="S678" s="1170">
        <f t="shared" si="1029"/>
        <v>0</v>
      </c>
      <c r="T678" s="1171"/>
      <c r="U678" s="1128"/>
      <c r="V678" s="1169"/>
      <c r="W678" s="1177"/>
      <c r="X678" s="1177"/>
      <c r="Y678" s="1169"/>
      <c r="Z678" s="1169">
        <f t="shared" si="1039"/>
        <v>0</v>
      </c>
      <c r="AA678" s="1169"/>
      <c r="AB678" s="1172">
        <f t="shared" si="1031"/>
        <v>0</v>
      </c>
      <c r="AC678" s="1171"/>
      <c r="AD678" s="1128"/>
      <c r="AE678" s="1169"/>
      <c r="AF678" s="1177"/>
      <c r="AG678" s="1177"/>
      <c r="AH678" s="1169"/>
      <c r="AI678" s="1169">
        <f t="shared" si="1040"/>
        <v>0</v>
      </c>
      <c r="AJ678" s="1169"/>
      <c r="AK678" s="1173">
        <f t="shared" si="1033"/>
        <v>0</v>
      </c>
      <c r="AL678" s="1171"/>
      <c r="AM678" s="1128"/>
      <c r="AN678" s="1170"/>
      <c r="AO678" s="1175"/>
      <c r="AP678" s="1175"/>
      <c r="AQ678" s="1170"/>
      <c r="AR678" s="1170">
        <f t="shared" si="1041"/>
        <v>0</v>
      </c>
      <c r="AS678" s="1170"/>
      <c r="AT678" s="1170">
        <f t="shared" si="1026"/>
        <v>0</v>
      </c>
      <c r="AU678" s="1174"/>
      <c r="AV678" s="1128"/>
      <c r="AW678" s="1169"/>
      <c r="AX678" s="1177"/>
      <c r="AY678" s="1177"/>
      <c r="AZ678" s="1169"/>
      <c r="BA678" s="1169">
        <f t="shared" si="1042"/>
        <v>0</v>
      </c>
      <c r="BB678" s="1169"/>
      <c r="BC678" s="1175">
        <f t="shared" si="1027"/>
        <v>0</v>
      </c>
      <c r="BD678" s="1027"/>
      <c r="BE678" s="1024"/>
      <c r="BF678" s="1024"/>
      <c r="BG678" s="1008"/>
      <c r="BH678" s="1008"/>
      <c r="BI678" s="1008"/>
      <c r="BJ678" s="1008"/>
      <c r="BK678" s="1008"/>
      <c r="BL678" s="1008"/>
      <c r="BM678" s="1008"/>
    </row>
    <row r="679" s="1215" customFormat="1">
      <c r="A679" s="999">
        <f t="shared" si="970"/>
        <v>0</v>
      </c>
      <c r="B679" s="1202" t="s">
        <v>462</v>
      </c>
      <c r="C679" s="1202"/>
      <c r="D679" s="1202"/>
      <c r="E679" s="1164">
        <f t="shared" si="1043"/>
        <v>0</v>
      </c>
      <c r="F679" s="1164">
        <f t="shared" si="971"/>
        <v>0</v>
      </c>
      <c r="G679" s="1165">
        <f t="shared" si="1036"/>
        <v>0</v>
      </c>
      <c r="H679" s="1166"/>
      <c r="I679" s="1167">
        <f t="shared" si="957"/>
        <v>0</v>
      </c>
      <c r="J679" s="1167">
        <f t="shared" si="972"/>
        <v>0</v>
      </c>
      <c r="K679" s="1168">
        <f t="shared" si="1037"/>
        <v>0</v>
      </c>
      <c r="L679" s="1128"/>
      <c r="M679" s="1169"/>
      <c r="N679" s="1177"/>
      <c r="O679" s="1169"/>
      <c r="P679" s="1169"/>
      <c r="Q679" s="1169">
        <f t="shared" si="1038"/>
        <v>0</v>
      </c>
      <c r="R679" s="1169"/>
      <c r="S679" s="1170">
        <f t="shared" si="1029"/>
        <v>0</v>
      </c>
      <c r="T679" s="1171"/>
      <c r="U679" s="1128"/>
      <c r="V679" s="1169"/>
      <c r="W679" s="1177"/>
      <c r="X679" s="1177"/>
      <c r="Y679" s="1169"/>
      <c r="Z679" s="1169">
        <f t="shared" si="1039"/>
        <v>0</v>
      </c>
      <c r="AA679" s="1169"/>
      <c r="AB679" s="1172">
        <f t="shared" si="1031"/>
        <v>0</v>
      </c>
      <c r="AC679" s="1171"/>
      <c r="AD679" s="1128"/>
      <c r="AE679" s="1169"/>
      <c r="AF679" s="1177"/>
      <c r="AG679" s="1177"/>
      <c r="AH679" s="1169"/>
      <c r="AI679" s="1169">
        <f t="shared" si="1040"/>
        <v>0</v>
      </c>
      <c r="AJ679" s="1169"/>
      <c r="AK679" s="1173">
        <f t="shared" si="1033"/>
        <v>0</v>
      </c>
      <c r="AL679" s="1171"/>
      <c r="AM679" s="1128"/>
      <c r="AN679" s="1170"/>
      <c r="AO679" s="1175"/>
      <c r="AP679" s="1175"/>
      <c r="AQ679" s="1170"/>
      <c r="AR679" s="1170">
        <f t="shared" si="1041"/>
        <v>0</v>
      </c>
      <c r="AS679" s="1170"/>
      <c r="AT679" s="1170">
        <f t="shared" si="1026"/>
        <v>0</v>
      </c>
      <c r="AU679" s="1174"/>
      <c r="AV679" s="1128"/>
      <c r="AW679" s="1169"/>
      <c r="AX679" s="1177"/>
      <c r="AY679" s="1177"/>
      <c r="AZ679" s="1169"/>
      <c r="BA679" s="1169">
        <f t="shared" si="1042"/>
        <v>0</v>
      </c>
      <c r="BB679" s="1169"/>
      <c r="BC679" s="1175">
        <f t="shared" si="1027"/>
        <v>0</v>
      </c>
      <c r="BD679" s="1027"/>
      <c r="BE679" s="1024"/>
      <c r="BF679" s="1024"/>
      <c r="BG679" s="1008"/>
      <c r="BH679" s="1008"/>
      <c r="BI679" s="1008"/>
      <c r="BJ679" s="1008"/>
      <c r="BK679" s="1008"/>
      <c r="BL679" s="1008"/>
      <c r="BM679" s="1008"/>
    </row>
    <row r="680" s="1215" customFormat="1">
      <c r="A680" s="999">
        <f t="shared" si="970"/>
        <v>0</v>
      </c>
      <c r="B680" s="1202" t="s">
        <v>463</v>
      </c>
      <c r="C680" s="1202"/>
      <c r="D680" s="1202"/>
      <c r="E680" s="1164">
        <f t="shared" si="1043"/>
        <v>0</v>
      </c>
      <c r="F680" s="1164">
        <f t="shared" si="971"/>
        <v>0</v>
      </c>
      <c r="G680" s="1165">
        <f t="shared" si="1036"/>
        <v>0</v>
      </c>
      <c r="H680" s="1166"/>
      <c r="I680" s="1167">
        <f t="shared" si="957"/>
        <v>0</v>
      </c>
      <c r="J680" s="1167">
        <f t="shared" si="972"/>
        <v>0</v>
      </c>
      <c r="K680" s="1168">
        <f t="shared" si="1037"/>
        <v>0</v>
      </c>
      <c r="L680" s="1128"/>
      <c r="M680" s="1169"/>
      <c r="N680" s="1177"/>
      <c r="O680" s="1169"/>
      <c r="P680" s="1169"/>
      <c r="Q680" s="1169">
        <f t="shared" si="1038"/>
        <v>0</v>
      </c>
      <c r="R680" s="1169"/>
      <c r="S680" s="1170">
        <f t="shared" si="1029"/>
        <v>0</v>
      </c>
      <c r="T680" s="1171"/>
      <c r="U680" s="1128"/>
      <c r="V680" s="1169"/>
      <c r="W680" s="1177"/>
      <c r="X680" s="1177"/>
      <c r="Y680" s="1169"/>
      <c r="Z680" s="1169">
        <f t="shared" si="1039"/>
        <v>0</v>
      </c>
      <c r="AA680" s="1169"/>
      <c r="AB680" s="1172">
        <f t="shared" si="1031"/>
        <v>0</v>
      </c>
      <c r="AC680" s="1171"/>
      <c r="AD680" s="1128"/>
      <c r="AE680" s="1169"/>
      <c r="AF680" s="1177"/>
      <c r="AG680" s="1177"/>
      <c r="AH680" s="1169"/>
      <c r="AI680" s="1169">
        <f t="shared" si="1040"/>
        <v>0</v>
      </c>
      <c r="AJ680" s="1169"/>
      <c r="AK680" s="1173">
        <f t="shared" si="1033"/>
        <v>0</v>
      </c>
      <c r="AL680" s="1171"/>
      <c r="AM680" s="1128"/>
      <c r="AN680" s="1170"/>
      <c r="AO680" s="1175"/>
      <c r="AP680" s="1175"/>
      <c r="AQ680" s="1170"/>
      <c r="AR680" s="1170">
        <f t="shared" si="1041"/>
        <v>0</v>
      </c>
      <c r="AS680" s="1170"/>
      <c r="AT680" s="1170">
        <f t="shared" si="1026"/>
        <v>0</v>
      </c>
      <c r="AU680" s="1174"/>
      <c r="AV680" s="1128"/>
      <c r="AW680" s="1169"/>
      <c r="AX680" s="1177"/>
      <c r="AY680" s="1177"/>
      <c r="AZ680" s="1169"/>
      <c r="BA680" s="1169">
        <f t="shared" si="1042"/>
        <v>0</v>
      </c>
      <c r="BB680" s="1169"/>
      <c r="BC680" s="1175">
        <f t="shared" si="1027"/>
        <v>0</v>
      </c>
      <c r="BD680" s="1027"/>
      <c r="BE680" s="1024"/>
      <c r="BF680" s="1024"/>
      <c r="BG680" s="1008"/>
      <c r="BH680" s="1008"/>
      <c r="BI680" s="1008"/>
      <c r="BJ680" s="1008"/>
      <c r="BK680" s="1008"/>
      <c r="BL680" s="1008"/>
      <c r="BM680" s="1008"/>
    </row>
    <row r="681">
      <c r="A681" s="999">
        <f t="shared" si="970"/>
        <v>0</v>
      </c>
      <c r="B681" s="1202" t="s">
        <v>464</v>
      </c>
      <c r="C681" s="1202"/>
      <c r="D681" s="1202"/>
      <c r="E681" s="1164">
        <f t="shared" si="1043"/>
        <v>0</v>
      </c>
      <c r="F681" s="1164">
        <f t="shared" si="971"/>
        <v>0</v>
      </c>
      <c r="G681" s="1165">
        <f t="shared" si="1036"/>
        <v>0</v>
      </c>
      <c r="H681" s="1166"/>
      <c r="I681" s="1167">
        <f t="shared" si="957"/>
        <v>0</v>
      </c>
      <c r="J681" s="1167">
        <f t="shared" si="972"/>
        <v>0</v>
      </c>
      <c r="K681" s="1168">
        <f t="shared" si="1037"/>
        <v>0</v>
      </c>
      <c r="L681" s="1128"/>
      <c r="M681" s="1169"/>
      <c r="N681" s="1177"/>
      <c r="O681" s="1169"/>
      <c r="P681" s="1169"/>
      <c r="Q681" s="1169">
        <f t="shared" si="1038"/>
        <v>0</v>
      </c>
      <c r="R681" s="1169"/>
      <c r="S681" s="1170">
        <f t="shared" si="1029"/>
        <v>0</v>
      </c>
      <c r="T681" s="1171"/>
      <c r="U681" s="1128"/>
      <c r="V681" s="1169"/>
      <c r="W681" s="1177"/>
      <c r="X681" s="1177"/>
      <c r="Y681" s="1169"/>
      <c r="Z681" s="1169">
        <f t="shared" si="1039"/>
        <v>0</v>
      </c>
      <c r="AA681" s="1169"/>
      <c r="AB681" s="1172">
        <f t="shared" si="1031"/>
        <v>0</v>
      </c>
      <c r="AC681" s="1171"/>
      <c r="AD681" s="1128"/>
      <c r="AE681" s="1169"/>
      <c r="AF681" s="1177"/>
      <c r="AG681" s="1177"/>
      <c r="AH681" s="1169"/>
      <c r="AI681" s="1169">
        <f t="shared" si="1040"/>
        <v>0</v>
      </c>
      <c r="AJ681" s="1169"/>
      <c r="AK681" s="1173">
        <f t="shared" si="1033"/>
        <v>0</v>
      </c>
      <c r="AL681" s="1171"/>
      <c r="AM681" s="1128"/>
      <c r="AN681" s="1170"/>
      <c r="AO681" s="1175"/>
      <c r="AP681" s="1175"/>
      <c r="AQ681" s="1170"/>
      <c r="AR681" s="1170">
        <f t="shared" si="1041"/>
        <v>0</v>
      </c>
      <c r="AS681" s="1170"/>
      <c r="AT681" s="1170">
        <f t="shared" si="1026"/>
        <v>0</v>
      </c>
      <c r="AU681" s="1174"/>
      <c r="AV681" s="1241"/>
      <c r="AW681" s="1169"/>
      <c r="AX681" s="1177"/>
      <c r="AY681" s="1177"/>
      <c r="AZ681" s="1169"/>
      <c r="BA681" s="1169">
        <f t="shared" si="1042"/>
        <v>0</v>
      </c>
      <c r="BB681" s="1169"/>
      <c r="BC681" s="1175">
        <f t="shared" si="1027"/>
        <v>0</v>
      </c>
      <c r="BD681" s="1027"/>
      <c r="BE681" s="1029"/>
      <c r="BF681" s="1029"/>
    </row>
    <row r="682">
      <c r="A682" s="999">
        <f t="shared" si="970"/>
        <v>0</v>
      </c>
      <c r="B682" s="1202" t="s">
        <v>465</v>
      </c>
      <c r="C682" s="1202"/>
      <c r="D682" s="1202"/>
      <c r="E682" s="1164">
        <f t="shared" si="1043"/>
        <v>0</v>
      </c>
      <c r="F682" s="1164">
        <f t="shared" si="971"/>
        <v>0</v>
      </c>
      <c r="G682" s="1165">
        <f t="shared" si="1036"/>
        <v>0</v>
      </c>
      <c r="H682" s="1166"/>
      <c r="I682" s="1167">
        <f t="shared" si="957"/>
        <v>0</v>
      </c>
      <c r="J682" s="1167">
        <f t="shared" si="972"/>
        <v>0</v>
      </c>
      <c r="K682" s="1168">
        <f t="shared" si="1037"/>
        <v>0</v>
      </c>
      <c r="L682" s="1128"/>
      <c r="M682" s="1169"/>
      <c r="N682" s="1177"/>
      <c r="O682" s="1169"/>
      <c r="P682" s="1169"/>
      <c r="Q682" s="1169">
        <f t="shared" si="1038"/>
        <v>0</v>
      </c>
      <c r="R682" s="1169"/>
      <c r="S682" s="1170">
        <f t="shared" si="1029"/>
        <v>0</v>
      </c>
      <c r="T682" s="1171"/>
      <c r="U682" s="1128"/>
      <c r="V682" s="1169"/>
      <c r="W682" s="1177"/>
      <c r="X682" s="1177"/>
      <c r="Y682" s="1169"/>
      <c r="Z682" s="1169">
        <f t="shared" si="1039"/>
        <v>0</v>
      </c>
      <c r="AA682" s="1169"/>
      <c r="AB682" s="1172">
        <f t="shared" si="1031"/>
        <v>0</v>
      </c>
      <c r="AC682" s="1171"/>
      <c r="AD682" s="1128"/>
      <c r="AE682" s="1169"/>
      <c r="AF682" s="1177"/>
      <c r="AG682" s="1177"/>
      <c r="AH682" s="1169"/>
      <c r="AI682" s="1169">
        <f t="shared" si="1040"/>
        <v>0</v>
      </c>
      <c r="AJ682" s="1169"/>
      <c r="AK682" s="1173">
        <f t="shared" si="1033"/>
        <v>0</v>
      </c>
      <c r="AL682" s="1171"/>
      <c r="AM682" s="1128"/>
      <c r="AN682" s="1170"/>
      <c r="AO682" s="1175"/>
      <c r="AP682" s="1175"/>
      <c r="AQ682" s="1170"/>
      <c r="AR682" s="1170">
        <f t="shared" si="1041"/>
        <v>0</v>
      </c>
      <c r="AS682" s="1170"/>
      <c r="AT682" s="1170">
        <f t="shared" si="1026"/>
        <v>0</v>
      </c>
      <c r="AU682" s="1174"/>
      <c r="AV682" s="1241"/>
      <c r="AW682" s="1169"/>
      <c r="AX682" s="1177"/>
      <c r="AY682" s="1177"/>
      <c r="AZ682" s="1169"/>
      <c r="BA682" s="1169">
        <f t="shared" si="1042"/>
        <v>0</v>
      </c>
      <c r="BB682" s="1169"/>
      <c r="BC682" s="1175">
        <f t="shared" si="1027"/>
        <v>0</v>
      </c>
      <c r="BD682" s="1027"/>
      <c r="BE682" s="1029"/>
      <c r="BF682" s="1029"/>
    </row>
    <row r="683">
      <c r="A683" s="999">
        <f t="shared" si="970"/>
        <v>0</v>
      </c>
      <c r="B683" s="1202" t="s">
        <v>303</v>
      </c>
      <c r="C683" s="1202"/>
      <c r="D683" s="1202"/>
      <c r="E683" s="1164">
        <f t="shared" si="1043"/>
        <v>0</v>
      </c>
      <c r="F683" s="1164">
        <f t="shared" si="971"/>
        <v>0</v>
      </c>
      <c r="G683" s="1165">
        <f t="shared" si="1036"/>
        <v>0</v>
      </c>
      <c r="H683" s="1166"/>
      <c r="I683" s="1167">
        <f t="shared" si="957"/>
        <v>0</v>
      </c>
      <c r="J683" s="1167">
        <f t="shared" si="972"/>
        <v>0</v>
      </c>
      <c r="K683" s="1168">
        <f t="shared" si="1037"/>
        <v>0</v>
      </c>
      <c r="L683" s="1128"/>
      <c r="M683" s="1169"/>
      <c r="N683" s="1177"/>
      <c r="O683" s="1169"/>
      <c r="P683" s="1169"/>
      <c r="Q683" s="1169">
        <f t="shared" si="1038"/>
        <v>0</v>
      </c>
      <c r="R683" s="1169"/>
      <c r="S683" s="1170">
        <f t="shared" si="1029"/>
        <v>0</v>
      </c>
      <c r="T683" s="1171"/>
      <c r="U683" s="1128"/>
      <c r="V683" s="1169"/>
      <c r="W683" s="1177"/>
      <c r="X683" s="1177"/>
      <c r="Y683" s="1169"/>
      <c r="Z683" s="1169">
        <f t="shared" si="1039"/>
        <v>0</v>
      </c>
      <c r="AA683" s="1169"/>
      <c r="AB683" s="1172">
        <f t="shared" si="1031"/>
        <v>0</v>
      </c>
      <c r="AC683" s="1171"/>
      <c r="AD683" s="1128"/>
      <c r="AE683" s="1169"/>
      <c r="AF683" s="1177"/>
      <c r="AG683" s="1177"/>
      <c r="AH683" s="1169"/>
      <c r="AI683" s="1169">
        <f t="shared" si="1040"/>
        <v>0</v>
      </c>
      <c r="AJ683" s="1169"/>
      <c r="AK683" s="1173">
        <f t="shared" si="1033"/>
        <v>0</v>
      </c>
      <c r="AL683" s="1171"/>
      <c r="AM683" s="1128"/>
      <c r="AN683" s="1170"/>
      <c r="AO683" s="1175"/>
      <c r="AP683" s="1175"/>
      <c r="AQ683" s="1170"/>
      <c r="AR683" s="1170">
        <f t="shared" si="1041"/>
        <v>0</v>
      </c>
      <c r="AS683" s="1170"/>
      <c r="AT683" s="1170">
        <f t="shared" si="1026"/>
        <v>0</v>
      </c>
      <c r="AU683" s="1174"/>
      <c r="AV683" s="1241"/>
      <c r="AW683" s="1169"/>
      <c r="AX683" s="1177"/>
      <c r="AY683" s="1177"/>
      <c r="AZ683" s="1169"/>
      <c r="BA683" s="1169">
        <f t="shared" si="1042"/>
        <v>0</v>
      </c>
      <c r="BB683" s="1169"/>
      <c r="BC683" s="1175">
        <f t="shared" si="1027"/>
        <v>0</v>
      </c>
      <c r="BD683" s="1027"/>
      <c r="BE683" s="1029"/>
      <c r="BF683" s="1029"/>
    </row>
    <row r="684">
      <c r="A684" s="999">
        <f t="shared" si="970"/>
        <v>0</v>
      </c>
      <c r="B684" s="1202" t="s">
        <v>304</v>
      </c>
      <c r="C684" s="1202"/>
      <c r="D684" s="1202"/>
      <c r="E684" s="1164">
        <f t="shared" si="1043"/>
        <v>0</v>
      </c>
      <c r="F684" s="1164">
        <f t="shared" si="971"/>
        <v>0</v>
      </c>
      <c r="G684" s="1165">
        <f t="shared" si="1036"/>
        <v>0</v>
      </c>
      <c r="H684" s="1166"/>
      <c r="I684" s="1167">
        <f t="shared" si="957"/>
        <v>0</v>
      </c>
      <c r="J684" s="1167">
        <f t="shared" si="972"/>
        <v>0</v>
      </c>
      <c r="K684" s="1168">
        <f t="shared" si="1037"/>
        <v>0</v>
      </c>
      <c r="L684" s="1128"/>
      <c r="M684" s="1169"/>
      <c r="N684" s="1177"/>
      <c r="O684" s="1169"/>
      <c r="P684" s="1169"/>
      <c r="Q684" s="1169">
        <f t="shared" si="1038"/>
        <v>0</v>
      </c>
      <c r="R684" s="1169"/>
      <c r="S684" s="1170">
        <f t="shared" si="1029"/>
        <v>0</v>
      </c>
      <c r="T684" s="1171"/>
      <c r="U684" s="1128"/>
      <c r="V684" s="1169"/>
      <c r="W684" s="1177"/>
      <c r="X684" s="1177"/>
      <c r="Y684" s="1169"/>
      <c r="Z684" s="1169">
        <f t="shared" si="1039"/>
        <v>0</v>
      </c>
      <c r="AA684" s="1169"/>
      <c r="AB684" s="1172">
        <f t="shared" si="1031"/>
        <v>0</v>
      </c>
      <c r="AC684" s="1171"/>
      <c r="AD684" s="1128"/>
      <c r="AE684" s="1169"/>
      <c r="AF684" s="1177"/>
      <c r="AG684" s="1177"/>
      <c r="AH684" s="1169"/>
      <c r="AI684" s="1169">
        <f t="shared" si="1040"/>
        <v>0</v>
      </c>
      <c r="AJ684" s="1169"/>
      <c r="AK684" s="1173">
        <f t="shared" si="1033"/>
        <v>0</v>
      </c>
      <c r="AL684" s="1171"/>
      <c r="AM684" s="1128"/>
      <c r="AN684" s="1170"/>
      <c r="AO684" s="1175"/>
      <c r="AP684" s="1175"/>
      <c r="AQ684" s="1170"/>
      <c r="AR684" s="1170">
        <f t="shared" si="1041"/>
        <v>0</v>
      </c>
      <c r="AS684" s="1170"/>
      <c r="AT684" s="1170">
        <f t="shared" si="1026"/>
        <v>0</v>
      </c>
      <c r="AU684" s="1174"/>
      <c r="AV684" s="1241"/>
      <c r="AW684" s="1169"/>
      <c r="AX684" s="1177"/>
      <c r="AY684" s="1177"/>
      <c r="AZ684" s="1169"/>
      <c r="BA684" s="1169">
        <f t="shared" si="1042"/>
        <v>0</v>
      </c>
      <c r="BB684" s="1169"/>
      <c r="BC684" s="1175">
        <f t="shared" si="1027"/>
        <v>0</v>
      </c>
      <c r="BD684" s="1027"/>
      <c r="BE684" s="1029"/>
      <c r="BF684" s="1029"/>
    </row>
    <row r="685" ht="18.75" customHeight="1">
      <c r="A685" s="999" t="str">
        <f t="shared" si="970"/>
        <v xml:space="preserve">Радченко Т.А.</v>
      </c>
      <c r="B685" s="1202" t="s">
        <v>467</v>
      </c>
      <c r="C685" s="1202"/>
      <c r="D685" s="1202" t="s">
        <v>500</v>
      </c>
      <c r="E685" s="1164">
        <f t="shared" si="1043"/>
        <v>0</v>
      </c>
      <c r="F685" s="1164">
        <f t="shared" si="971"/>
        <v>0</v>
      </c>
      <c r="G685" s="1165">
        <f t="shared" si="1036"/>
        <v>0</v>
      </c>
      <c r="H685" s="1266" t="e">
        <f t="shared" ref="H655:H718" si="1044">G685/$G$299</f>
        <v>#DIV/0!</v>
      </c>
      <c r="I685" s="1167">
        <f t="shared" ref="I685:J748" si="1045">E685-Z685</f>
        <v>0</v>
      </c>
      <c r="J685" s="1167">
        <f t="shared" si="972"/>
        <v>0</v>
      </c>
      <c r="K685" s="1168">
        <f t="shared" si="1037"/>
        <v>0</v>
      </c>
      <c r="L685" s="1128"/>
      <c r="M685" s="1169"/>
      <c r="N685" s="1177"/>
      <c r="O685" s="1169"/>
      <c r="P685" s="1169"/>
      <c r="Q685" s="1169">
        <f t="shared" si="1038"/>
        <v>0</v>
      </c>
      <c r="R685" s="1169"/>
      <c r="S685" s="1170">
        <f t="shared" si="1029"/>
        <v>0</v>
      </c>
      <c r="T685" s="1171"/>
      <c r="U685" s="1128"/>
      <c r="V685" s="1169"/>
      <c r="W685" s="1177"/>
      <c r="X685" s="1177"/>
      <c r="Y685" s="1169"/>
      <c r="Z685" s="1169">
        <f t="shared" si="1039"/>
        <v>0</v>
      </c>
      <c r="AA685" s="1169"/>
      <c r="AB685" s="1172">
        <f t="shared" si="1031"/>
        <v>0</v>
      </c>
      <c r="AC685" s="1171"/>
      <c r="AD685" s="1128"/>
      <c r="AE685" s="1169"/>
      <c r="AF685" s="1177"/>
      <c r="AG685" s="1177"/>
      <c r="AH685" s="1169"/>
      <c r="AI685" s="1169">
        <f t="shared" si="1040"/>
        <v>0</v>
      </c>
      <c r="AJ685" s="1169"/>
      <c r="AK685" s="1173">
        <f t="shared" si="1033"/>
        <v>0</v>
      </c>
      <c r="AL685" s="1171"/>
      <c r="AM685" s="1128"/>
      <c r="AN685" s="1170"/>
      <c r="AO685" s="1175"/>
      <c r="AP685" s="1175"/>
      <c r="AQ685" s="1170"/>
      <c r="AR685" s="1170">
        <f t="shared" si="1041"/>
        <v>0</v>
      </c>
      <c r="AS685" s="1170"/>
      <c r="AT685" s="1170">
        <f t="shared" si="1026"/>
        <v>0</v>
      </c>
      <c r="AU685" s="1174"/>
      <c r="AV685" s="1241"/>
      <c r="AW685" s="1169"/>
      <c r="AX685" s="1177"/>
      <c r="AY685" s="1177"/>
      <c r="AZ685" s="1169"/>
      <c r="BA685" s="1169">
        <f t="shared" si="1042"/>
        <v>0</v>
      </c>
      <c r="BB685" s="1169"/>
      <c r="BC685" s="1175">
        <f t="shared" si="1027"/>
        <v>0</v>
      </c>
      <c r="BD685" s="1027"/>
      <c r="BE685" s="1029"/>
      <c r="BF685" s="1029"/>
    </row>
    <row r="686">
      <c r="A686" s="999" t="str">
        <f t="shared" si="970"/>
        <v xml:space="preserve">Старшие м.- АОКБ (кислород)</v>
      </c>
      <c r="B686" s="1202" t="s">
        <v>469</v>
      </c>
      <c r="C686" s="1202"/>
      <c r="D686" s="1202"/>
      <c r="E686" s="1164">
        <f t="shared" si="1043"/>
        <v>0</v>
      </c>
      <c r="F686" s="1164">
        <f t="shared" si="971"/>
        <v>0</v>
      </c>
      <c r="G686" s="1165">
        <f t="shared" si="1036"/>
        <v>0</v>
      </c>
      <c r="H686" s="1166"/>
      <c r="I686" s="1167">
        <f t="shared" si="1045"/>
        <v>0</v>
      </c>
      <c r="J686" s="1167">
        <f t="shared" si="972"/>
        <v>0</v>
      </c>
      <c r="K686" s="1168">
        <f t="shared" si="1037"/>
        <v>0</v>
      </c>
      <c r="L686" s="1128"/>
      <c r="M686" s="1169"/>
      <c r="N686" s="1177"/>
      <c r="O686" s="1169"/>
      <c r="P686" s="1169"/>
      <c r="Q686" s="1169">
        <f t="shared" si="1038"/>
        <v>0</v>
      </c>
      <c r="R686" s="1169"/>
      <c r="S686" s="1170">
        <f t="shared" si="1029"/>
        <v>0</v>
      </c>
      <c r="T686" s="1171"/>
      <c r="U686" s="1128"/>
      <c r="V686" s="1169"/>
      <c r="W686" s="1177"/>
      <c r="X686" s="1177"/>
      <c r="Y686" s="1169"/>
      <c r="Z686" s="1169">
        <f t="shared" si="1039"/>
        <v>0</v>
      </c>
      <c r="AA686" s="1169"/>
      <c r="AB686" s="1172">
        <f t="shared" si="1031"/>
        <v>0</v>
      </c>
      <c r="AC686" s="1171"/>
      <c r="AD686" s="1128"/>
      <c r="AE686" s="1169"/>
      <c r="AF686" s="1177"/>
      <c r="AG686" s="1177"/>
      <c r="AH686" s="1169"/>
      <c r="AI686" s="1169">
        <f t="shared" si="1040"/>
        <v>0</v>
      </c>
      <c r="AJ686" s="1169"/>
      <c r="AK686" s="1173">
        <f t="shared" si="1033"/>
        <v>0</v>
      </c>
      <c r="AL686" s="1171"/>
      <c r="AM686" s="1128"/>
      <c r="AN686" s="1170"/>
      <c r="AO686" s="1175"/>
      <c r="AP686" s="1175"/>
      <c r="AQ686" s="1170"/>
      <c r="AR686" s="1170">
        <f t="shared" si="1041"/>
        <v>0</v>
      </c>
      <c r="AS686" s="1170"/>
      <c r="AT686" s="1170">
        <f t="shared" si="1026"/>
        <v>0</v>
      </c>
      <c r="AU686" s="1174"/>
      <c r="AV686" s="1241"/>
      <c r="AW686" s="1169"/>
      <c r="AX686" s="1177"/>
      <c r="AY686" s="1177"/>
      <c r="AZ686" s="1169"/>
      <c r="BA686" s="1169">
        <f t="shared" si="1042"/>
        <v>0</v>
      </c>
      <c r="BB686" s="1169"/>
      <c r="BC686" s="1175">
        <f t="shared" si="1027"/>
        <v>0</v>
      </c>
      <c r="BD686" s="1027"/>
      <c r="BE686" s="1029"/>
      <c r="BF686" s="1029"/>
    </row>
    <row r="687" ht="22.5">
      <c r="B687" s="1205" t="s">
        <v>27</v>
      </c>
      <c r="C687" s="1205"/>
      <c r="D687" s="1205"/>
      <c r="E687" s="1183">
        <f t="shared" si="1043"/>
        <v>0</v>
      </c>
      <c r="F687" s="1183">
        <f t="shared" si="971"/>
        <v>0</v>
      </c>
      <c r="G687" s="1184">
        <f>SUM(G661:G686)</f>
        <v>0</v>
      </c>
      <c r="H687" s="1185"/>
      <c r="I687" s="1186">
        <f t="shared" si="1045"/>
        <v>0</v>
      </c>
      <c r="J687" s="1186">
        <f t="shared" si="972"/>
        <v>0</v>
      </c>
      <c r="K687" s="1187">
        <f>SUM(K661:K686)</f>
        <v>0</v>
      </c>
      <c r="L687" s="1210"/>
      <c r="M687" s="1213">
        <f t="shared" ref="M687:R687" si="1046">SUM(M661:M686)</f>
        <v>0</v>
      </c>
      <c r="N687" s="1213">
        <f t="shared" si="1046"/>
        <v>0</v>
      </c>
      <c r="O687" s="1213">
        <f t="shared" si="1046"/>
        <v>0</v>
      </c>
      <c r="P687" s="1213">
        <f t="shared" si="1046"/>
        <v>0</v>
      </c>
      <c r="Q687" s="1213">
        <f t="shared" si="1046"/>
        <v>0</v>
      </c>
      <c r="R687" s="1213">
        <f t="shared" si="1046"/>
        <v>0</v>
      </c>
      <c r="S687" s="1170">
        <f t="shared" si="1029"/>
        <v>0</v>
      </c>
      <c r="T687" s="1214"/>
      <c r="U687" s="1210">
        <f t="shared" ref="U687:AA687" si="1047">SUM(U661:U686)</f>
        <v>0</v>
      </c>
      <c r="V687" s="1209">
        <f t="shared" si="1047"/>
        <v>0</v>
      </c>
      <c r="W687" s="1209">
        <f t="shared" si="1047"/>
        <v>0</v>
      </c>
      <c r="X687" s="1209">
        <f t="shared" si="1047"/>
        <v>0</v>
      </c>
      <c r="Y687" s="1209">
        <f t="shared" si="1047"/>
        <v>0</v>
      </c>
      <c r="Z687" s="1209">
        <f t="shared" si="1047"/>
        <v>0</v>
      </c>
      <c r="AA687" s="1209">
        <f t="shared" si="1047"/>
        <v>0</v>
      </c>
      <c r="AB687" s="1172">
        <f t="shared" si="1031"/>
        <v>0</v>
      </c>
      <c r="AC687" s="1208"/>
      <c r="AD687" s="1210">
        <f t="shared" ref="AD687:AJ687" si="1048">SUM(AD661:AD686)</f>
        <v>0</v>
      </c>
      <c r="AE687" s="1209">
        <f t="shared" si="1048"/>
        <v>0</v>
      </c>
      <c r="AF687" s="1209">
        <f t="shared" si="1048"/>
        <v>0</v>
      </c>
      <c r="AG687" s="1209">
        <f t="shared" si="1048"/>
        <v>0</v>
      </c>
      <c r="AH687" s="1209">
        <f t="shared" si="1048"/>
        <v>0</v>
      </c>
      <c r="AI687" s="1209">
        <f t="shared" si="1048"/>
        <v>0</v>
      </c>
      <c r="AJ687" s="1209">
        <f t="shared" si="1048"/>
        <v>0</v>
      </c>
      <c r="AK687" s="1173">
        <f t="shared" si="1033"/>
        <v>0</v>
      </c>
      <c r="AL687" s="1208"/>
      <c r="AM687" s="1128"/>
      <c r="AN687" s="1190">
        <f t="shared" ref="AN687:AS687" si="1049">SUM(AN661:AN686)</f>
        <v>0</v>
      </c>
      <c r="AO687" s="1190">
        <f t="shared" si="1049"/>
        <v>0</v>
      </c>
      <c r="AP687" s="1190">
        <f t="shared" si="1049"/>
        <v>0</v>
      </c>
      <c r="AQ687" s="1190">
        <f t="shared" si="1049"/>
        <v>0</v>
      </c>
      <c r="AR687" s="1190">
        <f t="shared" si="1049"/>
        <v>0</v>
      </c>
      <c r="AS687" s="1190">
        <f t="shared" si="1049"/>
        <v>0</v>
      </c>
      <c r="AT687" s="1170">
        <f t="shared" si="1026"/>
        <v>0</v>
      </c>
      <c r="AU687" s="1191"/>
      <c r="AV687" s="1241"/>
      <c r="AW687" s="1096">
        <f t="shared" ref="AW687:BB687" si="1050">SUM(AW661:AW686)</f>
        <v>0</v>
      </c>
      <c r="AX687" s="1096">
        <f t="shared" si="1050"/>
        <v>0</v>
      </c>
      <c r="AY687" s="1096">
        <f t="shared" si="1050"/>
        <v>0</v>
      </c>
      <c r="AZ687" s="1096">
        <f t="shared" si="1050"/>
        <v>0</v>
      </c>
      <c r="BA687" s="1096">
        <f t="shared" si="1050"/>
        <v>0</v>
      </c>
      <c r="BB687" s="1096">
        <f t="shared" si="1050"/>
        <v>0</v>
      </c>
      <c r="BC687" s="1175">
        <f t="shared" si="1027"/>
        <v>0</v>
      </c>
      <c r="BD687" s="1027"/>
      <c r="BE687" s="1029"/>
      <c r="BF687" s="1029"/>
    </row>
    <row r="688" ht="22.5">
      <c r="B688" s="1205" t="s">
        <v>501</v>
      </c>
      <c r="C688" s="1205"/>
      <c r="D688" s="1205"/>
      <c r="E688" s="1183">
        <f t="shared" si="1043"/>
        <v>0</v>
      </c>
      <c r="F688" s="1183">
        <f t="shared" si="971"/>
        <v>0</v>
      </c>
      <c r="G688" s="1220">
        <f>G687+G660+G646+G637</f>
        <v>0</v>
      </c>
      <c r="H688" s="1221"/>
      <c r="I688" s="1186">
        <f t="shared" si="1045"/>
        <v>0</v>
      </c>
      <c r="J688" s="1186">
        <f t="shared" si="972"/>
        <v>0</v>
      </c>
      <c r="K688" s="1222">
        <f>K687+K660+K646+K637</f>
        <v>0</v>
      </c>
      <c r="L688" s="1197">
        <f t="shared" ref="L688:R688" si="1051">L687+L660+L646+L637</f>
        <v>0</v>
      </c>
      <c r="M688" s="1096">
        <f t="shared" si="1051"/>
        <v>0</v>
      </c>
      <c r="N688" s="1096">
        <f t="shared" si="1051"/>
        <v>0</v>
      </c>
      <c r="O688" s="1096">
        <f t="shared" si="1051"/>
        <v>0</v>
      </c>
      <c r="P688" s="1096">
        <f>P687+P660+P646+P637</f>
        <v>0</v>
      </c>
      <c r="Q688" s="1096">
        <f t="shared" si="1051"/>
        <v>0</v>
      </c>
      <c r="R688" s="1096">
        <f t="shared" si="1051"/>
        <v>0</v>
      </c>
      <c r="S688" s="1170">
        <f t="shared" si="1029"/>
        <v>0</v>
      </c>
      <c r="T688" s="1189"/>
      <c r="U688" s="1190">
        <f t="shared" ref="U688:AA688" si="1052">U687+U660+U646+U637</f>
        <v>0</v>
      </c>
      <c r="V688" s="1096">
        <f t="shared" si="1052"/>
        <v>0</v>
      </c>
      <c r="W688" s="1096">
        <f t="shared" si="1052"/>
        <v>0</v>
      </c>
      <c r="X688" s="1096">
        <f t="shared" si="1052"/>
        <v>0</v>
      </c>
      <c r="Y688" s="1096">
        <f t="shared" si="1052"/>
        <v>0</v>
      </c>
      <c r="Z688" s="1096">
        <f t="shared" si="1052"/>
        <v>0</v>
      </c>
      <c r="AA688" s="1096">
        <f t="shared" si="1052"/>
        <v>0</v>
      </c>
      <c r="AB688" s="1172">
        <f t="shared" si="1031"/>
        <v>0</v>
      </c>
      <c r="AC688" s="1189"/>
      <c r="AD688" s="1197">
        <f t="shared" ref="AD688:AJ688" si="1053">AD687+AD660+AD646+AD637</f>
        <v>0</v>
      </c>
      <c r="AE688" s="1096">
        <f t="shared" si="1053"/>
        <v>0</v>
      </c>
      <c r="AF688" s="1096">
        <f t="shared" si="1053"/>
        <v>0</v>
      </c>
      <c r="AG688" s="1096">
        <f t="shared" si="1053"/>
        <v>0</v>
      </c>
      <c r="AH688" s="1096">
        <f t="shared" si="1053"/>
        <v>0</v>
      </c>
      <c r="AI688" s="1096">
        <f t="shared" si="1053"/>
        <v>0</v>
      </c>
      <c r="AJ688" s="1096">
        <f t="shared" si="1053"/>
        <v>0</v>
      </c>
      <c r="AK688" s="1173">
        <f t="shared" si="1033"/>
        <v>0</v>
      </c>
      <c r="AL688" s="1189"/>
      <c r="AM688" s="1197">
        <f t="shared" ref="AM688:AS688" si="1054">AM687+AM660+AM646+AM637</f>
        <v>0</v>
      </c>
      <c r="AN688" s="1190">
        <f t="shared" si="1054"/>
        <v>0</v>
      </c>
      <c r="AO688" s="1190">
        <f t="shared" si="1054"/>
        <v>0</v>
      </c>
      <c r="AP688" s="1190">
        <f t="shared" si="1054"/>
        <v>0</v>
      </c>
      <c r="AQ688" s="1190">
        <f t="shared" si="1054"/>
        <v>0</v>
      </c>
      <c r="AR688" s="1190">
        <f t="shared" si="1054"/>
        <v>0</v>
      </c>
      <c r="AS688" s="1190">
        <f t="shared" si="1054"/>
        <v>0</v>
      </c>
      <c r="AT688" s="1170">
        <f t="shared" si="1026"/>
        <v>0</v>
      </c>
      <c r="AU688" s="1191"/>
      <c r="AV688" s="1190">
        <f t="shared" ref="AV688:BB688" si="1055">AV687+AV660+AV646+AV637</f>
        <v>0</v>
      </c>
      <c r="AW688" s="1096">
        <f t="shared" si="1055"/>
        <v>0</v>
      </c>
      <c r="AX688" s="1096">
        <f t="shared" si="1055"/>
        <v>0</v>
      </c>
      <c r="AY688" s="1096">
        <f t="shared" si="1055"/>
        <v>0</v>
      </c>
      <c r="AZ688" s="1096">
        <f t="shared" si="1055"/>
        <v>0</v>
      </c>
      <c r="BA688" s="1096">
        <f t="shared" si="1055"/>
        <v>0</v>
      </c>
      <c r="BB688" s="1302">
        <f t="shared" si="1055"/>
        <v>0</v>
      </c>
      <c r="BC688" s="1175">
        <f t="shared" si="1027"/>
        <v>0</v>
      </c>
      <c r="BD688" s="1027"/>
      <c r="BE688" s="1029"/>
      <c r="BF688" s="1029"/>
    </row>
    <row r="689">
      <c r="B689" s="1286"/>
      <c r="C689" s="1286"/>
      <c r="D689" s="1286"/>
      <c r="E689" s="1287"/>
      <c r="F689" s="1287"/>
      <c r="G689" s="1287"/>
      <c r="H689" s="1288"/>
      <c r="I689" s="1289"/>
      <c r="J689" s="1289"/>
      <c r="K689" s="1167">
        <f t="shared" ref="K689:K690" si="1056">G689-AB689</f>
        <v>0</v>
      </c>
      <c r="L689" s="1024"/>
      <c r="M689" s="1292"/>
      <c r="N689" s="1292"/>
      <c r="O689" s="1292"/>
      <c r="P689" s="1292"/>
      <c r="Q689" s="1292"/>
      <c r="R689" s="1292"/>
      <c r="S689" s="1292"/>
      <c r="T689" s="1291"/>
      <c r="U689" s="1024"/>
      <c r="V689" s="1292"/>
      <c r="W689" s="1292"/>
      <c r="X689" s="1292"/>
      <c r="Y689" s="1292"/>
      <c r="Z689" s="1292"/>
      <c r="AA689" s="1292"/>
      <c r="AB689" s="1292"/>
      <c r="AC689" s="1291"/>
      <c r="AD689" s="1024"/>
      <c r="AE689" s="1292"/>
      <c r="AF689" s="1292"/>
      <c r="AG689" s="1292"/>
      <c r="AH689" s="1292"/>
      <c r="AI689" s="1292"/>
      <c r="AJ689" s="1292"/>
      <c r="AK689" s="1292"/>
      <c r="AL689" s="1291"/>
      <c r="AM689" s="1024"/>
      <c r="AN689" s="1292"/>
      <c r="AO689" s="1292"/>
      <c r="AP689" s="1292"/>
      <c r="AQ689" s="1292"/>
      <c r="AR689" s="1292"/>
      <c r="AS689" s="1292"/>
      <c r="AT689" s="1292"/>
      <c r="AU689" s="1293"/>
      <c r="AV689" s="1029"/>
      <c r="AW689" s="1292"/>
      <c r="AX689" s="1292"/>
      <c r="AY689" s="1292"/>
      <c r="AZ689" s="1292"/>
      <c r="BA689" s="1292"/>
      <c r="BB689" s="1292"/>
      <c r="BC689" s="1029"/>
      <c r="BD689" s="1027"/>
      <c r="BE689" s="1029"/>
      <c r="BF689" s="1029"/>
    </row>
    <row r="690">
      <c r="B690" s="1029"/>
      <c r="C690" s="1029"/>
      <c r="D690" s="1029"/>
      <c r="E690" s="1017"/>
      <c r="F690" s="1017"/>
      <c r="G690" s="1099"/>
      <c r="H690" s="1100"/>
      <c r="I690" s="1020"/>
      <c r="J690" s="1020"/>
      <c r="K690" s="1167">
        <f t="shared" si="1056"/>
        <v>0</v>
      </c>
      <c r="L690" s="1024"/>
      <c r="M690" s="1023"/>
      <c r="N690" s="1023"/>
      <c r="O690" s="1023"/>
      <c r="P690" s="1023"/>
      <c r="Q690" s="1023"/>
      <c r="R690" s="1023"/>
      <c r="S690" s="1023"/>
      <c r="T690" s="1262"/>
      <c r="U690" s="1024"/>
      <c r="V690" s="1023"/>
      <c r="W690" s="1023"/>
      <c r="X690" s="1023"/>
      <c r="Y690" s="1023"/>
      <c r="Z690" s="1023"/>
      <c r="AA690" s="1023"/>
      <c r="AB690" s="1023"/>
      <c r="AC690" s="1262"/>
      <c r="AD690" s="1024"/>
      <c r="AE690" s="1023"/>
      <c r="AF690" s="1023"/>
      <c r="AG690" s="1023"/>
      <c r="AH690" s="1023"/>
      <c r="AI690" s="1023"/>
      <c r="AJ690" s="1023"/>
      <c r="AK690" s="1023"/>
      <c r="AL690" s="1262"/>
      <c r="AM690" s="1024"/>
      <c r="AN690" s="1023"/>
      <c r="AO690" s="1023"/>
      <c r="AP690" s="1023"/>
      <c r="AQ690" s="1023"/>
      <c r="AR690" s="1023"/>
      <c r="AS690" s="1023"/>
      <c r="AT690" s="1024"/>
      <c r="AU690" s="1027"/>
      <c r="AV690" s="1029"/>
      <c r="AW690" s="1023"/>
      <c r="AX690" s="1023"/>
      <c r="AY690" s="1023"/>
      <c r="AZ690" s="1023"/>
      <c r="BA690" s="1023"/>
      <c r="BB690" s="1023"/>
      <c r="BC690" s="1029"/>
      <c r="BD690" s="1027"/>
      <c r="BE690" s="1029"/>
      <c r="BF690" s="1029"/>
    </row>
    <row r="691" s="1180" customFormat="1" ht="30.75" customHeight="1">
      <c r="A691" s="999"/>
      <c r="B691" s="1111" t="s">
        <v>502</v>
      </c>
      <c r="C691" s="1303"/>
      <c r="D691" s="1303"/>
      <c r="E691" s="1113" t="s">
        <v>347</v>
      </c>
      <c r="F691" s="1114"/>
      <c r="G691" s="1114"/>
      <c r="H691" s="1115"/>
      <c r="I691" s="1235" t="s">
        <v>335</v>
      </c>
      <c r="J691" s="1236"/>
      <c r="K691" s="1237"/>
      <c r="L691" s="1119"/>
      <c r="M691" s="1120" t="s">
        <v>127</v>
      </c>
      <c r="N691" s="1121"/>
      <c r="O691" s="1121"/>
      <c r="P691" s="1121"/>
      <c r="Q691" s="1121"/>
      <c r="R691" s="1122"/>
      <c r="S691" s="1123"/>
      <c r="T691" s="1124"/>
      <c r="U691" s="1125"/>
      <c r="V691" s="1120" t="s">
        <v>325</v>
      </c>
      <c r="W691" s="1121"/>
      <c r="X691" s="1121"/>
      <c r="Y691" s="1121"/>
      <c r="Z691" s="1121"/>
      <c r="AA691" s="1122"/>
      <c r="AB691" s="1115"/>
      <c r="AC691" s="1126"/>
      <c r="AD691" s="1125"/>
      <c r="AE691" s="1120" t="s">
        <v>311</v>
      </c>
      <c r="AF691" s="1121"/>
      <c r="AG691" s="1121"/>
      <c r="AH691" s="1121"/>
      <c r="AI691" s="1121"/>
      <c r="AJ691" s="1122"/>
      <c r="AK691" s="1127"/>
      <c r="AL691" s="1126"/>
      <c r="AM691" s="1128"/>
      <c r="AN691" s="1043" t="s">
        <v>327</v>
      </c>
      <c r="AO691" s="1044"/>
      <c r="AP691" s="1044"/>
      <c r="AQ691" s="1044"/>
      <c r="AR691" s="1044"/>
      <c r="AS691" s="1045"/>
      <c r="AT691" s="1129"/>
      <c r="AU691" s="1130"/>
      <c r="AV691" s="1131"/>
      <c r="AW691" s="1043" t="s">
        <v>349</v>
      </c>
      <c r="AX691" s="1044"/>
      <c r="AY691" s="1044"/>
      <c r="AZ691" s="1044"/>
      <c r="BA691" s="1044"/>
      <c r="BB691" s="1045"/>
      <c r="BC691" s="1029"/>
      <c r="BD691" s="1296"/>
      <c r="BE691" s="1297"/>
      <c r="BF691" s="1297"/>
      <c r="BG691" s="1106"/>
      <c r="BH691" s="1106"/>
      <c r="BI691" s="1106"/>
      <c r="BJ691" s="1106"/>
      <c r="BK691" s="1106"/>
      <c r="BL691" s="1106"/>
      <c r="BM691" s="1106"/>
    </row>
    <row r="692" ht="18.75" customHeight="1">
      <c r="A692" s="1110"/>
      <c r="B692" s="1134" t="s">
        <v>350</v>
      </c>
      <c r="C692" s="1134"/>
      <c r="D692" s="1134"/>
      <c r="E692" s="1135" t="s">
        <v>332</v>
      </c>
      <c r="F692" s="1135" t="s">
        <v>333</v>
      </c>
      <c r="G692" s="1136" t="s">
        <v>334</v>
      </c>
      <c r="H692" s="1137" t="s">
        <v>341</v>
      </c>
      <c r="I692" s="1138"/>
      <c r="J692" s="1138"/>
      <c r="K692" s="1139"/>
      <c r="L692" s="1119"/>
      <c r="M692" s="1073" t="s">
        <v>336</v>
      </c>
      <c r="N692" s="1073" t="s">
        <v>337</v>
      </c>
      <c r="O692" s="1073" t="s">
        <v>338</v>
      </c>
      <c r="P692" s="1073" t="s">
        <v>344</v>
      </c>
      <c r="Q692" s="1073" t="s">
        <v>351</v>
      </c>
      <c r="R692" s="1140" t="s">
        <v>339</v>
      </c>
      <c r="S692" s="1141" t="s">
        <v>340</v>
      </c>
      <c r="T692" s="1142"/>
      <c r="U692" s="1128"/>
      <c r="V692" s="1073" t="s">
        <v>336</v>
      </c>
      <c r="W692" s="1073" t="s">
        <v>337</v>
      </c>
      <c r="X692" s="1073" t="s">
        <v>338</v>
      </c>
      <c r="Y692" s="1073" t="s">
        <v>344</v>
      </c>
      <c r="Z692" s="1073" t="s">
        <v>351</v>
      </c>
      <c r="AA692" s="1140" t="s">
        <v>339</v>
      </c>
      <c r="AB692" s="1143" t="str">
        <f>S692</f>
        <v xml:space="preserve">Итого (спирт+наркотики+растворы+перевязка)</v>
      </c>
      <c r="AC692" s="1142"/>
      <c r="AD692" s="1128"/>
      <c r="AE692" s="1073" t="s">
        <v>336</v>
      </c>
      <c r="AF692" s="1073" t="s">
        <v>337</v>
      </c>
      <c r="AG692" s="1073" t="s">
        <v>338</v>
      </c>
      <c r="AH692" s="1073" t="s">
        <v>344</v>
      </c>
      <c r="AI692" s="1073" t="s">
        <v>351</v>
      </c>
      <c r="AJ692" s="1140" t="s">
        <v>339</v>
      </c>
      <c r="AK692" s="1141" t="s">
        <v>340</v>
      </c>
      <c r="AL692" s="1142"/>
      <c r="AM692" s="1128"/>
      <c r="AN692" s="1144" t="s">
        <v>336</v>
      </c>
      <c r="AO692" s="1144" t="s">
        <v>337</v>
      </c>
      <c r="AP692" s="1144" t="s">
        <v>338</v>
      </c>
      <c r="AQ692" s="1073" t="s">
        <v>344</v>
      </c>
      <c r="AR692" s="1073" t="s">
        <v>351</v>
      </c>
      <c r="AS692" s="1140" t="s">
        <v>339</v>
      </c>
      <c r="AT692" s="1145"/>
      <c r="AU692" s="1146"/>
      <c r="AV692" s="1131"/>
      <c r="AW692" s="1144" t="s">
        <v>336</v>
      </c>
      <c r="AX692" s="1144" t="s">
        <v>337</v>
      </c>
      <c r="AY692" s="1144" t="s">
        <v>338</v>
      </c>
      <c r="AZ692" s="1073" t="s">
        <v>344</v>
      </c>
      <c r="BA692" s="1073" t="s">
        <v>351</v>
      </c>
      <c r="BB692" s="1140" t="s">
        <v>339</v>
      </c>
      <c r="BC692" s="1147"/>
      <c r="BD692" s="1132"/>
      <c r="BE692" s="1133"/>
      <c r="BF692" s="1133"/>
    </row>
    <row r="693" ht="39.75" customHeight="1">
      <c r="A693" s="1110"/>
      <c r="B693" s="1149"/>
      <c r="C693" s="1149"/>
      <c r="D693" s="1149"/>
      <c r="E693" s="1150"/>
      <c r="F693" s="1150"/>
      <c r="G693" s="1151"/>
      <c r="H693" s="1152"/>
      <c r="I693" s="1153" t="s">
        <v>342</v>
      </c>
      <c r="J693" s="1154" t="s">
        <v>339</v>
      </c>
      <c r="K693" s="1155" t="s">
        <v>335</v>
      </c>
      <c r="L693" s="1119"/>
      <c r="M693" s="1095"/>
      <c r="N693" s="1095"/>
      <c r="O693" s="1095"/>
      <c r="P693" s="1095"/>
      <c r="Q693" s="1095"/>
      <c r="R693" s="1123"/>
      <c r="S693" s="1156"/>
      <c r="T693" s="1124"/>
      <c r="U693" s="1128"/>
      <c r="V693" s="1095"/>
      <c r="W693" s="1095"/>
      <c r="X693" s="1095"/>
      <c r="Y693" s="1095"/>
      <c r="Z693" s="1095"/>
      <c r="AA693" s="1123"/>
      <c r="AB693" s="1157"/>
      <c r="AC693" s="1124"/>
      <c r="AD693" s="1128"/>
      <c r="AE693" s="1095"/>
      <c r="AF693" s="1095"/>
      <c r="AG693" s="1095"/>
      <c r="AH693" s="1095"/>
      <c r="AI693" s="1095"/>
      <c r="AJ693" s="1123"/>
      <c r="AK693" s="1156"/>
      <c r="AL693" s="1124"/>
      <c r="AM693" s="1128"/>
      <c r="AN693" s="1158"/>
      <c r="AO693" s="1158"/>
      <c r="AP693" s="1158"/>
      <c r="AQ693" s="1095"/>
      <c r="AR693" s="1095"/>
      <c r="AS693" s="1123"/>
      <c r="AT693" s="1159"/>
      <c r="AU693" s="1160"/>
      <c r="AV693" s="1131"/>
      <c r="AW693" s="1158"/>
      <c r="AX693" s="1158"/>
      <c r="AY693" s="1158"/>
      <c r="AZ693" s="1095"/>
      <c r="BA693" s="1095"/>
      <c r="BB693" s="1123"/>
      <c r="BC693" s="1161"/>
      <c r="BD693" s="1132"/>
      <c r="BE693" s="1133"/>
      <c r="BF693" s="1133"/>
    </row>
    <row r="694">
      <c r="A694" s="999" t="str">
        <f t="shared" ref="A694:A757" si="1057">A596</f>
        <v xml:space="preserve">Павельева Л.Г.</v>
      </c>
      <c r="B694" s="1162" t="s">
        <v>178</v>
      </c>
      <c r="C694" s="1162"/>
      <c r="D694" s="1162"/>
      <c r="E694" s="1164">
        <f t="shared" si="1043"/>
        <v>0</v>
      </c>
      <c r="F694" s="1164">
        <f t="shared" ref="F691:F754" si="1058">R694+AA694+AJ694+AS694+BB694</f>
        <v>0</v>
      </c>
      <c r="G694" s="1165">
        <f t="shared" ref="G694:G701" si="1059">E694+F694</f>
        <v>0</v>
      </c>
      <c r="H694" s="1166"/>
      <c r="I694" s="1167">
        <f t="shared" si="1045"/>
        <v>0</v>
      </c>
      <c r="J694" s="1167">
        <f t="shared" ref="J691:J754" si="1060">F694-AA694</f>
        <v>0</v>
      </c>
      <c r="K694" s="1168">
        <f t="shared" ref="K694:K701" si="1061">I694+J694</f>
        <v>0</v>
      </c>
      <c r="L694" s="1128"/>
      <c r="M694" s="1169"/>
      <c r="N694" s="1169"/>
      <c r="O694" s="1169"/>
      <c r="P694" s="1169"/>
      <c r="Q694" s="1169">
        <f t="shared" ref="Q694:Q701" si="1062">SUM(M694:P694)</f>
        <v>0</v>
      </c>
      <c r="R694" s="1169"/>
      <c r="S694" s="1170"/>
      <c r="T694" s="1171"/>
      <c r="U694" s="1128"/>
      <c r="V694" s="1169"/>
      <c r="W694" s="1169"/>
      <c r="X694" s="1169"/>
      <c r="Y694" s="1169"/>
      <c r="Z694" s="1169">
        <f t="shared" ref="Z694:Z701" si="1063">SUM(V694:Y694)</f>
        <v>0</v>
      </c>
      <c r="AA694" s="1169"/>
      <c r="AB694" s="1172">
        <f t="shared" ref="AB694:AB757" si="1064">Z694+AA694</f>
        <v>0</v>
      </c>
      <c r="AC694" s="1171"/>
      <c r="AD694" s="1128"/>
      <c r="AE694" s="1169"/>
      <c r="AF694" s="1169"/>
      <c r="AG694" s="1169"/>
      <c r="AH694" s="1169"/>
      <c r="AI694" s="1169">
        <f t="shared" ref="AI694:AI701" si="1065">SUM(AE694:AH694)</f>
        <v>0</v>
      </c>
      <c r="AJ694" s="1169"/>
      <c r="AK694" s="1170"/>
      <c r="AL694" s="1171"/>
      <c r="AM694" s="1128"/>
      <c r="AN694" s="1170"/>
      <c r="AO694" s="1170"/>
      <c r="AP694" s="1170"/>
      <c r="AQ694" s="1170"/>
      <c r="AR694" s="1170">
        <f t="shared" ref="AR694:AR701" si="1066">SUM(AN694:AQ694)</f>
        <v>0</v>
      </c>
      <c r="AS694" s="1170"/>
      <c r="AT694" s="1170"/>
      <c r="AU694" s="1174"/>
      <c r="AV694" s="1241"/>
      <c r="AW694" s="1169"/>
      <c r="AX694" s="1169"/>
      <c r="AY694" s="1169"/>
      <c r="AZ694" s="1169"/>
      <c r="BA694" s="1169">
        <f t="shared" ref="BA694:BA701" si="1067">SUM(AW694:AZ694)</f>
        <v>0</v>
      </c>
      <c r="BB694" s="1169"/>
      <c r="BC694" s="1029"/>
      <c r="BD694" s="1027"/>
      <c r="BE694" s="1029"/>
      <c r="BF694" s="1029"/>
    </row>
    <row r="695">
      <c r="A695" s="999" t="str">
        <f t="shared" si="1057"/>
        <v xml:space="preserve">Губаренко О.Н.</v>
      </c>
      <c r="B695" s="1176" t="s">
        <v>354</v>
      </c>
      <c r="C695" s="1176"/>
      <c r="D695" s="1176"/>
      <c r="E695" s="1164">
        <f t="shared" si="1043"/>
        <v>0</v>
      </c>
      <c r="F695" s="1164">
        <f t="shared" si="1058"/>
        <v>0</v>
      </c>
      <c r="G695" s="1165">
        <f t="shared" si="1059"/>
        <v>0</v>
      </c>
      <c r="H695" s="1166"/>
      <c r="I695" s="1167">
        <f t="shared" si="1045"/>
        <v>0</v>
      </c>
      <c r="J695" s="1167">
        <f t="shared" si="1060"/>
        <v>0</v>
      </c>
      <c r="K695" s="1168">
        <f t="shared" si="1061"/>
        <v>0</v>
      </c>
      <c r="L695" s="1128"/>
      <c r="M695" s="1169"/>
      <c r="N695" s="1177"/>
      <c r="O695" s="1169"/>
      <c r="P695" s="1169"/>
      <c r="Q695" s="1169">
        <f t="shared" si="1062"/>
        <v>0</v>
      </c>
      <c r="R695" s="1169"/>
      <c r="S695" s="1170"/>
      <c r="T695" s="1171"/>
      <c r="U695" s="1128"/>
      <c r="V695" s="1169"/>
      <c r="W695" s="1177"/>
      <c r="X695" s="1177"/>
      <c r="Y695" s="1169"/>
      <c r="Z695" s="1169">
        <f t="shared" si="1063"/>
        <v>0</v>
      </c>
      <c r="AA695" s="1169"/>
      <c r="AB695" s="1172">
        <f t="shared" si="1064"/>
        <v>0</v>
      </c>
      <c r="AC695" s="1171"/>
      <c r="AD695" s="1128"/>
      <c r="AE695" s="1169"/>
      <c r="AF695" s="1177"/>
      <c r="AG695" s="1177"/>
      <c r="AH695" s="1169"/>
      <c r="AI695" s="1169">
        <f t="shared" si="1065"/>
        <v>0</v>
      </c>
      <c r="AJ695" s="1169"/>
      <c r="AK695" s="1170"/>
      <c r="AL695" s="1171"/>
      <c r="AM695" s="1128"/>
      <c r="AN695" s="1170"/>
      <c r="AO695" s="1175"/>
      <c r="AP695" s="1175"/>
      <c r="AQ695" s="1170"/>
      <c r="AR695" s="1170">
        <f t="shared" si="1066"/>
        <v>0</v>
      </c>
      <c r="AS695" s="1170"/>
      <c r="AT695" s="1170"/>
      <c r="AU695" s="1174"/>
      <c r="AV695" s="1241"/>
      <c r="AW695" s="1169"/>
      <c r="AX695" s="1177"/>
      <c r="AY695" s="1177"/>
      <c r="AZ695" s="1169"/>
      <c r="BA695" s="1169">
        <f t="shared" si="1067"/>
        <v>0</v>
      </c>
      <c r="BB695" s="1169"/>
      <c r="BC695" s="1029"/>
      <c r="BD695" s="1027"/>
      <c r="BE695" s="1029"/>
      <c r="BF695" s="1029"/>
    </row>
    <row r="696">
      <c r="A696" s="999" t="str">
        <f t="shared" si="1057"/>
        <v xml:space="preserve">Петрюк Е.В.</v>
      </c>
      <c r="B696" s="1176" t="s">
        <v>181</v>
      </c>
      <c r="C696" s="1176"/>
      <c r="D696" s="1176"/>
      <c r="E696" s="1164">
        <f t="shared" si="1043"/>
        <v>0</v>
      </c>
      <c r="F696" s="1164">
        <f t="shared" si="1058"/>
        <v>0</v>
      </c>
      <c r="G696" s="1165">
        <f t="shared" si="1059"/>
        <v>0</v>
      </c>
      <c r="H696" s="1166"/>
      <c r="I696" s="1167">
        <f t="shared" si="1045"/>
        <v>0</v>
      </c>
      <c r="J696" s="1167">
        <f t="shared" si="1060"/>
        <v>0</v>
      </c>
      <c r="K696" s="1168">
        <f t="shared" si="1061"/>
        <v>0</v>
      </c>
      <c r="L696" s="1128"/>
      <c r="M696" s="1169"/>
      <c r="N696" s="1177"/>
      <c r="O696" s="1169"/>
      <c r="P696" s="1169"/>
      <c r="Q696" s="1169">
        <f t="shared" si="1062"/>
        <v>0</v>
      </c>
      <c r="R696" s="1169"/>
      <c r="S696" s="1170"/>
      <c r="T696" s="1171"/>
      <c r="U696" s="1128"/>
      <c r="V696" s="1169"/>
      <c r="W696" s="1177"/>
      <c r="X696" s="1177"/>
      <c r="Y696" s="1169"/>
      <c r="Z696" s="1169">
        <f t="shared" si="1063"/>
        <v>0</v>
      </c>
      <c r="AA696" s="1169"/>
      <c r="AB696" s="1172">
        <f t="shared" si="1064"/>
        <v>0</v>
      </c>
      <c r="AC696" s="1171"/>
      <c r="AD696" s="1128"/>
      <c r="AE696" s="1169"/>
      <c r="AF696" s="1177"/>
      <c r="AG696" s="1177"/>
      <c r="AH696" s="1169"/>
      <c r="AI696" s="1169">
        <f t="shared" si="1065"/>
        <v>0</v>
      </c>
      <c r="AJ696" s="1169"/>
      <c r="AK696" s="1170"/>
      <c r="AL696" s="1171"/>
      <c r="AM696" s="1128"/>
      <c r="AN696" s="1170"/>
      <c r="AO696" s="1175"/>
      <c r="AP696" s="1175"/>
      <c r="AQ696" s="1170"/>
      <c r="AR696" s="1170">
        <f t="shared" si="1066"/>
        <v>0</v>
      </c>
      <c r="AS696" s="1170"/>
      <c r="AT696" s="1170"/>
      <c r="AU696" s="1174"/>
      <c r="AV696" s="1241"/>
      <c r="AW696" s="1169"/>
      <c r="AX696" s="1177"/>
      <c r="AY696" s="1177"/>
      <c r="AZ696" s="1169"/>
      <c r="BA696" s="1169">
        <f t="shared" si="1067"/>
        <v>0</v>
      </c>
      <c r="BB696" s="1169"/>
      <c r="BC696" s="1029"/>
      <c r="BD696" s="1027"/>
      <c r="BE696" s="1029"/>
      <c r="BF696" s="1029"/>
    </row>
    <row r="697" ht="18.75" customHeight="1">
      <c r="A697" s="999" t="str">
        <f t="shared" si="1057"/>
        <v xml:space="preserve">Кутько И.Г.</v>
      </c>
      <c r="B697" s="1176" t="s">
        <v>357</v>
      </c>
      <c r="C697" s="1176"/>
      <c r="D697" s="1176"/>
      <c r="E697" s="1164">
        <f t="shared" si="1043"/>
        <v>0</v>
      </c>
      <c r="F697" s="1164">
        <f t="shared" si="1058"/>
        <v>0</v>
      </c>
      <c r="G697" s="1165">
        <f t="shared" si="1059"/>
        <v>0</v>
      </c>
      <c r="H697" s="1166"/>
      <c r="I697" s="1167">
        <f t="shared" si="1045"/>
        <v>0</v>
      </c>
      <c r="J697" s="1167">
        <f t="shared" si="1060"/>
        <v>0</v>
      </c>
      <c r="K697" s="1168">
        <f t="shared" si="1061"/>
        <v>0</v>
      </c>
      <c r="L697" s="1128"/>
      <c r="M697" s="1169"/>
      <c r="N697" s="1177"/>
      <c r="O697" s="1169"/>
      <c r="P697" s="1169"/>
      <c r="Q697" s="1169">
        <f t="shared" si="1062"/>
        <v>0</v>
      </c>
      <c r="R697" s="1169"/>
      <c r="S697" s="1170"/>
      <c r="T697" s="1171"/>
      <c r="U697" s="1128"/>
      <c r="V697" s="1169"/>
      <c r="W697" s="1177"/>
      <c r="X697" s="1177"/>
      <c r="Y697" s="1169"/>
      <c r="Z697" s="1169">
        <f t="shared" si="1063"/>
        <v>0</v>
      </c>
      <c r="AA697" s="1169"/>
      <c r="AB697" s="1172">
        <f t="shared" si="1064"/>
        <v>0</v>
      </c>
      <c r="AC697" s="1171"/>
      <c r="AD697" s="1128"/>
      <c r="AE697" s="1169"/>
      <c r="AF697" s="1177"/>
      <c r="AG697" s="1177"/>
      <c r="AH697" s="1169"/>
      <c r="AI697" s="1169">
        <f t="shared" si="1065"/>
        <v>0</v>
      </c>
      <c r="AJ697" s="1169"/>
      <c r="AK697" s="1170"/>
      <c r="AL697" s="1171"/>
      <c r="AM697" s="1128"/>
      <c r="AN697" s="1170"/>
      <c r="AO697" s="1175"/>
      <c r="AP697" s="1175"/>
      <c r="AQ697" s="1170"/>
      <c r="AR697" s="1170">
        <f t="shared" si="1066"/>
        <v>0</v>
      </c>
      <c r="AS697" s="1170"/>
      <c r="AT697" s="1170"/>
      <c r="AU697" s="1174"/>
      <c r="AV697" s="1241"/>
      <c r="AW697" s="1169"/>
      <c r="AX697" s="1177"/>
      <c r="AY697" s="1177"/>
      <c r="AZ697" s="1169"/>
      <c r="BA697" s="1169">
        <f t="shared" si="1067"/>
        <v>0</v>
      </c>
      <c r="BB697" s="1169"/>
      <c r="BC697" s="1029"/>
      <c r="BD697" s="1027"/>
      <c r="BE697" s="1029"/>
      <c r="BF697" s="1029"/>
    </row>
    <row r="698">
      <c r="A698" s="999" t="str">
        <f t="shared" si="1057"/>
        <v xml:space="preserve">Елина С.И.</v>
      </c>
      <c r="B698" s="1176" t="s">
        <v>183</v>
      </c>
      <c r="C698" s="1176"/>
      <c r="D698" s="1176"/>
      <c r="E698" s="1164">
        <f t="shared" si="1043"/>
        <v>0</v>
      </c>
      <c r="F698" s="1164">
        <f t="shared" si="1058"/>
        <v>0</v>
      </c>
      <c r="G698" s="1165">
        <f t="shared" si="1059"/>
        <v>0</v>
      </c>
      <c r="H698" s="1166"/>
      <c r="I698" s="1167">
        <f t="shared" si="1045"/>
        <v>0</v>
      </c>
      <c r="J698" s="1167">
        <f t="shared" si="1060"/>
        <v>0</v>
      </c>
      <c r="K698" s="1168">
        <f t="shared" si="1061"/>
        <v>0</v>
      </c>
      <c r="L698" s="1128"/>
      <c r="M698" s="1169"/>
      <c r="N698" s="1177"/>
      <c r="O698" s="1169"/>
      <c r="P698" s="1169"/>
      <c r="Q698" s="1169">
        <f t="shared" si="1062"/>
        <v>0</v>
      </c>
      <c r="R698" s="1169"/>
      <c r="S698" s="1170"/>
      <c r="T698" s="1171"/>
      <c r="U698" s="1128"/>
      <c r="V698" s="1169"/>
      <c r="W698" s="1177"/>
      <c r="X698" s="1177"/>
      <c r="Y698" s="1169"/>
      <c r="Z698" s="1169">
        <f t="shared" si="1063"/>
        <v>0</v>
      </c>
      <c r="AA698" s="1169"/>
      <c r="AB698" s="1172">
        <f t="shared" si="1064"/>
        <v>0</v>
      </c>
      <c r="AC698" s="1171"/>
      <c r="AD698" s="1128"/>
      <c r="AE698" s="1169"/>
      <c r="AF698" s="1177"/>
      <c r="AG698" s="1177"/>
      <c r="AH698" s="1169"/>
      <c r="AI698" s="1169">
        <f t="shared" si="1065"/>
        <v>0</v>
      </c>
      <c r="AJ698" s="1169"/>
      <c r="AK698" s="1170"/>
      <c r="AL698" s="1171"/>
      <c r="AM698" s="1128"/>
      <c r="AN698" s="1170"/>
      <c r="AO698" s="1175"/>
      <c r="AP698" s="1175"/>
      <c r="AQ698" s="1170"/>
      <c r="AR698" s="1170">
        <f t="shared" si="1066"/>
        <v>0</v>
      </c>
      <c r="AS698" s="1170"/>
      <c r="AT698" s="1170"/>
      <c r="AU698" s="1174"/>
      <c r="AV698" s="1241"/>
      <c r="AW698" s="1169"/>
      <c r="AX698" s="1177"/>
      <c r="AY698" s="1177"/>
      <c r="AZ698" s="1169"/>
      <c r="BA698" s="1169">
        <f t="shared" si="1067"/>
        <v>0</v>
      </c>
      <c r="BB698" s="1169"/>
      <c r="BC698" s="1029"/>
      <c r="BD698" s="1027"/>
      <c r="BE698" s="1029"/>
      <c r="BF698" s="1029"/>
    </row>
    <row r="699">
      <c r="A699" s="999" t="str">
        <f t="shared" si="1057"/>
        <v xml:space="preserve">Никитина О.Г.</v>
      </c>
      <c r="B699" s="1176" t="s">
        <v>184</v>
      </c>
      <c r="C699" s="1176"/>
      <c r="D699" s="1176"/>
      <c r="E699" s="1164">
        <f t="shared" si="1043"/>
        <v>0</v>
      </c>
      <c r="F699" s="1164">
        <f t="shared" si="1058"/>
        <v>0</v>
      </c>
      <c r="G699" s="1165">
        <f t="shared" si="1059"/>
        <v>0</v>
      </c>
      <c r="H699" s="1166"/>
      <c r="I699" s="1167">
        <f t="shared" si="1045"/>
        <v>0</v>
      </c>
      <c r="J699" s="1167">
        <f t="shared" si="1060"/>
        <v>0</v>
      </c>
      <c r="K699" s="1168">
        <f t="shared" si="1061"/>
        <v>0</v>
      </c>
      <c r="L699" s="1128"/>
      <c r="M699" s="1169"/>
      <c r="N699" s="1177"/>
      <c r="O699" s="1169"/>
      <c r="P699" s="1169"/>
      <c r="Q699" s="1169">
        <f t="shared" si="1062"/>
        <v>0</v>
      </c>
      <c r="R699" s="1169"/>
      <c r="S699" s="1170"/>
      <c r="T699" s="1171"/>
      <c r="U699" s="1128"/>
      <c r="V699" s="1169"/>
      <c r="W699" s="1177"/>
      <c r="X699" s="1177"/>
      <c r="Y699" s="1169"/>
      <c r="Z699" s="1169">
        <f t="shared" si="1063"/>
        <v>0</v>
      </c>
      <c r="AA699" s="1169"/>
      <c r="AB699" s="1172">
        <f t="shared" si="1064"/>
        <v>0</v>
      </c>
      <c r="AC699" s="1171"/>
      <c r="AD699" s="1128"/>
      <c r="AE699" s="1169"/>
      <c r="AF699" s="1177"/>
      <c r="AG699" s="1177"/>
      <c r="AH699" s="1169"/>
      <c r="AI699" s="1169">
        <f t="shared" si="1065"/>
        <v>0</v>
      </c>
      <c r="AJ699" s="1169"/>
      <c r="AK699" s="1170"/>
      <c r="AL699" s="1171"/>
      <c r="AM699" s="1128"/>
      <c r="AN699" s="1170"/>
      <c r="AO699" s="1175"/>
      <c r="AP699" s="1175"/>
      <c r="AQ699" s="1170"/>
      <c r="AR699" s="1170">
        <f t="shared" si="1066"/>
        <v>0</v>
      </c>
      <c r="AS699" s="1170"/>
      <c r="AT699" s="1170"/>
      <c r="AU699" s="1174"/>
      <c r="AV699" s="1241"/>
      <c r="AW699" s="1169"/>
      <c r="AX699" s="1177"/>
      <c r="AY699" s="1177"/>
      <c r="AZ699" s="1169"/>
      <c r="BA699" s="1169">
        <f t="shared" si="1067"/>
        <v>0</v>
      </c>
      <c r="BB699" s="1169"/>
      <c r="BC699" s="1029"/>
      <c r="BD699" s="1027"/>
      <c r="BE699" s="1029"/>
      <c r="BF699" s="1029"/>
    </row>
    <row r="700" ht="18.75" customHeight="1">
      <c r="A700" s="999" t="str">
        <f t="shared" si="1057"/>
        <v xml:space="preserve">Судакова Е.С.</v>
      </c>
      <c r="B700" s="1178" t="s">
        <v>361</v>
      </c>
      <c r="C700" s="1179"/>
      <c r="D700" s="1179"/>
      <c r="E700" s="1164">
        <f t="shared" si="1043"/>
        <v>0</v>
      </c>
      <c r="F700" s="1164">
        <f t="shared" si="1058"/>
        <v>0</v>
      </c>
      <c r="G700" s="1165">
        <f t="shared" si="1059"/>
        <v>0</v>
      </c>
      <c r="H700" s="1266"/>
      <c r="I700" s="1167">
        <f t="shared" si="1045"/>
        <v>0</v>
      </c>
      <c r="J700" s="1167">
        <f t="shared" si="1060"/>
        <v>0</v>
      </c>
      <c r="K700" s="1168">
        <f t="shared" si="1061"/>
        <v>0</v>
      </c>
      <c r="L700" s="1128"/>
      <c r="M700" s="1169"/>
      <c r="N700" s="1177"/>
      <c r="O700" s="1169"/>
      <c r="P700" s="1169"/>
      <c r="Q700" s="1169">
        <f t="shared" si="1062"/>
        <v>0</v>
      </c>
      <c r="R700" s="1169"/>
      <c r="S700" s="1170"/>
      <c r="T700" s="1171"/>
      <c r="U700" s="1128"/>
      <c r="V700" s="1169"/>
      <c r="W700" s="1177"/>
      <c r="X700" s="1177"/>
      <c r="Y700" s="1169"/>
      <c r="Z700" s="1169">
        <f t="shared" si="1063"/>
        <v>0</v>
      </c>
      <c r="AA700" s="1169"/>
      <c r="AB700" s="1172">
        <f t="shared" si="1064"/>
        <v>0</v>
      </c>
      <c r="AC700" s="1171"/>
      <c r="AD700" s="1128"/>
      <c r="AE700" s="1169"/>
      <c r="AF700" s="1177"/>
      <c r="AG700" s="1177"/>
      <c r="AH700" s="1169"/>
      <c r="AI700" s="1169">
        <f t="shared" si="1065"/>
        <v>0</v>
      </c>
      <c r="AJ700" s="1169"/>
      <c r="AK700" s="1170"/>
      <c r="AL700" s="1171"/>
      <c r="AM700" s="1128"/>
      <c r="AN700" s="1170"/>
      <c r="AO700" s="1175"/>
      <c r="AP700" s="1175"/>
      <c r="AQ700" s="1170"/>
      <c r="AR700" s="1170">
        <f t="shared" si="1066"/>
        <v>0</v>
      </c>
      <c r="AS700" s="1170"/>
      <c r="AT700" s="1170"/>
      <c r="AU700" s="1174"/>
      <c r="AV700" s="1241"/>
      <c r="AW700" s="1169"/>
      <c r="AX700" s="1177"/>
      <c r="AY700" s="1177"/>
      <c r="AZ700" s="1169"/>
      <c r="BA700" s="1169">
        <f t="shared" si="1067"/>
        <v>0</v>
      </c>
      <c r="BB700" s="1169"/>
      <c r="BC700" s="1029"/>
      <c r="BD700" s="1027"/>
      <c r="BE700" s="1029"/>
      <c r="BF700" s="1029"/>
    </row>
    <row r="701">
      <c r="A701" s="999" t="str">
        <f t="shared" si="1057"/>
        <v xml:space="preserve">Осипова А.А.</v>
      </c>
      <c r="B701" s="1176" t="s">
        <v>185</v>
      </c>
      <c r="C701" s="1176"/>
      <c r="D701" s="1176"/>
      <c r="E701" s="1164">
        <f t="shared" si="1043"/>
        <v>0</v>
      </c>
      <c r="F701" s="1164">
        <f t="shared" si="1058"/>
        <v>0</v>
      </c>
      <c r="G701" s="1165">
        <f t="shared" si="1059"/>
        <v>0</v>
      </c>
      <c r="H701" s="1166"/>
      <c r="I701" s="1167">
        <f t="shared" si="1045"/>
        <v>0</v>
      </c>
      <c r="J701" s="1167">
        <f t="shared" si="1060"/>
        <v>0</v>
      </c>
      <c r="K701" s="1168">
        <f t="shared" si="1061"/>
        <v>0</v>
      </c>
      <c r="L701" s="1128"/>
      <c r="M701" s="1169"/>
      <c r="N701" s="1177"/>
      <c r="O701" s="1169"/>
      <c r="P701" s="1169"/>
      <c r="Q701" s="1169">
        <f t="shared" si="1062"/>
        <v>0</v>
      </c>
      <c r="R701" s="1169"/>
      <c r="S701" s="1170"/>
      <c r="T701" s="1171"/>
      <c r="U701" s="1128"/>
      <c r="V701" s="1169"/>
      <c r="W701" s="1177"/>
      <c r="X701" s="1177"/>
      <c r="Y701" s="1169"/>
      <c r="Z701" s="1169">
        <f t="shared" si="1063"/>
        <v>0</v>
      </c>
      <c r="AA701" s="1169"/>
      <c r="AB701" s="1172">
        <f t="shared" si="1064"/>
        <v>0</v>
      </c>
      <c r="AC701" s="1171"/>
      <c r="AD701" s="1128"/>
      <c r="AE701" s="1169"/>
      <c r="AF701" s="1177"/>
      <c r="AG701" s="1177"/>
      <c r="AH701" s="1169"/>
      <c r="AI701" s="1169">
        <f t="shared" si="1065"/>
        <v>0</v>
      </c>
      <c r="AJ701" s="1169"/>
      <c r="AK701" s="1170"/>
      <c r="AL701" s="1171"/>
      <c r="AM701" s="1128"/>
      <c r="AN701" s="1170"/>
      <c r="AO701" s="1175"/>
      <c r="AP701" s="1175"/>
      <c r="AQ701" s="1170"/>
      <c r="AR701" s="1170">
        <f t="shared" si="1066"/>
        <v>0</v>
      </c>
      <c r="AS701" s="1170"/>
      <c r="AT701" s="1170"/>
      <c r="AU701" s="1174"/>
      <c r="AV701" s="1241"/>
      <c r="AW701" s="1169"/>
      <c r="AX701" s="1177"/>
      <c r="AY701" s="1177"/>
      <c r="AZ701" s="1169"/>
      <c r="BA701" s="1169">
        <f t="shared" si="1067"/>
        <v>0</v>
      </c>
      <c r="BB701" s="1169"/>
      <c r="BC701" s="1029"/>
      <c r="BD701" s="1027"/>
      <c r="BE701" s="1029"/>
      <c r="BF701" s="1029"/>
    </row>
    <row r="702" s="1180" customFormat="1" ht="22.5">
      <c r="A702" s="999">
        <f t="shared" si="1057"/>
        <v>0</v>
      </c>
      <c r="B702" s="1182" t="s">
        <v>363</v>
      </c>
      <c r="C702" s="1182"/>
      <c r="D702" s="1182"/>
      <c r="E702" s="1183">
        <f t="shared" si="1043"/>
        <v>0</v>
      </c>
      <c r="F702" s="1183">
        <f t="shared" si="1058"/>
        <v>0</v>
      </c>
      <c r="G702" s="1184">
        <f>SUM(G694:G701)</f>
        <v>0</v>
      </c>
      <c r="H702" s="1185"/>
      <c r="I702" s="1186">
        <f t="shared" si="1045"/>
        <v>0</v>
      </c>
      <c r="J702" s="1186">
        <f t="shared" si="1060"/>
        <v>0</v>
      </c>
      <c r="K702" s="1187">
        <f>SUM(K694:K701)</f>
        <v>0</v>
      </c>
      <c r="L702" s="1197"/>
      <c r="M702" s="1096">
        <f t="shared" ref="M702:R702" si="1068">SUM(M694:M701)</f>
        <v>0</v>
      </c>
      <c r="N702" s="1096">
        <f t="shared" si="1068"/>
        <v>0</v>
      </c>
      <c r="O702" s="1096">
        <f t="shared" si="1068"/>
        <v>0</v>
      </c>
      <c r="P702" s="1096">
        <f t="shared" si="1068"/>
        <v>0</v>
      </c>
      <c r="Q702" s="1096">
        <f t="shared" si="1068"/>
        <v>0</v>
      </c>
      <c r="R702" s="1096">
        <f t="shared" si="1068"/>
        <v>0</v>
      </c>
      <c r="S702" s="1190"/>
      <c r="T702" s="1189"/>
      <c r="U702" s="1128"/>
      <c r="V702" s="1096">
        <f t="shared" ref="V702:AA702" si="1069">SUM(V694:V701)</f>
        <v>0</v>
      </c>
      <c r="W702" s="1096">
        <f t="shared" si="1069"/>
        <v>0</v>
      </c>
      <c r="X702" s="1096">
        <f t="shared" si="1069"/>
        <v>0</v>
      </c>
      <c r="Y702" s="1096">
        <f t="shared" si="1069"/>
        <v>0</v>
      </c>
      <c r="Z702" s="1096">
        <f t="shared" si="1069"/>
        <v>0</v>
      </c>
      <c r="AA702" s="1096">
        <f t="shared" si="1069"/>
        <v>0</v>
      </c>
      <c r="AB702" s="1172">
        <f t="shared" si="1064"/>
        <v>0</v>
      </c>
      <c r="AC702" s="1189"/>
      <c r="AD702" s="1125"/>
      <c r="AE702" s="1096">
        <f t="shared" ref="AE702:AJ702" si="1070">SUM(AE694:AE701)</f>
        <v>0</v>
      </c>
      <c r="AF702" s="1096">
        <f t="shared" si="1070"/>
        <v>0</v>
      </c>
      <c r="AG702" s="1096">
        <f t="shared" si="1070"/>
        <v>0</v>
      </c>
      <c r="AH702" s="1096">
        <f t="shared" si="1070"/>
        <v>0</v>
      </c>
      <c r="AI702" s="1096">
        <f t="shared" si="1070"/>
        <v>0</v>
      </c>
      <c r="AJ702" s="1096">
        <f t="shared" si="1070"/>
        <v>0</v>
      </c>
      <c r="AK702" s="1190"/>
      <c r="AL702" s="1189"/>
      <c r="AM702" s="1125"/>
      <c r="AN702" s="1190">
        <f t="shared" ref="AN702:AS702" si="1071">SUM(AN694:AN701)</f>
        <v>0</v>
      </c>
      <c r="AO702" s="1190">
        <f t="shared" si="1071"/>
        <v>0</v>
      </c>
      <c r="AP702" s="1190">
        <f t="shared" si="1071"/>
        <v>0</v>
      </c>
      <c r="AQ702" s="1190">
        <f t="shared" si="1071"/>
        <v>0</v>
      </c>
      <c r="AR702" s="1190">
        <f t="shared" si="1071"/>
        <v>0</v>
      </c>
      <c r="AS702" s="1190">
        <f t="shared" si="1071"/>
        <v>0</v>
      </c>
      <c r="AT702" s="1190"/>
      <c r="AU702" s="1191"/>
      <c r="AV702" s="1245"/>
      <c r="AW702" s="1096">
        <f t="shared" ref="AW702:BB702" si="1072">SUM(AW694:AW701)</f>
        <v>0</v>
      </c>
      <c r="AX702" s="1096">
        <f t="shared" si="1072"/>
        <v>0</v>
      </c>
      <c r="AY702" s="1096">
        <f t="shared" si="1072"/>
        <v>0</v>
      </c>
      <c r="AZ702" s="1096">
        <f t="shared" si="1072"/>
        <v>0</v>
      </c>
      <c r="BA702" s="1096">
        <f t="shared" si="1072"/>
        <v>0</v>
      </c>
      <c r="BB702" s="1096">
        <f t="shared" si="1072"/>
        <v>0</v>
      </c>
      <c r="BC702" s="1051"/>
      <c r="BD702" s="1052"/>
      <c r="BE702" s="1051"/>
      <c r="BF702" s="1051"/>
      <c r="BG702" s="1106"/>
      <c r="BH702" s="1106"/>
      <c r="BI702" s="1106"/>
      <c r="BJ702" s="1106"/>
      <c r="BK702" s="1106"/>
      <c r="BL702" s="1106"/>
      <c r="BM702" s="1106"/>
    </row>
    <row r="703">
      <c r="A703" s="999">
        <f t="shared" si="1057"/>
        <v>0</v>
      </c>
      <c r="B703" s="1176" t="s">
        <v>364</v>
      </c>
      <c r="C703" s="1176"/>
      <c r="D703" s="1176"/>
      <c r="E703" s="1164">
        <f t="shared" si="1043"/>
        <v>0</v>
      </c>
      <c r="F703" s="1164">
        <f t="shared" si="1058"/>
        <v>0</v>
      </c>
      <c r="G703" s="1165">
        <f t="shared" ref="G703:G715" si="1073">E703+F703</f>
        <v>0</v>
      </c>
      <c r="H703" s="1166"/>
      <c r="I703" s="1167">
        <f t="shared" si="1045"/>
        <v>0</v>
      </c>
      <c r="J703" s="1167">
        <f t="shared" si="1060"/>
        <v>0</v>
      </c>
      <c r="K703" s="1168">
        <f t="shared" ref="K703:K715" si="1074">I703+J703</f>
        <v>0</v>
      </c>
      <c r="L703" s="1128"/>
      <c r="M703" s="1169"/>
      <c r="N703" s="1177"/>
      <c r="O703" s="1169"/>
      <c r="P703" s="1169"/>
      <c r="Q703" s="1169">
        <f t="shared" ref="Q703:Q715" si="1075">SUM(M703:P703)</f>
        <v>0</v>
      </c>
      <c r="R703" s="1169"/>
      <c r="S703" s="1170"/>
      <c r="T703" s="1171"/>
      <c r="U703" s="1128"/>
      <c r="V703" s="1169"/>
      <c r="W703" s="1177"/>
      <c r="X703" s="1177"/>
      <c r="Y703" s="1169"/>
      <c r="Z703" s="1169">
        <f t="shared" ref="Z703:Z715" si="1076">SUM(V703:Y703)</f>
        <v>0</v>
      </c>
      <c r="AA703" s="1169"/>
      <c r="AB703" s="1172">
        <f t="shared" si="1064"/>
        <v>0</v>
      </c>
      <c r="AC703" s="1171"/>
      <c r="AD703" s="1128"/>
      <c r="AE703" s="1169"/>
      <c r="AF703" s="1177"/>
      <c r="AG703" s="1177"/>
      <c r="AH703" s="1169"/>
      <c r="AI703" s="1169">
        <f t="shared" ref="AI703:AI715" si="1077">SUM(AE703:AH703)</f>
        <v>0</v>
      </c>
      <c r="AJ703" s="1169"/>
      <c r="AK703" s="1170"/>
      <c r="AL703" s="1171"/>
      <c r="AM703" s="1128"/>
      <c r="AN703" s="1170"/>
      <c r="AO703" s="1175"/>
      <c r="AP703" s="1175"/>
      <c r="AQ703" s="1170"/>
      <c r="AR703" s="1170">
        <f t="shared" ref="AR703:AR715" si="1078">SUM(AN703:AQ703)</f>
        <v>0</v>
      </c>
      <c r="AS703" s="1170"/>
      <c r="AT703" s="1170"/>
      <c r="AU703" s="1174"/>
      <c r="AV703" s="1241"/>
      <c r="AW703" s="1169"/>
      <c r="AX703" s="1177"/>
      <c r="AY703" s="1177"/>
      <c r="AZ703" s="1169"/>
      <c r="BA703" s="1169">
        <f t="shared" ref="BA703:BA715" si="1079">SUM(AW703:AZ703)</f>
        <v>0</v>
      </c>
      <c r="BB703" s="1169"/>
      <c r="BC703" s="1029"/>
      <c r="BD703" s="1027"/>
      <c r="BE703" s="1029"/>
      <c r="BF703" s="1029"/>
    </row>
    <row r="704">
      <c r="A704" s="999" t="str">
        <f t="shared" si="1057"/>
        <v xml:space="preserve">Сметанина О.В.</v>
      </c>
      <c r="B704" s="1176" t="s">
        <v>195</v>
      </c>
      <c r="C704" s="1176"/>
      <c r="D704" s="1176"/>
      <c r="E704" s="1164">
        <f t="shared" si="1043"/>
        <v>0</v>
      </c>
      <c r="F704" s="1164">
        <f t="shared" si="1058"/>
        <v>0</v>
      </c>
      <c r="G704" s="1165">
        <f t="shared" si="1073"/>
        <v>0</v>
      </c>
      <c r="H704" s="1166"/>
      <c r="I704" s="1167">
        <f t="shared" si="1045"/>
        <v>0</v>
      </c>
      <c r="J704" s="1167">
        <f t="shared" si="1060"/>
        <v>0</v>
      </c>
      <c r="K704" s="1168">
        <f t="shared" si="1074"/>
        <v>0</v>
      </c>
      <c r="L704" s="1128"/>
      <c r="M704" s="1169"/>
      <c r="N704" s="1177"/>
      <c r="O704" s="1169"/>
      <c r="P704" s="1169"/>
      <c r="Q704" s="1169">
        <f t="shared" si="1075"/>
        <v>0</v>
      </c>
      <c r="R704" s="1169"/>
      <c r="S704" s="1170"/>
      <c r="T704" s="1171"/>
      <c r="U704" s="1128"/>
      <c r="V704" s="1169"/>
      <c r="W704" s="1177"/>
      <c r="X704" s="1177"/>
      <c r="Y704" s="1169"/>
      <c r="Z704" s="1169">
        <f t="shared" si="1076"/>
        <v>0</v>
      </c>
      <c r="AA704" s="1169"/>
      <c r="AB704" s="1172">
        <f t="shared" si="1064"/>
        <v>0</v>
      </c>
      <c r="AC704" s="1171"/>
      <c r="AD704" s="1128"/>
      <c r="AE704" s="1169"/>
      <c r="AF704" s="1177"/>
      <c r="AG704" s="1177"/>
      <c r="AH704" s="1169"/>
      <c r="AI704" s="1169">
        <f t="shared" si="1077"/>
        <v>0</v>
      </c>
      <c r="AJ704" s="1169"/>
      <c r="AK704" s="1170"/>
      <c r="AL704" s="1171"/>
      <c r="AM704" s="1128"/>
      <c r="AN704" s="1170"/>
      <c r="AO704" s="1175"/>
      <c r="AP704" s="1175"/>
      <c r="AQ704" s="1170"/>
      <c r="AR704" s="1170">
        <f t="shared" si="1078"/>
        <v>0</v>
      </c>
      <c r="AS704" s="1170"/>
      <c r="AT704" s="1170"/>
      <c r="AU704" s="1174"/>
      <c r="AV704" s="1241"/>
      <c r="AW704" s="1169"/>
      <c r="AX704" s="1177"/>
      <c r="AY704" s="1177"/>
      <c r="AZ704" s="1169"/>
      <c r="BA704" s="1169">
        <f t="shared" si="1079"/>
        <v>0</v>
      </c>
      <c r="BB704" s="1169"/>
      <c r="BC704" s="1029"/>
      <c r="BD704" s="1027"/>
      <c r="BE704" s="1029"/>
      <c r="BF704" s="1029"/>
    </row>
    <row r="705">
      <c r="A705" s="999" t="str">
        <f t="shared" si="1057"/>
        <v xml:space="preserve">Козенко С.С.</v>
      </c>
      <c r="B705" s="1176" t="s">
        <v>196</v>
      </c>
      <c r="C705" s="1176"/>
      <c r="D705" s="1176"/>
      <c r="E705" s="1164">
        <f t="shared" si="1043"/>
        <v>0</v>
      </c>
      <c r="F705" s="1164">
        <f t="shared" si="1058"/>
        <v>0</v>
      </c>
      <c r="G705" s="1165">
        <f t="shared" si="1073"/>
        <v>0</v>
      </c>
      <c r="H705" s="1166"/>
      <c r="I705" s="1167">
        <f t="shared" si="1045"/>
        <v>0</v>
      </c>
      <c r="J705" s="1167">
        <f t="shared" si="1060"/>
        <v>0</v>
      </c>
      <c r="K705" s="1168">
        <f t="shared" si="1074"/>
        <v>0</v>
      </c>
      <c r="L705" s="1128"/>
      <c r="M705" s="1169"/>
      <c r="N705" s="1177"/>
      <c r="O705" s="1169"/>
      <c r="P705" s="1169"/>
      <c r="Q705" s="1169">
        <f t="shared" si="1075"/>
        <v>0</v>
      </c>
      <c r="R705" s="1169"/>
      <c r="S705" s="1170"/>
      <c r="T705" s="1171"/>
      <c r="U705" s="1128"/>
      <c r="V705" s="1169"/>
      <c r="W705" s="1177"/>
      <c r="X705" s="1177"/>
      <c r="Y705" s="1169"/>
      <c r="Z705" s="1169">
        <f t="shared" si="1076"/>
        <v>0</v>
      </c>
      <c r="AA705" s="1169"/>
      <c r="AB705" s="1172">
        <f t="shared" si="1064"/>
        <v>0</v>
      </c>
      <c r="AC705" s="1171"/>
      <c r="AD705" s="1128"/>
      <c r="AE705" s="1169"/>
      <c r="AF705" s="1177"/>
      <c r="AG705" s="1177"/>
      <c r="AH705" s="1169"/>
      <c r="AI705" s="1169">
        <f t="shared" si="1077"/>
        <v>0</v>
      </c>
      <c r="AJ705" s="1169"/>
      <c r="AK705" s="1170"/>
      <c r="AL705" s="1171"/>
      <c r="AM705" s="1128"/>
      <c r="AN705" s="1170"/>
      <c r="AO705" s="1175"/>
      <c r="AP705" s="1175"/>
      <c r="AQ705" s="1170"/>
      <c r="AR705" s="1170">
        <f t="shared" si="1078"/>
        <v>0</v>
      </c>
      <c r="AS705" s="1170"/>
      <c r="AT705" s="1170"/>
      <c r="AU705" s="1174"/>
      <c r="AV705" s="1241"/>
      <c r="AW705" s="1169"/>
      <c r="AX705" s="1177"/>
      <c r="AY705" s="1177"/>
      <c r="AZ705" s="1169"/>
      <c r="BA705" s="1169">
        <f t="shared" si="1079"/>
        <v>0</v>
      </c>
      <c r="BB705" s="1169"/>
      <c r="BC705" s="1029"/>
      <c r="BD705" s="1027"/>
      <c r="BE705" s="1029"/>
      <c r="BF705" s="1029"/>
    </row>
    <row r="706">
      <c r="A706" s="999">
        <f t="shared" si="1057"/>
        <v>0</v>
      </c>
      <c r="B706" s="1193" t="s">
        <v>367</v>
      </c>
      <c r="C706" s="1193"/>
      <c r="D706" s="1193"/>
      <c r="E706" s="1164">
        <f t="shared" si="1043"/>
        <v>0</v>
      </c>
      <c r="F706" s="1164">
        <f t="shared" si="1058"/>
        <v>0</v>
      </c>
      <c r="G706" s="1165">
        <f t="shared" si="1073"/>
        <v>0</v>
      </c>
      <c r="H706" s="1166"/>
      <c r="I706" s="1167">
        <f t="shared" si="1045"/>
        <v>0</v>
      </c>
      <c r="J706" s="1167">
        <f t="shared" si="1060"/>
        <v>0</v>
      </c>
      <c r="K706" s="1168">
        <f t="shared" si="1074"/>
        <v>0</v>
      </c>
      <c r="L706" s="1128"/>
      <c r="M706" s="1169"/>
      <c r="N706" s="1177"/>
      <c r="O706" s="1169"/>
      <c r="P706" s="1169"/>
      <c r="Q706" s="1169">
        <f t="shared" si="1075"/>
        <v>0</v>
      </c>
      <c r="R706" s="1169"/>
      <c r="S706" s="1170"/>
      <c r="T706" s="1171"/>
      <c r="U706" s="1128"/>
      <c r="V706" s="1169"/>
      <c r="W706" s="1177"/>
      <c r="X706" s="1177"/>
      <c r="Y706" s="1169"/>
      <c r="Z706" s="1169">
        <f t="shared" si="1076"/>
        <v>0</v>
      </c>
      <c r="AA706" s="1169"/>
      <c r="AB706" s="1172">
        <f t="shared" si="1064"/>
        <v>0</v>
      </c>
      <c r="AC706" s="1171"/>
      <c r="AD706" s="1128"/>
      <c r="AE706" s="1169"/>
      <c r="AF706" s="1177"/>
      <c r="AG706" s="1177"/>
      <c r="AH706" s="1169"/>
      <c r="AI706" s="1169">
        <f t="shared" si="1077"/>
        <v>0</v>
      </c>
      <c r="AJ706" s="1169"/>
      <c r="AK706" s="1170"/>
      <c r="AL706" s="1171"/>
      <c r="AM706" s="1128"/>
      <c r="AN706" s="1170"/>
      <c r="AO706" s="1175"/>
      <c r="AP706" s="1175"/>
      <c r="AQ706" s="1170"/>
      <c r="AR706" s="1170">
        <f t="shared" si="1078"/>
        <v>0</v>
      </c>
      <c r="AS706" s="1170"/>
      <c r="AT706" s="1170"/>
      <c r="AU706" s="1174"/>
      <c r="AV706" s="1241"/>
      <c r="AW706" s="1169"/>
      <c r="AX706" s="1177"/>
      <c r="AY706" s="1177"/>
      <c r="AZ706" s="1169"/>
      <c r="BA706" s="1169">
        <f t="shared" si="1079"/>
        <v>0</v>
      </c>
      <c r="BB706" s="1169"/>
      <c r="BC706" s="1029"/>
      <c r="BD706" s="1027"/>
      <c r="BE706" s="1029"/>
      <c r="BF706" s="1029"/>
    </row>
    <row r="707">
      <c r="A707" s="999" t="str">
        <f t="shared" si="1057"/>
        <v xml:space="preserve">Разумец Е.Г.</v>
      </c>
      <c r="B707" s="1176" t="s">
        <v>201</v>
      </c>
      <c r="C707" s="1176"/>
      <c r="D707" s="1176"/>
      <c r="E707" s="1164">
        <f t="shared" si="1043"/>
        <v>0</v>
      </c>
      <c r="F707" s="1164">
        <f t="shared" si="1058"/>
        <v>0</v>
      </c>
      <c r="G707" s="1165">
        <f t="shared" si="1073"/>
        <v>0</v>
      </c>
      <c r="H707" s="1166"/>
      <c r="I707" s="1167">
        <f t="shared" si="1045"/>
        <v>0</v>
      </c>
      <c r="J707" s="1167">
        <f t="shared" si="1060"/>
        <v>0</v>
      </c>
      <c r="K707" s="1168">
        <f t="shared" si="1074"/>
        <v>0</v>
      </c>
      <c r="L707" s="1128"/>
      <c r="M707" s="1169"/>
      <c r="N707" s="1177"/>
      <c r="O707" s="1169"/>
      <c r="P707" s="1169"/>
      <c r="Q707" s="1169">
        <f t="shared" si="1075"/>
        <v>0</v>
      </c>
      <c r="R707" s="1169"/>
      <c r="S707" s="1170"/>
      <c r="T707" s="1171"/>
      <c r="U707" s="1128"/>
      <c r="V707" s="1169"/>
      <c r="W707" s="1177"/>
      <c r="X707" s="1177"/>
      <c r="Y707" s="1169"/>
      <c r="Z707" s="1169">
        <f t="shared" si="1076"/>
        <v>0</v>
      </c>
      <c r="AA707" s="1169"/>
      <c r="AB707" s="1172">
        <f t="shared" si="1064"/>
        <v>0</v>
      </c>
      <c r="AC707" s="1171"/>
      <c r="AD707" s="1128"/>
      <c r="AE707" s="1169"/>
      <c r="AF707" s="1177"/>
      <c r="AG707" s="1177"/>
      <c r="AH707" s="1169"/>
      <c r="AI707" s="1169">
        <f t="shared" si="1077"/>
        <v>0</v>
      </c>
      <c r="AJ707" s="1169"/>
      <c r="AK707" s="1170"/>
      <c r="AL707" s="1171"/>
      <c r="AM707" s="1128"/>
      <c r="AN707" s="1170"/>
      <c r="AO707" s="1175"/>
      <c r="AP707" s="1175"/>
      <c r="AQ707" s="1170"/>
      <c r="AR707" s="1170">
        <f t="shared" si="1078"/>
        <v>0</v>
      </c>
      <c r="AS707" s="1170"/>
      <c r="AT707" s="1170"/>
      <c r="AU707" s="1174"/>
      <c r="AV707" s="1241"/>
      <c r="AW707" s="1169"/>
      <c r="AX707" s="1177"/>
      <c r="AY707" s="1177"/>
      <c r="AZ707" s="1169"/>
      <c r="BA707" s="1169">
        <f t="shared" si="1079"/>
        <v>0</v>
      </c>
      <c r="BB707" s="1169"/>
      <c r="BC707" s="1029"/>
      <c r="BD707" s="1027"/>
      <c r="BE707" s="1029"/>
      <c r="BF707" s="1029"/>
    </row>
    <row r="708">
      <c r="A708" s="999" t="str">
        <f t="shared" si="1057"/>
        <v xml:space="preserve">Шарова Т.М.</v>
      </c>
      <c r="B708" s="1176" t="s">
        <v>203</v>
      </c>
      <c r="C708" s="1176"/>
      <c r="D708" s="1176"/>
      <c r="E708" s="1164">
        <f t="shared" si="1043"/>
        <v>0</v>
      </c>
      <c r="F708" s="1164">
        <f t="shared" si="1058"/>
        <v>0</v>
      </c>
      <c r="G708" s="1165">
        <f t="shared" si="1073"/>
        <v>0</v>
      </c>
      <c r="H708" s="1166"/>
      <c r="I708" s="1167">
        <f t="shared" si="1045"/>
        <v>0</v>
      </c>
      <c r="J708" s="1167">
        <f t="shared" si="1060"/>
        <v>0</v>
      </c>
      <c r="K708" s="1168">
        <f t="shared" si="1074"/>
        <v>0</v>
      </c>
      <c r="L708" s="1128"/>
      <c r="M708" s="1169"/>
      <c r="N708" s="1177"/>
      <c r="O708" s="1169"/>
      <c r="P708" s="1169"/>
      <c r="Q708" s="1169">
        <f t="shared" si="1075"/>
        <v>0</v>
      </c>
      <c r="R708" s="1169"/>
      <c r="S708" s="1170"/>
      <c r="T708" s="1171"/>
      <c r="U708" s="1128"/>
      <c r="V708" s="1169"/>
      <c r="W708" s="1177"/>
      <c r="X708" s="1177"/>
      <c r="Y708" s="1169"/>
      <c r="Z708" s="1169">
        <f t="shared" si="1076"/>
        <v>0</v>
      </c>
      <c r="AA708" s="1169"/>
      <c r="AB708" s="1172">
        <f t="shared" si="1064"/>
        <v>0</v>
      </c>
      <c r="AC708" s="1171"/>
      <c r="AD708" s="1128"/>
      <c r="AE708" s="1169"/>
      <c r="AF708" s="1177"/>
      <c r="AG708" s="1177"/>
      <c r="AH708" s="1169"/>
      <c r="AI708" s="1169">
        <f t="shared" si="1077"/>
        <v>0</v>
      </c>
      <c r="AJ708" s="1169"/>
      <c r="AK708" s="1170"/>
      <c r="AL708" s="1171"/>
      <c r="AM708" s="1128"/>
      <c r="AN708" s="1170"/>
      <c r="AO708" s="1175"/>
      <c r="AP708" s="1175"/>
      <c r="AQ708" s="1170"/>
      <c r="AR708" s="1170">
        <f t="shared" si="1078"/>
        <v>0</v>
      </c>
      <c r="AS708" s="1170"/>
      <c r="AT708" s="1170"/>
      <c r="AU708" s="1174"/>
      <c r="AV708" s="1241"/>
      <c r="AW708" s="1169"/>
      <c r="AX708" s="1177"/>
      <c r="AY708" s="1177"/>
      <c r="AZ708" s="1169"/>
      <c r="BA708" s="1169">
        <f t="shared" si="1079"/>
        <v>0</v>
      </c>
      <c r="BB708" s="1169"/>
      <c r="BC708" s="1029"/>
      <c r="BD708" s="1027"/>
      <c r="BE708" s="1029"/>
      <c r="BF708" s="1029"/>
    </row>
    <row r="709" ht="20.25" customHeight="1">
      <c r="A709" s="999" t="str">
        <f t="shared" si="1057"/>
        <v xml:space="preserve">Крошка С.С.</v>
      </c>
      <c r="B709" s="1176" t="s">
        <v>204</v>
      </c>
      <c r="C709" s="1194"/>
      <c r="D709" s="1194"/>
      <c r="E709" s="1164">
        <f t="shared" si="1043"/>
        <v>0</v>
      </c>
      <c r="F709" s="1164">
        <f t="shared" si="1058"/>
        <v>0</v>
      </c>
      <c r="G709" s="1165">
        <f t="shared" si="1073"/>
        <v>0</v>
      </c>
      <c r="H709" s="1166"/>
      <c r="I709" s="1167">
        <f t="shared" si="1045"/>
        <v>0</v>
      </c>
      <c r="J709" s="1167">
        <f t="shared" si="1060"/>
        <v>0</v>
      </c>
      <c r="K709" s="1168">
        <f t="shared" si="1074"/>
        <v>0</v>
      </c>
      <c r="L709" s="1128"/>
      <c r="M709" s="1169"/>
      <c r="N709" s="1177"/>
      <c r="O709" s="1169"/>
      <c r="P709" s="1169"/>
      <c r="Q709" s="1169">
        <f t="shared" si="1075"/>
        <v>0</v>
      </c>
      <c r="R709" s="1169"/>
      <c r="S709" s="1170"/>
      <c r="T709" s="1171"/>
      <c r="U709" s="1128"/>
      <c r="V709" s="1169"/>
      <c r="W709" s="1177"/>
      <c r="X709" s="1177"/>
      <c r="Y709" s="1169"/>
      <c r="Z709" s="1169">
        <f t="shared" si="1076"/>
        <v>0</v>
      </c>
      <c r="AA709" s="1169"/>
      <c r="AB709" s="1172">
        <f t="shared" si="1064"/>
        <v>0</v>
      </c>
      <c r="AC709" s="1171"/>
      <c r="AD709" s="1128"/>
      <c r="AE709" s="1169"/>
      <c r="AF709" s="1177"/>
      <c r="AG709" s="1177"/>
      <c r="AH709" s="1169"/>
      <c r="AI709" s="1169">
        <f t="shared" si="1077"/>
        <v>0</v>
      </c>
      <c r="AJ709" s="1169"/>
      <c r="AK709" s="1170"/>
      <c r="AL709" s="1171"/>
      <c r="AM709" s="1128"/>
      <c r="AN709" s="1170"/>
      <c r="AO709" s="1175"/>
      <c r="AP709" s="1175"/>
      <c r="AQ709" s="1170"/>
      <c r="AR709" s="1170">
        <f t="shared" si="1078"/>
        <v>0</v>
      </c>
      <c r="AS709" s="1170"/>
      <c r="AT709" s="1170"/>
      <c r="AU709" s="1174"/>
      <c r="AV709" s="1241"/>
      <c r="AW709" s="1169"/>
      <c r="AX709" s="1177"/>
      <c r="AY709" s="1177"/>
      <c r="AZ709" s="1169"/>
      <c r="BA709" s="1169">
        <f t="shared" si="1079"/>
        <v>0</v>
      </c>
      <c r="BB709" s="1169"/>
      <c r="BC709" s="1029"/>
      <c r="BD709" s="1027"/>
      <c r="BE709" s="1029"/>
      <c r="BF709" s="1029"/>
    </row>
    <row r="710">
      <c r="A710" s="999" t="str">
        <f t="shared" si="1057"/>
        <v xml:space="preserve">Козлитина Н.В.</v>
      </c>
      <c r="B710" s="1176" t="s">
        <v>205</v>
      </c>
      <c r="C710" s="1176"/>
      <c r="D710" s="1176"/>
      <c r="E710" s="1164">
        <f t="shared" si="1043"/>
        <v>0</v>
      </c>
      <c r="F710" s="1164">
        <f t="shared" si="1058"/>
        <v>0</v>
      </c>
      <c r="G710" s="1165">
        <f t="shared" si="1073"/>
        <v>0</v>
      </c>
      <c r="H710" s="1166"/>
      <c r="I710" s="1167">
        <f t="shared" si="1045"/>
        <v>0</v>
      </c>
      <c r="J710" s="1167">
        <f t="shared" si="1060"/>
        <v>0</v>
      </c>
      <c r="K710" s="1168">
        <f t="shared" si="1074"/>
        <v>0</v>
      </c>
      <c r="L710" s="1128"/>
      <c r="M710" s="1169"/>
      <c r="N710" s="1177"/>
      <c r="O710" s="1169"/>
      <c r="P710" s="1169"/>
      <c r="Q710" s="1169">
        <f t="shared" si="1075"/>
        <v>0</v>
      </c>
      <c r="R710" s="1169"/>
      <c r="S710" s="1170"/>
      <c r="T710" s="1171"/>
      <c r="U710" s="1128"/>
      <c r="V710" s="1169"/>
      <c r="W710" s="1177"/>
      <c r="X710" s="1177"/>
      <c r="Y710" s="1169"/>
      <c r="Z710" s="1169">
        <f t="shared" si="1076"/>
        <v>0</v>
      </c>
      <c r="AA710" s="1169"/>
      <c r="AB710" s="1172">
        <f t="shared" si="1064"/>
        <v>0</v>
      </c>
      <c r="AC710" s="1171"/>
      <c r="AD710" s="1128"/>
      <c r="AE710" s="1169"/>
      <c r="AF710" s="1177"/>
      <c r="AG710" s="1177"/>
      <c r="AH710" s="1169"/>
      <c r="AI710" s="1169">
        <f t="shared" si="1077"/>
        <v>0</v>
      </c>
      <c r="AJ710" s="1169"/>
      <c r="AK710" s="1170"/>
      <c r="AL710" s="1171"/>
      <c r="AM710" s="1128"/>
      <c r="AN710" s="1170"/>
      <c r="AO710" s="1175"/>
      <c r="AP710" s="1175"/>
      <c r="AQ710" s="1170"/>
      <c r="AR710" s="1170">
        <f t="shared" si="1078"/>
        <v>0</v>
      </c>
      <c r="AS710" s="1170"/>
      <c r="AT710" s="1170"/>
      <c r="AU710" s="1174"/>
      <c r="AV710" s="1241"/>
      <c r="AW710" s="1169"/>
      <c r="AX710" s="1177"/>
      <c r="AY710" s="1177"/>
      <c r="AZ710" s="1169"/>
      <c r="BA710" s="1169">
        <f t="shared" si="1079"/>
        <v>0</v>
      </c>
      <c r="BB710" s="1169"/>
      <c r="BC710" s="1029"/>
      <c r="BD710" s="1027"/>
      <c r="BE710" s="1029"/>
      <c r="BF710" s="1029"/>
    </row>
    <row r="711">
      <c r="A711" s="999" t="str">
        <f t="shared" si="1057"/>
        <v xml:space="preserve">Баженова И.В.</v>
      </c>
      <c r="B711" s="1176" t="s">
        <v>206</v>
      </c>
      <c r="C711" s="1176"/>
      <c r="D711" s="1176"/>
      <c r="E711" s="1164">
        <f t="shared" si="1043"/>
        <v>0</v>
      </c>
      <c r="F711" s="1164">
        <f t="shared" si="1058"/>
        <v>0</v>
      </c>
      <c r="G711" s="1165">
        <f t="shared" si="1073"/>
        <v>0</v>
      </c>
      <c r="H711" s="1166"/>
      <c r="I711" s="1167">
        <f t="shared" si="1045"/>
        <v>0</v>
      </c>
      <c r="J711" s="1167">
        <f t="shared" si="1060"/>
        <v>0</v>
      </c>
      <c r="K711" s="1168">
        <f t="shared" si="1074"/>
        <v>0</v>
      </c>
      <c r="L711" s="1128"/>
      <c r="M711" s="1169"/>
      <c r="N711" s="1177"/>
      <c r="O711" s="1169"/>
      <c r="P711" s="1169"/>
      <c r="Q711" s="1169">
        <f t="shared" si="1075"/>
        <v>0</v>
      </c>
      <c r="R711" s="1169"/>
      <c r="S711" s="1170"/>
      <c r="T711" s="1171"/>
      <c r="U711" s="1128"/>
      <c r="V711" s="1169"/>
      <c r="W711" s="1177"/>
      <c r="X711" s="1177"/>
      <c r="Y711" s="1169"/>
      <c r="Z711" s="1169">
        <f t="shared" si="1076"/>
        <v>0</v>
      </c>
      <c r="AA711" s="1169"/>
      <c r="AB711" s="1172">
        <f t="shared" si="1064"/>
        <v>0</v>
      </c>
      <c r="AC711" s="1171"/>
      <c r="AD711" s="1128"/>
      <c r="AE711" s="1169"/>
      <c r="AF711" s="1177"/>
      <c r="AG711" s="1177"/>
      <c r="AH711" s="1169"/>
      <c r="AI711" s="1169">
        <f t="shared" si="1077"/>
        <v>0</v>
      </c>
      <c r="AJ711" s="1169"/>
      <c r="AK711" s="1170"/>
      <c r="AL711" s="1171"/>
      <c r="AM711" s="1128"/>
      <c r="AN711" s="1170"/>
      <c r="AO711" s="1175"/>
      <c r="AP711" s="1175"/>
      <c r="AQ711" s="1170"/>
      <c r="AR711" s="1170">
        <f t="shared" si="1078"/>
        <v>0</v>
      </c>
      <c r="AS711" s="1170"/>
      <c r="AT711" s="1170"/>
      <c r="AU711" s="1174"/>
      <c r="AV711" s="1241"/>
      <c r="AW711" s="1169"/>
      <c r="AX711" s="1177"/>
      <c r="AY711" s="1177"/>
      <c r="AZ711" s="1169"/>
      <c r="BA711" s="1169">
        <f t="shared" si="1079"/>
        <v>0</v>
      </c>
      <c r="BB711" s="1169"/>
      <c r="BC711" s="1029"/>
      <c r="BD711" s="1027"/>
      <c r="BE711" s="1029"/>
      <c r="BF711" s="1029"/>
    </row>
    <row r="712" ht="18" customHeight="1">
      <c r="A712" s="999" t="str">
        <f t="shared" si="1057"/>
        <v xml:space="preserve">Герингер О.А.</v>
      </c>
      <c r="B712" s="1176" t="s">
        <v>207</v>
      </c>
      <c r="C712" s="1194"/>
      <c r="D712" s="1194"/>
      <c r="E712" s="1164">
        <f t="shared" si="1043"/>
        <v>0</v>
      </c>
      <c r="F712" s="1164">
        <f t="shared" si="1058"/>
        <v>0</v>
      </c>
      <c r="G712" s="1165">
        <f t="shared" si="1073"/>
        <v>0</v>
      </c>
      <c r="H712" s="1166"/>
      <c r="I712" s="1167">
        <f t="shared" si="1045"/>
        <v>0</v>
      </c>
      <c r="J712" s="1167">
        <f t="shared" si="1060"/>
        <v>0</v>
      </c>
      <c r="K712" s="1168">
        <f t="shared" si="1074"/>
        <v>0</v>
      </c>
      <c r="L712" s="1128"/>
      <c r="M712" s="1169"/>
      <c r="N712" s="1177"/>
      <c r="O712" s="1169"/>
      <c r="P712" s="1169"/>
      <c r="Q712" s="1169">
        <f t="shared" si="1075"/>
        <v>0</v>
      </c>
      <c r="R712" s="1169"/>
      <c r="S712" s="1170"/>
      <c r="T712" s="1171"/>
      <c r="U712" s="1128"/>
      <c r="V712" s="1169"/>
      <c r="W712" s="1177"/>
      <c r="X712" s="1177"/>
      <c r="Y712" s="1169"/>
      <c r="Z712" s="1169">
        <f t="shared" si="1076"/>
        <v>0</v>
      </c>
      <c r="AA712" s="1169"/>
      <c r="AB712" s="1172">
        <f t="shared" si="1064"/>
        <v>0</v>
      </c>
      <c r="AC712" s="1171"/>
      <c r="AD712" s="1128"/>
      <c r="AE712" s="1169"/>
      <c r="AF712" s="1177"/>
      <c r="AG712" s="1177"/>
      <c r="AH712" s="1169"/>
      <c r="AI712" s="1169">
        <f t="shared" si="1077"/>
        <v>0</v>
      </c>
      <c r="AJ712" s="1169"/>
      <c r="AK712" s="1170"/>
      <c r="AL712" s="1171"/>
      <c r="AM712" s="1128"/>
      <c r="AN712" s="1170"/>
      <c r="AO712" s="1175"/>
      <c r="AP712" s="1175"/>
      <c r="AQ712" s="1170"/>
      <c r="AR712" s="1170">
        <f t="shared" si="1078"/>
        <v>0</v>
      </c>
      <c r="AS712" s="1170"/>
      <c r="AT712" s="1170"/>
      <c r="AU712" s="1174"/>
      <c r="AV712" s="1241"/>
      <c r="AW712" s="1169"/>
      <c r="AX712" s="1177"/>
      <c r="AY712" s="1177"/>
      <c r="AZ712" s="1169"/>
      <c r="BA712" s="1169">
        <f t="shared" si="1079"/>
        <v>0</v>
      </c>
      <c r="BB712" s="1169"/>
      <c r="BC712" s="1029"/>
      <c r="BD712" s="1027"/>
      <c r="BE712" s="1029"/>
      <c r="BF712" s="1029"/>
    </row>
    <row r="713">
      <c r="A713" s="999" t="str">
        <f t="shared" si="1057"/>
        <v xml:space="preserve">Ничипуренко И.А.</v>
      </c>
      <c r="B713" s="1176" t="s">
        <v>375</v>
      </c>
      <c r="C713" s="1176"/>
      <c r="D713" s="1176"/>
      <c r="E713" s="1164">
        <f t="shared" si="1043"/>
        <v>0</v>
      </c>
      <c r="F713" s="1164">
        <f t="shared" si="1058"/>
        <v>0</v>
      </c>
      <c r="G713" s="1165">
        <f t="shared" si="1073"/>
        <v>0</v>
      </c>
      <c r="H713" s="1166"/>
      <c r="I713" s="1167">
        <f t="shared" si="1045"/>
        <v>0</v>
      </c>
      <c r="J713" s="1167">
        <f t="shared" si="1060"/>
        <v>0</v>
      </c>
      <c r="K713" s="1168">
        <f t="shared" si="1074"/>
        <v>0</v>
      </c>
      <c r="L713" s="1128"/>
      <c r="M713" s="1169"/>
      <c r="N713" s="1177"/>
      <c r="O713" s="1169"/>
      <c r="P713" s="1169"/>
      <c r="Q713" s="1169">
        <f t="shared" si="1075"/>
        <v>0</v>
      </c>
      <c r="R713" s="1169"/>
      <c r="S713" s="1170"/>
      <c r="T713" s="1171"/>
      <c r="U713" s="1128"/>
      <c r="V713" s="1169"/>
      <c r="W713" s="1177"/>
      <c r="X713" s="1177"/>
      <c r="Y713" s="1169"/>
      <c r="Z713" s="1169">
        <f t="shared" si="1076"/>
        <v>0</v>
      </c>
      <c r="AA713" s="1169"/>
      <c r="AB713" s="1172">
        <f t="shared" si="1064"/>
        <v>0</v>
      </c>
      <c r="AC713" s="1171"/>
      <c r="AD713" s="1128"/>
      <c r="AE713" s="1169"/>
      <c r="AF713" s="1177"/>
      <c r="AG713" s="1177"/>
      <c r="AH713" s="1169"/>
      <c r="AI713" s="1169">
        <f t="shared" si="1077"/>
        <v>0</v>
      </c>
      <c r="AJ713" s="1169"/>
      <c r="AK713" s="1170"/>
      <c r="AL713" s="1171"/>
      <c r="AM713" s="1128"/>
      <c r="AN713" s="1170"/>
      <c r="AO713" s="1175"/>
      <c r="AP713" s="1175"/>
      <c r="AQ713" s="1170"/>
      <c r="AR713" s="1170">
        <f t="shared" si="1078"/>
        <v>0</v>
      </c>
      <c r="AS713" s="1170"/>
      <c r="AT713" s="1170"/>
      <c r="AU713" s="1174"/>
      <c r="AV713" s="1241"/>
      <c r="AW713" s="1169"/>
      <c r="AX713" s="1177"/>
      <c r="AY713" s="1177"/>
      <c r="AZ713" s="1169"/>
      <c r="BA713" s="1169">
        <f t="shared" si="1079"/>
        <v>0</v>
      </c>
      <c r="BB713" s="1169"/>
      <c r="BC713" s="1029"/>
      <c r="BD713" s="1027"/>
      <c r="BE713" s="1029"/>
      <c r="BF713" s="1029"/>
    </row>
    <row r="714">
      <c r="A714" s="999" t="str">
        <f t="shared" si="1057"/>
        <v xml:space="preserve">Дылыкова А.А. Закусова О.А. Бондаренко НФ</v>
      </c>
      <c r="B714" s="1176" t="s">
        <v>210</v>
      </c>
      <c r="C714" s="1176"/>
      <c r="D714" s="1176"/>
      <c r="E714" s="1164">
        <f t="shared" si="1043"/>
        <v>0</v>
      </c>
      <c r="F714" s="1164">
        <f t="shared" si="1058"/>
        <v>0</v>
      </c>
      <c r="G714" s="1165">
        <f t="shared" si="1073"/>
        <v>0</v>
      </c>
      <c r="H714" s="1166"/>
      <c r="I714" s="1167">
        <f t="shared" si="1045"/>
        <v>0</v>
      </c>
      <c r="J714" s="1167">
        <f t="shared" si="1060"/>
        <v>0</v>
      </c>
      <c r="K714" s="1168">
        <f t="shared" si="1074"/>
        <v>0</v>
      </c>
      <c r="L714" s="1128"/>
      <c r="M714" s="1169"/>
      <c r="N714" s="1169"/>
      <c r="O714" s="1169"/>
      <c r="P714" s="1169"/>
      <c r="Q714" s="1169">
        <f t="shared" si="1075"/>
        <v>0</v>
      </c>
      <c r="R714" s="1169"/>
      <c r="S714" s="1170"/>
      <c r="T714" s="1171"/>
      <c r="U714" s="1128"/>
      <c r="V714" s="1169"/>
      <c r="W714" s="1177"/>
      <c r="X714" s="1177"/>
      <c r="Y714" s="1169"/>
      <c r="Z714" s="1169">
        <f t="shared" si="1076"/>
        <v>0</v>
      </c>
      <c r="AA714" s="1169"/>
      <c r="AB714" s="1172">
        <f t="shared" si="1064"/>
        <v>0</v>
      </c>
      <c r="AC714" s="1171"/>
      <c r="AD714" s="1128"/>
      <c r="AE714" s="1169"/>
      <c r="AF714" s="1177"/>
      <c r="AG714" s="1177"/>
      <c r="AH714" s="1169"/>
      <c r="AI714" s="1169">
        <f t="shared" si="1077"/>
        <v>0</v>
      </c>
      <c r="AJ714" s="1169"/>
      <c r="AK714" s="1170"/>
      <c r="AL714" s="1171"/>
      <c r="AM714" s="1128"/>
      <c r="AN714" s="1170"/>
      <c r="AO714" s="1175"/>
      <c r="AP714" s="1175"/>
      <c r="AQ714" s="1170"/>
      <c r="AR714" s="1170">
        <f t="shared" si="1078"/>
        <v>0</v>
      </c>
      <c r="AS714" s="1170"/>
      <c r="AT714" s="1170"/>
      <c r="AU714" s="1174"/>
      <c r="AV714" s="1241"/>
      <c r="AW714" s="1169"/>
      <c r="AX714" s="1177"/>
      <c r="AY714" s="1177"/>
      <c r="AZ714" s="1169"/>
      <c r="BA714" s="1169">
        <f t="shared" si="1079"/>
        <v>0</v>
      </c>
      <c r="BB714" s="1169"/>
      <c r="BC714" s="1029"/>
      <c r="BD714" s="1027"/>
      <c r="BE714" s="1029"/>
      <c r="BF714" s="1029"/>
    </row>
    <row r="715">
      <c r="A715" s="999" t="str">
        <f t="shared" si="1057"/>
        <v xml:space="preserve">Мазуренко А.Н.</v>
      </c>
      <c r="B715" s="1176" t="s">
        <v>211</v>
      </c>
      <c r="C715" s="1176"/>
      <c r="D715" s="1176"/>
      <c r="E715" s="1164">
        <f t="shared" si="1043"/>
        <v>0</v>
      </c>
      <c r="F715" s="1164">
        <f t="shared" si="1058"/>
        <v>0</v>
      </c>
      <c r="G715" s="1165">
        <f t="shared" si="1073"/>
        <v>0</v>
      </c>
      <c r="H715" s="1166"/>
      <c r="I715" s="1167">
        <f t="shared" si="1045"/>
        <v>0</v>
      </c>
      <c r="J715" s="1167">
        <f t="shared" si="1060"/>
        <v>0</v>
      </c>
      <c r="K715" s="1168">
        <f t="shared" si="1074"/>
        <v>0</v>
      </c>
      <c r="L715" s="1128"/>
      <c r="M715" s="1169"/>
      <c r="N715" s="1177"/>
      <c r="O715" s="1169"/>
      <c r="P715" s="1169"/>
      <c r="Q715" s="1169">
        <f t="shared" si="1075"/>
        <v>0</v>
      </c>
      <c r="R715" s="1169"/>
      <c r="S715" s="1170"/>
      <c r="T715" s="1171"/>
      <c r="U715" s="1128"/>
      <c r="V715" s="1169"/>
      <c r="W715" s="1177"/>
      <c r="X715" s="1177"/>
      <c r="Y715" s="1169"/>
      <c r="Z715" s="1169">
        <f t="shared" si="1076"/>
        <v>0</v>
      </c>
      <c r="AA715" s="1169"/>
      <c r="AB715" s="1172">
        <f t="shared" si="1064"/>
        <v>0</v>
      </c>
      <c r="AC715" s="1171"/>
      <c r="AD715" s="1128"/>
      <c r="AE715" s="1169"/>
      <c r="AF715" s="1177"/>
      <c r="AG715" s="1177"/>
      <c r="AH715" s="1169"/>
      <c r="AI715" s="1169">
        <f t="shared" si="1077"/>
        <v>0</v>
      </c>
      <c r="AJ715" s="1169"/>
      <c r="AK715" s="1170"/>
      <c r="AL715" s="1171"/>
      <c r="AM715" s="1128"/>
      <c r="AN715" s="1170"/>
      <c r="AO715" s="1175"/>
      <c r="AP715" s="1175"/>
      <c r="AQ715" s="1170"/>
      <c r="AR715" s="1170">
        <f t="shared" si="1078"/>
        <v>0</v>
      </c>
      <c r="AS715" s="1170"/>
      <c r="AT715" s="1170"/>
      <c r="AU715" s="1174"/>
      <c r="AV715" s="1241"/>
      <c r="AW715" s="1169"/>
      <c r="AX715" s="1177"/>
      <c r="AY715" s="1177"/>
      <c r="AZ715" s="1169"/>
      <c r="BA715" s="1169">
        <f t="shared" si="1079"/>
        <v>0</v>
      </c>
      <c r="BB715" s="1169"/>
      <c r="BC715" s="1029"/>
      <c r="BD715" s="1027"/>
      <c r="BE715" s="1029"/>
      <c r="BF715" s="1029"/>
    </row>
    <row r="716" s="1180" customFormat="1" ht="22.5">
      <c r="A716" s="999">
        <f t="shared" si="1057"/>
        <v>0</v>
      </c>
      <c r="B716" s="1182" t="s">
        <v>363</v>
      </c>
      <c r="C716" s="1182"/>
      <c r="D716" s="1182"/>
      <c r="E716" s="1183">
        <f t="shared" si="1043"/>
        <v>0</v>
      </c>
      <c r="F716" s="1183">
        <f t="shared" si="1058"/>
        <v>0</v>
      </c>
      <c r="G716" s="1184">
        <f>SUM(G703:G715)</f>
        <v>0</v>
      </c>
      <c r="H716" s="1185"/>
      <c r="I716" s="1186">
        <f t="shared" si="1045"/>
        <v>0</v>
      </c>
      <c r="J716" s="1186">
        <f t="shared" si="1060"/>
        <v>0</v>
      </c>
      <c r="K716" s="1187">
        <f>SUM(K703:K715)</f>
        <v>0</v>
      </c>
      <c r="L716" s="1197"/>
      <c r="M716" s="1096">
        <f t="shared" ref="M716:R716" si="1080">SUM(M703:M715)</f>
        <v>0</v>
      </c>
      <c r="N716" s="1096">
        <f t="shared" si="1080"/>
        <v>0</v>
      </c>
      <c r="O716" s="1096">
        <f t="shared" si="1080"/>
        <v>0</v>
      </c>
      <c r="P716" s="1096">
        <f t="shared" si="1080"/>
        <v>0</v>
      </c>
      <c r="Q716" s="1096">
        <f t="shared" si="1080"/>
        <v>0</v>
      </c>
      <c r="R716" s="1096">
        <f t="shared" si="1080"/>
        <v>0</v>
      </c>
      <c r="S716" s="1190"/>
      <c r="T716" s="1189"/>
      <c r="U716" s="1128"/>
      <c r="V716" s="1096">
        <f t="shared" ref="V716:AA716" si="1081">SUM(V703:V715)</f>
        <v>0</v>
      </c>
      <c r="W716" s="1096">
        <f t="shared" si="1081"/>
        <v>0</v>
      </c>
      <c r="X716" s="1096">
        <f t="shared" si="1081"/>
        <v>0</v>
      </c>
      <c r="Y716" s="1096">
        <f t="shared" si="1081"/>
        <v>0</v>
      </c>
      <c r="Z716" s="1096">
        <f t="shared" si="1081"/>
        <v>0</v>
      </c>
      <c r="AA716" s="1096">
        <f t="shared" si="1081"/>
        <v>0</v>
      </c>
      <c r="AB716" s="1172">
        <f t="shared" si="1064"/>
        <v>0</v>
      </c>
      <c r="AC716" s="1189"/>
      <c r="AD716" s="1125"/>
      <c r="AE716" s="1096">
        <f t="shared" ref="AE716:AJ716" si="1082">SUM(AE703:AE715)</f>
        <v>0</v>
      </c>
      <c r="AF716" s="1096">
        <f t="shared" si="1082"/>
        <v>0</v>
      </c>
      <c r="AG716" s="1096">
        <f t="shared" si="1082"/>
        <v>0</v>
      </c>
      <c r="AH716" s="1096">
        <f t="shared" si="1082"/>
        <v>0</v>
      </c>
      <c r="AI716" s="1096">
        <f t="shared" si="1082"/>
        <v>0</v>
      </c>
      <c r="AJ716" s="1096">
        <f t="shared" si="1082"/>
        <v>0</v>
      </c>
      <c r="AK716" s="1190"/>
      <c r="AL716" s="1189"/>
      <c r="AM716" s="1125"/>
      <c r="AN716" s="1190">
        <f t="shared" ref="AN716:AS716" si="1083">SUM(AN703:AN715)</f>
        <v>0</v>
      </c>
      <c r="AO716" s="1190">
        <f t="shared" si="1083"/>
        <v>0</v>
      </c>
      <c r="AP716" s="1190">
        <f t="shared" si="1083"/>
        <v>0</v>
      </c>
      <c r="AQ716" s="1190">
        <f t="shared" si="1083"/>
        <v>0</v>
      </c>
      <c r="AR716" s="1190">
        <f t="shared" si="1083"/>
        <v>0</v>
      </c>
      <c r="AS716" s="1190">
        <f t="shared" si="1083"/>
        <v>0</v>
      </c>
      <c r="AT716" s="1190"/>
      <c r="AU716" s="1191"/>
      <c r="AV716" s="1245"/>
      <c r="AW716" s="1096">
        <f t="shared" ref="AW716:BB716" si="1084">SUM(AW703:AW715)</f>
        <v>0</v>
      </c>
      <c r="AX716" s="1096">
        <f t="shared" si="1084"/>
        <v>0</v>
      </c>
      <c r="AY716" s="1096">
        <f t="shared" si="1084"/>
        <v>0</v>
      </c>
      <c r="AZ716" s="1096">
        <f t="shared" si="1084"/>
        <v>0</v>
      </c>
      <c r="BA716" s="1096">
        <f t="shared" si="1084"/>
        <v>0</v>
      </c>
      <c r="BB716" s="1096">
        <f t="shared" si="1084"/>
        <v>0</v>
      </c>
      <c r="BC716" s="1051"/>
      <c r="BD716" s="1052"/>
      <c r="BE716" s="1051"/>
      <c r="BF716" s="1051"/>
      <c r="BG716" s="1106"/>
      <c r="BH716" s="1106"/>
      <c r="BI716" s="1106"/>
      <c r="BJ716" s="1106"/>
      <c r="BK716" s="1106"/>
      <c r="BL716" s="1106"/>
      <c r="BM716" s="1106"/>
    </row>
    <row r="717">
      <c r="A717" s="999" t="str">
        <f t="shared" si="1057"/>
        <v xml:space="preserve">Румак В.Н,  Стоянова Е.П.</v>
      </c>
      <c r="B717" s="1176" t="s">
        <v>379</v>
      </c>
      <c r="C717" s="1176"/>
      <c r="D717" s="1176"/>
      <c r="E717" s="1164">
        <f t="shared" si="1043"/>
        <v>0</v>
      </c>
      <c r="F717" s="1164">
        <f t="shared" si="1058"/>
        <v>0</v>
      </c>
      <c r="G717" s="1165">
        <f t="shared" ref="G717:G721" si="1085">E717+F717</f>
        <v>0</v>
      </c>
      <c r="H717" s="1166"/>
      <c r="I717" s="1167">
        <f t="shared" si="1045"/>
        <v>0</v>
      </c>
      <c r="J717" s="1167">
        <f t="shared" si="1060"/>
        <v>0</v>
      </c>
      <c r="K717" s="1168">
        <f t="shared" ref="K717:K721" si="1086">I717+J717</f>
        <v>0</v>
      </c>
      <c r="L717" s="1128"/>
      <c r="M717" s="1169"/>
      <c r="N717" s="1177"/>
      <c r="O717" s="1169"/>
      <c r="P717" s="1169"/>
      <c r="Q717" s="1169">
        <f t="shared" ref="Q717:Q721" si="1087">SUM(M717:P717)</f>
        <v>0</v>
      </c>
      <c r="R717" s="1169"/>
      <c r="S717" s="1170"/>
      <c r="T717" s="1171"/>
      <c r="U717" s="1128"/>
      <c r="V717" s="1169"/>
      <c r="W717" s="1177"/>
      <c r="X717" s="1177"/>
      <c r="Y717" s="1169"/>
      <c r="Z717" s="1169">
        <f t="shared" ref="Z717:Z721" si="1088">SUM(V717:Y717)</f>
        <v>0</v>
      </c>
      <c r="AA717" s="1169"/>
      <c r="AB717" s="1172">
        <f t="shared" si="1064"/>
        <v>0</v>
      </c>
      <c r="AC717" s="1171"/>
      <c r="AD717" s="1128"/>
      <c r="AE717" s="1169"/>
      <c r="AF717" s="1177"/>
      <c r="AG717" s="1177"/>
      <c r="AH717" s="1169"/>
      <c r="AI717" s="1169">
        <f t="shared" ref="AI717:AI721" si="1089">SUM(AE717:AH717)</f>
        <v>0</v>
      </c>
      <c r="AJ717" s="1169"/>
      <c r="AK717" s="1170"/>
      <c r="AL717" s="1171"/>
      <c r="AM717" s="1128"/>
      <c r="AN717" s="1170"/>
      <c r="AO717" s="1175"/>
      <c r="AP717" s="1175"/>
      <c r="AQ717" s="1170"/>
      <c r="AR717" s="1170">
        <f t="shared" ref="AR717:AR721" si="1090">SUM(AN717:AQ717)</f>
        <v>0</v>
      </c>
      <c r="AS717" s="1170"/>
      <c r="AT717" s="1170"/>
      <c r="AU717" s="1174"/>
      <c r="AV717" s="1241"/>
      <c r="AW717" s="1169"/>
      <c r="AX717" s="1177"/>
      <c r="AY717" s="1177"/>
      <c r="AZ717" s="1169"/>
      <c r="BA717" s="1169">
        <f t="shared" ref="BA717:BA721" si="1091">SUM(AW717:AZ717)</f>
        <v>0</v>
      </c>
      <c r="BB717" s="1169"/>
      <c r="BC717" s="1029"/>
      <c r="BD717" s="1027"/>
      <c r="BE717" s="1029"/>
      <c r="BF717" s="1029"/>
    </row>
    <row r="718" s="1215" customFormat="1">
      <c r="A718" s="999" t="str">
        <f t="shared" si="1057"/>
        <v xml:space="preserve">Голубцова О.В.</v>
      </c>
      <c r="B718" s="1176" t="s">
        <v>381</v>
      </c>
      <c r="C718" s="1176"/>
      <c r="D718" s="1176"/>
      <c r="E718" s="1164">
        <f t="shared" si="1043"/>
        <v>0</v>
      </c>
      <c r="F718" s="1164">
        <f t="shared" si="1058"/>
        <v>0</v>
      </c>
      <c r="G718" s="1165">
        <f t="shared" si="1085"/>
        <v>0</v>
      </c>
      <c r="H718" s="1166"/>
      <c r="I718" s="1167">
        <f t="shared" si="1045"/>
        <v>0</v>
      </c>
      <c r="J718" s="1167">
        <f t="shared" si="1060"/>
        <v>0</v>
      </c>
      <c r="K718" s="1168">
        <f t="shared" si="1086"/>
        <v>0</v>
      </c>
      <c r="L718" s="1128"/>
      <c r="M718" s="1169"/>
      <c r="N718" s="1177"/>
      <c r="O718" s="1169"/>
      <c r="P718" s="1169"/>
      <c r="Q718" s="1169">
        <f t="shared" si="1087"/>
        <v>0</v>
      </c>
      <c r="R718" s="1169"/>
      <c r="S718" s="1170"/>
      <c r="T718" s="1171"/>
      <c r="U718" s="1128"/>
      <c r="V718" s="1169"/>
      <c r="W718" s="1177"/>
      <c r="X718" s="1177"/>
      <c r="Y718" s="1169"/>
      <c r="Z718" s="1169">
        <f t="shared" si="1088"/>
        <v>0</v>
      </c>
      <c r="AA718" s="1169"/>
      <c r="AB718" s="1172">
        <f t="shared" si="1064"/>
        <v>0</v>
      </c>
      <c r="AC718" s="1171"/>
      <c r="AD718" s="1128"/>
      <c r="AE718" s="1169"/>
      <c r="AF718" s="1177"/>
      <c r="AG718" s="1177"/>
      <c r="AH718" s="1169"/>
      <c r="AI718" s="1169">
        <f t="shared" si="1089"/>
        <v>0</v>
      </c>
      <c r="AJ718" s="1169"/>
      <c r="AK718" s="1170"/>
      <c r="AL718" s="1171"/>
      <c r="AM718" s="1128"/>
      <c r="AN718" s="1170"/>
      <c r="AO718" s="1175"/>
      <c r="AP718" s="1175"/>
      <c r="AQ718" s="1170"/>
      <c r="AR718" s="1170">
        <f t="shared" si="1090"/>
        <v>0</v>
      </c>
      <c r="AS718" s="1170"/>
      <c r="AT718" s="1170"/>
      <c r="AU718" s="1174"/>
      <c r="AV718" s="1241"/>
      <c r="AW718" s="1169"/>
      <c r="AX718" s="1177"/>
      <c r="AY718" s="1177"/>
      <c r="AZ718" s="1169"/>
      <c r="BA718" s="1169">
        <f t="shared" si="1091"/>
        <v>0</v>
      </c>
      <c r="BB718" s="1169"/>
      <c r="BC718" s="1024"/>
      <c r="BD718" s="1027"/>
      <c r="BE718" s="1024"/>
      <c r="BF718" s="1024"/>
      <c r="BG718" s="1008"/>
      <c r="BH718" s="1008"/>
      <c r="BI718" s="1008"/>
      <c r="BJ718" s="1008"/>
      <c r="BK718" s="1008"/>
      <c r="BL718" s="1008"/>
      <c r="BM718" s="1008"/>
    </row>
    <row r="719">
      <c r="A719" s="999" t="str">
        <f t="shared" si="1057"/>
        <v xml:space="preserve">Бородулина М.П.</v>
      </c>
      <c r="B719" s="1176" t="s">
        <v>383</v>
      </c>
      <c r="C719" s="1176"/>
      <c r="D719" s="1176"/>
      <c r="E719" s="1164">
        <f t="shared" si="1043"/>
        <v>0</v>
      </c>
      <c r="F719" s="1164">
        <f t="shared" si="1058"/>
        <v>0</v>
      </c>
      <c r="G719" s="1165">
        <f t="shared" si="1085"/>
        <v>0</v>
      </c>
      <c r="H719" s="1166"/>
      <c r="I719" s="1167">
        <f t="shared" si="1045"/>
        <v>0</v>
      </c>
      <c r="J719" s="1167">
        <f t="shared" si="1060"/>
        <v>0</v>
      </c>
      <c r="K719" s="1168">
        <f t="shared" si="1086"/>
        <v>0</v>
      </c>
      <c r="L719" s="1128"/>
      <c r="M719" s="1169"/>
      <c r="N719" s="1177"/>
      <c r="O719" s="1169"/>
      <c r="P719" s="1169"/>
      <c r="Q719" s="1169">
        <f t="shared" si="1087"/>
        <v>0</v>
      </c>
      <c r="R719" s="1169"/>
      <c r="S719" s="1170"/>
      <c r="T719" s="1171"/>
      <c r="U719" s="1128"/>
      <c r="V719" s="1169"/>
      <c r="W719" s="1177"/>
      <c r="X719" s="1177"/>
      <c r="Y719" s="1169"/>
      <c r="Z719" s="1169">
        <f t="shared" si="1088"/>
        <v>0</v>
      </c>
      <c r="AA719" s="1169"/>
      <c r="AB719" s="1172">
        <f t="shared" si="1064"/>
        <v>0</v>
      </c>
      <c r="AC719" s="1171"/>
      <c r="AD719" s="1128"/>
      <c r="AE719" s="1169"/>
      <c r="AF719" s="1177"/>
      <c r="AG719" s="1177"/>
      <c r="AH719" s="1169"/>
      <c r="AI719" s="1169">
        <f t="shared" si="1089"/>
        <v>0</v>
      </c>
      <c r="AJ719" s="1169"/>
      <c r="AK719" s="1170"/>
      <c r="AL719" s="1171"/>
      <c r="AM719" s="1128"/>
      <c r="AN719" s="1170"/>
      <c r="AO719" s="1175"/>
      <c r="AP719" s="1175"/>
      <c r="AQ719" s="1170"/>
      <c r="AR719" s="1170">
        <f t="shared" si="1090"/>
        <v>0</v>
      </c>
      <c r="AS719" s="1170"/>
      <c r="AT719" s="1170"/>
      <c r="AU719" s="1174"/>
      <c r="AV719" s="1241"/>
      <c r="AW719" s="1169"/>
      <c r="AX719" s="1177"/>
      <c r="AY719" s="1177"/>
      <c r="AZ719" s="1169"/>
      <c r="BA719" s="1169">
        <f t="shared" si="1091"/>
        <v>0</v>
      </c>
      <c r="BB719" s="1169"/>
      <c r="BC719" s="1029"/>
      <c r="BD719" s="1027"/>
      <c r="BE719" s="1029"/>
      <c r="BF719" s="1029"/>
    </row>
    <row r="720" ht="20.25" customHeight="1">
      <c r="A720" s="999" t="str">
        <f t="shared" si="1057"/>
        <v xml:space="preserve">Буханова Т.И. Мансурова А.Г.</v>
      </c>
      <c r="B720" s="1176" t="s">
        <v>385</v>
      </c>
      <c r="C720" s="1196"/>
      <c r="D720" s="1196"/>
      <c r="E720" s="1164">
        <f t="shared" si="1043"/>
        <v>0</v>
      </c>
      <c r="F720" s="1164">
        <f t="shared" si="1058"/>
        <v>0</v>
      </c>
      <c r="G720" s="1165">
        <f t="shared" si="1085"/>
        <v>0</v>
      </c>
      <c r="H720" s="1166"/>
      <c r="I720" s="1167">
        <f t="shared" si="1045"/>
        <v>0</v>
      </c>
      <c r="J720" s="1167">
        <f t="shared" si="1060"/>
        <v>0</v>
      </c>
      <c r="K720" s="1168">
        <f t="shared" si="1086"/>
        <v>0</v>
      </c>
      <c r="L720" s="1128"/>
      <c r="M720" s="1169"/>
      <c r="N720" s="1177"/>
      <c r="O720" s="1169"/>
      <c r="P720" s="1169"/>
      <c r="Q720" s="1169">
        <f t="shared" si="1087"/>
        <v>0</v>
      </c>
      <c r="R720" s="1169"/>
      <c r="S720" s="1170"/>
      <c r="T720" s="1171"/>
      <c r="U720" s="1128"/>
      <c r="V720" s="1169"/>
      <c r="W720" s="1177"/>
      <c r="X720" s="1177"/>
      <c r="Y720" s="1169"/>
      <c r="Z720" s="1169">
        <f t="shared" si="1088"/>
        <v>0</v>
      </c>
      <c r="AA720" s="1169"/>
      <c r="AB720" s="1172">
        <f t="shared" si="1064"/>
        <v>0</v>
      </c>
      <c r="AC720" s="1171"/>
      <c r="AD720" s="1128"/>
      <c r="AE720" s="1169"/>
      <c r="AF720" s="1177"/>
      <c r="AG720" s="1177"/>
      <c r="AH720" s="1169"/>
      <c r="AI720" s="1169">
        <f t="shared" si="1089"/>
        <v>0</v>
      </c>
      <c r="AJ720" s="1169"/>
      <c r="AK720" s="1170"/>
      <c r="AL720" s="1171"/>
      <c r="AM720" s="1128"/>
      <c r="AN720" s="1170"/>
      <c r="AO720" s="1175"/>
      <c r="AP720" s="1175"/>
      <c r="AQ720" s="1170"/>
      <c r="AR720" s="1170">
        <f t="shared" si="1090"/>
        <v>0</v>
      </c>
      <c r="AS720" s="1170"/>
      <c r="AT720" s="1170"/>
      <c r="AU720" s="1174"/>
      <c r="AV720" s="1241"/>
      <c r="AW720" s="1169"/>
      <c r="AX720" s="1177"/>
      <c r="AY720" s="1177"/>
      <c r="AZ720" s="1169"/>
      <c r="BA720" s="1169">
        <f t="shared" si="1091"/>
        <v>0</v>
      </c>
      <c r="BB720" s="1169"/>
      <c r="BC720" s="1029"/>
      <c r="BD720" s="1027"/>
      <c r="BE720" s="1029"/>
      <c r="BF720" s="1029"/>
    </row>
    <row r="721">
      <c r="A721" s="999" t="str">
        <f t="shared" si="1057"/>
        <v xml:space="preserve">Мирошник Е.В.</v>
      </c>
      <c r="B721" s="1176" t="s">
        <v>387</v>
      </c>
      <c r="C721" s="1176"/>
      <c r="D721" s="1176"/>
      <c r="E721" s="1164">
        <f t="shared" si="1043"/>
        <v>0</v>
      </c>
      <c r="F721" s="1164">
        <f t="shared" si="1058"/>
        <v>0</v>
      </c>
      <c r="G721" s="1165">
        <f t="shared" si="1085"/>
        <v>0</v>
      </c>
      <c r="H721" s="1166"/>
      <c r="I721" s="1167">
        <f t="shared" si="1045"/>
        <v>0</v>
      </c>
      <c r="J721" s="1167">
        <f t="shared" si="1060"/>
        <v>0</v>
      </c>
      <c r="K721" s="1168">
        <f t="shared" si="1086"/>
        <v>0</v>
      </c>
      <c r="L721" s="1128"/>
      <c r="M721" s="1169"/>
      <c r="N721" s="1177"/>
      <c r="O721" s="1169"/>
      <c r="P721" s="1169"/>
      <c r="Q721" s="1169">
        <f t="shared" si="1087"/>
        <v>0</v>
      </c>
      <c r="R721" s="1169"/>
      <c r="S721" s="1170"/>
      <c r="T721" s="1171"/>
      <c r="U721" s="1128"/>
      <c r="V721" s="1169"/>
      <c r="W721" s="1177"/>
      <c r="X721" s="1177"/>
      <c r="Y721" s="1169"/>
      <c r="Z721" s="1169">
        <f t="shared" si="1088"/>
        <v>0</v>
      </c>
      <c r="AA721" s="1169"/>
      <c r="AB721" s="1172">
        <f t="shared" si="1064"/>
        <v>0</v>
      </c>
      <c r="AC721" s="1171"/>
      <c r="AD721" s="1128"/>
      <c r="AE721" s="1169"/>
      <c r="AF721" s="1177"/>
      <c r="AG721" s="1177"/>
      <c r="AH721" s="1169"/>
      <c r="AI721" s="1169">
        <f t="shared" si="1089"/>
        <v>0</v>
      </c>
      <c r="AJ721" s="1169"/>
      <c r="AK721" s="1170"/>
      <c r="AL721" s="1171"/>
      <c r="AM721" s="1128"/>
      <c r="AN721" s="1170"/>
      <c r="AO721" s="1175"/>
      <c r="AP721" s="1175"/>
      <c r="AQ721" s="1170"/>
      <c r="AR721" s="1170">
        <f t="shared" si="1090"/>
        <v>0</v>
      </c>
      <c r="AS721" s="1170"/>
      <c r="AT721" s="1170"/>
      <c r="AU721" s="1174"/>
      <c r="AV721" s="1241"/>
      <c r="AW721" s="1169"/>
      <c r="AX721" s="1177"/>
      <c r="AY721" s="1177"/>
      <c r="AZ721" s="1169"/>
      <c r="BA721" s="1169">
        <f t="shared" si="1091"/>
        <v>0</v>
      </c>
      <c r="BB721" s="1169"/>
      <c r="BC721" s="1029"/>
      <c r="BD721" s="1027"/>
      <c r="BE721" s="1029"/>
      <c r="BF721" s="1029"/>
    </row>
    <row r="722" s="1180" customFormat="1" ht="22.5">
      <c r="A722" s="999">
        <f t="shared" si="1057"/>
        <v>0</v>
      </c>
      <c r="B722" s="1182" t="s">
        <v>388</v>
      </c>
      <c r="C722" s="1182"/>
      <c r="D722" s="1182"/>
      <c r="E722" s="1183">
        <f t="shared" si="1043"/>
        <v>0</v>
      </c>
      <c r="F722" s="1183">
        <f t="shared" si="1058"/>
        <v>0</v>
      </c>
      <c r="G722" s="1184">
        <f>SUM(G717:G721)</f>
        <v>0</v>
      </c>
      <c r="H722" s="1185"/>
      <c r="I722" s="1186">
        <f t="shared" si="1045"/>
        <v>0</v>
      </c>
      <c r="J722" s="1186">
        <f t="shared" si="1060"/>
        <v>0</v>
      </c>
      <c r="K722" s="1187">
        <f>SUM(K717:K721)</f>
        <v>0</v>
      </c>
      <c r="L722" s="1197"/>
      <c r="M722" s="1096">
        <f t="shared" ref="M722:R722" si="1092">SUM(M717:M721)</f>
        <v>0</v>
      </c>
      <c r="N722" s="1096">
        <f t="shared" si="1092"/>
        <v>0</v>
      </c>
      <c r="O722" s="1096">
        <f t="shared" si="1092"/>
        <v>0</v>
      </c>
      <c r="P722" s="1096">
        <f t="shared" si="1092"/>
        <v>0</v>
      </c>
      <c r="Q722" s="1096">
        <f t="shared" si="1092"/>
        <v>0</v>
      </c>
      <c r="R722" s="1096">
        <f t="shared" si="1092"/>
        <v>0</v>
      </c>
      <c r="S722" s="1190"/>
      <c r="T722" s="1189"/>
      <c r="U722" s="1197"/>
      <c r="V722" s="1096">
        <f t="shared" ref="V722:AA722" si="1093">SUM(V717:V721)</f>
        <v>0</v>
      </c>
      <c r="W722" s="1096">
        <f t="shared" si="1093"/>
        <v>0</v>
      </c>
      <c r="X722" s="1096">
        <f t="shared" si="1093"/>
        <v>0</v>
      </c>
      <c r="Y722" s="1096">
        <f t="shared" si="1093"/>
        <v>0</v>
      </c>
      <c r="Z722" s="1096">
        <f t="shared" si="1093"/>
        <v>0</v>
      </c>
      <c r="AA722" s="1096">
        <f t="shared" si="1093"/>
        <v>0</v>
      </c>
      <c r="AB722" s="1172">
        <f t="shared" si="1064"/>
        <v>0</v>
      </c>
      <c r="AC722" s="1189"/>
      <c r="AD722" s="1197"/>
      <c r="AE722" s="1096">
        <f t="shared" ref="AE722:AJ722" si="1094">SUM(AE717:AE721)</f>
        <v>0</v>
      </c>
      <c r="AF722" s="1096">
        <f t="shared" si="1094"/>
        <v>0</v>
      </c>
      <c r="AG722" s="1096">
        <f t="shared" si="1094"/>
        <v>0</v>
      </c>
      <c r="AH722" s="1096">
        <f t="shared" si="1094"/>
        <v>0</v>
      </c>
      <c r="AI722" s="1096">
        <f t="shared" si="1094"/>
        <v>0</v>
      </c>
      <c r="AJ722" s="1096">
        <f t="shared" si="1094"/>
        <v>0</v>
      </c>
      <c r="AK722" s="1190"/>
      <c r="AL722" s="1189"/>
      <c r="AM722" s="1197"/>
      <c r="AN722" s="1190">
        <f t="shared" ref="AN722:AS722" si="1095">SUM(AN717:AN721)</f>
        <v>0</v>
      </c>
      <c r="AO722" s="1190">
        <f t="shared" si="1095"/>
        <v>0</v>
      </c>
      <c r="AP722" s="1190">
        <f t="shared" si="1095"/>
        <v>0</v>
      </c>
      <c r="AQ722" s="1190">
        <f t="shared" si="1095"/>
        <v>0</v>
      </c>
      <c r="AR722" s="1190">
        <f t="shared" si="1095"/>
        <v>0</v>
      </c>
      <c r="AS722" s="1190">
        <f t="shared" si="1095"/>
        <v>0</v>
      </c>
      <c r="AT722" s="1190"/>
      <c r="AU722" s="1191"/>
      <c r="AV722" s="1197">
        <f t="shared" ref="AV722:BB722" si="1096">SUM(AV717:AV721)</f>
        <v>0</v>
      </c>
      <c r="AW722" s="1096">
        <f t="shared" si="1096"/>
        <v>0</v>
      </c>
      <c r="AX722" s="1096">
        <f t="shared" si="1096"/>
        <v>0</v>
      </c>
      <c r="AY722" s="1096">
        <f t="shared" si="1096"/>
        <v>0</v>
      </c>
      <c r="AZ722" s="1096">
        <f t="shared" si="1096"/>
        <v>0</v>
      </c>
      <c r="BA722" s="1096">
        <f t="shared" si="1096"/>
        <v>0</v>
      </c>
      <c r="BB722" s="1096">
        <f t="shared" si="1096"/>
        <v>0</v>
      </c>
      <c r="BC722" s="1051"/>
      <c r="BD722" s="1052"/>
      <c r="BE722" s="1051"/>
      <c r="BF722" s="1051"/>
      <c r="BG722" s="1106"/>
      <c r="BH722" s="1106"/>
      <c r="BI722" s="1106"/>
      <c r="BJ722" s="1106"/>
      <c r="BK722" s="1106"/>
      <c r="BL722" s="1106"/>
      <c r="BM722" s="1106"/>
    </row>
    <row r="723" ht="21.75" customHeight="1">
      <c r="A723" s="999" t="str">
        <f t="shared" si="1057"/>
        <v xml:space="preserve">Зиненко Ю.А. Шаповалова Т.Ю.</v>
      </c>
      <c r="B723" s="1176" t="s">
        <v>390</v>
      </c>
      <c r="C723" s="1198"/>
      <c r="D723" s="1198"/>
      <c r="E723" s="1164">
        <f t="shared" si="1043"/>
        <v>0</v>
      </c>
      <c r="F723" s="1164">
        <f t="shared" si="1058"/>
        <v>0</v>
      </c>
      <c r="G723" s="1165">
        <f t="shared" ref="G723:G725" si="1097">E723+F723</f>
        <v>0</v>
      </c>
      <c r="H723" s="1166"/>
      <c r="I723" s="1167">
        <f t="shared" si="1045"/>
        <v>0</v>
      </c>
      <c r="J723" s="1167">
        <f t="shared" si="1060"/>
        <v>0</v>
      </c>
      <c r="K723" s="1168">
        <f t="shared" ref="K723:K725" si="1098">I723+J723</f>
        <v>0</v>
      </c>
      <c r="L723" s="1197"/>
      <c r="M723" s="1169"/>
      <c r="N723" s="1199"/>
      <c r="O723" s="1169"/>
      <c r="P723" s="1169"/>
      <c r="Q723" s="1169">
        <f t="shared" ref="Q723:Q725" si="1099">SUM(M723:P723)</f>
        <v>0</v>
      </c>
      <c r="R723" s="1169"/>
      <c r="S723" s="1170"/>
      <c r="T723" s="1171"/>
      <c r="U723" s="1128"/>
      <c r="V723" s="1169"/>
      <c r="W723" s="1199"/>
      <c r="X723" s="1199"/>
      <c r="Y723" s="1169"/>
      <c r="Z723" s="1169">
        <f t="shared" ref="Z723:Z725" si="1100">SUM(V723:Y723)</f>
        <v>0</v>
      </c>
      <c r="AA723" s="1169"/>
      <c r="AB723" s="1172">
        <f t="shared" si="1064"/>
        <v>0</v>
      </c>
      <c r="AC723" s="1171"/>
      <c r="AD723" s="1128"/>
      <c r="AE723" s="1169"/>
      <c r="AF723" s="1199"/>
      <c r="AG723" s="1199"/>
      <c r="AH723" s="1169"/>
      <c r="AI723" s="1169">
        <f t="shared" ref="AI723:AI725" si="1101">SUM(AE723:AH723)</f>
        <v>0</v>
      </c>
      <c r="AJ723" s="1169"/>
      <c r="AK723" s="1170"/>
      <c r="AL723" s="1171"/>
      <c r="AM723" s="1128"/>
      <c r="AN723" s="1170"/>
      <c r="AO723" s="1200"/>
      <c r="AP723" s="1200"/>
      <c r="AQ723" s="1170"/>
      <c r="AR723" s="1170">
        <f t="shared" ref="AR723:AR725" si="1102">SUM(AN723:AQ723)</f>
        <v>0</v>
      </c>
      <c r="AS723" s="1170"/>
      <c r="AT723" s="1170"/>
      <c r="AU723" s="1174"/>
      <c r="AV723" s="1241"/>
      <c r="AW723" s="1169"/>
      <c r="AX723" s="1199"/>
      <c r="AY723" s="1199"/>
      <c r="AZ723" s="1169"/>
      <c r="BA723" s="1169">
        <f t="shared" ref="BA723:BA725" si="1103">SUM(AW723:AZ723)</f>
        <v>0</v>
      </c>
      <c r="BB723" s="1169"/>
      <c r="BC723" s="1029"/>
      <c r="BD723" s="1027"/>
      <c r="BE723" s="1029"/>
      <c r="BF723" s="1029"/>
    </row>
    <row r="724" ht="21" customHeight="1">
      <c r="A724" s="999" t="str">
        <f t="shared" si="1057"/>
        <v xml:space="preserve">Майорова И.В.</v>
      </c>
      <c r="B724" s="1176" t="s">
        <v>392</v>
      </c>
      <c r="C724" s="1198"/>
      <c r="D724" s="1198"/>
      <c r="E724" s="1164">
        <f t="shared" si="1043"/>
        <v>0</v>
      </c>
      <c r="F724" s="1164">
        <f t="shared" si="1058"/>
        <v>0</v>
      </c>
      <c r="G724" s="1165">
        <f t="shared" si="1097"/>
        <v>0</v>
      </c>
      <c r="H724" s="1166"/>
      <c r="I724" s="1167">
        <f t="shared" si="1045"/>
        <v>0</v>
      </c>
      <c r="J724" s="1167">
        <f t="shared" si="1060"/>
        <v>0</v>
      </c>
      <c r="K724" s="1168">
        <f t="shared" si="1098"/>
        <v>0</v>
      </c>
      <c r="L724" s="1197"/>
      <c r="M724" s="1169"/>
      <c r="N724" s="1177"/>
      <c r="O724" s="1169"/>
      <c r="P724" s="1169"/>
      <c r="Q724" s="1169">
        <f t="shared" si="1099"/>
        <v>0</v>
      </c>
      <c r="R724" s="1169"/>
      <c r="S724" s="1170"/>
      <c r="T724" s="1171"/>
      <c r="U724" s="1128"/>
      <c r="V724" s="1169"/>
      <c r="W724" s="1177"/>
      <c r="X724" s="1177"/>
      <c r="Y724" s="1169"/>
      <c r="Z724" s="1169">
        <f t="shared" si="1100"/>
        <v>0</v>
      </c>
      <c r="AA724" s="1169"/>
      <c r="AB724" s="1172">
        <f t="shared" si="1064"/>
        <v>0</v>
      </c>
      <c r="AC724" s="1171"/>
      <c r="AD724" s="1128"/>
      <c r="AE724" s="1169"/>
      <c r="AF724" s="1177"/>
      <c r="AG724" s="1177"/>
      <c r="AH724" s="1169"/>
      <c r="AI724" s="1169">
        <f t="shared" si="1101"/>
        <v>0</v>
      </c>
      <c r="AJ724" s="1169"/>
      <c r="AK724" s="1170"/>
      <c r="AL724" s="1171"/>
      <c r="AM724" s="1128"/>
      <c r="AN724" s="1170"/>
      <c r="AO724" s="1175"/>
      <c r="AP724" s="1175"/>
      <c r="AQ724" s="1170"/>
      <c r="AR724" s="1170">
        <f t="shared" si="1102"/>
        <v>0</v>
      </c>
      <c r="AS724" s="1170"/>
      <c r="AT724" s="1170"/>
      <c r="AU724" s="1174"/>
      <c r="AV724" s="1241"/>
      <c r="AW724" s="1169"/>
      <c r="AX724" s="1177"/>
      <c r="AY724" s="1177"/>
      <c r="AZ724" s="1169"/>
      <c r="BA724" s="1169">
        <f t="shared" si="1103"/>
        <v>0</v>
      </c>
      <c r="BB724" s="1169"/>
      <c r="BC724" s="1029"/>
      <c r="BD724" s="1027"/>
      <c r="BE724" s="1029"/>
      <c r="BF724" s="1029"/>
    </row>
    <row r="725">
      <c r="A725" s="999" t="str">
        <f t="shared" si="1057"/>
        <v xml:space="preserve">Гребенюк Ю.С.,  Молчанова Н.М.</v>
      </c>
      <c r="B725" s="1176" t="s">
        <v>265</v>
      </c>
      <c r="C725" s="1176"/>
      <c r="D725" s="1176"/>
      <c r="E725" s="1164">
        <f t="shared" si="1043"/>
        <v>0</v>
      </c>
      <c r="F725" s="1164">
        <f t="shared" si="1058"/>
        <v>0</v>
      </c>
      <c r="G725" s="1165">
        <f t="shared" si="1097"/>
        <v>0</v>
      </c>
      <c r="H725" s="1166"/>
      <c r="I725" s="1167">
        <f t="shared" si="1045"/>
        <v>0</v>
      </c>
      <c r="J725" s="1167">
        <f t="shared" si="1060"/>
        <v>0</v>
      </c>
      <c r="K725" s="1168">
        <f t="shared" si="1098"/>
        <v>0</v>
      </c>
      <c r="L725" s="1128"/>
      <c r="M725" s="1169"/>
      <c r="N725" s="1177"/>
      <c r="O725" s="1169"/>
      <c r="P725" s="1169"/>
      <c r="Q725" s="1169">
        <f t="shared" si="1099"/>
        <v>0</v>
      </c>
      <c r="R725" s="1169"/>
      <c r="S725" s="1170"/>
      <c r="T725" s="1171"/>
      <c r="U725" s="1128"/>
      <c r="V725" s="1169"/>
      <c r="W725" s="1177"/>
      <c r="X725" s="1177"/>
      <c r="Y725" s="1169"/>
      <c r="Z725" s="1169">
        <f t="shared" si="1100"/>
        <v>0</v>
      </c>
      <c r="AA725" s="1169"/>
      <c r="AB725" s="1172">
        <f t="shared" si="1064"/>
        <v>0</v>
      </c>
      <c r="AC725" s="1171"/>
      <c r="AD725" s="1128"/>
      <c r="AE725" s="1169"/>
      <c r="AF725" s="1177"/>
      <c r="AG725" s="1177"/>
      <c r="AH725" s="1169"/>
      <c r="AI725" s="1169">
        <f t="shared" si="1101"/>
        <v>0</v>
      </c>
      <c r="AJ725" s="1169"/>
      <c r="AK725" s="1170"/>
      <c r="AL725" s="1171"/>
      <c r="AM725" s="1128"/>
      <c r="AN725" s="1170"/>
      <c r="AO725" s="1175"/>
      <c r="AP725" s="1175"/>
      <c r="AQ725" s="1170"/>
      <c r="AR725" s="1170">
        <f t="shared" si="1102"/>
        <v>0</v>
      </c>
      <c r="AS725" s="1170"/>
      <c r="AT725" s="1170"/>
      <c r="AU725" s="1174"/>
      <c r="AV725" s="1241"/>
      <c r="AW725" s="1169"/>
      <c r="AX725" s="1177"/>
      <c r="AY725" s="1177"/>
      <c r="AZ725" s="1169"/>
      <c r="BA725" s="1169">
        <f t="shared" si="1103"/>
        <v>0</v>
      </c>
      <c r="BB725" s="1169"/>
      <c r="BC725" s="1029"/>
      <c r="BD725" s="1027"/>
      <c r="BE725" s="1029"/>
      <c r="BF725" s="1029"/>
    </row>
    <row r="726" s="1180" customFormat="1" ht="22.5">
      <c r="A726" s="999">
        <f t="shared" si="1057"/>
        <v>0</v>
      </c>
      <c r="B726" s="1182" t="s">
        <v>394</v>
      </c>
      <c r="C726" s="1182"/>
      <c r="D726" s="1182"/>
      <c r="E726" s="1183">
        <f t="shared" si="1043"/>
        <v>0</v>
      </c>
      <c r="F726" s="1183">
        <f t="shared" si="1058"/>
        <v>0</v>
      </c>
      <c r="G726" s="1184">
        <f>SUM(G723:G725)</f>
        <v>0</v>
      </c>
      <c r="H726" s="1185"/>
      <c r="I726" s="1186">
        <f t="shared" si="1045"/>
        <v>0</v>
      </c>
      <c r="J726" s="1186">
        <f t="shared" si="1060"/>
        <v>0</v>
      </c>
      <c r="K726" s="1187">
        <f>SUM(K723:K725)</f>
        <v>0</v>
      </c>
      <c r="L726" s="1197"/>
      <c r="M726" s="1096">
        <f t="shared" ref="M726:R730" si="1104">SUM(M723:M725)</f>
        <v>0</v>
      </c>
      <c r="N726" s="1096">
        <f t="shared" si="1104"/>
        <v>0</v>
      </c>
      <c r="O726" s="1096">
        <f t="shared" si="1104"/>
        <v>0</v>
      </c>
      <c r="P726" s="1096">
        <f t="shared" si="1104"/>
        <v>0</v>
      </c>
      <c r="Q726" s="1096">
        <f t="shared" si="1104"/>
        <v>0</v>
      </c>
      <c r="R726" s="1096">
        <f t="shared" si="1104"/>
        <v>0</v>
      </c>
      <c r="S726" s="1190"/>
      <c r="T726" s="1189"/>
      <c r="U726" s="1128"/>
      <c r="V726" s="1096">
        <f t="shared" ref="V726:AA730" si="1105">SUM(V723:V725)</f>
        <v>0</v>
      </c>
      <c r="W726" s="1096">
        <f t="shared" si="1105"/>
        <v>0</v>
      </c>
      <c r="X726" s="1096">
        <f t="shared" si="1105"/>
        <v>0</v>
      </c>
      <c r="Y726" s="1096">
        <f t="shared" si="1105"/>
        <v>0</v>
      </c>
      <c r="Z726" s="1096">
        <f t="shared" si="1105"/>
        <v>0</v>
      </c>
      <c r="AA726" s="1096">
        <f t="shared" si="1105"/>
        <v>0</v>
      </c>
      <c r="AB726" s="1172">
        <f t="shared" si="1064"/>
        <v>0</v>
      </c>
      <c r="AC726" s="1189"/>
      <c r="AD726" s="1125"/>
      <c r="AE726" s="1096">
        <f t="shared" ref="AE726:AJ730" si="1106">SUM(AE723:AE725)</f>
        <v>0</v>
      </c>
      <c r="AF726" s="1096">
        <f t="shared" si="1106"/>
        <v>0</v>
      </c>
      <c r="AG726" s="1096">
        <f t="shared" si="1106"/>
        <v>0</v>
      </c>
      <c r="AH726" s="1096">
        <f t="shared" si="1106"/>
        <v>0</v>
      </c>
      <c r="AI726" s="1096">
        <f t="shared" si="1106"/>
        <v>0</v>
      </c>
      <c r="AJ726" s="1096">
        <f t="shared" si="1106"/>
        <v>0</v>
      </c>
      <c r="AK726" s="1190"/>
      <c r="AL726" s="1189"/>
      <c r="AM726" s="1125"/>
      <c r="AN726" s="1190">
        <f t="shared" ref="AN726:AS730" si="1107">SUM(AN723:AN725)</f>
        <v>0</v>
      </c>
      <c r="AO726" s="1190">
        <f t="shared" si="1107"/>
        <v>0</v>
      </c>
      <c r="AP726" s="1190">
        <f t="shared" si="1107"/>
        <v>0</v>
      </c>
      <c r="AQ726" s="1190">
        <f t="shared" si="1107"/>
        <v>0</v>
      </c>
      <c r="AR726" s="1190">
        <f t="shared" si="1107"/>
        <v>0</v>
      </c>
      <c r="AS726" s="1190">
        <f t="shared" si="1107"/>
        <v>0</v>
      </c>
      <c r="AT726" s="1190"/>
      <c r="AU726" s="1191"/>
      <c r="AV726" s="1245"/>
      <c r="AW726" s="1096">
        <f t="shared" ref="AW726:BB730" si="1108">SUM(AW723:AW725)</f>
        <v>0</v>
      </c>
      <c r="AX726" s="1096">
        <f t="shared" si="1108"/>
        <v>0</v>
      </c>
      <c r="AY726" s="1096">
        <f t="shared" si="1108"/>
        <v>0</v>
      </c>
      <c r="AZ726" s="1096">
        <f t="shared" si="1108"/>
        <v>0</v>
      </c>
      <c r="BA726" s="1096">
        <f t="shared" si="1108"/>
        <v>0</v>
      </c>
      <c r="BB726" s="1096">
        <f t="shared" si="1108"/>
        <v>0</v>
      </c>
      <c r="BC726" s="1051"/>
      <c r="BD726" s="1052"/>
      <c r="BE726" s="1051"/>
      <c r="BF726" s="1051"/>
      <c r="BG726" s="1106"/>
      <c r="BH726" s="1106"/>
      <c r="BI726" s="1106"/>
      <c r="BJ726" s="1106"/>
      <c r="BK726" s="1106"/>
      <c r="BL726" s="1106"/>
      <c r="BM726" s="1106"/>
    </row>
    <row r="727">
      <c r="A727" s="999" t="s">
        <v>503</v>
      </c>
      <c r="B727" s="1202" t="s">
        <v>50</v>
      </c>
      <c r="C727" s="1202"/>
      <c r="D727" s="1202"/>
      <c r="E727" s="1164">
        <f t="shared" si="1043"/>
        <v>0</v>
      </c>
      <c r="F727" s="1164">
        <f t="shared" si="1058"/>
        <v>0</v>
      </c>
      <c r="G727" s="1165">
        <f t="shared" ref="G727:G729" si="1109">E727+F727</f>
        <v>0</v>
      </c>
      <c r="H727" s="1166"/>
      <c r="I727" s="1167">
        <f t="shared" si="1045"/>
        <v>0</v>
      </c>
      <c r="J727" s="1167">
        <f t="shared" si="1060"/>
        <v>0</v>
      </c>
      <c r="K727" s="1168">
        <f t="shared" ref="K727:K729" si="1110">I727+J727</f>
        <v>0</v>
      </c>
      <c r="L727" s="1128"/>
      <c r="M727" s="1169"/>
      <c r="N727" s="1177"/>
      <c r="O727" s="1169"/>
      <c r="P727" s="1169"/>
      <c r="Q727" s="1169">
        <f t="shared" ref="Q727:Q729" si="1111">SUM(M727:P727)</f>
        <v>0</v>
      </c>
      <c r="R727" s="1169"/>
      <c r="S727" s="1170"/>
      <c r="T727" s="1171"/>
      <c r="U727" s="1128"/>
      <c r="V727" s="1169"/>
      <c r="W727" s="1177"/>
      <c r="X727" s="1177"/>
      <c r="Y727" s="1169"/>
      <c r="Z727" s="1169">
        <f t="shared" ref="Z727:Z729" si="1112">SUM(V727:Y727)</f>
        <v>0</v>
      </c>
      <c r="AA727" s="1169"/>
      <c r="AB727" s="1172">
        <f t="shared" si="1064"/>
        <v>0</v>
      </c>
      <c r="AC727" s="1171"/>
      <c r="AD727" s="1128"/>
      <c r="AE727" s="1169"/>
      <c r="AF727" s="1177"/>
      <c r="AG727" s="1177"/>
      <c r="AH727" s="1169"/>
      <c r="AI727" s="1169">
        <f t="shared" ref="AI727:AI729" si="1113">SUM(AE727:AH727)</f>
        <v>0</v>
      </c>
      <c r="AJ727" s="1169"/>
      <c r="AK727" s="1170"/>
      <c r="AL727" s="1171"/>
      <c r="AM727" s="1128"/>
      <c r="AN727" s="1170"/>
      <c r="AO727" s="1175"/>
      <c r="AP727" s="1175"/>
      <c r="AQ727" s="1170"/>
      <c r="AR727" s="1170">
        <f t="shared" ref="AR727:AR729" si="1114">SUM(AN727:AQ727)</f>
        <v>0</v>
      </c>
      <c r="AS727" s="1170"/>
      <c r="AT727" s="1170"/>
      <c r="AU727" s="1174"/>
      <c r="AV727" s="1241"/>
      <c r="AW727" s="1169"/>
      <c r="AX727" s="1177"/>
      <c r="AY727" s="1177"/>
      <c r="AZ727" s="1169"/>
      <c r="BA727" s="1169">
        <f t="shared" ref="BA727:BA729" si="1115">SUM(AW727:AZ727)</f>
        <v>0</v>
      </c>
      <c r="BB727" s="1169"/>
      <c r="BC727" s="1029"/>
      <c r="BD727" s="1027"/>
      <c r="BE727" s="1029"/>
      <c r="BF727" s="1029"/>
    </row>
    <row r="728">
      <c r="A728" s="999" t="str">
        <f t="shared" si="1057"/>
        <v xml:space="preserve">Лещенко О.А.</v>
      </c>
      <c r="B728" s="1202" t="s">
        <v>397</v>
      </c>
      <c r="C728" s="1202"/>
      <c r="D728" s="1202"/>
      <c r="E728" s="1164">
        <f t="shared" si="1043"/>
        <v>0</v>
      </c>
      <c r="F728" s="1164">
        <f t="shared" si="1058"/>
        <v>0</v>
      </c>
      <c r="G728" s="1165">
        <f t="shared" si="1109"/>
        <v>0</v>
      </c>
      <c r="H728" s="1166"/>
      <c r="I728" s="1167">
        <f t="shared" si="1045"/>
        <v>0</v>
      </c>
      <c r="J728" s="1167">
        <f t="shared" si="1060"/>
        <v>0</v>
      </c>
      <c r="K728" s="1168">
        <f t="shared" si="1110"/>
        <v>0</v>
      </c>
      <c r="L728" s="1128"/>
      <c r="M728" s="1169"/>
      <c r="N728" s="1177"/>
      <c r="O728" s="1169"/>
      <c r="P728" s="1169"/>
      <c r="Q728" s="1169">
        <f t="shared" si="1111"/>
        <v>0</v>
      </c>
      <c r="R728" s="1169"/>
      <c r="S728" s="1170"/>
      <c r="T728" s="1171"/>
      <c r="U728" s="1128"/>
      <c r="V728" s="1169"/>
      <c r="W728" s="1177"/>
      <c r="X728" s="1177"/>
      <c r="Y728" s="1169"/>
      <c r="Z728" s="1169">
        <f t="shared" si="1112"/>
        <v>0</v>
      </c>
      <c r="AA728" s="1169"/>
      <c r="AB728" s="1172">
        <f t="shared" si="1064"/>
        <v>0</v>
      </c>
      <c r="AC728" s="1171"/>
      <c r="AD728" s="1128"/>
      <c r="AE728" s="1169"/>
      <c r="AF728" s="1177"/>
      <c r="AG728" s="1177"/>
      <c r="AH728" s="1169"/>
      <c r="AI728" s="1169">
        <f t="shared" si="1113"/>
        <v>0</v>
      </c>
      <c r="AJ728" s="1169"/>
      <c r="AK728" s="1170"/>
      <c r="AL728" s="1171"/>
      <c r="AM728" s="1128"/>
      <c r="AN728" s="1170"/>
      <c r="AO728" s="1175"/>
      <c r="AP728" s="1175"/>
      <c r="AQ728" s="1170"/>
      <c r="AR728" s="1170">
        <f t="shared" si="1114"/>
        <v>0</v>
      </c>
      <c r="AS728" s="1170"/>
      <c r="AT728" s="1170"/>
      <c r="AU728" s="1174"/>
      <c r="AV728" s="1241"/>
      <c r="AW728" s="1169"/>
      <c r="AX728" s="1177"/>
      <c r="AY728" s="1177"/>
      <c r="AZ728" s="1169"/>
      <c r="BA728" s="1169">
        <f t="shared" si="1115"/>
        <v>0</v>
      </c>
      <c r="BB728" s="1169"/>
      <c r="BC728" s="1029"/>
      <c r="BD728" s="1027"/>
      <c r="BE728" s="1029"/>
      <c r="BF728" s="1029"/>
    </row>
    <row r="729">
      <c r="A729" s="999" t="str">
        <f t="shared" si="1057"/>
        <v xml:space="preserve">Павленко И.В.</v>
      </c>
      <c r="B729" s="1202" t="s">
        <v>399</v>
      </c>
      <c r="C729" s="1202"/>
      <c r="D729" s="1202"/>
      <c r="E729" s="1164">
        <f t="shared" si="1043"/>
        <v>0</v>
      </c>
      <c r="F729" s="1164">
        <f t="shared" si="1058"/>
        <v>0</v>
      </c>
      <c r="G729" s="1165">
        <f t="shared" si="1109"/>
        <v>0</v>
      </c>
      <c r="H729" s="1166"/>
      <c r="I729" s="1167">
        <f t="shared" si="1045"/>
        <v>0</v>
      </c>
      <c r="J729" s="1167">
        <f t="shared" si="1060"/>
        <v>0</v>
      </c>
      <c r="K729" s="1168">
        <f t="shared" si="1110"/>
        <v>0</v>
      </c>
      <c r="L729" s="1128"/>
      <c r="M729" s="1169"/>
      <c r="N729" s="1177"/>
      <c r="O729" s="1169"/>
      <c r="P729" s="1169"/>
      <c r="Q729" s="1169">
        <f t="shared" si="1111"/>
        <v>0</v>
      </c>
      <c r="R729" s="1169"/>
      <c r="S729" s="1170"/>
      <c r="T729" s="1171"/>
      <c r="U729" s="1128"/>
      <c r="V729" s="1169"/>
      <c r="W729" s="1177"/>
      <c r="X729" s="1177"/>
      <c r="Y729" s="1169"/>
      <c r="Z729" s="1169">
        <f t="shared" si="1112"/>
        <v>0</v>
      </c>
      <c r="AA729" s="1169"/>
      <c r="AB729" s="1172">
        <f t="shared" si="1064"/>
        <v>0</v>
      </c>
      <c r="AC729" s="1171"/>
      <c r="AD729" s="1128"/>
      <c r="AE729" s="1169"/>
      <c r="AF729" s="1177"/>
      <c r="AG729" s="1177"/>
      <c r="AH729" s="1169"/>
      <c r="AI729" s="1169">
        <f t="shared" si="1113"/>
        <v>0</v>
      </c>
      <c r="AJ729" s="1169"/>
      <c r="AK729" s="1170"/>
      <c r="AL729" s="1171"/>
      <c r="AM729" s="1128"/>
      <c r="AN729" s="1170"/>
      <c r="AO729" s="1175"/>
      <c r="AP729" s="1175"/>
      <c r="AQ729" s="1170"/>
      <c r="AR729" s="1170">
        <f t="shared" si="1114"/>
        <v>0</v>
      </c>
      <c r="AS729" s="1170"/>
      <c r="AT729" s="1170"/>
      <c r="AU729" s="1174"/>
      <c r="AV729" s="1241"/>
      <c r="AW729" s="1169"/>
      <c r="AX729" s="1177"/>
      <c r="AY729" s="1177"/>
      <c r="AZ729" s="1169"/>
      <c r="BA729" s="1169">
        <f t="shared" si="1115"/>
        <v>0</v>
      </c>
      <c r="BB729" s="1169"/>
      <c r="BC729" s="1029"/>
      <c r="BD729" s="1027"/>
      <c r="BE729" s="1029"/>
      <c r="BF729" s="1029"/>
    </row>
    <row r="730" s="1180" customFormat="1" ht="22.5">
      <c r="A730" s="999">
        <f t="shared" si="1057"/>
        <v>0</v>
      </c>
      <c r="B730" s="1205" t="s">
        <v>363</v>
      </c>
      <c r="C730" s="1205"/>
      <c r="D730" s="1205"/>
      <c r="E730" s="1183">
        <f t="shared" si="1043"/>
        <v>0</v>
      </c>
      <c r="F730" s="1183">
        <f t="shared" si="1058"/>
        <v>0</v>
      </c>
      <c r="G730" s="1184">
        <f>SUM(G727:G729)</f>
        <v>0</v>
      </c>
      <c r="H730" s="1185"/>
      <c r="I730" s="1186">
        <f t="shared" si="1045"/>
        <v>0</v>
      </c>
      <c r="J730" s="1186">
        <f t="shared" si="1060"/>
        <v>0</v>
      </c>
      <c r="K730" s="1187">
        <f>SUM(K727:K729)</f>
        <v>0</v>
      </c>
      <c r="L730" s="1197"/>
      <c r="M730" s="1096">
        <f t="shared" si="1104"/>
        <v>0</v>
      </c>
      <c r="N730" s="1096">
        <f t="shared" si="1104"/>
        <v>0</v>
      </c>
      <c r="O730" s="1096">
        <f t="shared" si="1104"/>
        <v>0</v>
      </c>
      <c r="P730" s="1096">
        <f t="shared" si="1104"/>
        <v>0</v>
      </c>
      <c r="Q730" s="1096">
        <f t="shared" si="1104"/>
        <v>0</v>
      </c>
      <c r="R730" s="1096">
        <f t="shared" si="1104"/>
        <v>0</v>
      </c>
      <c r="S730" s="1190"/>
      <c r="T730" s="1189"/>
      <c r="U730" s="1128"/>
      <c r="V730" s="1096">
        <f t="shared" si="1105"/>
        <v>0</v>
      </c>
      <c r="W730" s="1096">
        <f t="shared" si="1105"/>
        <v>0</v>
      </c>
      <c r="X730" s="1096">
        <f t="shared" si="1105"/>
        <v>0</v>
      </c>
      <c r="Y730" s="1096">
        <f t="shared" si="1105"/>
        <v>0</v>
      </c>
      <c r="Z730" s="1096">
        <f t="shared" si="1105"/>
        <v>0</v>
      </c>
      <c r="AA730" s="1096">
        <f t="shared" si="1105"/>
        <v>0</v>
      </c>
      <c r="AB730" s="1172">
        <f t="shared" si="1064"/>
        <v>0</v>
      </c>
      <c r="AC730" s="1189"/>
      <c r="AD730" s="1125"/>
      <c r="AE730" s="1096">
        <f t="shared" si="1106"/>
        <v>0</v>
      </c>
      <c r="AF730" s="1096">
        <f t="shared" si="1106"/>
        <v>0</v>
      </c>
      <c r="AG730" s="1096">
        <f t="shared" si="1106"/>
        <v>0</v>
      </c>
      <c r="AH730" s="1096">
        <f t="shared" si="1106"/>
        <v>0</v>
      </c>
      <c r="AI730" s="1096">
        <f t="shared" si="1106"/>
        <v>0</v>
      </c>
      <c r="AJ730" s="1096">
        <f t="shared" si="1106"/>
        <v>0</v>
      </c>
      <c r="AK730" s="1190"/>
      <c r="AL730" s="1189"/>
      <c r="AM730" s="1125"/>
      <c r="AN730" s="1190">
        <f t="shared" si="1107"/>
        <v>0</v>
      </c>
      <c r="AO730" s="1190">
        <f t="shared" si="1107"/>
        <v>0</v>
      </c>
      <c r="AP730" s="1190">
        <f t="shared" si="1107"/>
        <v>0</v>
      </c>
      <c r="AQ730" s="1190">
        <f t="shared" si="1107"/>
        <v>0</v>
      </c>
      <c r="AR730" s="1190">
        <f t="shared" si="1107"/>
        <v>0</v>
      </c>
      <c r="AS730" s="1190">
        <f t="shared" si="1107"/>
        <v>0</v>
      </c>
      <c r="AT730" s="1190"/>
      <c r="AU730" s="1191"/>
      <c r="AV730" s="1245"/>
      <c r="AW730" s="1096">
        <f t="shared" si="1108"/>
        <v>0</v>
      </c>
      <c r="AX730" s="1096">
        <f t="shared" si="1108"/>
        <v>0</v>
      </c>
      <c r="AY730" s="1096">
        <f t="shared" si="1108"/>
        <v>0</v>
      </c>
      <c r="AZ730" s="1096">
        <f t="shared" si="1108"/>
        <v>0</v>
      </c>
      <c r="BA730" s="1096">
        <f t="shared" si="1108"/>
        <v>0</v>
      </c>
      <c r="BB730" s="1096">
        <f t="shared" si="1108"/>
        <v>0</v>
      </c>
      <c r="BC730" s="1051"/>
      <c r="BD730" s="1052"/>
      <c r="BE730" s="1051"/>
      <c r="BF730" s="1051"/>
      <c r="BG730" s="1106"/>
      <c r="BH730" s="1106"/>
      <c r="BI730" s="1106"/>
      <c r="BJ730" s="1106"/>
      <c r="BK730" s="1106"/>
      <c r="BL730" s="1106"/>
      <c r="BM730" s="1106"/>
    </row>
    <row r="731" s="1180" customFormat="1" ht="22.5">
      <c r="A731" s="999">
        <f t="shared" si="1057"/>
        <v>0</v>
      </c>
      <c r="B731" s="1205" t="s">
        <v>400</v>
      </c>
      <c r="C731" s="1205"/>
      <c r="D731" s="1205"/>
      <c r="E731" s="1183">
        <f t="shared" si="1043"/>
        <v>0</v>
      </c>
      <c r="F731" s="1183">
        <f t="shared" si="1058"/>
        <v>0</v>
      </c>
      <c r="G731" s="1184">
        <f>G730+G726+G722+G716+G702</f>
        <v>0</v>
      </c>
      <c r="H731" s="1185"/>
      <c r="I731" s="1186">
        <f t="shared" si="1045"/>
        <v>0</v>
      </c>
      <c r="J731" s="1186">
        <f t="shared" si="1060"/>
        <v>0</v>
      </c>
      <c r="K731" s="1187">
        <f>K730+K726+K722+K716+K702</f>
        <v>0</v>
      </c>
      <c r="L731" s="1210">
        <f t="shared" ref="L731:R731" si="1116">L730+L726+L722+L716+L702</f>
        <v>0</v>
      </c>
      <c r="M731" s="1209">
        <f t="shared" si="1116"/>
        <v>0</v>
      </c>
      <c r="N731" s="1209">
        <f t="shared" si="1116"/>
        <v>0</v>
      </c>
      <c r="O731" s="1209">
        <f t="shared" si="1116"/>
        <v>0</v>
      </c>
      <c r="P731" s="1209">
        <f t="shared" si="1116"/>
        <v>0</v>
      </c>
      <c r="Q731" s="1209">
        <f t="shared" si="1116"/>
        <v>0</v>
      </c>
      <c r="R731" s="1209">
        <f t="shared" si="1116"/>
        <v>0</v>
      </c>
      <c r="S731" s="1211"/>
      <c r="T731" s="1208"/>
      <c r="U731" s="1211">
        <f t="shared" ref="U731:AA731" si="1117">U730+U726+U722+U716+U702</f>
        <v>0</v>
      </c>
      <c r="V731" s="1209">
        <f t="shared" si="1117"/>
        <v>0</v>
      </c>
      <c r="W731" s="1209">
        <f t="shared" si="1117"/>
        <v>0</v>
      </c>
      <c r="X731" s="1209">
        <f t="shared" si="1117"/>
        <v>0</v>
      </c>
      <c r="Y731" s="1209">
        <f t="shared" si="1117"/>
        <v>0</v>
      </c>
      <c r="Z731" s="1209">
        <f t="shared" si="1117"/>
        <v>0</v>
      </c>
      <c r="AA731" s="1209">
        <f t="shared" si="1117"/>
        <v>0</v>
      </c>
      <c r="AB731" s="1172">
        <f t="shared" si="1064"/>
        <v>0</v>
      </c>
      <c r="AC731" s="1208"/>
      <c r="AD731" s="1210">
        <f t="shared" ref="AD731:AJ731" si="1118">AD730+AD726+AD722+AD716+AD702</f>
        <v>0</v>
      </c>
      <c r="AE731" s="1209">
        <f t="shared" si="1118"/>
        <v>0</v>
      </c>
      <c r="AF731" s="1209">
        <f t="shared" si="1118"/>
        <v>0</v>
      </c>
      <c r="AG731" s="1209">
        <f t="shared" si="1118"/>
        <v>0</v>
      </c>
      <c r="AH731" s="1209">
        <f t="shared" si="1118"/>
        <v>0</v>
      </c>
      <c r="AI731" s="1209">
        <f t="shared" si="1118"/>
        <v>0</v>
      </c>
      <c r="AJ731" s="1209">
        <f t="shared" si="1118"/>
        <v>0</v>
      </c>
      <c r="AK731" s="1211"/>
      <c r="AL731" s="1208"/>
      <c r="AM731" s="1210">
        <f t="shared" ref="AM731:AS731" si="1119">AM730+AM726+AM722+AM716+AM702</f>
        <v>0</v>
      </c>
      <c r="AN731" s="1211">
        <f t="shared" si="1119"/>
        <v>0</v>
      </c>
      <c r="AO731" s="1211">
        <f t="shared" si="1119"/>
        <v>0</v>
      </c>
      <c r="AP731" s="1211">
        <f t="shared" si="1119"/>
        <v>0</v>
      </c>
      <c r="AQ731" s="1211">
        <f t="shared" si="1119"/>
        <v>0</v>
      </c>
      <c r="AR731" s="1211">
        <f t="shared" si="1119"/>
        <v>0</v>
      </c>
      <c r="AS731" s="1211">
        <f t="shared" si="1119"/>
        <v>0</v>
      </c>
      <c r="AT731" s="1211"/>
      <c r="AU731" s="1212"/>
      <c r="AV731" s="1211">
        <f t="shared" ref="AV731:BB731" si="1120">AV730+AV726+AV722+AV716+AV702</f>
        <v>0</v>
      </c>
      <c r="AW731" s="1209">
        <f t="shared" si="1120"/>
        <v>0</v>
      </c>
      <c r="AX731" s="1209">
        <f t="shared" si="1120"/>
        <v>0</v>
      </c>
      <c r="AY731" s="1209">
        <f t="shared" si="1120"/>
        <v>0</v>
      </c>
      <c r="AZ731" s="1209">
        <f t="shared" si="1120"/>
        <v>0</v>
      </c>
      <c r="BA731" s="1209">
        <f t="shared" si="1120"/>
        <v>0</v>
      </c>
      <c r="BB731" s="1209">
        <f t="shared" si="1120"/>
        <v>0</v>
      </c>
      <c r="BC731" s="1051"/>
      <c r="BD731" s="1052"/>
      <c r="BE731" s="1051"/>
      <c r="BF731" s="1051"/>
      <c r="BG731" s="1106"/>
      <c r="BH731" s="1106"/>
      <c r="BI731" s="1106"/>
      <c r="BJ731" s="1106"/>
      <c r="BK731" s="1106"/>
      <c r="BL731" s="1106"/>
      <c r="BM731" s="1106"/>
    </row>
    <row r="732">
      <c r="A732" s="999" t="str">
        <f t="shared" si="1057"/>
        <v xml:space="preserve">Куприянова А.В.</v>
      </c>
      <c r="B732" s="1202" t="s">
        <v>402</v>
      </c>
      <c r="C732" s="1202"/>
      <c r="D732" s="1202"/>
      <c r="E732" s="1164">
        <f t="shared" si="1043"/>
        <v>0</v>
      </c>
      <c r="F732" s="1164">
        <f t="shared" si="1058"/>
        <v>0</v>
      </c>
      <c r="G732" s="1165">
        <f t="shared" ref="G732:G733" si="1121">E732+F732</f>
        <v>0</v>
      </c>
      <c r="H732" s="1166"/>
      <c r="I732" s="1167">
        <f t="shared" si="1045"/>
        <v>0</v>
      </c>
      <c r="J732" s="1167">
        <f t="shared" si="1060"/>
        <v>0</v>
      </c>
      <c r="K732" s="1168">
        <f t="shared" ref="K732:K733" si="1122">I732+J732</f>
        <v>0</v>
      </c>
      <c r="L732" s="1128"/>
      <c r="M732" s="1169"/>
      <c r="N732" s="1177"/>
      <c r="O732" s="1169"/>
      <c r="P732" s="1169"/>
      <c r="Q732" s="1169">
        <f t="shared" ref="Q732:Q733" si="1123">SUM(M732:P732)</f>
        <v>0</v>
      </c>
      <c r="R732" s="1169"/>
      <c r="S732" s="1170"/>
      <c r="T732" s="1171"/>
      <c r="U732" s="1128"/>
      <c r="V732" s="1169"/>
      <c r="W732" s="1177"/>
      <c r="X732" s="1177"/>
      <c r="Y732" s="1169"/>
      <c r="Z732" s="1169">
        <f t="shared" ref="Z732:Z733" si="1124">SUM(V732:Y732)</f>
        <v>0</v>
      </c>
      <c r="AA732" s="1169"/>
      <c r="AB732" s="1172">
        <f t="shared" si="1064"/>
        <v>0</v>
      </c>
      <c r="AC732" s="1171"/>
      <c r="AD732" s="1128"/>
      <c r="AE732" s="1169"/>
      <c r="AF732" s="1177"/>
      <c r="AG732" s="1177"/>
      <c r="AH732" s="1169"/>
      <c r="AI732" s="1169">
        <f t="shared" ref="AI732:AI733" si="1125">SUM(AE732:AH732)</f>
        <v>0</v>
      </c>
      <c r="AJ732" s="1169"/>
      <c r="AK732" s="1170"/>
      <c r="AL732" s="1171"/>
      <c r="AM732" s="1128"/>
      <c r="AN732" s="1170"/>
      <c r="AO732" s="1175"/>
      <c r="AP732" s="1175"/>
      <c r="AQ732" s="1170"/>
      <c r="AR732" s="1170">
        <f t="shared" ref="AR732:AR733" si="1126">SUM(AN732:AQ732)</f>
        <v>0</v>
      </c>
      <c r="AS732" s="1170"/>
      <c r="AT732" s="1170"/>
      <c r="AU732" s="1174"/>
      <c r="AV732" s="1241"/>
      <c r="AW732" s="1169"/>
      <c r="AX732" s="1177"/>
      <c r="AY732" s="1177"/>
      <c r="AZ732" s="1169"/>
      <c r="BA732" s="1169">
        <f t="shared" ref="BA732:BA733" si="1127">SUM(AW732:AZ732)</f>
        <v>0</v>
      </c>
      <c r="BB732" s="1169"/>
      <c r="BC732" s="1029"/>
      <c r="BD732" s="1027"/>
      <c r="BE732" s="1029"/>
      <c r="BF732" s="1029"/>
    </row>
    <row r="733">
      <c r="A733" s="999" t="str">
        <f t="shared" si="1057"/>
        <v xml:space="preserve">Попова И.Ю.</v>
      </c>
      <c r="B733" s="1202" t="s">
        <v>404</v>
      </c>
      <c r="C733" s="1202"/>
      <c r="D733" s="1202"/>
      <c r="E733" s="1164">
        <f t="shared" si="1043"/>
        <v>0</v>
      </c>
      <c r="F733" s="1164">
        <f t="shared" si="1058"/>
        <v>0</v>
      </c>
      <c r="G733" s="1165">
        <f t="shared" si="1121"/>
        <v>0</v>
      </c>
      <c r="H733" s="1166"/>
      <c r="I733" s="1167">
        <f t="shared" si="1045"/>
        <v>0</v>
      </c>
      <c r="J733" s="1167">
        <f t="shared" si="1060"/>
        <v>0</v>
      </c>
      <c r="K733" s="1168">
        <f t="shared" si="1122"/>
        <v>0</v>
      </c>
      <c r="L733" s="1128"/>
      <c r="M733" s="1169"/>
      <c r="N733" s="1177"/>
      <c r="O733" s="1169"/>
      <c r="P733" s="1169"/>
      <c r="Q733" s="1169">
        <f t="shared" si="1123"/>
        <v>0</v>
      </c>
      <c r="R733" s="1169"/>
      <c r="S733" s="1170"/>
      <c r="T733" s="1171"/>
      <c r="U733" s="1128"/>
      <c r="V733" s="1169"/>
      <c r="W733" s="1177"/>
      <c r="X733" s="1177"/>
      <c r="Y733" s="1169"/>
      <c r="Z733" s="1169">
        <f t="shared" si="1124"/>
        <v>0</v>
      </c>
      <c r="AA733" s="1169"/>
      <c r="AB733" s="1172">
        <f t="shared" si="1064"/>
        <v>0</v>
      </c>
      <c r="AC733" s="1171"/>
      <c r="AD733" s="1128"/>
      <c r="AE733" s="1169"/>
      <c r="AF733" s="1177"/>
      <c r="AG733" s="1177"/>
      <c r="AH733" s="1169"/>
      <c r="AI733" s="1169">
        <f t="shared" si="1125"/>
        <v>0</v>
      </c>
      <c r="AJ733" s="1169"/>
      <c r="AK733" s="1170"/>
      <c r="AL733" s="1171"/>
      <c r="AM733" s="1128"/>
      <c r="AN733" s="1170"/>
      <c r="AO733" s="1175"/>
      <c r="AP733" s="1175"/>
      <c r="AQ733" s="1170"/>
      <c r="AR733" s="1170">
        <f t="shared" si="1126"/>
        <v>0</v>
      </c>
      <c r="AS733" s="1170"/>
      <c r="AT733" s="1170"/>
      <c r="AU733" s="1174"/>
      <c r="AV733" s="1241"/>
      <c r="AW733" s="1169"/>
      <c r="AX733" s="1177"/>
      <c r="AY733" s="1177"/>
      <c r="AZ733" s="1169"/>
      <c r="BA733" s="1169">
        <f t="shared" si="1127"/>
        <v>0</v>
      </c>
      <c r="BB733" s="1169"/>
      <c r="BC733" s="1029"/>
      <c r="BD733" s="1027"/>
      <c r="BE733" s="1029"/>
      <c r="BF733" s="1029"/>
    </row>
    <row r="734" s="1180" customFormat="1" ht="22.5">
      <c r="A734" s="999">
        <f t="shared" si="1057"/>
        <v>0</v>
      </c>
      <c r="B734" s="1205" t="s">
        <v>405</v>
      </c>
      <c r="C734" s="1205"/>
      <c r="D734" s="1205"/>
      <c r="E734" s="1183">
        <f t="shared" si="1043"/>
        <v>0</v>
      </c>
      <c r="F734" s="1183">
        <f t="shared" si="1058"/>
        <v>0</v>
      </c>
      <c r="G734" s="1184">
        <f>G732+G733</f>
        <v>0</v>
      </c>
      <c r="H734" s="1185"/>
      <c r="I734" s="1186">
        <f t="shared" si="1045"/>
        <v>0</v>
      </c>
      <c r="J734" s="1186">
        <f t="shared" si="1060"/>
        <v>0</v>
      </c>
      <c r="K734" s="1187">
        <f>K732+K733</f>
        <v>0</v>
      </c>
      <c r="L734" s="1210"/>
      <c r="M734" s="1213">
        <f t="shared" ref="M734:R734" si="1128">M732+M733</f>
        <v>0</v>
      </c>
      <c r="N734" s="1213">
        <f t="shared" si="1128"/>
        <v>0</v>
      </c>
      <c r="O734" s="1213">
        <f t="shared" si="1128"/>
        <v>0</v>
      </c>
      <c r="P734" s="1213">
        <f t="shared" si="1128"/>
        <v>0</v>
      </c>
      <c r="Q734" s="1213">
        <f t="shared" si="1128"/>
        <v>0</v>
      </c>
      <c r="R734" s="1213">
        <f t="shared" si="1128"/>
        <v>0</v>
      </c>
      <c r="S734" s="1304"/>
      <c r="T734" s="1214"/>
      <c r="U734" s="1210"/>
      <c r="V734" s="1209">
        <f t="shared" ref="V734:AA734" si="1129">V732+V733</f>
        <v>0</v>
      </c>
      <c r="W734" s="1209">
        <f t="shared" si="1129"/>
        <v>0</v>
      </c>
      <c r="X734" s="1209">
        <f t="shared" si="1129"/>
        <v>0</v>
      </c>
      <c r="Y734" s="1209">
        <f t="shared" si="1129"/>
        <v>0</v>
      </c>
      <c r="Z734" s="1209">
        <f t="shared" si="1129"/>
        <v>0</v>
      </c>
      <c r="AA734" s="1209">
        <f t="shared" si="1129"/>
        <v>0</v>
      </c>
      <c r="AB734" s="1172">
        <f t="shared" si="1064"/>
        <v>0</v>
      </c>
      <c r="AC734" s="1208"/>
      <c r="AD734" s="1210"/>
      <c r="AE734" s="1209">
        <f t="shared" ref="AE734:AJ734" si="1130">AE732+AE733</f>
        <v>0</v>
      </c>
      <c r="AF734" s="1209">
        <f t="shared" si="1130"/>
        <v>0</v>
      </c>
      <c r="AG734" s="1209">
        <f t="shared" si="1130"/>
        <v>0</v>
      </c>
      <c r="AH734" s="1209">
        <f t="shared" si="1130"/>
        <v>0</v>
      </c>
      <c r="AI734" s="1209">
        <f t="shared" si="1130"/>
        <v>0</v>
      </c>
      <c r="AJ734" s="1209">
        <f t="shared" si="1130"/>
        <v>0</v>
      </c>
      <c r="AK734" s="1211"/>
      <c r="AL734" s="1208"/>
      <c r="AM734" s="1210"/>
      <c r="AN734" s="1211">
        <f t="shared" ref="AN734:AS734" si="1131">AN732+AN733</f>
        <v>0</v>
      </c>
      <c r="AO734" s="1211">
        <f t="shared" si="1131"/>
        <v>0</v>
      </c>
      <c r="AP734" s="1211">
        <f t="shared" si="1131"/>
        <v>0</v>
      </c>
      <c r="AQ734" s="1211">
        <f t="shared" si="1131"/>
        <v>0</v>
      </c>
      <c r="AR734" s="1211">
        <f t="shared" si="1131"/>
        <v>0</v>
      </c>
      <c r="AS734" s="1211">
        <f t="shared" si="1131"/>
        <v>0</v>
      </c>
      <c r="AT734" s="1211"/>
      <c r="AU734" s="1212"/>
      <c r="AV734" s="1210">
        <f t="shared" ref="AV734:BB734" si="1132">AV732+AV733</f>
        <v>0</v>
      </c>
      <c r="AW734" s="1209">
        <f t="shared" si="1132"/>
        <v>0</v>
      </c>
      <c r="AX734" s="1209">
        <f t="shared" si="1132"/>
        <v>0</v>
      </c>
      <c r="AY734" s="1209">
        <f t="shared" si="1132"/>
        <v>0</v>
      </c>
      <c r="AZ734" s="1209">
        <f t="shared" si="1132"/>
        <v>0</v>
      </c>
      <c r="BA734" s="1209">
        <f t="shared" si="1132"/>
        <v>0</v>
      </c>
      <c r="BB734" s="1209">
        <f t="shared" si="1132"/>
        <v>0</v>
      </c>
      <c r="BC734" s="1051"/>
      <c r="BD734" s="1052"/>
      <c r="BE734" s="1051"/>
      <c r="BF734" s="1051"/>
      <c r="BG734" s="1106"/>
      <c r="BH734" s="1106"/>
      <c r="BI734" s="1106"/>
      <c r="BJ734" s="1106"/>
      <c r="BK734" s="1106"/>
      <c r="BL734" s="1106"/>
      <c r="BM734" s="1106"/>
    </row>
    <row r="735" s="1180" customFormat="1">
      <c r="A735" s="999">
        <f t="shared" si="1057"/>
        <v>0</v>
      </c>
      <c r="B735" s="1205" t="s">
        <v>406</v>
      </c>
      <c r="C735" s="1205"/>
      <c r="D735" s="1205"/>
      <c r="E735" s="1164">
        <f t="shared" si="1043"/>
        <v>0</v>
      </c>
      <c r="F735" s="1164">
        <f t="shared" si="1058"/>
        <v>0</v>
      </c>
      <c r="G735" s="1184">
        <f>G731+G734</f>
        <v>0</v>
      </c>
      <c r="H735" s="1185"/>
      <c r="I735" s="1167">
        <f t="shared" si="1045"/>
        <v>0</v>
      </c>
      <c r="J735" s="1167">
        <f t="shared" si="1060"/>
        <v>0</v>
      </c>
      <c r="K735" s="1187">
        <f>K731+K734</f>
        <v>0</v>
      </c>
      <c r="L735" s="1210">
        <f t="shared" ref="L735:R735" si="1133">L731+L734</f>
        <v>0</v>
      </c>
      <c r="M735" s="1209">
        <f t="shared" si="1133"/>
        <v>0</v>
      </c>
      <c r="N735" s="1209">
        <f t="shared" si="1133"/>
        <v>0</v>
      </c>
      <c r="O735" s="1209">
        <f t="shared" si="1133"/>
        <v>0</v>
      </c>
      <c r="P735" s="1209">
        <f t="shared" si="1133"/>
        <v>0</v>
      </c>
      <c r="Q735" s="1209">
        <f t="shared" si="1133"/>
        <v>0</v>
      </c>
      <c r="R735" s="1209">
        <f t="shared" si="1133"/>
        <v>0</v>
      </c>
      <c r="S735" s="1211"/>
      <c r="T735" s="1208"/>
      <c r="U735" s="1211">
        <f t="shared" ref="U735:AA735" si="1134">U731+U734</f>
        <v>0</v>
      </c>
      <c r="V735" s="1209">
        <f t="shared" si="1134"/>
        <v>0</v>
      </c>
      <c r="W735" s="1209">
        <f t="shared" si="1134"/>
        <v>0</v>
      </c>
      <c r="X735" s="1209">
        <f t="shared" si="1134"/>
        <v>0</v>
      </c>
      <c r="Y735" s="1209">
        <f t="shared" si="1134"/>
        <v>0</v>
      </c>
      <c r="Z735" s="1209">
        <f t="shared" si="1134"/>
        <v>0</v>
      </c>
      <c r="AA735" s="1209">
        <f t="shared" si="1134"/>
        <v>0</v>
      </c>
      <c r="AB735" s="1172">
        <f t="shared" si="1064"/>
        <v>0</v>
      </c>
      <c r="AC735" s="1208"/>
      <c r="AD735" s="1210">
        <f t="shared" ref="AD735:AJ735" si="1135">AD731+AD734</f>
        <v>0</v>
      </c>
      <c r="AE735" s="1209">
        <f t="shared" si="1135"/>
        <v>0</v>
      </c>
      <c r="AF735" s="1209">
        <f t="shared" si="1135"/>
        <v>0</v>
      </c>
      <c r="AG735" s="1209">
        <f t="shared" si="1135"/>
        <v>0</v>
      </c>
      <c r="AH735" s="1209">
        <f t="shared" si="1135"/>
        <v>0</v>
      </c>
      <c r="AI735" s="1209">
        <f t="shared" si="1135"/>
        <v>0</v>
      </c>
      <c r="AJ735" s="1209">
        <f t="shared" si="1135"/>
        <v>0</v>
      </c>
      <c r="AK735" s="1211"/>
      <c r="AL735" s="1208"/>
      <c r="AM735" s="1210">
        <f t="shared" ref="AM735:AS735" si="1136">AM731+AM734</f>
        <v>0</v>
      </c>
      <c r="AN735" s="1211">
        <f t="shared" si="1136"/>
        <v>0</v>
      </c>
      <c r="AO735" s="1211">
        <f t="shared" si="1136"/>
        <v>0</v>
      </c>
      <c r="AP735" s="1211">
        <f t="shared" si="1136"/>
        <v>0</v>
      </c>
      <c r="AQ735" s="1211">
        <f t="shared" si="1136"/>
        <v>0</v>
      </c>
      <c r="AR735" s="1211">
        <f t="shared" si="1136"/>
        <v>0</v>
      </c>
      <c r="AS735" s="1211">
        <f t="shared" si="1136"/>
        <v>0</v>
      </c>
      <c r="AT735" s="1211"/>
      <c r="AU735" s="1212"/>
      <c r="AV735" s="1211">
        <f t="shared" ref="AV735:BB735" si="1137">AV731+AV734</f>
        <v>0</v>
      </c>
      <c r="AW735" s="1209">
        <f t="shared" si="1137"/>
        <v>0</v>
      </c>
      <c r="AX735" s="1209">
        <f t="shared" si="1137"/>
        <v>0</v>
      </c>
      <c r="AY735" s="1209">
        <f t="shared" si="1137"/>
        <v>0</v>
      </c>
      <c r="AZ735" s="1209">
        <f t="shared" si="1137"/>
        <v>0</v>
      </c>
      <c r="BA735" s="1209">
        <f t="shared" si="1137"/>
        <v>0</v>
      </c>
      <c r="BB735" s="1209">
        <f t="shared" si="1137"/>
        <v>0</v>
      </c>
      <c r="BC735" s="1051"/>
      <c r="BD735" s="1052"/>
      <c r="BE735" s="1051"/>
      <c r="BF735" s="1051"/>
      <c r="BG735" s="1106"/>
      <c r="BH735" s="1106"/>
      <c r="BI735" s="1106"/>
      <c r="BJ735" s="1106"/>
      <c r="BK735" s="1106"/>
      <c r="BL735" s="1106"/>
      <c r="BM735" s="1106"/>
    </row>
    <row r="736">
      <c r="A736" s="999">
        <f t="shared" si="1057"/>
        <v>0</v>
      </c>
      <c r="B736" s="1202" t="s">
        <v>407</v>
      </c>
      <c r="C736" s="1202"/>
      <c r="D736" s="1202"/>
      <c r="E736" s="1164">
        <f t="shared" si="1043"/>
        <v>0</v>
      </c>
      <c r="F736" s="1164">
        <f t="shared" si="1058"/>
        <v>0</v>
      </c>
      <c r="G736" s="1165">
        <f t="shared" ref="G736:G743" si="1138">E736+F736</f>
        <v>0</v>
      </c>
      <c r="H736" s="1166"/>
      <c r="I736" s="1167">
        <f t="shared" si="1045"/>
        <v>0</v>
      </c>
      <c r="J736" s="1167">
        <f t="shared" si="1060"/>
        <v>0</v>
      </c>
      <c r="K736" s="1168">
        <f t="shared" ref="K736:K743" si="1139">I736+J736</f>
        <v>0</v>
      </c>
      <c r="L736" s="1128"/>
      <c r="M736" s="1169"/>
      <c r="N736" s="1177"/>
      <c r="O736" s="1169"/>
      <c r="P736" s="1169"/>
      <c r="Q736" s="1169">
        <f t="shared" ref="Q736:Q743" si="1140">SUM(M736:P736)</f>
        <v>0</v>
      </c>
      <c r="R736" s="1169"/>
      <c r="S736" s="1170"/>
      <c r="T736" s="1171"/>
      <c r="U736" s="1128"/>
      <c r="V736" s="1169"/>
      <c r="W736" s="1177"/>
      <c r="X736" s="1177"/>
      <c r="Y736" s="1169"/>
      <c r="Z736" s="1169">
        <f t="shared" ref="Z736:Z743" si="1141">SUM(V736:Y736)</f>
        <v>0</v>
      </c>
      <c r="AA736" s="1169"/>
      <c r="AB736" s="1172">
        <f t="shared" si="1064"/>
        <v>0</v>
      </c>
      <c r="AC736" s="1171"/>
      <c r="AD736" s="1128"/>
      <c r="AE736" s="1169"/>
      <c r="AF736" s="1177"/>
      <c r="AG736" s="1177"/>
      <c r="AH736" s="1169"/>
      <c r="AI736" s="1169">
        <f t="shared" ref="AI736:AI743" si="1142">SUM(AE736:AH736)</f>
        <v>0</v>
      </c>
      <c r="AJ736" s="1169"/>
      <c r="AK736" s="1170"/>
      <c r="AL736" s="1171"/>
      <c r="AM736" s="1128"/>
      <c r="AN736" s="1170"/>
      <c r="AO736" s="1175"/>
      <c r="AP736" s="1175"/>
      <c r="AQ736" s="1170"/>
      <c r="AR736" s="1170">
        <f t="shared" ref="AR736:AR743" si="1143">SUM(AN736:AQ736)</f>
        <v>0</v>
      </c>
      <c r="AS736" s="1170"/>
      <c r="AT736" s="1170"/>
      <c r="AU736" s="1174"/>
      <c r="AV736" s="1241"/>
      <c r="AW736" s="1169"/>
      <c r="AX736" s="1177"/>
      <c r="AY736" s="1177"/>
      <c r="AZ736" s="1169"/>
      <c r="BA736" s="1169">
        <f t="shared" ref="BA736:BA743" si="1144">SUM(AW736:AZ736)</f>
        <v>0</v>
      </c>
      <c r="BB736" s="1169"/>
      <c r="BC736" s="1029"/>
      <c r="BD736" s="1027"/>
      <c r="BE736" s="1029"/>
      <c r="BF736" s="1029"/>
    </row>
    <row r="737">
      <c r="A737" s="999" t="str">
        <f t="shared" si="1057"/>
        <v xml:space="preserve">Леоненко Г.Н</v>
      </c>
      <c r="B737" s="1202" t="s">
        <v>409</v>
      </c>
      <c r="C737" s="1202"/>
      <c r="D737" s="1202"/>
      <c r="E737" s="1164">
        <f t="shared" si="1043"/>
        <v>0</v>
      </c>
      <c r="F737" s="1164">
        <f t="shared" si="1058"/>
        <v>0</v>
      </c>
      <c r="G737" s="1165">
        <f t="shared" si="1138"/>
        <v>0</v>
      </c>
      <c r="H737" s="1166"/>
      <c r="I737" s="1167">
        <f t="shared" si="1045"/>
        <v>0</v>
      </c>
      <c r="J737" s="1167">
        <f t="shared" si="1060"/>
        <v>0</v>
      </c>
      <c r="K737" s="1168">
        <f t="shared" si="1139"/>
        <v>0</v>
      </c>
      <c r="L737" s="1128"/>
      <c r="M737" s="1169"/>
      <c r="N737" s="1177"/>
      <c r="O737" s="1169"/>
      <c r="P737" s="1169"/>
      <c r="Q737" s="1169">
        <f t="shared" si="1140"/>
        <v>0</v>
      </c>
      <c r="R737" s="1169"/>
      <c r="S737" s="1170"/>
      <c r="T737" s="1171"/>
      <c r="U737" s="1128"/>
      <c r="V737" s="1169"/>
      <c r="W737" s="1177"/>
      <c r="X737" s="1177"/>
      <c r="Y737" s="1169"/>
      <c r="Z737" s="1169">
        <f t="shared" si="1141"/>
        <v>0</v>
      </c>
      <c r="AA737" s="1169"/>
      <c r="AB737" s="1172">
        <f t="shared" si="1064"/>
        <v>0</v>
      </c>
      <c r="AC737" s="1171"/>
      <c r="AD737" s="1128"/>
      <c r="AE737" s="1169"/>
      <c r="AF737" s="1177"/>
      <c r="AG737" s="1177"/>
      <c r="AH737" s="1169"/>
      <c r="AI737" s="1169">
        <f t="shared" si="1142"/>
        <v>0</v>
      </c>
      <c r="AJ737" s="1169"/>
      <c r="AK737" s="1170"/>
      <c r="AL737" s="1171"/>
      <c r="AM737" s="1128"/>
      <c r="AN737" s="1170"/>
      <c r="AO737" s="1175"/>
      <c r="AP737" s="1175"/>
      <c r="AQ737" s="1170"/>
      <c r="AR737" s="1170">
        <f t="shared" si="1143"/>
        <v>0</v>
      </c>
      <c r="AS737" s="1170"/>
      <c r="AT737" s="1170"/>
      <c r="AU737" s="1174"/>
      <c r="AV737" s="1241"/>
      <c r="AW737" s="1169"/>
      <c r="AX737" s="1177"/>
      <c r="AY737" s="1177"/>
      <c r="AZ737" s="1169"/>
      <c r="BA737" s="1169">
        <f t="shared" si="1144"/>
        <v>0</v>
      </c>
      <c r="BB737" s="1169"/>
      <c r="BC737" s="1029"/>
      <c r="BD737" s="1027"/>
      <c r="BE737" s="1029"/>
      <c r="BF737" s="1029"/>
    </row>
    <row r="738" s="1215" customFormat="1" ht="19.5" customHeight="1">
      <c r="A738" s="999" t="str">
        <f t="shared" si="1057"/>
        <v xml:space="preserve">Саяпина О.А.</v>
      </c>
      <c r="B738" s="1202" t="s">
        <v>411</v>
      </c>
      <c r="C738" s="1217"/>
      <c r="D738" s="1217"/>
      <c r="E738" s="1164">
        <f t="shared" si="1043"/>
        <v>0</v>
      </c>
      <c r="F738" s="1164">
        <f t="shared" si="1058"/>
        <v>0</v>
      </c>
      <c r="G738" s="1165">
        <f t="shared" si="1138"/>
        <v>0</v>
      </c>
      <c r="H738" s="1166"/>
      <c r="I738" s="1167">
        <f t="shared" si="1045"/>
        <v>0</v>
      </c>
      <c r="J738" s="1167">
        <f t="shared" si="1060"/>
        <v>0</v>
      </c>
      <c r="K738" s="1168">
        <f t="shared" si="1139"/>
        <v>0</v>
      </c>
      <c r="L738" s="1128"/>
      <c r="M738" s="1169"/>
      <c r="N738" s="1177"/>
      <c r="O738" s="1169"/>
      <c r="P738" s="1169"/>
      <c r="Q738" s="1169">
        <f t="shared" si="1140"/>
        <v>0</v>
      </c>
      <c r="R738" s="1169"/>
      <c r="S738" s="1170"/>
      <c r="T738" s="1171"/>
      <c r="U738" s="1128"/>
      <c r="V738" s="1169"/>
      <c r="W738" s="1177"/>
      <c r="X738" s="1177"/>
      <c r="Y738" s="1169"/>
      <c r="Z738" s="1169">
        <f t="shared" si="1141"/>
        <v>0</v>
      </c>
      <c r="AA738" s="1169"/>
      <c r="AB738" s="1172">
        <f t="shared" si="1064"/>
        <v>0</v>
      </c>
      <c r="AC738" s="1171"/>
      <c r="AD738" s="1128"/>
      <c r="AE738" s="1169"/>
      <c r="AF738" s="1177"/>
      <c r="AG738" s="1177"/>
      <c r="AH738" s="1169"/>
      <c r="AI738" s="1169">
        <f t="shared" si="1142"/>
        <v>0</v>
      </c>
      <c r="AJ738" s="1169"/>
      <c r="AK738" s="1170"/>
      <c r="AL738" s="1171"/>
      <c r="AM738" s="1128"/>
      <c r="AN738" s="1170"/>
      <c r="AO738" s="1175"/>
      <c r="AP738" s="1175"/>
      <c r="AQ738" s="1170"/>
      <c r="AR738" s="1170">
        <f t="shared" si="1143"/>
        <v>0</v>
      </c>
      <c r="AS738" s="1170"/>
      <c r="AT738" s="1170"/>
      <c r="AU738" s="1174"/>
      <c r="AV738" s="1128"/>
      <c r="AW738" s="1169"/>
      <c r="AX738" s="1177"/>
      <c r="AY738" s="1177"/>
      <c r="AZ738" s="1169"/>
      <c r="BA738" s="1169">
        <f t="shared" si="1144"/>
        <v>0</v>
      </c>
      <c r="BB738" s="1169"/>
      <c r="BC738" s="1024"/>
      <c r="BD738" s="1027"/>
      <c r="BE738" s="1024"/>
      <c r="BF738" s="1024"/>
      <c r="BG738" s="1008"/>
      <c r="BH738" s="1008"/>
      <c r="BI738" s="1008"/>
      <c r="BJ738" s="1008"/>
      <c r="BK738" s="1008"/>
      <c r="BL738" s="1008"/>
      <c r="BM738" s="1008"/>
    </row>
    <row r="739" s="1215" customFormat="1" ht="19.5" customHeight="1">
      <c r="A739" s="999" t="str">
        <f t="shared" si="1057"/>
        <v xml:space="preserve">Дегтярева Е.И. Акилова С.В.</v>
      </c>
      <c r="B739" s="1202" t="s">
        <v>413</v>
      </c>
      <c r="C739" s="1217"/>
      <c r="D739" s="1217"/>
      <c r="E739" s="1164">
        <f t="shared" si="1043"/>
        <v>0</v>
      </c>
      <c r="F739" s="1164">
        <f t="shared" si="1058"/>
        <v>0</v>
      </c>
      <c r="G739" s="1165">
        <f t="shared" si="1138"/>
        <v>0</v>
      </c>
      <c r="H739" s="1166"/>
      <c r="I739" s="1167">
        <f t="shared" si="1045"/>
        <v>0</v>
      </c>
      <c r="J739" s="1167">
        <f t="shared" si="1060"/>
        <v>0</v>
      </c>
      <c r="K739" s="1168">
        <f t="shared" si="1139"/>
        <v>0</v>
      </c>
      <c r="L739" s="1128"/>
      <c r="M739" s="1169"/>
      <c r="N739" s="1177"/>
      <c r="O739" s="1169"/>
      <c r="P739" s="1169"/>
      <c r="Q739" s="1169">
        <f t="shared" si="1140"/>
        <v>0</v>
      </c>
      <c r="R739" s="1169"/>
      <c r="S739" s="1170"/>
      <c r="T739" s="1171"/>
      <c r="U739" s="1128"/>
      <c r="V739" s="1169"/>
      <c r="W739" s="1177"/>
      <c r="X739" s="1177"/>
      <c r="Y739" s="1169"/>
      <c r="Z739" s="1169">
        <f t="shared" si="1141"/>
        <v>0</v>
      </c>
      <c r="AA739" s="1169"/>
      <c r="AB739" s="1172">
        <f t="shared" si="1064"/>
        <v>0</v>
      </c>
      <c r="AC739" s="1171"/>
      <c r="AD739" s="1128"/>
      <c r="AE739" s="1169"/>
      <c r="AF739" s="1177"/>
      <c r="AG739" s="1177"/>
      <c r="AH739" s="1169"/>
      <c r="AI739" s="1169">
        <f t="shared" si="1142"/>
        <v>0</v>
      </c>
      <c r="AJ739" s="1169"/>
      <c r="AK739" s="1170"/>
      <c r="AL739" s="1171"/>
      <c r="AM739" s="1128"/>
      <c r="AN739" s="1170"/>
      <c r="AO739" s="1175"/>
      <c r="AP739" s="1175"/>
      <c r="AQ739" s="1170"/>
      <c r="AR739" s="1170">
        <f t="shared" si="1143"/>
        <v>0</v>
      </c>
      <c r="AS739" s="1170"/>
      <c r="AT739" s="1170"/>
      <c r="AU739" s="1174"/>
      <c r="AV739" s="1128"/>
      <c r="AW739" s="1169"/>
      <c r="AX739" s="1177"/>
      <c r="AY739" s="1177"/>
      <c r="AZ739" s="1169"/>
      <c r="BA739" s="1169">
        <f t="shared" si="1144"/>
        <v>0</v>
      </c>
      <c r="BB739" s="1169"/>
      <c r="BC739" s="1024"/>
      <c r="BD739" s="1027"/>
      <c r="BE739" s="1024"/>
      <c r="BF739" s="1024"/>
      <c r="BG739" s="1008"/>
      <c r="BH739" s="1008"/>
      <c r="BI739" s="1008"/>
      <c r="BJ739" s="1008"/>
      <c r="BK739" s="1008"/>
      <c r="BL739" s="1008"/>
      <c r="BM739" s="1008"/>
    </row>
    <row r="740" s="1215" customFormat="1">
      <c r="A740" s="999">
        <f t="shared" si="1057"/>
        <v>0</v>
      </c>
      <c r="B740" s="1202" t="s">
        <v>504</v>
      </c>
      <c r="C740" s="1202"/>
      <c r="D740" s="1202"/>
      <c r="E740" s="1164">
        <f t="shared" si="1043"/>
        <v>0</v>
      </c>
      <c r="F740" s="1164">
        <f t="shared" si="1058"/>
        <v>0</v>
      </c>
      <c r="G740" s="1165"/>
      <c r="H740" s="1166"/>
      <c r="I740" s="1167">
        <f t="shared" si="1045"/>
        <v>0</v>
      </c>
      <c r="J740" s="1167">
        <f t="shared" si="1060"/>
        <v>0</v>
      </c>
      <c r="K740" s="1168"/>
      <c r="L740" s="1128"/>
      <c r="M740" s="1169"/>
      <c r="N740" s="1177"/>
      <c r="O740" s="1169"/>
      <c r="P740" s="1169"/>
      <c r="Q740" s="1169">
        <f t="shared" si="1140"/>
        <v>0</v>
      </c>
      <c r="R740" s="1169"/>
      <c r="S740" s="1170"/>
      <c r="T740" s="1171"/>
      <c r="U740" s="1128"/>
      <c r="V740" s="1169"/>
      <c r="W740" s="1177"/>
      <c r="X740" s="1177"/>
      <c r="Y740" s="1169"/>
      <c r="Z740" s="1169">
        <f t="shared" si="1141"/>
        <v>0</v>
      </c>
      <c r="AA740" s="1169"/>
      <c r="AB740" s="1172">
        <f t="shared" si="1064"/>
        <v>0</v>
      </c>
      <c r="AC740" s="1171"/>
      <c r="AD740" s="1128"/>
      <c r="AE740" s="1169"/>
      <c r="AF740" s="1177"/>
      <c r="AG740" s="1177"/>
      <c r="AH740" s="1169"/>
      <c r="AI740" s="1169">
        <f t="shared" si="1142"/>
        <v>0</v>
      </c>
      <c r="AJ740" s="1169"/>
      <c r="AK740" s="1170"/>
      <c r="AL740" s="1171"/>
      <c r="AM740" s="1128"/>
      <c r="AN740" s="1170"/>
      <c r="AO740" s="1175"/>
      <c r="AP740" s="1175"/>
      <c r="AQ740" s="1170"/>
      <c r="AR740" s="1170">
        <f t="shared" si="1143"/>
        <v>0</v>
      </c>
      <c r="AS740" s="1170"/>
      <c r="AT740" s="1170"/>
      <c r="AU740" s="1174"/>
      <c r="AV740" s="1128"/>
      <c r="AW740" s="1169"/>
      <c r="AX740" s="1177"/>
      <c r="AY740" s="1177"/>
      <c r="AZ740" s="1169"/>
      <c r="BA740" s="1169">
        <f t="shared" si="1144"/>
        <v>0</v>
      </c>
      <c r="BB740" s="1169"/>
      <c r="BC740" s="1024"/>
      <c r="BD740" s="1027"/>
      <c r="BE740" s="1024"/>
      <c r="BF740" s="1024"/>
      <c r="BG740" s="1008"/>
      <c r="BH740" s="1008"/>
      <c r="BI740" s="1008"/>
      <c r="BJ740" s="1008"/>
      <c r="BK740" s="1008"/>
      <c r="BL740" s="1008"/>
      <c r="BM740" s="1008"/>
    </row>
    <row r="741" s="1215" customFormat="1">
      <c r="A741" s="999" t="s">
        <v>505</v>
      </c>
      <c r="B741" s="1202" t="s">
        <v>416</v>
      </c>
      <c r="C741" s="1202"/>
      <c r="D741" s="1202"/>
      <c r="E741" s="1164">
        <f t="shared" si="1043"/>
        <v>0</v>
      </c>
      <c r="F741" s="1164">
        <f t="shared" si="1058"/>
        <v>0</v>
      </c>
      <c r="G741" s="1165">
        <f t="shared" si="1138"/>
        <v>0</v>
      </c>
      <c r="H741" s="1166"/>
      <c r="I741" s="1167">
        <f t="shared" si="1045"/>
        <v>0</v>
      </c>
      <c r="J741" s="1167">
        <f t="shared" si="1060"/>
        <v>0</v>
      </c>
      <c r="K741" s="1168">
        <f t="shared" si="1139"/>
        <v>0</v>
      </c>
      <c r="L741" s="1128"/>
      <c r="M741" s="1169"/>
      <c r="N741" s="1177"/>
      <c r="O741" s="1169"/>
      <c r="P741" s="1169"/>
      <c r="Q741" s="1169">
        <f t="shared" si="1140"/>
        <v>0</v>
      </c>
      <c r="R741" s="1169"/>
      <c r="S741" s="1170"/>
      <c r="T741" s="1171"/>
      <c r="U741" s="1128"/>
      <c r="V741" s="1169"/>
      <c r="W741" s="1177"/>
      <c r="X741" s="1177"/>
      <c r="Y741" s="1169"/>
      <c r="Z741" s="1169">
        <f t="shared" si="1141"/>
        <v>0</v>
      </c>
      <c r="AA741" s="1169"/>
      <c r="AB741" s="1172">
        <f t="shared" si="1064"/>
        <v>0</v>
      </c>
      <c r="AC741" s="1171"/>
      <c r="AD741" s="1128"/>
      <c r="AE741" s="1169"/>
      <c r="AF741" s="1177"/>
      <c r="AG741" s="1177"/>
      <c r="AH741" s="1169"/>
      <c r="AI741" s="1169">
        <f t="shared" si="1142"/>
        <v>0</v>
      </c>
      <c r="AJ741" s="1169"/>
      <c r="AK741" s="1170"/>
      <c r="AL741" s="1171"/>
      <c r="AM741" s="1128"/>
      <c r="AN741" s="1170"/>
      <c r="AO741" s="1175"/>
      <c r="AP741" s="1175"/>
      <c r="AQ741" s="1170"/>
      <c r="AR741" s="1170">
        <f t="shared" si="1143"/>
        <v>0</v>
      </c>
      <c r="AS741" s="1170"/>
      <c r="AT741" s="1170"/>
      <c r="AU741" s="1174"/>
      <c r="AV741" s="1128"/>
      <c r="AW741" s="1169"/>
      <c r="AX741" s="1177"/>
      <c r="AY741" s="1177"/>
      <c r="AZ741" s="1169"/>
      <c r="BA741" s="1169">
        <f t="shared" si="1144"/>
        <v>0</v>
      </c>
      <c r="BB741" s="1169"/>
      <c r="BC741" s="1024"/>
      <c r="BD741" s="1027"/>
      <c r="BE741" s="1024"/>
      <c r="BF741" s="1024"/>
      <c r="BG741" s="1008"/>
      <c r="BH741" s="1008"/>
      <c r="BI741" s="1008"/>
      <c r="BJ741" s="1008"/>
      <c r="BK741" s="1008"/>
      <c r="BL741" s="1008"/>
      <c r="BM741" s="1008"/>
    </row>
    <row r="742" s="1215" customFormat="1" ht="18.75" customHeight="1">
      <c r="A742" s="999" t="str">
        <f t="shared" si="1057"/>
        <v xml:space="preserve">Никонова-Цыганова Н.А. Столберова МИ</v>
      </c>
      <c r="B742" s="1202" t="s">
        <v>80</v>
      </c>
      <c r="C742" s="1217"/>
      <c r="D742" s="1217"/>
      <c r="E742" s="1164">
        <f t="shared" ref="E742:F802" si="1145">Q742+Z742+AI742+AR742+BA742</f>
        <v>0</v>
      </c>
      <c r="F742" s="1164">
        <f t="shared" si="1058"/>
        <v>0</v>
      </c>
      <c r="G742" s="1165">
        <f t="shared" si="1138"/>
        <v>0</v>
      </c>
      <c r="H742" s="1166"/>
      <c r="I742" s="1167">
        <f t="shared" si="1045"/>
        <v>0</v>
      </c>
      <c r="J742" s="1167">
        <f t="shared" si="1060"/>
        <v>0</v>
      </c>
      <c r="K742" s="1168">
        <f t="shared" si="1139"/>
        <v>0</v>
      </c>
      <c r="L742" s="1128"/>
      <c r="M742" s="1169"/>
      <c r="N742" s="1199"/>
      <c r="O742" s="1169"/>
      <c r="P742" s="1169"/>
      <c r="Q742" s="1169">
        <f t="shared" si="1140"/>
        <v>0</v>
      </c>
      <c r="R742" s="1169"/>
      <c r="S742" s="1170"/>
      <c r="T742" s="1171"/>
      <c r="U742" s="1128"/>
      <c r="V742" s="1169"/>
      <c r="W742" s="1199"/>
      <c r="X742" s="1177"/>
      <c r="Y742" s="1169"/>
      <c r="Z742" s="1169">
        <f t="shared" si="1141"/>
        <v>0</v>
      </c>
      <c r="AA742" s="1169"/>
      <c r="AB742" s="1172">
        <f t="shared" si="1064"/>
        <v>0</v>
      </c>
      <c r="AC742" s="1171"/>
      <c r="AD742" s="1128"/>
      <c r="AE742" s="1169"/>
      <c r="AF742" s="1199"/>
      <c r="AG742" s="1177"/>
      <c r="AH742" s="1169"/>
      <c r="AI742" s="1169">
        <f t="shared" si="1142"/>
        <v>0</v>
      </c>
      <c r="AJ742" s="1169"/>
      <c r="AK742" s="1170"/>
      <c r="AL742" s="1171"/>
      <c r="AM742" s="1128"/>
      <c r="AN742" s="1170"/>
      <c r="AO742" s="1200"/>
      <c r="AP742" s="1175"/>
      <c r="AQ742" s="1170"/>
      <c r="AR742" s="1170">
        <f t="shared" si="1143"/>
        <v>0</v>
      </c>
      <c r="AS742" s="1170"/>
      <c r="AT742" s="1170"/>
      <c r="AU742" s="1174"/>
      <c r="AV742" s="1128"/>
      <c r="AW742" s="1169"/>
      <c r="AX742" s="1199"/>
      <c r="AY742" s="1177"/>
      <c r="AZ742" s="1169"/>
      <c r="BA742" s="1169">
        <f t="shared" si="1144"/>
        <v>0</v>
      </c>
      <c r="BB742" s="1169"/>
      <c r="BC742" s="1024"/>
      <c r="BD742" s="1027"/>
      <c r="BE742" s="1024"/>
      <c r="BF742" s="1024"/>
      <c r="BG742" s="1008"/>
      <c r="BH742" s="1008"/>
      <c r="BI742" s="1008"/>
      <c r="BJ742" s="1008"/>
      <c r="BK742" s="1008"/>
      <c r="BL742" s="1008"/>
      <c r="BM742" s="1008"/>
    </row>
    <row r="743" s="1215" customFormat="1">
      <c r="A743" s="999" t="str">
        <f t="shared" si="1057"/>
        <v xml:space="preserve">Шевкунова С.А.</v>
      </c>
      <c r="B743" s="1202" t="s">
        <v>419</v>
      </c>
      <c r="C743" s="1202"/>
      <c r="D743" s="1202"/>
      <c r="E743" s="1164">
        <f t="shared" si="1145"/>
        <v>0</v>
      </c>
      <c r="F743" s="1164">
        <f t="shared" si="1058"/>
        <v>0</v>
      </c>
      <c r="G743" s="1165">
        <f t="shared" si="1138"/>
        <v>0</v>
      </c>
      <c r="H743" s="1166"/>
      <c r="I743" s="1167">
        <f t="shared" si="1045"/>
        <v>0</v>
      </c>
      <c r="J743" s="1167">
        <f t="shared" si="1060"/>
        <v>0</v>
      </c>
      <c r="K743" s="1168">
        <f t="shared" si="1139"/>
        <v>0</v>
      </c>
      <c r="L743" s="1128"/>
      <c r="M743" s="1169"/>
      <c r="N743" s="1177"/>
      <c r="O743" s="1169"/>
      <c r="P743" s="1169"/>
      <c r="Q743" s="1169">
        <f t="shared" si="1140"/>
        <v>0</v>
      </c>
      <c r="R743" s="1169"/>
      <c r="S743" s="1170"/>
      <c r="T743" s="1171"/>
      <c r="U743" s="1128"/>
      <c r="V743" s="1169"/>
      <c r="W743" s="1177"/>
      <c r="X743" s="1177"/>
      <c r="Y743" s="1169"/>
      <c r="Z743" s="1169">
        <f t="shared" si="1141"/>
        <v>0</v>
      </c>
      <c r="AA743" s="1169"/>
      <c r="AB743" s="1172">
        <f t="shared" si="1064"/>
        <v>0</v>
      </c>
      <c r="AC743" s="1171"/>
      <c r="AD743" s="1128"/>
      <c r="AE743" s="1169"/>
      <c r="AF743" s="1177"/>
      <c r="AG743" s="1177"/>
      <c r="AH743" s="1169"/>
      <c r="AI743" s="1169">
        <f t="shared" si="1142"/>
        <v>0</v>
      </c>
      <c r="AJ743" s="1169"/>
      <c r="AK743" s="1170"/>
      <c r="AL743" s="1171"/>
      <c r="AM743" s="1128"/>
      <c r="AN743" s="1170"/>
      <c r="AO743" s="1175"/>
      <c r="AP743" s="1175"/>
      <c r="AQ743" s="1170"/>
      <c r="AR743" s="1170">
        <f t="shared" si="1143"/>
        <v>0</v>
      </c>
      <c r="AS743" s="1170"/>
      <c r="AT743" s="1170"/>
      <c r="AU743" s="1174"/>
      <c r="AV743" s="1128"/>
      <c r="AW743" s="1169"/>
      <c r="AX743" s="1177"/>
      <c r="AY743" s="1177"/>
      <c r="AZ743" s="1169"/>
      <c r="BA743" s="1169">
        <f t="shared" si="1144"/>
        <v>0</v>
      </c>
      <c r="BB743" s="1169"/>
      <c r="BC743" s="1024"/>
      <c r="BD743" s="1027"/>
      <c r="BE743" s="1024"/>
      <c r="BF743" s="1024"/>
      <c r="BG743" s="1008"/>
      <c r="BH743" s="1008"/>
      <c r="BI743" s="1008"/>
      <c r="BJ743" s="1008"/>
      <c r="BK743" s="1008"/>
      <c r="BL743" s="1008"/>
      <c r="BM743" s="1008"/>
    </row>
    <row r="744" s="1215" customFormat="1" ht="22.5">
      <c r="A744" s="999" t="str">
        <f t="shared" si="1057"/>
        <v xml:space="preserve">Никонова-Цыганова Н.А. Столберова МИ</v>
      </c>
      <c r="B744" s="1205" t="s">
        <v>363</v>
      </c>
      <c r="C744" s="1205"/>
      <c r="D744" s="1205"/>
      <c r="E744" s="1183">
        <f t="shared" si="1145"/>
        <v>0</v>
      </c>
      <c r="F744" s="1183">
        <f t="shared" si="1058"/>
        <v>0</v>
      </c>
      <c r="G744" s="1220">
        <f>SUM(G736:G743)</f>
        <v>0</v>
      </c>
      <c r="H744" s="1221"/>
      <c r="I744" s="1186">
        <f t="shared" si="1045"/>
        <v>0</v>
      </c>
      <c r="J744" s="1186">
        <f t="shared" si="1060"/>
        <v>0</v>
      </c>
      <c r="K744" s="1222">
        <f>SUM(K736:K743)</f>
        <v>0</v>
      </c>
      <c r="L744" s="1197"/>
      <c r="M744" s="1096">
        <f t="shared" ref="M744:R744" si="1146">SUM(M736:M743)</f>
        <v>0</v>
      </c>
      <c r="N744" s="1096">
        <f t="shared" si="1146"/>
        <v>0</v>
      </c>
      <c r="O744" s="1096">
        <f t="shared" si="1146"/>
        <v>0</v>
      </c>
      <c r="P744" s="1096">
        <f t="shared" si="1146"/>
        <v>0</v>
      </c>
      <c r="Q744" s="1096">
        <f t="shared" si="1146"/>
        <v>0</v>
      </c>
      <c r="R744" s="1096">
        <f t="shared" si="1146"/>
        <v>0</v>
      </c>
      <c r="S744" s="1190"/>
      <c r="T744" s="1189"/>
      <c r="U744" s="1197"/>
      <c r="V744" s="1096">
        <f t="shared" ref="V744:AA744" si="1147">SUM(V736:V743)</f>
        <v>0</v>
      </c>
      <c r="W744" s="1096">
        <f t="shared" si="1147"/>
        <v>0</v>
      </c>
      <c r="X744" s="1096">
        <f t="shared" si="1147"/>
        <v>0</v>
      </c>
      <c r="Y744" s="1096">
        <f t="shared" si="1147"/>
        <v>0</v>
      </c>
      <c r="Z744" s="1096">
        <f t="shared" si="1147"/>
        <v>0</v>
      </c>
      <c r="AA744" s="1096">
        <f t="shared" si="1147"/>
        <v>0</v>
      </c>
      <c r="AB744" s="1172">
        <f t="shared" si="1064"/>
        <v>0</v>
      </c>
      <c r="AC744" s="1189"/>
      <c r="AD744" s="1197"/>
      <c r="AE744" s="1096">
        <f t="shared" ref="AE744:AJ744" si="1148">SUM(AE736:AE743)</f>
        <v>0</v>
      </c>
      <c r="AF744" s="1096">
        <f t="shared" si="1148"/>
        <v>0</v>
      </c>
      <c r="AG744" s="1096">
        <f t="shared" si="1148"/>
        <v>0</v>
      </c>
      <c r="AH744" s="1096">
        <f t="shared" si="1148"/>
        <v>0</v>
      </c>
      <c r="AI744" s="1096">
        <f t="shared" si="1148"/>
        <v>0</v>
      </c>
      <c r="AJ744" s="1096">
        <f t="shared" si="1148"/>
        <v>0</v>
      </c>
      <c r="AK744" s="1190"/>
      <c r="AL744" s="1189"/>
      <c r="AM744" s="1197"/>
      <c r="AN744" s="1190">
        <f t="shared" ref="AN744:AS744" si="1149">SUM(AN736:AN743)</f>
        <v>0</v>
      </c>
      <c r="AO744" s="1190">
        <f t="shared" si="1149"/>
        <v>0</v>
      </c>
      <c r="AP744" s="1190">
        <f t="shared" si="1149"/>
        <v>0</v>
      </c>
      <c r="AQ744" s="1190">
        <f t="shared" si="1149"/>
        <v>0</v>
      </c>
      <c r="AR744" s="1190">
        <f t="shared" si="1149"/>
        <v>0</v>
      </c>
      <c r="AS744" s="1190">
        <f t="shared" si="1149"/>
        <v>0</v>
      </c>
      <c r="AT744" s="1190"/>
      <c r="AU744" s="1191"/>
      <c r="AV744" s="1197">
        <f t="shared" ref="AV744:BB744" si="1150">SUM(AV736:AV743)</f>
        <v>0</v>
      </c>
      <c r="AW744" s="1096">
        <f t="shared" si="1150"/>
        <v>0</v>
      </c>
      <c r="AX744" s="1096">
        <f t="shared" si="1150"/>
        <v>0</v>
      </c>
      <c r="AY744" s="1096">
        <f t="shared" si="1150"/>
        <v>0</v>
      </c>
      <c r="AZ744" s="1096">
        <f t="shared" si="1150"/>
        <v>0</v>
      </c>
      <c r="BA744" s="1096">
        <f t="shared" si="1150"/>
        <v>0</v>
      </c>
      <c r="BB744" s="1096">
        <f t="shared" si="1150"/>
        <v>0</v>
      </c>
      <c r="BC744" s="1024"/>
      <c r="BD744" s="1027"/>
      <c r="BE744" s="1024"/>
      <c r="BF744" s="1024"/>
      <c r="BG744" s="1008"/>
      <c r="BH744" s="1008"/>
      <c r="BI744" s="1008"/>
      <c r="BJ744" s="1008"/>
      <c r="BK744" s="1008"/>
      <c r="BL744" s="1008"/>
      <c r="BM744" s="1008"/>
    </row>
    <row r="745" s="1215" customFormat="1">
      <c r="A745" s="999" t="str">
        <f t="shared" si="1057"/>
        <v xml:space="preserve">Шеламкова Н.В.</v>
      </c>
      <c r="B745" s="1202" t="s">
        <v>421</v>
      </c>
      <c r="C745" s="1202"/>
      <c r="D745" s="1202"/>
      <c r="E745" s="1164">
        <f t="shared" si="1145"/>
        <v>0</v>
      </c>
      <c r="F745" s="1164">
        <f t="shared" si="1058"/>
        <v>0</v>
      </c>
      <c r="G745" s="1165">
        <f t="shared" ref="G745:G757" si="1151">E745+F745</f>
        <v>0</v>
      </c>
      <c r="H745" s="1166"/>
      <c r="I745" s="1167">
        <f t="shared" si="1045"/>
        <v>0</v>
      </c>
      <c r="J745" s="1167">
        <f t="shared" si="1060"/>
        <v>0</v>
      </c>
      <c r="K745" s="1168">
        <f t="shared" ref="K745:K757" si="1152">I745+J745</f>
        <v>0</v>
      </c>
      <c r="L745" s="1128"/>
      <c r="M745" s="1169"/>
      <c r="N745" s="1177"/>
      <c r="O745" s="1169"/>
      <c r="P745" s="1169"/>
      <c r="Q745" s="1169">
        <f t="shared" ref="Q745:Q757" si="1153">SUM(M745:P745)</f>
        <v>0</v>
      </c>
      <c r="R745" s="1169"/>
      <c r="S745" s="1170"/>
      <c r="T745" s="1171"/>
      <c r="U745" s="1128"/>
      <c r="V745" s="1169"/>
      <c r="W745" s="1177"/>
      <c r="X745" s="1177"/>
      <c r="Y745" s="1169"/>
      <c r="Z745" s="1169">
        <f t="shared" ref="Z745:Z757" si="1154">SUM(V745:Y745)</f>
        <v>0</v>
      </c>
      <c r="AA745" s="1169"/>
      <c r="AB745" s="1172">
        <f t="shared" si="1064"/>
        <v>0</v>
      </c>
      <c r="AC745" s="1171"/>
      <c r="AD745" s="1128"/>
      <c r="AE745" s="1169"/>
      <c r="AF745" s="1177"/>
      <c r="AG745" s="1177"/>
      <c r="AH745" s="1169"/>
      <c r="AI745" s="1169">
        <f t="shared" ref="AI745:AI757" si="1155">SUM(AE745:AH745)</f>
        <v>0</v>
      </c>
      <c r="AJ745" s="1169"/>
      <c r="AK745" s="1170"/>
      <c r="AL745" s="1171"/>
      <c r="AM745" s="1128"/>
      <c r="AN745" s="1170"/>
      <c r="AO745" s="1175"/>
      <c r="AP745" s="1175"/>
      <c r="AQ745" s="1170"/>
      <c r="AR745" s="1170">
        <f t="shared" ref="AR745:AR757" si="1156">SUM(AN745:AQ745)</f>
        <v>0</v>
      </c>
      <c r="AS745" s="1170"/>
      <c r="AT745" s="1170"/>
      <c r="AU745" s="1174"/>
      <c r="AV745" s="1128"/>
      <c r="AW745" s="1169"/>
      <c r="AX745" s="1177"/>
      <c r="AY745" s="1177"/>
      <c r="AZ745" s="1169"/>
      <c r="BA745" s="1169">
        <f t="shared" ref="BA745:BA757" si="1157">SUM(AW745:AZ745)</f>
        <v>0</v>
      </c>
      <c r="BB745" s="1169"/>
      <c r="BC745" s="1024"/>
      <c r="BD745" s="1027"/>
      <c r="BE745" s="1024"/>
      <c r="BF745" s="1024"/>
      <c r="BG745" s="1008"/>
      <c r="BH745" s="1008"/>
      <c r="BI745" s="1008"/>
      <c r="BJ745" s="1008"/>
      <c r="BK745" s="1008"/>
      <c r="BL745" s="1008"/>
      <c r="BM745" s="1008"/>
    </row>
    <row r="746" s="1215" customFormat="1">
      <c r="A746" s="999" t="str">
        <f t="shared" si="1057"/>
        <v xml:space="preserve">Буланова О.Н. Сычева Ю.В.</v>
      </c>
      <c r="B746" s="1202" t="s">
        <v>68</v>
      </c>
      <c r="C746" s="1202"/>
      <c r="D746" s="1202"/>
      <c r="E746" s="1164">
        <f t="shared" si="1145"/>
        <v>0</v>
      </c>
      <c r="F746" s="1164">
        <f t="shared" si="1058"/>
        <v>0</v>
      </c>
      <c r="G746" s="1165">
        <f t="shared" si="1151"/>
        <v>0</v>
      </c>
      <c r="H746" s="1166"/>
      <c r="I746" s="1167">
        <f t="shared" si="1045"/>
        <v>0</v>
      </c>
      <c r="J746" s="1167">
        <f t="shared" si="1060"/>
        <v>0</v>
      </c>
      <c r="K746" s="1168">
        <f t="shared" si="1152"/>
        <v>0</v>
      </c>
      <c r="L746" s="1128"/>
      <c r="M746" s="1169"/>
      <c r="N746" s="1177"/>
      <c r="O746" s="1169"/>
      <c r="P746" s="1169"/>
      <c r="Q746" s="1169">
        <f t="shared" si="1153"/>
        <v>0</v>
      </c>
      <c r="R746" s="1169"/>
      <c r="S746" s="1170"/>
      <c r="T746" s="1171"/>
      <c r="U746" s="1128"/>
      <c r="V746" s="1169"/>
      <c r="W746" s="1177"/>
      <c r="X746" s="1177"/>
      <c r="Y746" s="1169"/>
      <c r="Z746" s="1169">
        <f t="shared" si="1154"/>
        <v>0</v>
      </c>
      <c r="AA746" s="1169"/>
      <c r="AB746" s="1172">
        <f t="shared" si="1064"/>
        <v>0</v>
      </c>
      <c r="AC746" s="1171"/>
      <c r="AD746" s="1128"/>
      <c r="AE746" s="1169"/>
      <c r="AF746" s="1177"/>
      <c r="AG746" s="1177"/>
      <c r="AH746" s="1169"/>
      <c r="AI746" s="1169">
        <f t="shared" si="1155"/>
        <v>0</v>
      </c>
      <c r="AJ746" s="1169"/>
      <c r="AK746" s="1170"/>
      <c r="AL746" s="1171"/>
      <c r="AM746" s="1128"/>
      <c r="AN746" s="1170"/>
      <c r="AO746" s="1175"/>
      <c r="AP746" s="1175"/>
      <c r="AQ746" s="1170"/>
      <c r="AR746" s="1170">
        <f t="shared" si="1156"/>
        <v>0</v>
      </c>
      <c r="AS746" s="1170"/>
      <c r="AT746" s="1170"/>
      <c r="AU746" s="1174"/>
      <c r="AV746" s="1128"/>
      <c r="AW746" s="1169"/>
      <c r="AX746" s="1177"/>
      <c r="AY746" s="1177"/>
      <c r="AZ746" s="1169"/>
      <c r="BA746" s="1169">
        <f t="shared" si="1157"/>
        <v>0</v>
      </c>
      <c r="BB746" s="1169"/>
      <c r="BC746" s="1024"/>
      <c r="BD746" s="1027"/>
      <c r="BE746" s="1024"/>
      <c r="BF746" s="1024"/>
      <c r="BG746" s="1008"/>
      <c r="BH746" s="1008"/>
      <c r="BI746" s="1008"/>
      <c r="BJ746" s="1008"/>
      <c r="BK746" s="1008"/>
      <c r="BL746" s="1008"/>
      <c r="BM746" s="1008"/>
    </row>
    <row r="747" s="1215" customFormat="1">
      <c r="A747" s="999" t="str">
        <f t="shared" si="1057"/>
        <v xml:space="preserve">Бояринцева Н.А.</v>
      </c>
      <c r="B747" s="1202" t="s">
        <v>289</v>
      </c>
      <c r="C747" s="1202"/>
      <c r="D747" s="1202"/>
      <c r="E747" s="1164">
        <f t="shared" si="1145"/>
        <v>0</v>
      </c>
      <c r="F747" s="1164">
        <f t="shared" si="1058"/>
        <v>0</v>
      </c>
      <c r="G747" s="1165">
        <f t="shared" si="1151"/>
        <v>0</v>
      </c>
      <c r="H747" s="1166"/>
      <c r="I747" s="1167">
        <f t="shared" si="1045"/>
        <v>0</v>
      </c>
      <c r="J747" s="1167">
        <f t="shared" si="1060"/>
        <v>0</v>
      </c>
      <c r="K747" s="1168">
        <f t="shared" si="1152"/>
        <v>0</v>
      </c>
      <c r="L747" s="1128"/>
      <c r="M747" s="1169"/>
      <c r="N747" s="1177"/>
      <c r="O747" s="1169"/>
      <c r="P747" s="1169"/>
      <c r="Q747" s="1169">
        <f t="shared" si="1153"/>
        <v>0</v>
      </c>
      <c r="R747" s="1169"/>
      <c r="S747" s="1170"/>
      <c r="T747" s="1171"/>
      <c r="U747" s="1128"/>
      <c r="V747" s="1169"/>
      <c r="W747" s="1177"/>
      <c r="X747" s="1177"/>
      <c r="Y747" s="1169"/>
      <c r="Z747" s="1169">
        <f t="shared" si="1154"/>
        <v>0</v>
      </c>
      <c r="AA747" s="1169"/>
      <c r="AB747" s="1172">
        <f t="shared" si="1064"/>
        <v>0</v>
      </c>
      <c r="AC747" s="1171"/>
      <c r="AD747" s="1128"/>
      <c r="AE747" s="1169"/>
      <c r="AF747" s="1177"/>
      <c r="AG747" s="1177"/>
      <c r="AH747" s="1169"/>
      <c r="AI747" s="1169">
        <f t="shared" si="1155"/>
        <v>0</v>
      </c>
      <c r="AJ747" s="1169"/>
      <c r="AK747" s="1170"/>
      <c r="AL747" s="1171"/>
      <c r="AM747" s="1128"/>
      <c r="AN747" s="1170"/>
      <c r="AO747" s="1175"/>
      <c r="AP747" s="1175"/>
      <c r="AQ747" s="1170"/>
      <c r="AR747" s="1170">
        <f t="shared" si="1156"/>
        <v>0</v>
      </c>
      <c r="AS747" s="1170"/>
      <c r="AT747" s="1170"/>
      <c r="AU747" s="1174"/>
      <c r="AV747" s="1128"/>
      <c r="AW747" s="1169"/>
      <c r="AX747" s="1177"/>
      <c r="AY747" s="1177"/>
      <c r="AZ747" s="1169"/>
      <c r="BA747" s="1169">
        <f t="shared" si="1157"/>
        <v>0</v>
      </c>
      <c r="BB747" s="1169"/>
      <c r="BC747" s="1024"/>
      <c r="BD747" s="1027"/>
      <c r="BE747" s="1024"/>
      <c r="BF747" s="1024"/>
      <c r="BG747" s="1008"/>
      <c r="BH747" s="1008"/>
      <c r="BI747" s="1008"/>
      <c r="BJ747" s="1008"/>
      <c r="BK747" s="1008"/>
      <c r="BL747" s="1008"/>
      <c r="BM747" s="1008"/>
    </row>
    <row r="748" s="1215" customFormat="1">
      <c r="A748" s="999">
        <f t="shared" si="1057"/>
        <v>0</v>
      </c>
      <c r="B748" s="1202" t="s">
        <v>424</v>
      </c>
      <c r="C748" s="1202"/>
      <c r="D748" s="1202"/>
      <c r="E748" s="1164">
        <f t="shared" si="1145"/>
        <v>0</v>
      </c>
      <c r="F748" s="1164">
        <f t="shared" si="1058"/>
        <v>0</v>
      </c>
      <c r="G748" s="1165">
        <f t="shared" si="1151"/>
        <v>0</v>
      </c>
      <c r="H748" s="1166"/>
      <c r="I748" s="1167">
        <f t="shared" si="1045"/>
        <v>0</v>
      </c>
      <c r="J748" s="1167">
        <f t="shared" si="1060"/>
        <v>0</v>
      </c>
      <c r="K748" s="1168">
        <f t="shared" si="1152"/>
        <v>0</v>
      </c>
      <c r="L748" s="1128"/>
      <c r="M748" s="1169"/>
      <c r="N748" s="1177"/>
      <c r="O748" s="1169"/>
      <c r="P748" s="1169"/>
      <c r="Q748" s="1169">
        <f t="shared" si="1153"/>
        <v>0</v>
      </c>
      <c r="R748" s="1169"/>
      <c r="S748" s="1170"/>
      <c r="T748" s="1171"/>
      <c r="U748" s="1128"/>
      <c r="V748" s="1169"/>
      <c r="W748" s="1177"/>
      <c r="X748" s="1177"/>
      <c r="Y748" s="1169"/>
      <c r="Z748" s="1169">
        <f t="shared" si="1154"/>
        <v>0</v>
      </c>
      <c r="AA748" s="1169"/>
      <c r="AB748" s="1172">
        <f t="shared" si="1064"/>
        <v>0</v>
      </c>
      <c r="AC748" s="1171"/>
      <c r="AD748" s="1128"/>
      <c r="AE748" s="1169"/>
      <c r="AF748" s="1177"/>
      <c r="AG748" s="1177"/>
      <c r="AH748" s="1169"/>
      <c r="AI748" s="1169">
        <f t="shared" si="1155"/>
        <v>0</v>
      </c>
      <c r="AJ748" s="1169"/>
      <c r="AK748" s="1170"/>
      <c r="AL748" s="1171"/>
      <c r="AM748" s="1128"/>
      <c r="AN748" s="1170"/>
      <c r="AO748" s="1175"/>
      <c r="AP748" s="1175"/>
      <c r="AQ748" s="1170"/>
      <c r="AR748" s="1170">
        <f t="shared" si="1156"/>
        <v>0</v>
      </c>
      <c r="AS748" s="1170"/>
      <c r="AT748" s="1170"/>
      <c r="AU748" s="1174"/>
      <c r="AV748" s="1128"/>
      <c r="AW748" s="1169"/>
      <c r="AX748" s="1177"/>
      <c r="AY748" s="1177"/>
      <c r="AZ748" s="1169"/>
      <c r="BA748" s="1169">
        <f t="shared" si="1157"/>
        <v>0</v>
      </c>
      <c r="BB748" s="1169"/>
      <c r="BC748" s="1024"/>
      <c r="BD748" s="1027"/>
      <c r="BE748" s="1024"/>
      <c r="BF748" s="1024"/>
      <c r="BG748" s="1008"/>
      <c r="BH748" s="1008"/>
      <c r="BI748" s="1008"/>
      <c r="BJ748" s="1008"/>
      <c r="BK748" s="1008"/>
      <c r="BL748" s="1008"/>
      <c r="BM748" s="1008"/>
    </row>
    <row r="749" s="1215" customFormat="1">
      <c r="A749" s="999" t="str">
        <f t="shared" si="1057"/>
        <v xml:space="preserve">Соболева Т.Ю.</v>
      </c>
      <c r="B749" s="1202" t="s">
        <v>426</v>
      </c>
      <c r="C749" s="1202"/>
      <c r="D749" s="1202"/>
      <c r="E749" s="1164">
        <f t="shared" si="1145"/>
        <v>0</v>
      </c>
      <c r="F749" s="1164">
        <f t="shared" si="1058"/>
        <v>0</v>
      </c>
      <c r="G749" s="1165">
        <f t="shared" si="1151"/>
        <v>0</v>
      </c>
      <c r="H749" s="1166"/>
      <c r="I749" s="1167">
        <f t="shared" ref="I749:J812" si="1158">E749-Z749</f>
        <v>0</v>
      </c>
      <c r="J749" s="1167">
        <f t="shared" si="1060"/>
        <v>0</v>
      </c>
      <c r="K749" s="1168">
        <f t="shared" si="1152"/>
        <v>0</v>
      </c>
      <c r="L749" s="1128"/>
      <c r="M749" s="1169"/>
      <c r="N749" s="1177"/>
      <c r="O749" s="1169"/>
      <c r="P749" s="1169"/>
      <c r="Q749" s="1169">
        <f t="shared" si="1153"/>
        <v>0</v>
      </c>
      <c r="R749" s="1169"/>
      <c r="S749" s="1170"/>
      <c r="T749" s="1171"/>
      <c r="U749" s="1128"/>
      <c r="V749" s="1169"/>
      <c r="W749" s="1177"/>
      <c r="X749" s="1177"/>
      <c r="Y749" s="1169"/>
      <c r="Z749" s="1169">
        <f t="shared" si="1154"/>
        <v>0</v>
      </c>
      <c r="AA749" s="1169"/>
      <c r="AB749" s="1172">
        <f t="shared" si="1064"/>
        <v>0</v>
      </c>
      <c r="AC749" s="1171"/>
      <c r="AD749" s="1128"/>
      <c r="AE749" s="1169"/>
      <c r="AF749" s="1177"/>
      <c r="AG749" s="1177"/>
      <c r="AH749" s="1169"/>
      <c r="AI749" s="1169">
        <f t="shared" si="1155"/>
        <v>0</v>
      </c>
      <c r="AJ749" s="1169"/>
      <c r="AK749" s="1170"/>
      <c r="AL749" s="1171"/>
      <c r="AM749" s="1128"/>
      <c r="AN749" s="1170"/>
      <c r="AO749" s="1175"/>
      <c r="AP749" s="1175"/>
      <c r="AQ749" s="1170"/>
      <c r="AR749" s="1170">
        <f t="shared" si="1156"/>
        <v>0</v>
      </c>
      <c r="AS749" s="1170"/>
      <c r="AT749" s="1170"/>
      <c r="AU749" s="1174"/>
      <c r="AV749" s="1128"/>
      <c r="AW749" s="1169"/>
      <c r="AX749" s="1177"/>
      <c r="AY749" s="1177"/>
      <c r="AZ749" s="1169"/>
      <c r="BA749" s="1169">
        <f t="shared" si="1157"/>
        <v>0</v>
      </c>
      <c r="BB749" s="1169"/>
      <c r="BC749" s="1024"/>
      <c r="BD749" s="1027"/>
      <c r="BE749" s="1024"/>
      <c r="BF749" s="1024"/>
      <c r="BG749" s="1008"/>
      <c r="BH749" s="1008"/>
      <c r="BI749" s="1008"/>
      <c r="BJ749" s="1008"/>
      <c r="BK749" s="1008"/>
      <c r="BL749" s="1008"/>
      <c r="BM749" s="1008"/>
    </row>
    <row r="750" s="1215" customFormat="1">
      <c r="A750" s="999">
        <f t="shared" si="1057"/>
        <v>0</v>
      </c>
      <c r="B750" s="1202" t="s">
        <v>427</v>
      </c>
      <c r="C750" s="1202"/>
      <c r="D750" s="1202"/>
      <c r="E750" s="1164">
        <f t="shared" si="1145"/>
        <v>0</v>
      </c>
      <c r="F750" s="1164">
        <f t="shared" si="1058"/>
        <v>0</v>
      </c>
      <c r="G750" s="1165">
        <f t="shared" si="1151"/>
        <v>0</v>
      </c>
      <c r="H750" s="1166"/>
      <c r="I750" s="1167">
        <f t="shared" si="1158"/>
        <v>0</v>
      </c>
      <c r="J750" s="1167">
        <f t="shared" si="1060"/>
        <v>0</v>
      </c>
      <c r="K750" s="1168">
        <f t="shared" si="1152"/>
        <v>0</v>
      </c>
      <c r="L750" s="1128"/>
      <c r="M750" s="1169"/>
      <c r="N750" s="1177"/>
      <c r="O750" s="1169"/>
      <c r="P750" s="1169"/>
      <c r="Q750" s="1169">
        <f t="shared" si="1153"/>
        <v>0</v>
      </c>
      <c r="R750" s="1169"/>
      <c r="S750" s="1170"/>
      <c r="T750" s="1171"/>
      <c r="U750" s="1128"/>
      <c r="V750" s="1169"/>
      <c r="W750" s="1177"/>
      <c r="X750" s="1177"/>
      <c r="Y750" s="1169"/>
      <c r="Z750" s="1169">
        <f t="shared" si="1154"/>
        <v>0</v>
      </c>
      <c r="AA750" s="1169"/>
      <c r="AB750" s="1172">
        <f t="shared" si="1064"/>
        <v>0</v>
      </c>
      <c r="AC750" s="1171"/>
      <c r="AD750" s="1128"/>
      <c r="AE750" s="1169"/>
      <c r="AF750" s="1177"/>
      <c r="AG750" s="1177"/>
      <c r="AH750" s="1169"/>
      <c r="AI750" s="1169">
        <f t="shared" si="1155"/>
        <v>0</v>
      </c>
      <c r="AJ750" s="1169"/>
      <c r="AK750" s="1170"/>
      <c r="AL750" s="1171"/>
      <c r="AM750" s="1128"/>
      <c r="AN750" s="1170"/>
      <c r="AO750" s="1175"/>
      <c r="AP750" s="1175"/>
      <c r="AQ750" s="1170"/>
      <c r="AR750" s="1170">
        <f t="shared" si="1156"/>
        <v>0</v>
      </c>
      <c r="AS750" s="1170"/>
      <c r="AT750" s="1170"/>
      <c r="AU750" s="1174"/>
      <c r="AV750" s="1128"/>
      <c r="AW750" s="1169"/>
      <c r="AX750" s="1177"/>
      <c r="AY750" s="1177"/>
      <c r="AZ750" s="1169"/>
      <c r="BA750" s="1169">
        <f t="shared" si="1157"/>
        <v>0</v>
      </c>
      <c r="BB750" s="1169"/>
      <c r="BC750" s="1024"/>
      <c r="BD750" s="1027"/>
      <c r="BE750" s="1024"/>
      <c r="BF750" s="1024"/>
      <c r="BG750" s="1008"/>
      <c r="BH750" s="1008"/>
      <c r="BI750" s="1008"/>
      <c r="BJ750" s="1008"/>
      <c r="BK750" s="1008"/>
      <c r="BL750" s="1008"/>
      <c r="BM750" s="1008"/>
    </row>
    <row r="751" s="1215" customFormat="1">
      <c r="A751" s="999" t="str">
        <f t="shared" si="1057"/>
        <v xml:space="preserve">Астапова С.А.</v>
      </c>
      <c r="B751" s="1202" t="s">
        <v>73</v>
      </c>
      <c r="C751" s="1202"/>
      <c r="D751" s="1202"/>
      <c r="E751" s="1164">
        <f t="shared" si="1145"/>
        <v>0</v>
      </c>
      <c r="F751" s="1164">
        <f t="shared" si="1058"/>
        <v>0</v>
      </c>
      <c r="G751" s="1165">
        <f t="shared" si="1151"/>
        <v>0</v>
      </c>
      <c r="H751" s="1166"/>
      <c r="I751" s="1167">
        <f t="shared" si="1158"/>
        <v>0</v>
      </c>
      <c r="J751" s="1167">
        <f t="shared" si="1060"/>
        <v>0</v>
      </c>
      <c r="K751" s="1168">
        <f t="shared" si="1152"/>
        <v>0</v>
      </c>
      <c r="L751" s="1128"/>
      <c r="M751" s="1169"/>
      <c r="N751" s="1177"/>
      <c r="O751" s="1169"/>
      <c r="P751" s="1169"/>
      <c r="Q751" s="1169">
        <f t="shared" si="1153"/>
        <v>0</v>
      </c>
      <c r="R751" s="1169"/>
      <c r="S751" s="1170"/>
      <c r="T751" s="1171"/>
      <c r="U751" s="1128"/>
      <c r="V751" s="1169"/>
      <c r="W751" s="1177"/>
      <c r="X751" s="1177"/>
      <c r="Y751" s="1169"/>
      <c r="Z751" s="1169">
        <f t="shared" si="1154"/>
        <v>0</v>
      </c>
      <c r="AA751" s="1169"/>
      <c r="AB751" s="1172">
        <f t="shared" si="1064"/>
        <v>0</v>
      </c>
      <c r="AC751" s="1171"/>
      <c r="AD751" s="1128"/>
      <c r="AE751" s="1169"/>
      <c r="AF751" s="1177"/>
      <c r="AG751" s="1177"/>
      <c r="AH751" s="1169"/>
      <c r="AI751" s="1169">
        <f t="shared" si="1155"/>
        <v>0</v>
      </c>
      <c r="AJ751" s="1169"/>
      <c r="AK751" s="1170"/>
      <c r="AL751" s="1171"/>
      <c r="AM751" s="1128"/>
      <c r="AN751" s="1170"/>
      <c r="AO751" s="1175"/>
      <c r="AP751" s="1175"/>
      <c r="AQ751" s="1170"/>
      <c r="AR751" s="1170">
        <f t="shared" si="1156"/>
        <v>0</v>
      </c>
      <c r="AS751" s="1170"/>
      <c r="AT751" s="1170"/>
      <c r="AU751" s="1174"/>
      <c r="AV751" s="1128"/>
      <c r="AW751" s="1169"/>
      <c r="AX751" s="1177"/>
      <c r="AY751" s="1177"/>
      <c r="AZ751" s="1169"/>
      <c r="BA751" s="1169">
        <f t="shared" si="1157"/>
        <v>0</v>
      </c>
      <c r="BB751" s="1169"/>
      <c r="BC751" s="1024"/>
      <c r="BD751" s="1027"/>
      <c r="BE751" s="1024"/>
      <c r="BF751" s="1024"/>
      <c r="BG751" s="1008"/>
      <c r="BH751" s="1008"/>
      <c r="BI751" s="1008"/>
      <c r="BJ751" s="1008"/>
      <c r="BK751" s="1008"/>
      <c r="BL751" s="1008"/>
      <c r="BM751" s="1008"/>
    </row>
    <row r="752" s="1215" customFormat="1">
      <c r="A752" s="999" t="str">
        <f t="shared" si="1057"/>
        <v xml:space="preserve">Кирпа Е.Д.</v>
      </c>
      <c r="B752" s="1202" t="s">
        <v>75</v>
      </c>
      <c r="C752" s="1202"/>
      <c r="D752" s="1202"/>
      <c r="E752" s="1164">
        <f t="shared" si="1145"/>
        <v>0</v>
      </c>
      <c r="F752" s="1164">
        <f t="shared" si="1058"/>
        <v>0</v>
      </c>
      <c r="G752" s="1165">
        <f t="shared" si="1151"/>
        <v>0</v>
      </c>
      <c r="H752" s="1166"/>
      <c r="I752" s="1167">
        <f t="shared" si="1158"/>
        <v>0</v>
      </c>
      <c r="J752" s="1167">
        <f t="shared" si="1060"/>
        <v>0</v>
      </c>
      <c r="K752" s="1168">
        <f t="shared" si="1152"/>
        <v>0</v>
      </c>
      <c r="L752" s="1128"/>
      <c r="M752" s="1169"/>
      <c r="N752" s="1177"/>
      <c r="O752" s="1169"/>
      <c r="P752" s="1169"/>
      <c r="Q752" s="1169">
        <f t="shared" si="1153"/>
        <v>0</v>
      </c>
      <c r="R752" s="1169"/>
      <c r="S752" s="1170"/>
      <c r="T752" s="1171"/>
      <c r="U752" s="1128"/>
      <c r="V752" s="1169"/>
      <c r="W752" s="1177"/>
      <c r="X752" s="1177"/>
      <c r="Y752" s="1169"/>
      <c r="Z752" s="1169">
        <f t="shared" si="1154"/>
        <v>0</v>
      </c>
      <c r="AA752" s="1169"/>
      <c r="AB752" s="1172">
        <f t="shared" si="1064"/>
        <v>0</v>
      </c>
      <c r="AC752" s="1171"/>
      <c r="AD752" s="1128"/>
      <c r="AE752" s="1169"/>
      <c r="AF752" s="1177"/>
      <c r="AG752" s="1177"/>
      <c r="AH752" s="1169"/>
      <c r="AI752" s="1169">
        <f t="shared" si="1155"/>
        <v>0</v>
      </c>
      <c r="AJ752" s="1169"/>
      <c r="AK752" s="1170"/>
      <c r="AL752" s="1171"/>
      <c r="AM752" s="1128"/>
      <c r="AN752" s="1170"/>
      <c r="AO752" s="1175"/>
      <c r="AP752" s="1175"/>
      <c r="AQ752" s="1170"/>
      <c r="AR752" s="1170">
        <f t="shared" si="1156"/>
        <v>0</v>
      </c>
      <c r="AS752" s="1170"/>
      <c r="AT752" s="1170"/>
      <c r="AU752" s="1174"/>
      <c r="AV752" s="1128"/>
      <c r="AW752" s="1169"/>
      <c r="AX752" s="1177"/>
      <c r="AY752" s="1177"/>
      <c r="AZ752" s="1169"/>
      <c r="BA752" s="1169">
        <f t="shared" si="1157"/>
        <v>0</v>
      </c>
      <c r="BB752" s="1169"/>
      <c r="BC752" s="1024"/>
      <c r="BD752" s="1027"/>
      <c r="BE752" s="1024"/>
      <c r="BF752" s="1024"/>
      <c r="BG752" s="1008"/>
      <c r="BH752" s="1008"/>
      <c r="BI752" s="1008"/>
      <c r="BJ752" s="1008"/>
      <c r="BK752" s="1008"/>
      <c r="BL752" s="1008"/>
      <c r="BM752" s="1008"/>
    </row>
    <row r="753" s="1215" customFormat="1">
      <c r="A753" s="999" t="str">
        <f t="shared" si="1057"/>
        <v xml:space="preserve">Трофимкина Н.В.</v>
      </c>
      <c r="B753" s="1202" t="s">
        <v>431</v>
      </c>
      <c r="C753" s="1202"/>
      <c r="D753" s="1202"/>
      <c r="E753" s="1164">
        <f t="shared" si="1145"/>
        <v>0</v>
      </c>
      <c r="F753" s="1164">
        <f t="shared" si="1058"/>
        <v>0</v>
      </c>
      <c r="G753" s="1165">
        <f t="shared" si="1151"/>
        <v>0</v>
      </c>
      <c r="H753" s="1166"/>
      <c r="I753" s="1167">
        <f t="shared" si="1158"/>
        <v>0</v>
      </c>
      <c r="J753" s="1167">
        <f t="shared" si="1060"/>
        <v>0</v>
      </c>
      <c r="K753" s="1168">
        <f t="shared" si="1152"/>
        <v>0</v>
      </c>
      <c r="L753" s="1128"/>
      <c r="M753" s="1169"/>
      <c r="N753" s="1177"/>
      <c r="O753" s="1169"/>
      <c r="P753" s="1169"/>
      <c r="Q753" s="1169">
        <f t="shared" si="1153"/>
        <v>0</v>
      </c>
      <c r="R753" s="1169"/>
      <c r="S753" s="1170"/>
      <c r="T753" s="1171"/>
      <c r="U753" s="1128"/>
      <c r="V753" s="1169"/>
      <c r="W753" s="1177"/>
      <c r="X753" s="1177"/>
      <c r="Y753" s="1169"/>
      <c r="Z753" s="1169">
        <f t="shared" si="1154"/>
        <v>0</v>
      </c>
      <c r="AA753" s="1169"/>
      <c r="AB753" s="1172">
        <f t="shared" si="1064"/>
        <v>0</v>
      </c>
      <c r="AC753" s="1171"/>
      <c r="AD753" s="1128"/>
      <c r="AE753" s="1169"/>
      <c r="AF753" s="1177"/>
      <c r="AG753" s="1177"/>
      <c r="AH753" s="1169"/>
      <c r="AI753" s="1169">
        <f t="shared" si="1155"/>
        <v>0</v>
      </c>
      <c r="AJ753" s="1169"/>
      <c r="AK753" s="1170"/>
      <c r="AL753" s="1171"/>
      <c r="AM753" s="1128"/>
      <c r="AN753" s="1170"/>
      <c r="AO753" s="1175"/>
      <c r="AP753" s="1175"/>
      <c r="AQ753" s="1170"/>
      <c r="AR753" s="1170">
        <f t="shared" si="1156"/>
        <v>0</v>
      </c>
      <c r="AS753" s="1170"/>
      <c r="AT753" s="1170"/>
      <c r="AU753" s="1174"/>
      <c r="AV753" s="1128"/>
      <c r="AW753" s="1169"/>
      <c r="AX753" s="1177"/>
      <c r="AY753" s="1177"/>
      <c r="AZ753" s="1169"/>
      <c r="BA753" s="1169">
        <f t="shared" si="1157"/>
        <v>0</v>
      </c>
      <c r="BB753" s="1169"/>
      <c r="BC753" s="1024"/>
      <c r="BD753" s="1027"/>
      <c r="BE753" s="1024"/>
      <c r="BF753" s="1024"/>
      <c r="BG753" s="1008"/>
      <c r="BH753" s="1008"/>
      <c r="BI753" s="1008"/>
      <c r="BJ753" s="1008"/>
      <c r="BK753" s="1008"/>
      <c r="BL753" s="1008"/>
      <c r="BM753" s="1008"/>
    </row>
    <row r="754" s="1215" customFormat="1" ht="19.5" customHeight="1">
      <c r="A754" s="999" t="str">
        <f t="shared" si="1057"/>
        <v xml:space="preserve">Жилкина В.В.</v>
      </c>
      <c r="B754" s="1202" t="s">
        <v>433</v>
      </c>
      <c r="C754" s="1217"/>
      <c r="D754" s="1217"/>
      <c r="E754" s="1164">
        <f t="shared" si="1145"/>
        <v>0</v>
      </c>
      <c r="F754" s="1164">
        <f t="shared" si="1058"/>
        <v>0</v>
      </c>
      <c r="G754" s="1165">
        <f t="shared" si="1151"/>
        <v>0</v>
      </c>
      <c r="H754" s="1166"/>
      <c r="I754" s="1167">
        <f t="shared" si="1158"/>
        <v>0</v>
      </c>
      <c r="J754" s="1167">
        <f t="shared" si="1060"/>
        <v>0</v>
      </c>
      <c r="K754" s="1168">
        <f t="shared" si="1152"/>
        <v>0</v>
      </c>
      <c r="L754" s="1128"/>
      <c r="M754" s="1169"/>
      <c r="N754" s="1177"/>
      <c r="O754" s="1169"/>
      <c r="P754" s="1169"/>
      <c r="Q754" s="1169">
        <f t="shared" si="1153"/>
        <v>0</v>
      </c>
      <c r="R754" s="1169"/>
      <c r="S754" s="1170"/>
      <c r="T754" s="1171"/>
      <c r="U754" s="1128"/>
      <c r="V754" s="1169"/>
      <c r="W754" s="1177"/>
      <c r="X754" s="1177"/>
      <c r="Y754" s="1169"/>
      <c r="Z754" s="1169">
        <f t="shared" si="1154"/>
        <v>0</v>
      </c>
      <c r="AA754" s="1169"/>
      <c r="AB754" s="1172">
        <f t="shared" si="1064"/>
        <v>0</v>
      </c>
      <c r="AC754" s="1171"/>
      <c r="AD754" s="1128"/>
      <c r="AE754" s="1169"/>
      <c r="AF754" s="1177"/>
      <c r="AG754" s="1177"/>
      <c r="AH754" s="1169"/>
      <c r="AI754" s="1169">
        <f t="shared" si="1155"/>
        <v>0</v>
      </c>
      <c r="AJ754" s="1169"/>
      <c r="AK754" s="1170"/>
      <c r="AL754" s="1171"/>
      <c r="AM754" s="1128"/>
      <c r="AN754" s="1170"/>
      <c r="AO754" s="1175"/>
      <c r="AP754" s="1175"/>
      <c r="AQ754" s="1170"/>
      <c r="AR754" s="1170">
        <f t="shared" si="1156"/>
        <v>0</v>
      </c>
      <c r="AS754" s="1170"/>
      <c r="AT754" s="1170"/>
      <c r="AU754" s="1174"/>
      <c r="AV754" s="1128"/>
      <c r="AW754" s="1169"/>
      <c r="AX754" s="1177"/>
      <c r="AY754" s="1177"/>
      <c r="AZ754" s="1169"/>
      <c r="BA754" s="1169">
        <f t="shared" si="1157"/>
        <v>0</v>
      </c>
      <c r="BB754" s="1169"/>
      <c r="BC754" s="1024"/>
      <c r="BD754" s="1027"/>
      <c r="BE754" s="1024"/>
      <c r="BF754" s="1024"/>
      <c r="BG754" s="1008"/>
      <c r="BH754" s="1008"/>
      <c r="BI754" s="1008"/>
      <c r="BJ754" s="1008"/>
      <c r="BK754" s="1008"/>
      <c r="BL754" s="1008"/>
      <c r="BM754" s="1008"/>
    </row>
    <row r="755" s="1215" customFormat="1">
      <c r="A755" s="999" t="str">
        <f t="shared" si="1057"/>
        <v xml:space="preserve">Марушенко В.Н. Донцова Н.Г.</v>
      </c>
      <c r="B755" s="1202" t="s">
        <v>435</v>
      </c>
      <c r="C755" s="1202"/>
      <c r="D755" s="1202"/>
      <c r="E755" s="1164">
        <f t="shared" si="1145"/>
        <v>0</v>
      </c>
      <c r="F755" s="1164">
        <f t="shared" ref="F755:F795" si="1159">R755+AA755+AJ755+AS755+BB755</f>
        <v>0</v>
      </c>
      <c r="G755" s="1165">
        <f t="shared" si="1151"/>
        <v>0</v>
      </c>
      <c r="H755" s="1166"/>
      <c r="I755" s="1167">
        <f t="shared" si="1158"/>
        <v>0</v>
      </c>
      <c r="J755" s="1167">
        <f t="shared" ref="J755:J818" si="1160">F755-AA755</f>
        <v>0</v>
      </c>
      <c r="K755" s="1168">
        <f t="shared" si="1152"/>
        <v>0</v>
      </c>
      <c r="L755" s="1128"/>
      <c r="M755" s="1169"/>
      <c r="N755" s="1177"/>
      <c r="O755" s="1169"/>
      <c r="P755" s="1169"/>
      <c r="Q755" s="1169">
        <f t="shared" si="1153"/>
        <v>0</v>
      </c>
      <c r="R755" s="1169"/>
      <c r="S755" s="1170"/>
      <c r="T755" s="1171"/>
      <c r="U755" s="1128"/>
      <c r="V755" s="1169"/>
      <c r="W755" s="1177"/>
      <c r="X755" s="1177"/>
      <c r="Y755" s="1169"/>
      <c r="Z755" s="1169">
        <f t="shared" si="1154"/>
        <v>0</v>
      </c>
      <c r="AA755" s="1169"/>
      <c r="AB755" s="1172">
        <f t="shared" si="1064"/>
        <v>0</v>
      </c>
      <c r="AC755" s="1171"/>
      <c r="AD755" s="1128"/>
      <c r="AE755" s="1169"/>
      <c r="AF755" s="1177"/>
      <c r="AG755" s="1177"/>
      <c r="AH755" s="1169"/>
      <c r="AI755" s="1169">
        <f t="shared" si="1155"/>
        <v>0</v>
      </c>
      <c r="AJ755" s="1169"/>
      <c r="AK755" s="1170"/>
      <c r="AL755" s="1171"/>
      <c r="AM755" s="1128"/>
      <c r="AN755" s="1170"/>
      <c r="AO755" s="1175"/>
      <c r="AP755" s="1175"/>
      <c r="AQ755" s="1170"/>
      <c r="AR755" s="1170">
        <f t="shared" si="1156"/>
        <v>0</v>
      </c>
      <c r="AS755" s="1170"/>
      <c r="AT755" s="1170"/>
      <c r="AU755" s="1174"/>
      <c r="AV755" s="1128"/>
      <c r="AW755" s="1169"/>
      <c r="AX755" s="1177"/>
      <c r="AY755" s="1177"/>
      <c r="AZ755" s="1169"/>
      <c r="BA755" s="1169">
        <f t="shared" si="1157"/>
        <v>0</v>
      </c>
      <c r="BB755" s="1169"/>
      <c r="BC755" s="1024"/>
      <c r="BD755" s="1027"/>
      <c r="BE755" s="1024"/>
      <c r="BF755" s="1024"/>
      <c r="BG755" s="1008"/>
      <c r="BH755" s="1008"/>
      <c r="BI755" s="1008"/>
      <c r="BJ755" s="1008"/>
      <c r="BK755" s="1008"/>
      <c r="BL755" s="1008"/>
      <c r="BM755" s="1008"/>
    </row>
    <row r="756" s="1215" customFormat="1">
      <c r="A756" s="999">
        <f t="shared" si="1057"/>
        <v>0</v>
      </c>
      <c r="B756" s="1202" t="s">
        <v>436</v>
      </c>
      <c r="C756" s="1202"/>
      <c r="D756" s="1202"/>
      <c r="E756" s="1164">
        <f t="shared" si="1145"/>
        <v>0</v>
      </c>
      <c r="F756" s="1164">
        <f t="shared" si="1159"/>
        <v>0</v>
      </c>
      <c r="G756" s="1165">
        <f t="shared" si="1151"/>
        <v>0</v>
      </c>
      <c r="H756" s="1166"/>
      <c r="I756" s="1167">
        <f t="shared" si="1158"/>
        <v>0</v>
      </c>
      <c r="J756" s="1167">
        <f t="shared" si="1160"/>
        <v>0</v>
      </c>
      <c r="K756" s="1168">
        <f t="shared" si="1152"/>
        <v>0</v>
      </c>
      <c r="L756" s="1128"/>
      <c r="M756" s="1169"/>
      <c r="N756" s="1177"/>
      <c r="O756" s="1169"/>
      <c r="P756" s="1169"/>
      <c r="Q756" s="1169">
        <f t="shared" si="1153"/>
        <v>0</v>
      </c>
      <c r="R756" s="1169"/>
      <c r="S756" s="1170"/>
      <c r="T756" s="1171"/>
      <c r="U756" s="1128"/>
      <c r="V756" s="1169"/>
      <c r="W756" s="1177"/>
      <c r="X756" s="1177"/>
      <c r="Y756" s="1169"/>
      <c r="Z756" s="1169">
        <f t="shared" si="1154"/>
        <v>0</v>
      </c>
      <c r="AA756" s="1169"/>
      <c r="AB756" s="1172">
        <f t="shared" si="1064"/>
        <v>0</v>
      </c>
      <c r="AC756" s="1171"/>
      <c r="AD756" s="1128"/>
      <c r="AE756" s="1169"/>
      <c r="AF756" s="1177"/>
      <c r="AG756" s="1177"/>
      <c r="AH756" s="1169"/>
      <c r="AI756" s="1169">
        <f t="shared" si="1155"/>
        <v>0</v>
      </c>
      <c r="AJ756" s="1169"/>
      <c r="AK756" s="1170"/>
      <c r="AL756" s="1171"/>
      <c r="AM756" s="1128"/>
      <c r="AN756" s="1170"/>
      <c r="AO756" s="1175"/>
      <c r="AP756" s="1175"/>
      <c r="AQ756" s="1170"/>
      <c r="AR756" s="1170">
        <f t="shared" si="1156"/>
        <v>0</v>
      </c>
      <c r="AS756" s="1170"/>
      <c r="AT756" s="1170"/>
      <c r="AU756" s="1174"/>
      <c r="AV756" s="1128"/>
      <c r="AW756" s="1169"/>
      <c r="AX756" s="1177"/>
      <c r="AY756" s="1177"/>
      <c r="AZ756" s="1169"/>
      <c r="BA756" s="1169">
        <f t="shared" si="1157"/>
        <v>0</v>
      </c>
      <c r="BB756" s="1169"/>
      <c r="BC756" s="1024"/>
      <c r="BD756" s="1027"/>
      <c r="BE756" s="1024"/>
      <c r="BF756" s="1024"/>
      <c r="BG756" s="1008"/>
      <c r="BH756" s="1008"/>
      <c r="BI756" s="1008"/>
      <c r="BJ756" s="1008"/>
      <c r="BK756" s="1008"/>
      <c r="BL756" s="1008"/>
      <c r="BM756" s="1008"/>
    </row>
    <row r="757" s="1215" customFormat="1">
      <c r="A757" s="999" t="str">
        <f t="shared" si="1057"/>
        <v xml:space="preserve">Кузнецова Е.В.</v>
      </c>
      <c r="B757" s="1202" t="s">
        <v>78</v>
      </c>
      <c r="C757" s="1000"/>
      <c r="D757" s="1000"/>
      <c r="E757" s="1164">
        <f t="shared" si="1145"/>
        <v>0</v>
      </c>
      <c r="F757" s="1164">
        <f t="shared" si="1159"/>
        <v>0</v>
      </c>
      <c r="G757" s="1165">
        <f t="shared" si="1151"/>
        <v>0</v>
      </c>
      <c r="H757" s="1166"/>
      <c r="I757" s="1167">
        <f t="shared" si="1158"/>
        <v>0</v>
      </c>
      <c r="J757" s="1167">
        <f t="shared" si="1160"/>
        <v>0</v>
      </c>
      <c r="K757" s="1168">
        <f t="shared" si="1152"/>
        <v>0</v>
      </c>
      <c r="L757" s="1128"/>
      <c r="M757" s="1169"/>
      <c r="N757" s="1177"/>
      <c r="O757" s="1169"/>
      <c r="P757" s="1169"/>
      <c r="Q757" s="1169">
        <f t="shared" si="1153"/>
        <v>0</v>
      </c>
      <c r="R757" s="1169"/>
      <c r="S757" s="1170"/>
      <c r="T757" s="1171"/>
      <c r="U757" s="1128"/>
      <c r="V757" s="1169"/>
      <c r="W757" s="1177"/>
      <c r="X757" s="1177"/>
      <c r="Y757" s="1169"/>
      <c r="Z757" s="1169">
        <f t="shared" si="1154"/>
        <v>0</v>
      </c>
      <c r="AA757" s="1169"/>
      <c r="AB757" s="1172">
        <f t="shared" si="1064"/>
        <v>0</v>
      </c>
      <c r="AC757" s="1171"/>
      <c r="AD757" s="1128"/>
      <c r="AE757" s="1169"/>
      <c r="AF757" s="1177"/>
      <c r="AG757" s="1177"/>
      <c r="AH757" s="1169"/>
      <c r="AI757" s="1169">
        <f t="shared" si="1155"/>
        <v>0</v>
      </c>
      <c r="AJ757" s="1169"/>
      <c r="AK757" s="1170"/>
      <c r="AL757" s="1171"/>
      <c r="AM757" s="1128"/>
      <c r="AN757" s="1170"/>
      <c r="AO757" s="1175"/>
      <c r="AP757" s="1175"/>
      <c r="AQ757" s="1170"/>
      <c r="AR757" s="1170">
        <f t="shared" si="1156"/>
        <v>0</v>
      </c>
      <c r="AS757" s="1170"/>
      <c r="AT757" s="1170"/>
      <c r="AU757" s="1174"/>
      <c r="AV757" s="1128"/>
      <c r="AW757" s="1169"/>
      <c r="AX757" s="1177"/>
      <c r="AY757" s="1177"/>
      <c r="AZ757" s="1169"/>
      <c r="BA757" s="1169">
        <f t="shared" si="1157"/>
        <v>0</v>
      </c>
      <c r="BB757" s="1169"/>
      <c r="BC757" s="1024"/>
      <c r="BD757" s="1027"/>
      <c r="BE757" s="1024"/>
      <c r="BF757" s="1024"/>
      <c r="BG757" s="1008"/>
      <c r="BH757" s="1008"/>
      <c r="BI757" s="1008"/>
      <c r="BJ757" s="1008"/>
      <c r="BK757" s="1008"/>
      <c r="BL757" s="1008"/>
      <c r="BM757" s="1008"/>
    </row>
    <row r="758" s="1215" customFormat="1" ht="22.5">
      <c r="A758" s="999">
        <f t="shared" ref="A758:A784" si="1161">A660</f>
        <v>0</v>
      </c>
      <c r="B758" s="1205" t="s">
        <v>22</v>
      </c>
      <c r="C758" s="1205"/>
      <c r="D758" s="1205"/>
      <c r="E758" s="1183">
        <f t="shared" si="1145"/>
        <v>0</v>
      </c>
      <c r="F758" s="1183">
        <f t="shared" si="1159"/>
        <v>0</v>
      </c>
      <c r="G758" s="1184">
        <f>SUM(G745:G757)</f>
        <v>0</v>
      </c>
      <c r="H758" s="1185"/>
      <c r="I758" s="1186">
        <f t="shared" si="1158"/>
        <v>0</v>
      </c>
      <c r="J758" s="1186">
        <f t="shared" si="1160"/>
        <v>0</v>
      </c>
      <c r="K758" s="1187">
        <f>SUM(K745:K757)</f>
        <v>0</v>
      </c>
      <c r="L758" s="1128"/>
      <c r="M758" s="1096">
        <f t="shared" ref="M758:R758" si="1162">SUM(M745:M757)</f>
        <v>0</v>
      </c>
      <c r="N758" s="1096">
        <f t="shared" si="1162"/>
        <v>0</v>
      </c>
      <c r="O758" s="1096">
        <f t="shared" si="1162"/>
        <v>0</v>
      </c>
      <c r="P758" s="1096">
        <f t="shared" si="1162"/>
        <v>0</v>
      </c>
      <c r="Q758" s="1096">
        <f t="shared" si="1162"/>
        <v>0</v>
      </c>
      <c r="R758" s="1096">
        <f t="shared" si="1162"/>
        <v>0</v>
      </c>
      <c r="S758" s="1190"/>
      <c r="T758" s="1189"/>
      <c r="U758" s="1128"/>
      <c r="V758" s="1096">
        <f t="shared" ref="V758:AA758" si="1163">SUM(V745:V757)</f>
        <v>0</v>
      </c>
      <c r="W758" s="1096">
        <f t="shared" si="1163"/>
        <v>0</v>
      </c>
      <c r="X758" s="1096">
        <f t="shared" si="1163"/>
        <v>0</v>
      </c>
      <c r="Y758" s="1096">
        <f t="shared" si="1163"/>
        <v>0</v>
      </c>
      <c r="Z758" s="1096">
        <f t="shared" si="1163"/>
        <v>0</v>
      </c>
      <c r="AA758" s="1096">
        <f t="shared" si="1163"/>
        <v>0</v>
      </c>
      <c r="AB758" s="1172">
        <f t="shared" ref="AB758:AB786" si="1164">Z758+AA758</f>
        <v>0</v>
      </c>
      <c r="AC758" s="1189"/>
      <c r="AD758" s="1128"/>
      <c r="AE758" s="1096">
        <f t="shared" ref="AE758:AJ758" si="1165">SUM(AE745:AE757)</f>
        <v>0</v>
      </c>
      <c r="AF758" s="1096">
        <f t="shared" si="1165"/>
        <v>0</v>
      </c>
      <c r="AG758" s="1096">
        <f t="shared" si="1165"/>
        <v>0</v>
      </c>
      <c r="AH758" s="1096">
        <f t="shared" si="1165"/>
        <v>0</v>
      </c>
      <c r="AI758" s="1096">
        <f t="shared" si="1165"/>
        <v>0</v>
      </c>
      <c r="AJ758" s="1096">
        <f t="shared" si="1165"/>
        <v>0</v>
      </c>
      <c r="AK758" s="1190"/>
      <c r="AL758" s="1189"/>
      <c r="AM758" s="1128"/>
      <c r="AN758" s="1190">
        <f t="shared" ref="AN758:AS758" si="1166">SUM(AN745:AN757)</f>
        <v>0</v>
      </c>
      <c r="AO758" s="1190">
        <f t="shared" si="1166"/>
        <v>0</v>
      </c>
      <c r="AP758" s="1190">
        <f t="shared" si="1166"/>
        <v>0</v>
      </c>
      <c r="AQ758" s="1190">
        <f t="shared" si="1166"/>
        <v>0</v>
      </c>
      <c r="AR758" s="1190">
        <f t="shared" si="1166"/>
        <v>0</v>
      </c>
      <c r="AS758" s="1190">
        <f t="shared" si="1166"/>
        <v>0</v>
      </c>
      <c r="AT758" s="1190"/>
      <c r="AU758" s="1191"/>
      <c r="AV758" s="1128"/>
      <c r="AW758" s="1096">
        <f t="shared" ref="AW758:BB758" si="1167">SUM(AW745:AW757)</f>
        <v>0</v>
      </c>
      <c r="AX758" s="1096">
        <f t="shared" si="1167"/>
        <v>0</v>
      </c>
      <c r="AY758" s="1096">
        <f t="shared" si="1167"/>
        <v>0</v>
      </c>
      <c r="AZ758" s="1096">
        <f t="shared" si="1167"/>
        <v>0</v>
      </c>
      <c r="BA758" s="1096">
        <f t="shared" si="1167"/>
        <v>0</v>
      </c>
      <c r="BB758" s="1096">
        <f t="shared" si="1167"/>
        <v>0</v>
      </c>
      <c r="BC758" s="1024"/>
      <c r="BD758" s="1027"/>
      <c r="BE758" s="1024"/>
      <c r="BF758" s="1024"/>
      <c r="BG758" s="1008"/>
      <c r="BH758" s="1008"/>
      <c r="BI758" s="1008"/>
      <c r="BJ758" s="1008"/>
      <c r="BK758" s="1008"/>
      <c r="BL758" s="1008"/>
      <c r="BM758" s="1008"/>
    </row>
    <row r="759" s="1215" customFormat="1">
      <c r="A759" s="999" t="str">
        <f t="shared" si="1161"/>
        <v xml:space="preserve">Титякова Т.А.</v>
      </c>
      <c r="B759" s="1202" t="s">
        <v>26</v>
      </c>
      <c r="C759" s="1202"/>
      <c r="D759" s="1202"/>
      <c r="E759" s="1164">
        <f t="shared" si="1145"/>
        <v>0</v>
      </c>
      <c r="F759" s="1164">
        <f t="shared" si="1159"/>
        <v>0</v>
      </c>
      <c r="G759" s="1165">
        <f t="shared" ref="G759:G784" si="1168">E759+F759</f>
        <v>0</v>
      </c>
      <c r="H759" s="1166"/>
      <c r="I759" s="1167">
        <f t="shared" si="1158"/>
        <v>0</v>
      </c>
      <c r="J759" s="1167">
        <f t="shared" si="1160"/>
        <v>0</v>
      </c>
      <c r="K759" s="1168">
        <f t="shared" ref="K759:K784" si="1169">I759+J759</f>
        <v>0</v>
      </c>
      <c r="L759" s="1128"/>
      <c r="M759" s="1169"/>
      <c r="N759" s="1177"/>
      <c r="O759" s="1169"/>
      <c r="P759" s="1169"/>
      <c r="Q759" s="1169">
        <f t="shared" ref="Q759:Q784" si="1170">SUM(M759:P759)</f>
        <v>0</v>
      </c>
      <c r="R759" s="1169"/>
      <c r="S759" s="1170"/>
      <c r="T759" s="1171"/>
      <c r="U759" s="1128"/>
      <c r="V759" s="1169"/>
      <c r="W759" s="1177"/>
      <c r="X759" s="1177"/>
      <c r="Y759" s="1169"/>
      <c r="Z759" s="1169">
        <f t="shared" ref="Z759:Z784" si="1171">SUM(V759:Y759)</f>
        <v>0</v>
      </c>
      <c r="AA759" s="1169"/>
      <c r="AB759" s="1172">
        <f t="shared" si="1164"/>
        <v>0</v>
      </c>
      <c r="AC759" s="1171"/>
      <c r="AD759" s="1128"/>
      <c r="AE759" s="1169"/>
      <c r="AF759" s="1177"/>
      <c r="AG759" s="1177"/>
      <c r="AH759" s="1169"/>
      <c r="AI759" s="1169">
        <f t="shared" ref="AI759:AI784" si="1172">SUM(AE759:AH759)</f>
        <v>0</v>
      </c>
      <c r="AJ759" s="1169"/>
      <c r="AK759" s="1170"/>
      <c r="AL759" s="1171"/>
      <c r="AM759" s="1128"/>
      <c r="AN759" s="1170"/>
      <c r="AO759" s="1175"/>
      <c r="AP759" s="1175"/>
      <c r="AQ759" s="1170"/>
      <c r="AR759" s="1170">
        <f t="shared" ref="AR759:AR784" si="1173">SUM(AN759:AQ759)</f>
        <v>0</v>
      </c>
      <c r="AS759" s="1170"/>
      <c r="AT759" s="1170"/>
      <c r="AU759" s="1174"/>
      <c r="AV759" s="1128"/>
      <c r="AW759" s="1169"/>
      <c r="AX759" s="1177"/>
      <c r="AY759" s="1177"/>
      <c r="AZ759" s="1169"/>
      <c r="BA759" s="1169">
        <f t="shared" ref="BA759:BA784" si="1174">SUM(AW759:AZ759)</f>
        <v>0</v>
      </c>
      <c r="BB759" s="1169"/>
      <c r="BC759" s="1024"/>
      <c r="BD759" s="1027"/>
      <c r="BE759" s="1024"/>
      <c r="BF759" s="1024"/>
      <c r="BG759" s="1008"/>
      <c r="BH759" s="1008"/>
      <c r="BI759" s="1008"/>
      <c r="BJ759" s="1008"/>
      <c r="BK759" s="1008"/>
      <c r="BL759" s="1008"/>
      <c r="BM759" s="1008"/>
    </row>
    <row r="760" s="1215" customFormat="1">
      <c r="A760" s="999">
        <f t="shared" si="1161"/>
        <v>0</v>
      </c>
      <c r="B760" s="1202" t="s">
        <v>439</v>
      </c>
      <c r="C760" s="1202"/>
      <c r="D760" s="1202"/>
      <c r="E760" s="1164">
        <f t="shared" si="1145"/>
        <v>0</v>
      </c>
      <c r="F760" s="1164">
        <f t="shared" si="1159"/>
        <v>0</v>
      </c>
      <c r="G760" s="1165">
        <f t="shared" si="1168"/>
        <v>0</v>
      </c>
      <c r="H760" s="1166"/>
      <c r="I760" s="1167">
        <f t="shared" si="1158"/>
        <v>0</v>
      </c>
      <c r="J760" s="1167">
        <f t="shared" si="1160"/>
        <v>0</v>
      </c>
      <c r="K760" s="1168">
        <f t="shared" si="1169"/>
        <v>0</v>
      </c>
      <c r="L760" s="1128"/>
      <c r="M760" s="1169"/>
      <c r="N760" s="1177"/>
      <c r="O760" s="1169"/>
      <c r="P760" s="1169"/>
      <c r="Q760" s="1169">
        <f t="shared" si="1170"/>
        <v>0</v>
      </c>
      <c r="R760" s="1169"/>
      <c r="S760" s="1170"/>
      <c r="T760" s="1171"/>
      <c r="U760" s="1128"/>
      <c r="V760" s="1169"/>
      <c r="W760" s="1177"/>
      <c r="X760" s="1177"/>
      <c r="Y760" s="1169"/>
      <c r="Z760" s="1169">
        <f t="shared" si="1171"/>
        <v>0</v>
      </c>
      <c r="AA760" s="1169"/>
      <c r="AB760" s="1172">
        <f t="shared" si="1164"/>
        <v>0</v>
      </c>
      <c r="AC760" s="1171"/>
      <c r="AD760" s="1128"/>
      <c r="AE760" s="1169"/>
      <c r="AF760" s="1177"/>
      <c r="AG760" s="1177"/>
      <c r="AH760" s="1169"/>
      <c r="AI760" s="1169">
        <f t="shared" si="1172"/>
        <v>0</v>
      </c>
      <c r="AJ760" s="1169"/>
      <c r="AK760" s="1170"/>
      <c r="AL760" s="1171"/>
      <c r="AM760" s="1128"/>
      <c r="AN760" s="1170"/>
      <c r="AO760" s="1175"/>
      <c r="AP760" s="1175"/>
      <c r="AQ760" s="1170"/>
      <c r="AR760" s="1170">
        <f t="shared" si="1173"/>
        <v>0</v>
      </c>
      <c r="AS760" s="1170"/>
      <c r="AT760" s="1170"/>
      <c r="AU760" s="1174"/>
      <c r="AV760" s="1128"/>
      <c r="AW760" s="1169"/>
      <c r="AX760" s="1177"/>
      <c r="AY760" s="1177"/>
      <c r="AZ760" s="1169"/>
      <c r="BA760" s="1169">
        <f t="shared" si="1174"/>
        <v>0</v>
      </c>
      <c r="BB760" s="1169"/>
      <c r="BC760" s="1024"/>
      <c r="BD760" s="1027"/>
      <c r="BE760" s="1024"/>
      <c r="BF760" s="1024"/>
      <c r="BG760" s="1008"/>
      <c r="BH760" s="1008"/>
      <c r="BI760" s="1008"/>
      <c r="BJ760" s="1008"/>
      <c r="BK760" s="1008"/>
      <c r="BL760" s="1008"/>
      <c r="BM760" s="1008"/>
    </row>
    <row r="761" s="1215" customFormat="1">
      <c r="A761" s="999" t="str">
        <f t="shared" si="1161"/>
        <v xml:space="preserve">Стрельникова АГ, Липатова СН</v>
      </c>
      <c r="B761" s="1202" t="s">
        <v>506</v>
      </c>
      <c r="C761" s="1202"/>
      <c r="D761" s="1202"/>
      <c r="E761" s="1164">
        <f t="shared" si="1145"/>
        <v>0</v>
      </c>
      <c r="F761" s="1164">
        <f t="shared" si="1159"/>
        <v>0</v>
      </c>
      <c r="G761" s="1165">
        <f t="shared" si="1168"/>
        <v>0</v>
      </c>
      <c r="H761" s="1166"/>
      <c r="I761" s="1167">
        <f t="shared" si="1158"/>
        <v>0</v>
      </c>
      <c r="J761" s="1167">
        <f t="shared" si="1160"/>
        <v>0</v>
      </c>
      <c r="K761" s="1168">
        <f t="shared" si="1169"/>
        <v>0</v>
      </c>
      <c r="L761" s="1128"/>
      <c r="M761" s="1169"/>
      <c r="N761" s="1177"/>
      <c r="O761" s="1169"/>
      <c r="P761" s="1169"/>
      <c r="Q761" s="1169">
        <f t="shared" si="1170"/>
        <v>0</v>
      </c>
      <c r="R761" s="1169"/>
      <c r="S761" s="1170"/>
      <c r="T761" s="1171"/>
      <c r="U761" s="1128"/>
      <c r="V761" s="1169"/>
      <c r="W761" s="1177"/>
      <c r="X761" s="1177"/>
      <c r="Y761" s="1169"/>
      <c r="Z761" s="1169">
        <f t="shared" si="1171"/>
        <v>0</v>
      </c>
      <c r="AA761" s="1169"/>
      <c r="AB761" s="1172">
        <f t="shared" si="1164"/>
        <v>0</v>
      </c>
      <c r="AC761" s="1171"/>
      <c r="AD761" s="1128"/>
      <c r="AE761" s="1169"/>
      <c r="AF761" s="1177"/>
      <c r="AG761" s="1177"/>
      <c r="AH761" s="1169"/>
      <c r="AI761" s="1169">
        <f t="shared" si="1172"/>
        <v>0</v>
      </c>
      <c r="AJ761" s="1169"/>
      <c r="AK761" s="1170"/>
      <c r="AL761" s="1171"/>
      <c r="AM761" s="1128"/>
      <c r="AN761" s="1170"/>
      <c r="AO761" s="1175"/>
      <c r="AP761" s="1175"/>
      <c r="AQ761" s="1170"/>
      <c r="AR761" s="1170">
        <f t="shared" si="1173"/>
        <v>0</v>
      </c>
      <c r="AS761" s="1170"/>
      <c r="AT761" s="1170"/>
      <c r="AU761" s="1174"/>
      <c r="AV761" s="1128"/>
      <c r="AW761" s="1169"/>
      <c r="AX761" s="1177"/>
      <c r="AY761" s="1177"/>
      <c r="AZ761" s="1169"/>
      <c r="BA761" s="1169">
        <f t="shared" si="1174"/>
        <v>0</v>
      </c>
      <c r="BB761" s="1169"/>
      <c r="BC761" s="1024"/>
      <c r="BD761" s="1027"/>
      <c r="BE761" s="1024"/>
      <c r="BF761" s="1024"/>
      <c r="BG761" s="1008"/>
      <c r="BH761" s="1008"/>
      <c r="BI761" s="1008"/>
      <c r="BJ761" s="1008"/>
      <c r="BK761" s="1008"/>
      <c r="BL761" s="1008"/>
      <c r="BM761" s="1008"/>
    </row>
    <row r="762" s="1215" customFormat="1">
      <c r="A762" s="999" t="str">
        <f t="shared" si="1161"/>
        <v xml:space="preserve">Куликова А.Г.</v>
      </c>
      <c r="B762" s="1202" t="s">
        <v>84</v>
      </c>
      <c r="C762" s="1202"/>
      <c r="D762" s="1202"/>
      <c r="E762" s="1164">
        <f t="shared" si="1145"/>
        <v>0</v>
      </c>
      <c r="F762" s="1164">
        <f t="shared" si="1159"/>
        <v>0</v>
      </c>
      <c r="G762" s="1165">
        <f t="shared" si="1168"/>
        <v>0</v>
      </c>
      <c r="H762" s="1166"/>
      <c r="I762" s="1167">
        <f t="shared" si="1158"/>
        <v>0</v>
      </c>
      <c r="J762" s="1167">
        <f t="shared" si="1160"/>
        <v>0</v>
      </c>
      <c r="K762" s="1168">
        <f t="shared" si="1169"/>
        <v>0</v>
      </c>
      <c r="L762" s="1128"/>
      <c r="M762" s="1169"/>
      <c r="N762" s="1177"/>
      <c r="O762" s="1169"/>
      <c r="P762" s="1169"/>
      <c r="Q762" s="1169">
        <f t="shared" si="1170"/>
        <v>0</v>
      </c>
      <c r="R762" s="1169"/>
      <c r="S762" s="1170"/>
      <c r="T762" s="1171"/>
      <c r="U762" s="1128"/>
      <c r="V762" s="1169"/>
      <c r="W762" s="1177"/>
      <c r="X762" s="1177"/>
      <c r="Y762" s="1169"/>
      <c r="Z762" s="1169">
        <f t="shared" si="1171"/>
        <v>0</v>
      </c>
      <c r="AA762" s="1169"/>
      <c r="AB762" s="1172">
        <f t="shared" si="1164"/>
        <v>0</v>
      </c>
      <c r="AC762" s="1171"/>
      <c r="AD762" s="1128"/>
      <c r="AE762" s="1169"/>
      <c r="AF762" s="1177"/>
      <c r="AG762" s="1177"/>
      <c r="AH762" s="1169"/>
      <c r="AI762" s="1169">
        <f t="shared" si="1172"/>
        <v>0</v>
      </c>
      <c r="AJ762" s="1169"/>
      <c r="AK762" s="1170"/>
      <c r="AL762" s="1171"/>
      <c r="AM762" s="1128"/>
      <c r="AN762" s="1170"/>
      <c r="AO762" s="1175"/>
      <c r="AP762" s="1175"/>
      <c r="AQ762" s="1170"/>
      <c r="AR762" s="1170">
        <f t="shared" si="1173"/>
        <v>0</v>
      </c>
      <c r="AS762" s="1170"/>
      <c r="AT762" s="1170"/>
      <c r="AU762" s="1174"/>
      <c r="AV762" s="1128"/>
      <c r="AW762" s="1169"/>
      <c r="AX762" s="1177"/>
      <c r="AY762" s="1177"/>
      <c r="AZ762" s="1169"/>
      <c r="BA762" s="1169">
        <f t="shared" si="1174"/>
        <v>0</v>
      </c>
      <c r="BB762" s="1169"/>
      <c r="BC762" s="1024"/>
      <c r="BD762" s="1027"/>
      <c r="BE762" s="1024"/>
      <c r="BF762" s="1024"/>
      <c r="BG762" s="1008"/>
      <c r="BH762" s="1008"/>
      <c r="BI762" s="1008"/>
      <c r="BJ762" s="1008"/>
      <c r="BK762" s="1008"/>
      <c r="BL762" s="1008"/>
      <c r="BM762" s="1008"/>
    </row>
    <row r="763" s="1215" customFormat="1">
      <c r="A763" s="999" t="str">
        <f t="shared" si="1161"/>
        <v xml:space="preserve">Жандарова ИВ, Елина С.И.</v>
      </c>
      <c r="B763" s="1202" t="s">
        <v>288</v>
      </c>
      <c r="C763" s="1202"/>
      <c r="D763" s="1202"/>
      <c r="E763" s="1164">
        <f t="shared" si="1145"/>
        <v>0</v>
      </c>
      <c r="F763" s="1164">
        <f t="shared" si="1159"/>
        <v>0</v>
      </c>
      <c r="G763" s="1165">
        <f t="shared" si="1168"/>
        <v>0</v>
      </c>
      <c r="H763" s="1166"/>
      <c r="I763" s="1167">
        <f t="shared" si="1158"/>
        <v>0</v>
      </c>
      <c r="J763" s="1167">
        <f t="shared" si="1160"/>
        <v>0</v>
      </c>
      <c r="K763" s="1168">
        <f t="shared" si="1169"/>
        <v>0</v>
      </c>
      <c r="L763" s="1128"/>
      <c r="M763" s="1169"/>
      <c r="N763" s="1177"/>
      <c r="O763" s="1169"/>
      <c r="P763" s="1169"/>
      <c r="Q763" s="1169">
        <f t="shared" si="1170"/>
        <v>0</v>
      </c>
      <c r="R763" s="1169"/>
      <c r="S763" s="1170"/>
      <c r="T763" s="1171"/>
      <c r="U763" s="1128"/>
      <c r="V763" s="1169"/>
      <c r="W763" s="1177"/>
      <c r="X763" s="1177"/>
      <c r="Y763" s="1169"/>
      <c r="Z763" s="1169">
        <f t="shared" si="1171"/>
        <v>0</v>
      </c>
      <c r="AA763" s="1169"/>
      <c r="AB763" s="1172">
        <f t="shared" si="1164"/>
        <v>0</v>
      </c>
      <c r="AC763" s="1171"/>
      <c r="AD763" s="1128"/>
      <c r="AE763" s="1169"/>
      <c r="AF763" s="1177"/>
      <c r="AG763" s="1177"/>
      <c r="AH763" s="1169"/>
      <c r="AI763" s="1169">
        <f t="shared" si="1172"/>
        <v>0</v>
      </c>
      <c r="AJ763" s="1169"/>
      <c r="AK763" s="1170"/>
      <c r="AL763" s="1171"/>
      <c r="AM763" s="1128"/>
      <c r="AN763" s="1170"/>
      <c r="AO763" s="1175"/>
      <c r="AP763" s="1175"/>
      <c r="AQ763" s="1170"/>
      <c r="AR763" s="1170">
        <f t="shared" si="1173"/>
        <v>0</v>
      </c>
      <c r="AS763" s="1170"/>
      <c r="AT763" s="1170"/>
      <c r="AU763" s="1174"/>
      <c r="AV763" s="1128"/>
      <c r="AW763" s="1169"/>
      <c r="AX763" s="1177"/>
      <c r="AY763" s="1177"/>
      <c r="AZ763" s="1169"/>
      <c r="BA763" s="1169">
        <f t="shared" si="1174"/>
        <v>0</v>
      </c>
      <c r="BB763" s="1169"/>
      <c r="BC763" s="1024"/>
      <c r="BD763" s="1027"/>
      <c r="BE763" s="1024"/>
      <c r="BF763" s="1024"/>
      <c r="BG763" s="1008"/>
      <c r="BH763" s="1008"/>
      <c r="BI763" s="1008"/>
      <c r="BJ763" s="1008"/>
      <c r="BK763" s="1008"/>
      <c r="BL763" s="1008"/>
      <c r="BM763" s="1008"/>
    </row>
    <row r="764" s="1215" customFormat="1">
      <c r="A764" s="999" t="str">
        <f t="shared" si="1161"/>
        <v xml:space="preserve">Бояркина Л.Е. Кондратьева АА</v>
      </c>
      <c r="B764" s="1176" t="s">
        <v>445</v>
      </c>
      <c r="C764" s="1176"/>
      <c r="D764" s="1176"/>
      <c r="E764" s="1164">
        <f t="shared" si="1145"/>
        <v>0</v>
      </c>
      <c r="F764" s="1164">
        <f t="shared" si="1159"/>
        <v>0</v>
      </c>
      <c r="G764" s="1165">
        <f t="shared" si="1168"/>
        <v>0</v>
      </c>
      <c r="H764" s="1166"/>
      <c r="I764" s="1167">
        <f t="shared" si="1158"/>
        <v>0</v>
      </c>
      <c r="J764" s="1167">
        <f t="shared" si="1160"/>
        <v>0</v>
      </c>
      <c r="K764" s="1168">
        <f t="shared" si="1169"/>
        <v>0</v>
      </c>
      <c r="L764" s="1128"/>
      <c r="M764" s="1169"/>
      <c r="N764" s="1177"/>
      <c r="O764" s="1169"/>
      <c r="P764" s="1169"/>
      <c r="Q764" s="1169">
        <f t="shared" si="1170"/>
        <v>0</v>
      </c>
      <c r="R764" s="1169"/>
      <c r="S764" s="1170"/>
      <c r="T764" s="1171"/>
      <c r="U764" s="1128"/>
      <c r="V764" s="1169"/>
      <c r="W764" s="1177"/>
      <c r="X764" s="1177"/>
      <c r="Y764" s="1169"/>
      <c r="Z764" s="1169">
        <f t="shared" si="1171"/>
        <v>0</v>
      </c>
      <c r="AA764" s="1169"/>
      <c r="AB764" s="1172">
        <f t="shared" si="1164"/>
        <v>0</v>
      </c>
      <c r="AC764" s="1171"/>
      <c r="AD764" s="1128"/>
      <c r="AE764" s="1169"/>
      <c r="AF764" s="1177"/>
      <c r="AG764" s="1177"/>
      <c r="AH764" s="1169"/>
      <c r="AI764" s="1169">
        <f t="shared" si="1172"/>
        <v>0</v>
      </c>
      <c r="AJ764" s="1169"/>
      <c r="AK764" s="1170"/>
      <c r="AL764" s="1171"/>
      <c r="AM764" s="1128"/>
      <c r="AN764" s="1170"/>
      <c r="AO764" s="1175"/>
      <c r="AP764" s="1175"/>
      <c r="AQ764" s="1170"/>
      <c r="AR764" s="1170">
        <f t="shared" si="1173"/>
        <v>0</v>
      </c>
      <c r="AS764" s="1170"/>
      <c r="AT764" s="1170"/>
      <c r="AU764" s="1174"/>
      <c r="AV764" s="1128"/>
      <c r="AW764" s="1169"/>
      <c r="AX764" s="1177"/>
      <c r="AY764" s="1177"/>
      <c r="AZ764" s="1169"/>
      <c r="BA764" s="1169">
        <f t="shared" si="1174"/>
        <v>0</v>
      </c>
      <c r="BB764" s="1169"/>
      <c r="BC764" s="1024"/>
      <c r="BD764" s="1027"/>
      <c r="BE764" s="1024"/>
      <c r="BF764" s="1024"/>
      <c r="BG764" s="1008"/>
      <c r="BH764" s="1008"/>
      <c r="BI764" s="1008"/>
      <c r="BJ764" s="1008"/>
      <c r="BK764" s="1008"/>
      <c r="BL764" s="1008"/>
      <c r="BM764" s="1008"/>
    </row>
    <row r="765" s="1215" customFormat="1">
      <c r="A765" s="999" t="str">
        <f t="shared" si="1161"/>
        <v xml:space="preserve">Трофимчук О.Е., Радченко Т.А.   Куция НЛ  Красносельская (усть-Ивановка)</v>
      </c>
      <c r="B765" s="1176" t="s">
        <v>447</v>
      </c>
      <c r="C765" s="1176"/>
      <c r="D765" s="1176"/>
      <c r="E765" s="1164">
        <f t="shared" si="1145"/>
        <v>0</v>
      </c>
      <c r="F765" s="1164">
        <f t="shared" si="1159"/>
        <v>0</v>
      </c>
      <c r="G765" s="1165">
        <f t="shared" si="1168"/>
        <v>0</v>
      </c>
      <c r="H765" s="1166"/>
      <c r="I765" s="1167">
        <f t="shared" si="1158"/>
        <v>0</v>
      </c>
      <c r="J765" s="1167">
        <f t="shared" si="1160"/>
        <v>0</v>
      </c>
      <c r="K765" s="1168">
        <f t="shared" si="1169"/>
        <v>0</v>
      </c>
      <c r="L765" s="1128"/>
      <c r="M765" s="1169"/>
      <c r="N765" s="1177"/>
      <c r="O765" s="1169"/>
      <c r="P765" s="1169"/>
      <c r="Q765" s="1169">
        <f t="shared" si="1170"/>
        <v>0</v>
      </c>
      <c r="R765" s="1169"/>
      <c r="S765" s="1170"/>
      <c r="T765" s="1171"/>
      <c r="U765" s="1128"/>
      <c r="V765" s="1169"/>
      <c r="W765" s="1177"/>
      <c r="X765" s="1177"/>
      <c r="Y765" s="1169"/>
      <c r="Z765" s="1169">
        <f t="shared" si="1171"/>
        <v>0</v>
      </c>
      <c r="AA765" s="1169"/>
      <c r="AB765" s="1172">
        <f t="shared" si="1164"/>
        <v>0</v>
      </c>
      <c r="AC765" s="1171"/>
      <c r="AD765" s="1128"/>
      <c r="AE765" s="1169"/>
      <c r="AF765" s="1177"/>
      <c r="AG765" s="1177"/>
      <c r="AH765" s="1169"/>
      <c r="AI765" s="1169">
        <f t="shared" si="1172"/>
        <v>0</v>
      </c>
      <c r="AJ765" s="1169"/>
      <c r="AK765" s="1170"/>
      <c r="AL765" s="1171"/>
      <c r="AM765" s="1128"/>
      <c r="AN765" s="1170"/>
      <c r="AO765" s="1175"/>
      <c r="AP765" s="1175"/>
      <c r="AQ765" s="1170"/>
      <c r="AR765" s="1170">
        <f t="shared" si="1173"/>
        <v>0</v>
      </c>
      <c r="AS765" s="1170"/>
      <c r="AT765" s="1170"/>
      <c r="AU765" s="1174"/>
      <c r="AV765" s="1128"/>
      <c r="AW765" s="1169"/>
      <c r="AX765" s="1177"/>
      <c r="AY765" s="1177"/>
      <c r="AZ765" s="1169"/>
      <c r="BA765" s="1169">
        <f t="shared" si="1174"/>
        <v>0</v>
      </c>
      <c r="BB765" s="1169"/>
      <c r="BC765" s="1024"/>
      <c r="BD765" s="1027"/>
      <c r="BE765" s="1024"/>
      <c r="BF765" s="1024"/>
      <c r="BG765" s="1008"/>
      <c r="BH765" s="1008"/>
      <c r="BI765" s="1008"/>
      <c r="BJ765" s="1008"/>
      <c r="BK765" s="1008"/>
      <c r="BL765" s="1008"/>
      <c r="BM765" s="1008"/>
    </row>
    <row r="766" s="1215" customFormat="1">
      <c r="A766" s="999" t="str">
        <f t="shared" si="1161"/>
        <v xml:space="preserve">Третьяк О.М.</v>
      </c>
      <c r="B766" s="1176" t="s">
        <v>449</v>
      </c>
      <c r="C766" s="1176"/>
      <c r="D766" s="1176"/>
      <c r="E766" s="1164">
        <f t="shared" si="1145"/>
        <v>0</v>
      </c>
      <c r="F766" s="1164">
        <f t="shared" si="1159"/>
        <v>0</v>
      </c>
      <c r="G766" s="1165">
        <f t="shared" si="1168"/>
        <v>0</v>
      </c>
      <c r="H766" s="1166"/>
      <c r="I766" s="1167">
        <f t="shared" si="1158"/>
        <v>0</v>
      </c>
      <c r="J766" s="1167">
        <f t="shared" si="1160"/>
        <v>0</v>
      </c>
      <c r="K766" s="1168">
        <f t="shared" si="1169"/>
        <v>0</v>
      </c>
      <c r="L766" s="1128"/>
      <c r="M766" s="1169"/>
      <c r="N766" s="1177"/>
      <c r="O766" s="1169"/>
      <c r="P766" s="1169"/>
      <c r="Q766" s="1169">
        <f t="shared" si="1170"/>
        <v>0</v>
      </c>
      <c r="R766" s="1169"/>
      <c r="S766" s="1170"/>
      <c r="T766" s="1171"/>
      <c r="U766" s="1128"/>
      <c r="V766" s="1169"/>
      <c r="W766" s="1177"/>
      <c r="X766" s="1177"/>
      <c r="Y766" s="1169"/>
      <c r="Z766" s="1169">
        <f t="shared" si="1171"/>
        <v>0</v>
      </c>
      <c r="AA766" s="1169"/>
      <c r="AB766" s="1172">
        <f t="shared" si="1164"/>
        <v>0</v>
      </c>
      <c r="AC766" s="1171"/>
      <c r="AD766" s="1128"/>
      <c r="AE766" s="1169"/>
      <c r="AF766" s="1177"/>
      <c r="AG766" s="1177"/>
      <c r="AH766" s="1169"/>
      <c r="AI766" s="1169">
        <f t="shared" si="1172"/>
        <v>0</v>
      </c>
      <c r="AJ766" s="1169"/>
      <c r="AK766" s="1170"/>
      <c r="AL766" s="1171"/>
      <c r="AM766" s="1128"/>
      <c r="AN766" s="1170"/>
      <c r="AO766" s="1175"/>
      <c r="AP766" s="1175"/>
      <c r="AQ766" s="1170"/>
      <c r="AR766" s="1170">
        <f t="shared" si="1173"/>
        <v>0</v>
      </c>
      <c r="AS766" s="1170"/>
      <c r="AT766" s="1170"/>
      <c r="AU766" s="1174"/>
      <c r="AV766" s="1128"/>
      <c r="AW766" s="1169"/>
      <c r="AX766" s="1177"/>
      <c r="AY766" s="1177"/>
      <c r="AZ766" s="1169"/>
      <c r="BA766" s="1169">
        <f t="shared" si="1174"/>
        <v>0</v>
      </c>
      <c r="BB766" s="1169"/>
      <c r="BC766" s="1024"/>
      <c r="BD766" s="1027"/>
      <c r="BE766" s="1024"/>
      <c r="BF766" s="1024"/>
      <c r="BG766" s="1008"/>
      <c r="BH766" s="1008"/>
      <c r="BI766" s="1008"/>
      <c r="BJ766" s="1008"/>
      <c r="BK766" s="1008"/>
      <c r="BL766" s="1008"/>
      <c r="BM766" s="1008"/>
    </row>
    <row r="767" s="1215" customFormat="1">
      <c r="A767" s="999">
        <f t="shared" si="1161"/>
        <v>0</v>
      </c>
      <c r="B767" s="1176" t="s">
        <v>450</v>
      </c>
      <c r="C767" s="1176"/>
      <c r="D767" s="1176"/>
      <c r="E767" s="1164">
        <f t="shared" si="1145"/>
        <v>0</v>
      </c>
      <c r="F767" s="1164">
        <f t="shared" si="1159"/>
        <v>0</v>
      </c>
      <c r="G767" s="1165">
        <f t="shared" si="1168"/>
        <v>0</v>
      </c>
      <c r="H767" s="1166"/>
      <c r="I767" s="1167">
        <f t="shared" si="1158"/>
        <v>0</v>
      </c>
      <c r="J767" s="1167">
        <f t="shared" si="1160"/>
        <v>0</v>
      </c>
      <c r="K767" s="1168">
        <f t="shared" si="1169"/>
        <v>0</v>
      </c>
      <c r="L767" s="1128"/>
      <c r="M767" s="1169"/>
      <c r="N767" s="1177"/>
      <c r="O767" s="1169"/>
      <c r="P767" s="1169"/>
      <c r="Q767" s="1169">
        <f t="shared" si="1170"/>
        <v>0</v>
      </c>
      <c r="R767" s="1169"/>
      <c r="S767" s="1170"/>
      <c r="T767" s="1171"/>
      <c r="U767" s="1128"/>
      <c r="V767" s="1169"/>
      <c r="W767" s="1177"/>
      <c r="X767" s="1177"/>
      <c r="Y767" s="1169"/>
      <c r="Z767" s="1169">
        <f t="shared" si="1171"/>
        <v>0</v>
      </c>
      <c r="AA767" s="1169"/>
      <c r="AB767" s="1172">
        <f t="shared" si="1164"/>
        <v>0</v>
      </c>
      <c r="AC767" s="1171"/>
      <c r="AD767" s="1128"/>
      <c r="AE767" s="1169"/>
      <c r="AF767" s="1177"/>
      <c r="AG767" s="1177"/>
      <c r="AH767" s="1169"/>
      <c r="AI767" s="1169">
        <f t="shared" si="1172"/>
        <v>0</v>
      </c>
      <c r="AJ767" s="1169"/>
      <c r="AK767" s="1170"/>
      <c r="AL767" s="1171"/>
      <c r="AM767" s="1128"/>
      <c r="AN767" s="1170"/>
      <c r="AO767" s="1175"/>
      <c r="AP767" s="1175"/>
      <c r="AQ767" s="1170"/>
      <c r="AR767" s="1170">
        <f t="shared" si="1173"/>
        <v>0</v>
      </c>
      <c r="AS767" s="1170"/>
      <c r="AT767" s="1170"/>
      <c r="AU767" s="1174"/>
      <c r="AV767" s="1128"/>
      <c r="AW767" s="1169"/>
      <c r="AX767" s="1177"/>
      <c r="AY767" s="1177"/>
      <c r="AZ767" s="1169"/>
      <c r="BA767" s="1169">
        <f t="shared" si="1174"/>
        <v>0</v>
      </c>
      <c r="BB767" s="1169"/>
      <c r="BC767" s="1024"/>
      <c r="BD767" s="1027"/>
      <c r="BE767" s="1024"/>
      <c r="BF767" s="1024"/>
      <c r="BG767" s="1008"/>
      <c r="BH767" s="1008"/>
      <c r="BI767" s="1008"/>
      <c r="BJ767" s="1008"/>
      <c r="BK767" s="1008"/>
      <c r="BL767" s="1008"/>
      <c r="BM767" s="1008"/>
    </row>
    <row r="768" s="1215" customFormat="1">
      <c r="A768" s="999" t="str">
        <f t="shared" si="1161"/>
        <v xml:space="preserve">Бедина и Позднякова</v>
      </c>
      <c r="B768" s="1202" t="s">
        <v>452</v>
      </c>
      <c r="C768" s="1202"/>
      <c r="D768" s="1202"/>
      <c r="E768" s="1164">
        <f t="shared" si="1145"/>
        <v>0</v>
      </c>
      <c r="F768" s="1164">
        <f t="shared" si="1159"/>
        <v>0</v>
      </c>
      <c r="G768" s="1165">
        <f t="shared" si="1168"/>
        <v>0</v>
      </c>
      <c r="H768" s="1166"/>
      <c r="I768" s="1167">
        <f t="shared" si="1158"/>
        <v>0</v>
      </c>
      <c r="J768" s="1167">
        <f t="shared" si="1160"/>
        <v>0</v>
      </c>
      <c r="K768" s="1168">
        <f t="shared" si="1169"/>
        <v>0</v>
      </c>
      <c r="L768" s="1128"/>
      <c r="M768" s="1169"/>
      <c r="N768" s="1177"/>
      <c r="O768" s="1169"/>
      <c r="P768" s="1169"/>
      <c r="Q768" s="1169">
        <f t="shared" si="1170"/>
        <v>0</v>
      </c>
      <c r="R768" s="1169"/>
      <c r="S768" s="1170"/>
      <c r="T768" s="1171"/>
      <c r="U768" s="1128"/>
      <c r="V768" s="1169"/>
      <c r="W768" s="1177"/>
      <c r="X768" s="1177"/>
      <c r="Y768" s="1169"/>
      <c r="Z768" s="1169">
        <f t="shared" si="1171"/>
        <v>0</v>
      </c>
      <c r="AA768" s="1169"/>
      <c r="AB768" s="1172">
        <f t="shared" si="1164"/>
        <v>0</v>
      </c>
      <c r="AC768" s="1171"/>
      <c r="AD768" s="1128"/>
      <c r="AE768" s="1169"/>
      <c r="AF768" s="1177"/>
      <c r="AG768" s="1177"/>
      <c r="AH768" s="1169"/>
      <c r="AI768" s="1169">
        <f t="shared" si="1172"/>
        <v>0</v>
      </c>
      <c r="AJ768" s="1169"/>
      <c r="AK768" s="1170"/>
      <c r="AL768" s="1171"/>
      <c r="AM768" s="1128"/>
      <c r="AN768" s="1170"/>
      <c r="AO768" s="1175"/>
      <c r="AP768" s="1175"/>
      <c r="AQ768" s="1170"/>
      <c r="AR768" s="1170">
        <f t="shared" si="1173"/>
        <v>0</v>
      </c>
      <c r="AS768" s="1170"/>
      <c r="AT768" s="1170"/>
      <c r="AU768" s="1174"/>
      <c r="AV768" s="1128"/>
      <c r="AW768" s="1169"/>
      <c r="AX768" s="1177"/>
      <c r="AY768" s="1177"/>
      <c r="AZ768" s="1169"/>
      <c r="BA768" s="1169">
        <f t="shared" si="1174"/>
        <v>0</v>
      </c>
      <c r="BB768" s="1169"/>
      <c r="BC768" s="1024"/>
      <c r="BD768" s="1027"/>
      <c r="BE768" s="1024"/>
      <c r="BF768" s="1024"/>
      <c r="BG768" s="1008"/>
      <c r="BH768" s="1008"/>
      <c r="BI768" s="1008"/>
      <c r="BJ768" s="1008"/>
      <c r="BK768" s="1008"/>
      <c r="BL768" s="1008"/>
      <c r="BM768" s="1008"/>
    </row>
    <row r="769" s="1215" customFormat="1">
      <c r="A769" s="999" t="str">
        <f t="shared" si="1161"/>
        <v xml:space="preserve">Макарова Е.В.</v>
      </c>
      <c r="B769" s="1202" t="s">
        <v>454</v>
      </c>
      <c r="C769" s="1202"/>
      <c r="D769" s="1202"/>
      <c r="E769" s="1164">
        <f t="shared" si="1145"/>
        <v>0</v>
      </c>
      <c r="F769" s="1164">
        <f t="shared" si="1159"/>
        <v>0</v>
      </c>
      <c r="G769" s="1165">
        <f t="shared" si="1168"/>
        <v>0</v>
      </c>
      <c r="H769" s="1166"/>
      <c r="I769" s="1167">
        <f t="shared" si="1158"/>
        <v>0</v>
      </c>
      <c r="J769" s="1167">
        <f t="shared" si="1160"/>
        <v>0</v>
      </c>
      <c r="K769" s="1168">
        <f t="shared" si="1169"/>
        <v>0</v>
      </c>
      <c r="L769" s="1128"/>
      <c r="M769" s="1169"/>
      <c r="N769" s="1177"/>
      <c r="O769" s="1169"/>
      <c r="P769" s="1169"/>
      <c r="Q769" s="1169">
        <f t="shared" si="1170"/>
        <v>0</v>
      </c>
      <c r="R769" s="1169"/>
      <c r="S769" s="1170"/>
      <c r="T769" s="1171"/>
      <c r="U769" s="1128"/>
      <c r="V769" s="1169"/>
      <c r="W769" s="1177"/>
      <c r="X769" s="1177"/>
      <c r="Y769" s="1169"/>
      <c r="Z769" s="1169">
        <f t="shared" si="1171"/>
        <v>0</v>
      </c>
      <c r="AA769" s="1169"/>
      <c r="AB769" s="1172">
        <f t="shared" si="1164"/>
        <v>0</v>
      </c>
      <c r="AC769" s="1171"/>
      <c r="AD769" s="1128"/>
      <c r="AE769" s="1169"/>
      <c r="AF769" s="1177"/>
      <c r="AG769" s="1177"/>
      <c r="AH769" s="1169"/>
      <c r="AI769" s="1169">
        <f t="shared" si="1172"/>
        <v>0</v>
      </c>
      <c r="AJ769" s="1169"/>
      <c r="AK769" s="1170"/>
      <c r="AL769" s="1171"/>
      <c r="AM769" s="1128"/>
      <c r="AN769" s="1170"/>
      <c r="AO769" s="1175"/>
      <c r="AP769" s="1175"/>
      <c r="AQ769" s="1170"/>
      <c r="AR769" s="1170">
        <f t="shared" si="1173"/>
        <v>0</v>
      </c>
      <c r="AS769" s="1170"/>
      <c r="AT769" s="1170"/>
      <c r="AU769" s="1174"/>
      <c r="AV769" s="1128"/>
      <c r="AW769" s="1169"/>
      <c r="AX769" s="1177"/>
      <c r="AY769" s="1177"/>
      <c r="AZ769" s="1169"/>
      <c r="BA769" s="1169">
        <f t="shared" si="1174"/>
        <v>0</v>
      </c>
      <c r="BB769" s="1169"/>
      <c r="BC769" s="1024"/>
      <c r="BD769" s="1027"/>
      <c r="BE769" s="1024"/>
      <c r="BF769" s="1024"/>
      <c r="BG769" s="1008"/>
      <c r="BH769" s="1008"/>
      <c r="BI769" s="1008"/>
      <c r="BJ769" s="1008"/>
      <c r="BK769" s="1008"/>
      <c r="BL769" s="1008"/>
      <c r="BM769" s="1008"/>
    </row>
    <row r="770" s="1215" customFormat="1">
      <c r="A770" s="999" t="str">
        <f t="shared" si="1161"/>
        <v xml:space="preserve">Юшкова Н.Г.</v>
      </c>
      <c r="B770" s="1202" t="s">
        <v>311</v>
      </c>
      <c r="C770" s="1202"/>
      <c r="D770" s="1202"/>
      <c r="E770" s="1164">
        <f t="shared" si="1145"/>
        <v>0</v>
      </c>
      <c r="F770" s="1164">
        <f t="shared" si="1159"/>
        <v>0</v>
      </c>
      <c r="G770" s="1165">
        <f t="shared" si="1168"/>
        <v>0</v>
      </c>
      <c r="H770" s="1166"/>
      <c r="I770" s="1167">
        <f t="shared" si="1158"/>
        <v>0</v>
      </c>
      <c r="J770" s="1167">
        <f t="shared" si="1160"/>
        <v>0</v>
      </c>
      <c r="K770" s="1168">
        <f t="shared" si="1169"/>
        <v>0</v>
      </c>
      <c r="L770" s="1128"/>
      <c r="M770" s="1169"/>
      <c r="N770" s="1177"/>
      <c r="O770" s="1169"/>
      <c r="P770" s="1169"/>
      <c r="Q770" s="1169">
        <f t="shared" si="1170"/>
        <v>0</v>
      </c>
      <c r="R770" s="1169"/>
      <c r="S770" s="1170"/>
      <c r="T770" s="1171"/>
      <c r="U770" s="1128"/>
      <c r="V770" s="1169"/>
      <c r="W770" s="1177"/>
      <c r="X770" s="1177"/>
      <c r="Y770" s="1169"/>
      <c r="Z770" s="1169">
        <f t="shared" si="1171"/>
        <v>0</v>
      </c>
      <c r="AA770" s="1169"/>
      <c r="AB770" s="1172">
        <f t="shared" si="1164"/>
        <v>0</v>
      </c>
      <c r="AC770" s="1171"/>
      <c r="AD770" s="1128"/>
      <c r="AE770" s="1169"/>
      <c r="AF770" s="1177"/>
      <c r="AG770" s="1177"/>
      <c r="AH770" s="1169"/>
      <c r="AI770" s="1169">
        <f t="shared" si="1172"/>
        <v>0</v>
      </c>
      <c r="AJ770" s="1169"/>
      <c r="AK770" s="1170"/>
      <c r="AL770" s="1171"/>
      <c r="AM770" s="1128"/>
      <c r="AN770" s="1170"/>
      <c r="AO770" s="1175"/>
      <c r="AP770" s="1175"/>
      <c r="AQ770" s="1170"/>
      <c r="AR770" s="1170">
        <f t="shared" si="1173"/>
        <v>0</v>
      </c>
      <c r="AS770" s="1170"/>
      <c r="AT770" s="1170"/>
      <c r="AU770" s="1174"/>
      <c r="AV770" s="1128"/>
      <c r="AW770" s="1169"/>
      <c r="AX770" s="1177"/>
      <c r="AY770" s="1177"/>
      <c r="AZ770" s="1169"/>
      <c r="BA770" s="1169">
        <f t="shared" si="1174"/>
        <v>0</v>
      </c>
      <c r="BB770" s="1169"/>
      <c r="BC770" s="1024"/>
      <c r="BD770" s="1027"/>
      <c r="BE770" s="1024"/>
      <c r="BF770" s="1024"/>
      <c r="BG770" s="1008"/>
      <c r="BH770" s="1008"/>
      <c r="BI770" s="1008"/>
      <c r="BJ770" s="1008"/>
      <c r="BK770" s="1008"/>
      <c r="BL770" s="1008"/>
      <c r="BM770" s="1008"/>
    </row>
    <row r="771" s="1215" customFormat="1">
      <c r="A771" s="999">
        <f t="shared" si="1161"/>
        <v>0</v>
      </c>
      <c r="B771" s="1202" t="s">
        <v>456</v>
      </c>
      <c r="C771" s="1202"/>
      <c r="D771" s="1202"/>
      <c r="E771" s="1164">
        <f t="shared" si="1145"/>
        <v>0</v>
      </c>
      <c r="F771" s="1164">
        <f t="shared" si="1159"/>
        <v>0</v>
      </c>
      <c r="G771" s="1165">
        <f t="shared" si="1168"/>
        <v>0</v>
      </c>
      <c r="H771" s="1166"/>
      <c r="I771" s="1167">
        <f t="shared" si="1158"/>
        <v>0</v>
      </c>
      <c r="J771" s="1167">
        <f t="shared" si="1160"/>
        <v>0</v>
      </c>
      <c r="K771" s="1168">
        <f t="shared" si="1169"/>
        <v>0</v>
      </c>
      <c r="L771" s="1128"/>
      <c r="M771" s="1169"/>
      <c r="N771" s="1177"/>
      <c r="O771" s="1169"/>
      <c r="P771" s="1169"/>
      <c r="Q771" s="1169">
        <f t="shared" si="1170"/>
        <v>0</v>
      </c>
      <c r="R771" s="1169"/>
      <c r="S771" s="1170"/>
      <c r="T771" s="1171"/>
      <c r="U771" s="1128"/>
      <c r="V771" s="1169"/>
      <c r="W771" s="1177"/>
      <c r="X771" s="1177"/>
      <c r="Y771" s="1169"/>
      <c r="Z771" s="1169">
        <f t="shared" si="1171"/>
        <v>0</v>
      </c>
      <c r="AA771" s="1169"/>
      <c r="AB771" s="1172">
        <f t="shared" si="1164"/>
        <v>0</v>
      </c>
      <c r="AC771" s="1171"/>
      <c r="AD771" s="1128"/>
      <c r="AE771" s="1169"/>
      <c r="AF771" s="1177"/>
      <c r="AG771" s="1177"/>
      <c r="AH771" s="1169"/>
      <c r="AI771" s="1169">
        <f t="shared" si="1172"/>
        <v>0</v>
      </c>
      <c r="AJ771" s="1169"/>
      <c r="AK771" s="1170"/>
      <c r="AL771" s="1171"/>
      <c r="AM771" s="1128"/>
      <c r="AN771" s="1170"/>
      <c r="AO771" s="1175"/>
      <c r="AP771" s="1175"/>
      <c r="AQ771" s="1170"/>
      <c r="AR771" s="1170">
        <f t="shared" si="1173"/>
        <v>0</v>
      </c>
      <c r="AS771" s="1170"/>
      <c r="AT771" s="1170"/>
      <c r="AU771" s="1174"/>
      <c r="AV771" s="1128"/>
      <c r="AW771" s="1169"/>
      <c r="AX771" s="1177"/>
      <c r="AY771" s="1177"/>
      <c r="AZ771" s="1169"/>
      <c r="BA771" s="1169">
        <f t="shared" si="1174"/>
        <v>0</v>
      </c>
      <c r="BB771" s="1169"/>
      <c r="BC771" s="1024"/>
      <c r="BD771" s="1027"/>
      <c r="BE771" s="1024"/>
      <c r="BF771" s="1024"/>
      <c r="BG771" s="1008"/>
      <c r="BH771" s="1008"/>
      <c r="BI771" s="1008"/>
      <c r="BJ771" s="1008"/>
      <c r="BK771" s="1008"/>
      <c r="BL771" s="1008"/>
      <c r="BM771" s="1008"/>
    </row>
    <row r="772" s="1215" customFormat="1">
      <c r="A772" s="999">
        <f t="shared" si="1161"/>
        <v>0</v>
      </c>
      <c r="B772" s="1202" t="s">
        <v>457</v>
      </c>
      <c r="C772" s="1202"/>
      <c r="D772" s="1202"/>
      <c r="E772" s="1164">
        <f t="shared" si="1145"/>
        <v>0</v>
      </c>
      <c r="F772" s="1164">
        <f t="shared" si="1159"/>
        <v>0</v>
      </c>
      <c r="G772" s="1165">
        <f t="shared" si="1168"/>
        <v>0</v>
      </c>
      <c r="H772" s="1166"/>
      <c r="I772" s="1167">
        <f t="shared" si="1158"/>
        <v>0</v>
      </c>
      <c r="J772" s="1167">
        <f t="shared" si="1160"/>
        <v>0</v>
      </c>
      <c r="K772" s="1168">
        <f t="shared" si="1169"/>
        <v>0</v>
      </c>
      <c r="L772" s="1128"/>
      <c r="M772" s="1169"/>
      <c r="N772" s="1177"/>
      <c r="O772" s="1169"/>
      <c r="P772" s="1169"/>
      <c r="Q772" s="1169">
        <f t="shared" si="1170"/>
        <v>0</v>
      </c>
      <c r="R772" s="1169"/>
      <c r="S772" s="1170"/>
      <c r="T772" s="1171"/>
      <c r="U772" s="1128"/>
      <c r="V772" s="1169"/>
      <c r="W772" s="1177"/>
      <c r="X772" s="1177"/>
      <c r="Y772" s="1169"/>
      <c r="Z772" s="1169">
        <f t="shared" si="1171"/>
        <v>0</v>
      </c>
      <c r="AA772" s="1169"/>
      <c r="AB772" s="1172">
        <f t="shared" si="1164"/>
        <v>0</v>
      </c>
      <c r="AC772" s="1171"/>
      <c r="AD772" s="1128"/>
      <c r="AE772" s="1169"/>
      <c r="AF772" s="1177"/>
      <c r="AG772" s="1177"/>
      <c r="AH772" s="1169"/>
      <c r="AI772" s="1169">
        <f t="shared" si="1172"/>
        <v>0</v>
      </c>
      <c r="AJ772" s="1169"/>
      <c r="AK772" s="1170"/>
      <c r="AL772" s="1171"/>
      <c r="AM772" s="1128"/>
      <c r="AN772" s="1170"/>
      <c r="AO772" s="1175"/>
      <c r="AP772" s="1175"/>
      <c r="AQ772" s="1170"/>
      <c r="AR772" s="1170">
        <f t="shared" si="1173"/>
        <v>0</v>
      </c>
      <c r="AS772" s="1170"/>
      <c r="AT772" s="1170"/>
      <c r="AU772" s="1174"/>
      <c r="AV772" s="1128"/>
      <c r="AW772" s="1169"/>
      <c r="AX772" s="1177"/>
      <c r="AY772" s="1177"/>
      <c r="AZ772" s="1169"/>
      <c r="BA772" s="1169">
        <f t="shared" si="1174"/>
        <v>0</v>
      </c>
      <c r="BB772" s="1169"/>
      <c r="BC772" s="1024"/>
      <c r="BD772" s="1027"/>
      <c r="BE772" s="1024"/>
      <c r="BF772" s="1024"/>
      <c r="BG772" s="1008"/>
      <c r="BH772" s="1008"/>
      <c r="BI772" s="1008"/>
      <c r="BJ772" s="1008"/>
      <c r="BK772" s="1008"/>
      <c r="BL772" s="1008"/>
      <c r="BM772" s="1008"/>
    </row>
    <row r="773" s="1215" customFormat="1">
      <c r="A773" s="999">
        <f t="shared" si="1161"/>
        <v>0</v>
      </c>
      <c r="B773" s="1202" t="s">
        <v>458</v>
      </c>
      <c r="C773" s="1202"/>
      <c r="D773" s="1202"/>
      <c r="E773" s="1164">
        <f t="shared" si="1145"/>
        <v>0</v>
      </c>
      <c r="F773" s="1164">
        <f t="shared" si="1159"/>
        <v>0</v>
      </c>
      <c r="G773" s="1165">
        <f t="shared" si="1168"/>
        <v>0</v>
      </c>
      <c r="H773" s="1166"/>
      <c r="I773" s="1167">
        <f t="shared" si="1158"/>
        <v>0</v>
      </c>
      <c r="J773" s="1167">
        <f t="shared" si="1160"/>
        <v>0</v>
      </c>
      <c r="K773" s="1168">
        <f t="shared" si="1169"/>
        <v>0</v>
      </c>
      <c r="L773" s="1128"/>
      <c r="M773" s="1169"/>
      <c r="N773" s="1177"/>
      <c r="O773" s="1169"/>
      <c r="P773" s="1169"/>
      <c r="Q773" s="1169">
        <f t="shared" si="1170"/>
        <v>0</v>
      </c>
      <c r="R773" s="1169"/>
      <c r="S773" s="1170"/>
      <c r="T773" s="1171"/>
      <c r="U773" s="1128"/>
      <c r="V773" s="1169"/>
      <c r="W773" s="1177"/>
      <c r="X773" s="1177"/>
      <c r="Y773" s="1169"/>
      <c r="Z773" s="1169">
        <f t="shared" si="1171"/>
        <v>0</v>
      </c>
      <c r="AA773" s="1169"/>
      <c r="AB773" s="1172">
        <f t="shared" si="1164"/>
        <v>0</v>
      </c>
      <c r="AC773" s="1171"/>
      <c r="AD773" s="1128"/>
      <c r="AE773" s="1169"/>
      <c r="AF773" s="1177"/>
      <c r="AG773" s="1177"/>
      <c r="AH773" s="1169"/>
      <c r="AI773" s="1169">
        <f t="shared" si="1172"/>
        <v>0</v>
      </c>
      <c r="AJ773" s="1169"/>
      <c r="AK773" s="1170"/>
      <c r="AL773" s="1171"/>
      <c r="AM773" s="1128"/>
      <c r="AN773" s="1170"/>
      <c r="AO773" s="1175"/>
      <c r="AP773" s="1175"/>
      <c r="AQ773" s="1170"/>
      <c r="AR773" s="1170">
        <f t="shared" si="1173"/>
        <v>0</v>
      </c>
      <c r="AS773" s="1170"/>
      <c r="AT773" s="1170"/>
      <c r="AU773" s="1174"/>
      <c r="AV773" s="1128"/>
      <c r="AW773" s="1169"/>
      <c r="AX773" s="1177"/>
      <c r="AY773" s="1177"/>
      <c r="AZ773" s="1169"/>
      <c r="BA773" s="1169">
        <f t="shared" si="1174"/>
        <v>0</v>
      </c>
      <c r="BB773" s="1169"/>
      <c r="BC773" s="1024"/>
      <c r="BD773" s="1027"/>
      <c r="BE773" s="1024"/>
      <c r="BF773" s="1024"/>
      <c r="BG773" s="1008"/>
      <c r="BH773" s="1008"/>
      <c r="BI773" s="1008"/>
      <c r="BJ773" s="1008"/>
      <c r="BK773" s="1008"/>
      <c r="BL773" s="1008"/>
      <c r="BM773" s="1008"/>
    </row>
    <row r="774" s="1215" customFormat="1">
      <c r="A774" s="999">
        <f t="shared" si="1161"/>
        <v>0</v>
      </c>
      <c r="B774" s="1202" t="s">
        <v>459</v>
      </c>
      <c r="C774" s="1202"/>
      <c r="D774" s="1202"/>
      <c r="E774" s="1164">
        <f t="shared" si="1145"/>
        <v>0</v>
      </c>
      <c r="F774" s="1164">
        <f t="shared" si="1159"/>
        <v>0</v>
      </c>
      <c r="G774" s="1165">
        <f t="shared" si="1168"/>
        <v>0</v>
      </c>
      <c r="H774" s="1166"/>
      <c r="I774" s="1167">
        <f t="shared" si="1158"/>
        <v>0</v>
      </c>
      <c r="J774" s="1167">
        <f t="shared" si="1160"/>
        <v>0</v>
      </c>
      <c r="K774" s="1168">
        <f t="shared" si="1169"/>
        <v>0</v>
      </c>
      <c r="L774" s="1128"/>
      <c r="M774" s="1169"/>
      <c r="N774" s="1177"/>
      <c r="O774" s="1169"/>
      <c r="P774" s="1169"/>
      <c r="Q774" s="1169">
        <f t="shared" si="1170"/>
        <v>0</v>
      </c>
      <c r="R774" s="1169"/>
      <c r="S774" s="1170"/>
      <c r="T774" s="1171"/>
      <c r="U774" s="1128"/>
      <c r="V774" s="1169"/>
      <c r="W774" s="1177"/>
      <c r="X774" s="1177"/>
      <c r="Y774" s="1169"/>
      <c r="Z774" s="1169">
        <f t="shared" si="1171"/>
        <v>0</v>
      </c>
      <c r="AA774" s="1169"/>
      <c r="AB774" s="1172">
        <f t="shared" si="1164"/>
        <v>0</v>
      </c>
      <c r="AC774" s="1171"/>
      <c r="AD774" s="1128"/>
      <c r="AE774" s="1169"/>
      <c r="AF774" s="1177"/>
      <c r="AG774" s="1177"/>
      <c r="AH774" s="1169"/>
      <c r="AI774" s="1169">
        <f t="shared" si="1172"/>
        <v>0</v>
      </c>
      <c r="AJ774" s="1169"/>
      <c r="AK774" s="1170"/>
      <c r="AL774" s="1171"/>
      <c r="AM774" s="1128"/>
      <c r="AN774" s="1170"/>
      <c r="AO774" s="1175"/>
      <c r="AP774" s="1175"/>
      <c r="AQ774" s="1170"/>
      <c r="AR774" s="1170">
        <f t="shared" si="1173"/>
        <v>0</v>
      </c>
      <c r="AS774" s="1170"/>
      <c r="AT774" s="1170"/>
      <c r="AU774" s="1174"/>
      <c r="AV774" s="1128"/>
      <c r="AW774" s="1169"/>
      <c r="AX774" s="1177"/>
      <c r="AY774" s="1177"/>
      <c r="AZ774" s="1169"/>
      <c r="BA774" s="1169">
        <f t="shared" si="1174"/>
        <v>0</v>
      </c>
      <c r="BB774" s="1169"/>
      <c r="BC774" s="1024"/>
      <c r="BD774" s="1027"/>
      <c r="BE774" s="1024"/>
      <c r="BF774" s="1024"/>
      <c r="BG774" s="1008"/>
      <c r="BH774" s="1008"/>
      <c r="BI774" s="1008"/>
      <c r="BJ774" s="1008"/>
      <c r="BK774" s="1008"/>
      <c r="BL774" s="1008"/>
      <c r="BM774" s="1008"/>
    </row>
    <row r="775" s="1215" customFormat="1">
      <c r="A775" s="999">
        <f t="shared" si="1161"/>
        <v>0</v>
      </c>
      <c r="B775" s="1202" t="s">
        <v>460</v>
      </c>
      <c r="C775" s="1202"/>
      <c r="D775" s="1202"/>
      <c r="E775" s="1164">
        <f t="shared" si="1145"/>
        <v>0</v>
      </c>
      <c r="F775" s="1164">
        <f t="shared" si="1159"/>
        <v>0</v>
      </c>
      <c r="G775" s="1165">
        <f t="shared" si="1168"/>
        <v>0</v>
      </c>
      <c r="H775" s="1166"/>
      <c r="I775" s="1167">
        <f t="shared" si="1158"/>
        <v>0</v>
      </c>
      <c r="J775" s="1167">
        <f t="shared" si="1160"/>
        <v>0</v>
      </c>
      <c r="K775" s="1168">
        <f t="shared" si="1169"/>
        <v>0</v>
      </c>
      <c r="L775" s="1128"/>
      <c r="M775" s="1169"/>
      <c r="N775" s="1177"/>
      <c r="O775" s="1169"/>
      <c r="P775" s="1169"/>
      <c r="Q775" s="1169">
        <f t="shared" si="1170"/>
        <v>0</v>
      </c>
      <c r="R775" s="1169"/>
      <c r="S775" s="1170"/>
      <c r="T775" s="1171"/>
      <c r="U775" s="1128"/>
      <c r="V775" s="1169"/>
      <c r="W775" s="1177"/>
      <c r="X775" s="1177"/>
      <c r="Y775" s="1169"/>
      <c r="Z775" s="1169">
        <f t="shared" si="1171"/>
        <v>0</v>
      </c>
      <c r="AA775" s="1169"/>
      <c r="AB775" s="1172">
        <f t="shared" si="1164"/>
        <v>0</v>
      </c>
      <c r="AC775" s="1171"/>
      <c r="AD775" s="1128"/>
      <c r="AE775" s="1169"/>
      <c r="AF775" s="1177"/>
      <c r="AG775" s="1177"/>
      <c r="AH775" s="1169"/>
      <c r="AI775" s="1169">
        <f t="shared" si="1172"/>
        <v>0</v>
      </c>
      <c r="AJ775" s="1169"/>
      <c r="AK775" s="1170"/>
      <c r="AL775" s="1171"/>
      <c r="AM775" s="1128"/>
      <c r="AN775" s="1170"/>
      <c r="AO775" s="1175"/>
      <c r="AP775" s="1175"/>
      <c r="AQ775" s="1170"/>
      <c r="AR775" s="1170">
        <f t="shared" si="1173"/>
        <v>0</v>
      </c>
      <c r="AS775" s="1170"/>
      <c r="AT775" s="1170"/>
      <c r="AU775" s="1174"/>
      <c r="AV775" s="1128"/>
      <c r="AW775" s="1169"/>
      <c r="AX775" s="1177"/>
      <c r="AY775" s="1177"/>
      <c r="AZ775" s="1169"/>
      <c r="BA775" s="1169">
        <f t="shared" si="1174"/>
        <v>0</v>
      </c>
      <c r="BB775" s="1169"/>
      <c r="BC775" s="1024"/>
      <c r="BD775" s="1027"/>
      <c r="BE775" s="1024"/>
      <c r="BF775" s="1024"/>
      <c r="BG775" s="1008"/>
      <c r="BH775" s="1008"/>
      <c r="BI775" s="1008"/>
      <c r="BJ775" s="1008"/>
      <c r="BK775" s="1008"/>
      <c r="BL775" s="1008"/>
      <c r="BM775" s="1008"/>
    </row>
    <row r="776" s="1215" customFormat="1">
      <c r="A776" s="999" t="str">
        <f t="shared" si="1161"/>
        <v xml:space="preserve">Белова СА</v>
      </c>
      <c r="B776" s="1202" t="s">
        <v>461</v>
      </c>
      <c r="C776" s="1202"/>
      <c r="D776" s="1202"/>
      <c r="E776" s="1164">
        <f t="shared" si="1145"/>
        <v>0</v>
      </c>
      <c r="F776" s="1164">
        <f t="shared" si="1159"/>
        <v>0</v>
      </c>
      <c r="G776" s="1165">
        <f t="shared" si="1168"/>
        <v>0</v>
      </c>
      <c r="H776" s="1166"/>
      <c r="I776" s="1167">
        <f t="shared" si="1158"/>
        <v>0</v>
      </c>
      <c r="J776" s="1167">
        <f t="shared" si="1160"/>
        <v>0</v>
      </c>
      <c r="K776" s="1168">
        <f t="shared" si="1169"/>
        <v>0</v>
      </c>
      <c r="L776" s="1128"/>
      <c r="M776" s="1169"/>
      <c r="N776" s="1177"/>
      <c r="O776" s="1169"/>
      <c r="P776" s="1169"/>
      <c r="Q776" s="1169">
        <f t="shared" si="1170"/>
        <v>0</v>
      </c>
      <c r="R776" s="1169"/>
      <c r="S776" s="1170"/>
      <c r="T776" s="1171"/>
      <c r="U776" s="1128"/>
      <c r="V776" s="1169"/>
      <c r="W776" s="1177"/>
      <c r="X776" s="1177"/>
      <c r="Y776" s="1169"/>
      <c r="Z776" s="1169">
        <f t="shared" si="1171"/>
        <v>0</v>
      </c>
      <c r="AA776" s="1169"/>
      <c r="AB776" s="1172">
        <f t="shared" si="1164"/>
        <v>0</v>
      </c>
      <c r="AC776" s="1171"/>
      <c r="AD776" s="1128"/>
      <c r="AE776" s="1169"/>
      <c r="AF776" s="1177"/>
      <c r="AG776" s="1177"/>
      <c r="AH776" s="1169"/>
      <c r="AI776" s="1169">
        <f t="shared" si="1172"/>
        <v>0</v>
      </c>
      <c r="AJ776" s="1169"/>
      <c r="AK776" s="1170"/>
      <c r="AL776" s="1171"/>
      <c r="AM776" s="1128"/>
      <c r="AN776" s="1170"/>
      <c r="AO776" s="1175"/>
      <c r="AP776" s="1175"/>
      <c r="AQ776" s="1170"/>
      <c r="AR776" s="1170">
        <f t="shared" si="1173"/>
        <v>0</v>
      </c>
      <c r="AS776" s="1170"/>
      <c r="AT776" s="1170"/>
      <c r="AU776" s="1174"/>
      <c r="AV776" s="1128"/>
      <c r="AW776" s="1169"/>
      <c r="AX776" s="1177"/>
      <c r="AY776" s="1177"/>
      <c r="AZ776" s="1169"/>
      <c r="BA776" s="1169">
        <f t="shared" si="1174"/>
        <v>0</v>
      </c>
      <c r="BB776" s="1169"/>
      <c r="BC776" s="1024"/>
      <c r="BD776" s="1027"/>
      <c r="BE776" s="1024"/>
      <c r="BF776" s="1024"/>
      <c r="BG776" s="1008"/>
      <c r="BH776" s="1008"/>
      <c r="BI776" s="1008"/>
      <c r="BJ776" s="1008"/>
      <c r="BK776" s="1008"/>
      <c r="BL776" s="1008"/>
      <c r="BM776" s="1008"/>
    </row>
    <row r="777" s="1215" customFormat="1">
      <c r="A777" s="999">
        <f t="shared" si="1161"/>
        <v>0</v>
      </c>
      <c r="B777" s="1202" t="s">
        <v>462</v>
      </c>
      <c r="C777" s="1202"/>
      <c r="D777" s="1202"/>
      <c r="E777" s="1164">
        <f t="shared" si="1145"/>
        <v>0</v>
      </c>
      <c r="F777" s="1164">
        <f t="shared" si="1159"/>
        <v>0</v>
      </c>
      <c r="G777" s="1165">
        <f t="shared" si="1168"/>
        <v>0</v>
      </c>
      <c r="H777" s="1166"/>
      <c r="I777" s="1167">
        <f t="shared" si="1158"/>
        <v>0</v>
      </c>
      <c r="J777" s="1167">
        <f t="shared" si="1160"/>
        <v>0</v>
      </c>
      <c r="K777" s="1168">
        <f t="shared" si="1169"/>
        <v>0</v>
      </c>
      <c r="L777" s="1128"/>
      <c r="M777" s="1169"/>
      <c r="N777" s="1177"/>
      <c r="O777" s="1169"/>
      <c r="P777" s="1169"/>
      <c r="Q777" s="1169">
        <f t="shared" si="1170"/>
        <v>0</v>
      </c>
      <c r="R777" s="1169"/>
      <c r="S777" s="1170"/>
      <c r="T777" s="1171"/>
      <c r="U777" s="1128"/>
      <c r="V777" s="1169"/>
      <c r="W777" s="1177"/>
      <c r="X777" s="1177"/>
      <c r="Y777" s="1169"/>
      <c r="Z777" s="1169">
        <f t="shared" si="1171"/>
        <v>0</v>
      </c>
      <c r="AA777" s="1169"/>
      <c r="AB777" s="1172">
        <f t="shared" si="1164"/>
        <v>0</v>
      </c>
      <c r="AC777" s="1171"/>
      <c r="AD777" s="1128"/>
      <c r="AE777" s="1169"/>
      <c r="AF777" s="1177"/>
      <c r="AG777" s="1177"/>
      <c r="AH777" s="1169"/>
      <c r="AI777" s="1169">
        <f t="shared" si="1172"/>
        <v>0</v>
      </c>
      <c r="AJ777" s="1169"/>
      <c r="AK777" s="1170"/>
      <c r="AL777" s="1171"/>
      <c r="AM777" s="1128"/>
      <c r="AN777" s="1170"/>
      <c r="AO777" s="1175"/>
      <c r="AP777" s="1175"/>
      <c r="AQ777" s="1170"/>
      <c r="AR777" s="1170">
        <f t="shared" si="1173"/>
        <v>0</v>
      </c>
      <c r="AS777" s="1170"/>
      <c r="AT777" s="1170"/>
      <c r="AU777" s="1174"/>
      <c r="AV777" s="1128"/>
      <c r="AW777" s="1169"/>
      <c r="AX777" s="1177"/>
      <c r="AY777" s="1177"/>
      <c r="AZ777" s="1169"/>
      <c r="BA777" s="1169">
        <f t="shared" si="1174"/>
        <v>0</v>
      </c>
      <c r="BB777" s="1169"/>
      <c r="BC777" s="1024"/>
      <c r="BD777" s="1027"/>
      <c r="BE777" s="1024"/>
      <c r="BF777" s="1024"/>
      <c r="BG777" s="1008"/>
      <c r="BH777" s="1008"/>
      <c r="BI777" s="1008"/>
      <c r="BJ777" s="1008"/>
      <c r="BK777" s="1008"/>
      <c r="BL777" s="1008"/>
      <c r="BM777" s="1008"/>
    </row>
    <row r="778" s="1215" customFormat="1">
      <c r="A778" s="999">
        <f t="shared" si="1161"/>
        <v>0</v>
      </c>
      <c r="B778" s="1202" t="s">
        <v>463</v>
      </c>
      <c r="C778" s="1202"/>
      <c r="D778" s="1202"/>
      <c r="E778" s="1164">
        <f t="shared" si="1145"/>
        <v>0</v>
      </c>
      <c r="F778" s="1164">
        <f t="shared" si="1159"/>
        <v>0</v>
      </c>
      <c r="G778" s="1165">
        <f t="shared" si="1168"/>
        <v>0</v>
      </c>
      <c r="H778" s="1166"/>
      <c r="I778" s="1167">
        <f t="shared" si="1158"/>
        <v>0</v>
      </c>
      <c r="J778" s="1167">
        <f t="shared" si="1160"/>
        <v>0</v>
      </c>
      <c r="K778" s="1168">
        <f t="shared" si="1169"/>
        <v>0</v>
      </c>
      <c r="L778" s="1128"/>
      <c r="M778" s="1169"/>
      <c r="N778" s="1177"/>
      <c r="O778" s="1169"/>
      <c r="P778" s="1169"/>
      <c r="Q778" s="1169">
        <f t="shared" si="1170"/>
        <v>0</v>
      </c>
      <c r="R778" s="1169"/>
      <c r="S778" s="1170"/>
      <c r="T778" s="1171"/>
      <c r="U778" s="1128"/>
      <c r="V778" s="1169"/>
      <c r="W778" s="1177"/>
      <c r="X778" s="1177"/>
      <c r="Y778" s="1169"/>
      <c r="Z778" s="1169">
        <f t="shared" si="1171"/>
        <v>0</v>
      </c>
      <c r="AA778" s="1169"/>
      <c r="AB778" s="1172">
        <f t="shared" si="1164"/>
        <v>0</v>
      </c>
      <c r="AC778" s="1171"/>
      <c r="AD778" s="1128"/>
      <c r="AE778" s="1169"/>
      <c r="AF778" s="1177"/>
      <c r="AG778" s="1177"/>
      <c r="AH778" s="1169"/>
      <c r="AI778" s="1169">
        <f t="shared" si="1172"/>
        <v>0</v>
      </c>
      <c r="AJ778" s="1169"/>
      <c r="AK778" s="1170"/>
      <c r="AL778" s="1171"/>
      <c r="AM778" s="1128"/>
      <c r="AN778" s="1170"/>
      <c r="AO778" s="1175"/>
      <c r="AP778" s="1175"/>
      <c r="AQ778" s="1170"/>
      <c r="AR778" s="1170">
        <f t="shared" si="1173"/>
        <v>0</v>
      </c>
      <c r="AS778" s="1170"/>
      <c r="AT778" s="1170"/>
      <c r="AU778" s="1174"/>
      <c r="AV778" s="1128"/>
      <c r="AW778" s="1169"/>
      <c r="AX778" s="1177"/>
      <c r="AY778" s="1177"/>
      <c r="AZ778" s="1169"/>
      <c r="BA778" s="1169">
        <f t="shared" si="1174"/>
        <v>0</v>
      </c>
      <c r="BB778" s="1169"/>
      <c r="BC778" s="1024"/>
      <c r="BD778" s="1027"/>
      <c r="BE778" s="1024"/>
      <c r="BF778" s="1024"/>
      <c r="BG778" s="1008"/>
      <c r="BH778" s="1008"/>
      <c r="BI778" s="1008"/>
      <c r="BJ778" s="1008"/>
      <c r="BK778" s="1008"/>
      <c r="BL778" s="1008"/>
      <c r="BM778" s="1008"/>
    </row>
    <row r="779">
      <c r="A779" s="999">
        <f t="shared" si="1161"/>
        <v>0</v>
      </c>
      <c r="B779" s="1202" t="s">
        <v>464</v>
      </c>
      <c r="C779" s="1202"/>
      <c r="D779" s="1202"/>
      <c r="E779" s="1164">
        <f t="shared" si="1145"/>
        <v>0</v>
      </c>
      <c r="F779" s="1164">
        <f t="shared" si="1159"/>
        <v>0</v>
      </c>
      <c r="G779" s="1165">
        <f t="shared" si="1168"/>
        <v>0</v>
      </c>
      <c r="H779" s="1166"/>
      <c r="I779" s="1167">
        <f t="shared" si="1158"/>
        <v>0</v>
      </c>
      <c r="J779" s="1167">
        <f t="shared" si="1160"/>
        <v>0</v>
      </c>
      <c r="K779" s="1168">
        <f t="shared" si="1169"/>
        <v>0</v>
      </c>
      <c r="L779" s="1128"/>
      <c r="M779" s="1169"/>
      <c r="N779" s="1177"/>
      <c r="O779" s="1169"/>
      <c r="P779" s="1169"/>
      <c r="Q779" s="1169">
        <f t="shared" si="1170"/>
        <v>0</v>
      </c>
      <c r="R779" s="1169"/>
      <c r="S779" s="1170"/>
      <c r="T779" s="1171"/>
      <c r="U779" s="1128"/>
      <c r="V779" s="1169"/>
      <c r="W779" s="1177"/>
      <c r="X779" s="1177"/>
      <c r="Y779" s="1169"/>
      <c r="Z779" s="1169">
        <f t="shared" si="1171"/>
        <v>0</v>
      </c>
      <c r="AA779" s="1169"/>
      <c r="AB779" s="1172">
        <f t="shared" si="1164"/>
        <v>0</v>
      </c>
      <c r="AC779" s="1171"/>
      <c r="AD779" s="1128"/>
      <c r="AE779" s="1169"/>
      <c r="AF779" s="1177"/>
      <c r="AG779" s="1177"/>
      <c r="AH779" s="1169"/>
      <c r="AI779" s="1169">
        <f t="shared" si="1172"/>
        <v>0</v>
      </c>
      <c r="AJ779" s="1169"/>
      <c r="AK779" s="1170"/>
      <c r="AL779" s="1171"/>
      <c r="AM779" s="1128"/>
      <c r="AN779" s="1170"/>
      <c r="AO779" s="1175"/>
      <c r="AP779" s="1175"/>
      <c r="AQ779" s="1170"/>
      <c r="AR779" s="1170">
        <f t="shared" si="1173"/>
        <v>0</v>
      </c>
      <c r="AS779" s="1170"/>
      <c r="AT779" s="1170"/>
      <c r="AU779" s="1174"/>
      <c r="AV779" s="1241"/>
      <c r="AW779" s="1169"/>
      <c r="AX779" s="1177"/>
      <c r="AY779" s="1177"/>
      <c r="AZ779" s="1169"/>
      <c r="BA779" s="1169">
        <f t="shared" si="1174"/>
        <v>0</v>
      </c>
      <c r="BB779" s="1169"/>
      <c r="BC779" s="1029"/>
      <c r="BD779" s="1027"/>
      <c r="BE779" s="1029"/>
      <c r="BF779" s="1029"/>
    </row>
    <row r="780">
      <c r="A780" s="999">
        <f t="shared" si="1161"/>
        <v>0</v>
      </c>
      <c r="B780" s="1202" t="s">
        <v>465</v>
      </c>
      <c r="C780" s="1202"/>
      <c r="D780" s="1202"/>
      <c r="E780" s="1164">
        <f t="shared" si="1145"/>
        <v>0</v>
      </c>
      <c r="F780" s="1164">
        <f t="shared" si="1159"/>
        <v>0</v>
      </c>
      <c r="G780" s="1165">
        <f t="shared" si="1168"/>
        <v>0</v>
      </c>
      <c r="H780" s="1166"/>
      <c r="I780" s="1167">
        <f t="shared" si="1158"/>
        <v>0</v>
      </c>
      <c r="J780" s="1167">
        <f t="shared" si="1160"/>
        <v>0</v>
      </c>
      <c r="K780" s="1168">
        <f t="shared" si="1169"/>
        <v>0</v>
      </c>
      <c r="L780" s="1128"/>
      <c r="M780" s="1169"/>
      <c r="N780" s="1177"/>
      <c r="O780" s="1169"/>
      <c r="P780" s="1169"/>
      <c r="Q780" s="1169">
        <f t="shared" si="1170"/>
        <v>0</v>
      </c>
      <c r="R780" s="1169"/>
      <c r="S780" s="1170"/>
      <c r="T780" s="1171"/>
      <c r="U780" s="1128"/>
      <c r="V780" s="1169"/>
      <c r="W780" s="1177"/>
      <c r="X780" s="1177"/>
      <c r="Y780" s="1169"/>
      <c r="Z780" s="1169">
        <f t="shared" si="1171"/>
        <v>0</v>
      </c>
      <c r="AA780" s="1169"/>
      <c r="AB780" s="1172">
        <f t="shared" si="1164"/>
        <v>0</v>
      </c>
      <c r="AC780" s="1171"/>
      <c r="AD780" s="1128"/>
      <c r="AE780" s="1169"/>
      <c r="AF780" s="1177"/>
      <c r="AG780" s="1177"/>
      <c r="AH780" s="1169"/>
      <c r="AI780" s="1169">
        <f t="shared" si="1172"/>
        <v>0</v>
      </c>
      <c r="AJ780" s="1169"/>
      <c r="AK780" s="1170"/>
      <c r="AL780" s="1171"/>
      <c r="AM780" s="1128"/>
      <c r="AN780" s="1170"/>
      <c r="AO780" s="1175"/>
      <c r="AP780" s="1175"/>
      <c r="AQ780" s="1170"/>
      <c r="AR780" s="1170">
        <f t="shared" si="1173"/>
        <v>0</v>
      </c>
      <c r="AS780" s="1170"/>
      <c r="AT780" s="1170"/>
      <c r="AU780" s="1174"/>
      <c r="AV780" s="1241"/>
      <c r="AW780" s="1169"/>
      <c r="AX780" s="1177"/>
      <c r="AY780" s="1177"/>
      <c r="AZ780" s="1169"/>
      <c r="BA780" s="1169">
        <f t="shared" si="1174"/>
        <v>0</v>
      </c>
      <c r="BB780" s="1169"/>
      <c r="BC780" s="1029"/>
      <c r="BD780" s="1027"/>
      <c r="BE780" s="1029"/>
      <c r="BF780" s="1029"/>
    </row>
    <row r="781">
      <c r="A781" s="999">
        <f t="shared" si="1161"/>
        <v>0</v>
      </c>
      <c r="B781" s="1202" t="s">
        <v>303</v>
      </c>
      <c r="C781" s="1202"/>
      <c r="D781" s="1202"/>
      <c r="E781" s="1164">
        <f t="shared" si="1145"/>
        <v>0</v>
      </c>
      <c r="F781" s="1164">
        <f t="shared" si="1159"/>
        <v>0</v>
      </c>
      <c r="G781" s="1165">
        <f t="shared" si="1168"/>
        <v>0</v>
      </c>
      <c r="H781" s="1166"/>
      <c r="I781" s="1167">
        <f t="shared" si="1158"/>
        <v>0</v>
      </c>
      <c r="J781" s="1167">
        <f t="shared" si="1160"/>
        <v>0</v>
      </c>
      <c r="K781" s="1168">
        <f t="shared" si="1169"/>
        <v>0</v>
      </c>
      <c r="L781" s="1128"/>
      <c r="M781" s="1169"/>
      <c r="N781" s="1177"/>
      <c r="O781" s="1169"/>
      <c r="P781" s="1169"/>
      <c r="Q781" s="1169">
        <f t="shared" si="1170"/>
        <v>0</v>
      </c>
      <c r="R781" s="1169"/>
      <c r="S781" s="1170"/>
      <c r="T781" s="1171"/>
      <c r="U781" s="1128"/>
      <c r="V781" s="1169"/>
      <c r="W781" s="1177"/>
      <c r="X781" s="1177"/>
      <c r="Y781" s="1169"/>
      <c r="Z781" s="1169">
        <f t="shared" si="1171"/>
        <v>0</v>
      </c>
      <c r="AA781" s="1169"/>
      <c r="AB781" s="1172">
        <f t="shared" si="1164"/>
        <v>0</v>
      </c>
      <c r="AC781" s="1171"/>
      <c r="AD781" s="1128"/>
      <c r="AE781" s="1169"/>
      <c r="AF781" s="1177"/>
      <c r="AG781" s="1177"/>
      <c r="AH781" s="1169"/>
      <c r="AI781" s="1169">
        <f t="shared" si="1172"/>
        <v>0</v>
      </c>
      <c r="AJ781" s="1169"/>
      <c r="AK781" s="1170"/>
      <c r="AL781" s="1171"/>
      <c r="AM781" s="1128"/>
      <c r="AN781" s="1170"/>
      <c r="AO781" s="1175"/>
      <c r="AP781" s="1175"/>
      <c r="AQ781" s="1170"/>
      <c r="AR781" s="1170">
        <f t="shared" si="1173"/>
        <v>0</v>
      </c>
      <c r="AS781" s="1170"/>
      <c r="AT781" s="1170"/>
      <c r="AU781" s="1174"/>
      <c r="AV781" s="1241"/>
      <c r="AW781" s="1169"/>
      <c r="AX781" s="1177"/>
      <c r="AY781" s="1177"/>
      <c r="AZ781" s="1169"/>
      <c r="BA781" s="1169">
        <f t="shared" si="1174"/>
        <v>0</v>
      </c>
      <c r="BB781" s="1169"/>
      <c r="BC781" s="1029"/>
      <c r="BD781" s="1027"/>
      <c r="BE781" s="1029"/>
      <c r="BF781" s="1029"/>
    </row>
    <row r="782">
      <c r="A782" s="999">
        <f t="shared" si="1161"/>
        <v>0</v>
      </c>
      <c r="B782" s="1202" t="s">
        <v>304</v>
      </c>
      <c r="C782" s="1202"/>
      <c r="D782" s="1202"/>
      <c r="E782" s="1164">
        <f t="shared" si="1145"/>
        <v>0</v>
      </c>
      <c r="F782" s="1164">
        <f t="shared" si="1159"/>
        <v>0</v>
      </c>
      <c r="G782" s="1165">
        <f t="shared" si="1168"/>
        <v>0</v>
      </c>
      <c r="H782" s="1166"/>
      <c r="I782" s="1167">
        <f t="shared" si="1158"/>
        <v>0</v>
      </c>
      <c r="J782" s="1167">
        <f t="shared" si="1160"/>
        <v>0</v>
      </c>
      <c r="K782" s="1168">
        <f t="shared" si="1169"/>
        <v>0</v>
      </c>
      <c r="L782" s="1128"/>
      <c r="M782" s="1169"/>
      <c r="N782" s="1177"/>
      <c r="O782" s="1169"/>
      <c r="P782" s="1169"/>
      <c r="Q782" s="1169">
        <f t="shared" si="1170"/>
        <v>0</v>
      </c>
      <c r="R782" s="1169"/>
      <c r="S782" s="1170"/>
      <c r="T782" s="1171"/>
      <c r="U782" s="1128"/>
      <c r="V782" s="1169"/>
      <c r="W782" s="1177"/>
      <c r="X782" s="1177"/>
      <c r="Y782" s="1169"/>
      <c r="Z782" s="1169">
        <f t="shared" si="1171"/>
        <v>0</v>
      </c>
      <c r="AA782" s="1169"/>
      <c r="AB782" s="1172">
        <f t="shared" si="1164"/>
        <v>0</v>
      </c>
      <c r="AC782" s="1171"/>
      <c r="AD782" s="1128"/>
      <c r="AE782" s="1169"/>
      <c r="AF782" s="1177"/>
      <c r="AG782" s="1177"/>
      <c r="AH782" s="1169"/>
      <c r="AI782" s="1169">
        <f t="shared" si="1172"/>
        <v>0</v>
      </c>
      <c r="AJ782" s="1169"/>
      <c r="AK782" s="1170"/>
      <c r="AL782" s="1171"/>
      <c r="AM782" s="1128"/>
      <c r="AN782" s="1170"/>
      <c r="AO782" s="1175"/>
      <c r="AP782" s="1175"/>
      <c r="AQ782" s="1170"/>
      <c r="AR782" s="1170">
        <f t="shared" si="1173"/>
        <v>0</v>
      </c>
      <c r="AS782" s="1170"/>
      <c r="AT782" s="1170"/>
      <c r="AU782" s="1174"/>
      <c r="AV782" s="1241"/>
      <c r="AW782" s="1169"/>
      <c r="AX782" s="1177"/>
      <c r="AY782" s="1177"/>
      <c r="AZ782" s="1169"/>
      <c r="BA782" s="1169">
        <f t="shared" si="1174"/>
        <v>0</v>
      </c>
      <c r="BB782" s="1169"/>
      <c r="BC782" s="1029"/>
      <c r="BD782" s="1027"/>
      <c r="BE782" s="1029"/>
      <c r="BF782" s="1029"/>
    </row>
    <row r="783" ht="18.75" customHeight="1">
      <c r="A783" s="999" t="str">
        <f t="shared" si="1161"/>
        <v xml:space="preserve">Радченко Т.А.</v>
      </c>
      <c r="B783" s="1202" t="s">
        <v>467</v>
      </c>
      <c r="C783" s="1202"/>
      <c r="D783" s="1202"/>
      <c r="E783" s="1164">
        <f t="shared" si="1145"/>
        <v>0</v>
      </c>
      <c r="F783" s="1164">
        <f t="shared" si="1159"/>
        <v>0</v>
      </c>
      <c r="G783" s="1165">
        <f t="shared" si="1168"/>
        <v>0</v>
      </c>
      <c r="H783" s="1266" t="e">
        <f t="shared" ref="H783:H846" si="1175">G783/$G$299</f>
        <v>#DIV/0!</v>
      </c>
      <c r="I783" s="1167">
        <f t="shared" si="1158"/>
        <v>0</v>
      </c>
      <c r="J783" s="1167">
        <f t="shared" si="1160"/>
        <v>0</v>
      </c>
      <c r="K783" s="1168">
        <f t="shared" si="1169"/>
        <v>0</v>
      </c>
      <c r="L783" s="1128"/>
      <c r="M783" s="1169"/>
      <c r="N783" s="1177"/>
      <c r="O783" s="1169"/>
      <c r="P783" s="1169"/>
      <c r="Q783" s="1169">
        <f t="shared" si="1170"/>
        <v>0</v>
      </c>
      <c r="R783" s="1169"/>
      <c r="S783" s="1170"/>
      <c r="T783" s="1171"/>
      <c r="U783" s="1128"/>
      <c r="V783" s="1169"/>
      <c r="W783" s="1177"/>
      <c r="X783" s="1177"/>
      <c r="Y783" s="1169"/>
      <c r="Z783" s="1169">
        <f t="shared" si="1171"/>
        <v>0</v>
      </c>
      <c r="AA783" s="1169"/>
      <c r="AB783" s="1172">
        <f t="shared" si="1164"/>
        <v>0</v>
      </c>
      <c r="AC783" s="1171"/>
      <c r="AD783" s="1128"/>
      <c r="AE783" s="1169"/>
      <c r="AF783" s="1177"/>
      <c r="AG783" s="1177"/>
      <c r="AH783" s="1169"/>
      <c r="AI783" s="1169">
        <f t="shared" si="1172"/>
        <v>0</v>
      </c>
      <c r="AJ783" s="1169"/>
      <c r="AK783" s="1170"/>
      <c r="AL783" s="1171"/>
      <c r="AM783" s="1128"/>
      <c r="AN783" s="1170"/>
      <c r="AO783" s="1175"/>
      <c r="AP783" s="1175"/>
      <c r="AQ783" s="1170"/>
      <c r="AR783" s="1170">
        <f t="shared" si="1173"/>
        <v>0</v>
      </c>
      <c r="AS783" s="1170"/>
      <c r="AT783" s="1170"/>
      <c r="AU783" s="1174"/>
      <c r="AV783" s="1241"/>
      <c r="AW783" s="1169"/>
      <c r="AX783" s="1177"/>
      <c r="AY783" s="1177"/>
      <c r="AZ783" s="1169"/>
      <c r="BA783" s="1169">
        <f t="shared" si="1174"/>
        <v>0</v>
      </c>
      <c r="BB783" s="1169"/>
      <c r="BC783" s="1029"/>
      <c r="BD783" s="1027"/>
      <c r="BE783" s="1029"/>
      <c r="BF783" s="1029"/>
    </row>
    <row r="784">
      <c r="A784" s="999" t="str">
        <f t="shared" si="1161"/>
        <v xml:space="preserve">Старшие м.- АОКБ (кислород)</v>
      </c>
      <c r="B784" s="1202" t="s">
        <v>469</v>
      </c>
      <c r="C784" s="1202"/>
      <c r="D784" s="1202"/>
      <c r="E784" s="1164">
        <f t="shared" si="1145"/>
        <v>0</v>
      </c>
      <c r="F784" s="1164">
        <f t="shared" si="1159"/>
        <v>0</v>
      </c>
      <c r="G784" s="1165">
        <f t="shared" si="1168"/>
        <v>0</v>
      </c>
      <c r="H784" s="1166"/>
      <c r="I784" s="1167">
        <f t="shared" si="1158"/>
        <v>0</v>
      </c>
      <c r="J784" s="1167">
        <f t="shared" si="1160"/>
        <v>0</v>
      </c>
      <c r="K784" s="1168">
        <f t="shared" si="1169"/>
        <v>0</v>
      </c>
      <c r="L784" s="1128"/>
      <c r="M784" s="1169"/>
      <c r="N784" s="1177"/>
      <c r="O784" s="1169"/>
      <c r="P784" s="1169"/>
      <c r="Q784" s="1169">
        <f t="shared" si="1170"/>
        <v>0</v>
      </c>
      <c r="R784" s="1169"/>
      <c r="S784" s="1170"/>
      <c r="T784" s="1171"/>
      <c r="U784" s="1128"/>
      <c r="V784" s="1169"/>
      <c r="W784" s="1177"/>
      <c r="X784" s="1177"/>
      <c r="Y784" s="1169"/>
      <c r="Z784" s="1169">
        <f t="shared" si="1171"/>
        <v>0</v>
      </c>
      <c r="AA784" s="1169"/>
      <c r="AB784" s="1172">
        <f t="shared" si="1164"/>
        <v>0</v>
      </c>
      <c r="AC784" s="1171"/>
      <c r="AD784" s="1128"/>
      <c r="AE784" s="1169"/>
      <c r="AF784" s="1177"/>
      <c r="AG784" s="1177"/>
      <c r="AH784" s="1169"/>
      <c r="AI784" s="1169">
        <f t="shared" si="1172"/>
        <v>0</v>
      </c>
      <c r="AJ784" s="1169"/>
      <c r="AK784" s="1170"/>
      <c r="AL784" s="1171"/>
      <c r="AM784" s="1128"/>
      <c r="AN784" s="1170"/>
      <c r="AO784" s="1175"/>
      <c r="AP784" s="1175"/>
      <c r="AQ784" s="1170"/>
      <c r="AR784" s="1170">
        <f t="shared" si="1173"/>
        <v>0</v>
      </c>
      <c r="AS784" s="1170"/>
      <c r="AT784" s="1170"/>
      <c r="AU784" s="1174"/>
      <c r="AV784" s="1241"/>
      <c r="AW784" s="1169"/>
      <c r="AX784" s="1177"/>
      <c r="AY784" s="1177"/>
      <c r="AZ784" s="1169"/>
      <c r="BA784" s="1169">
        <f t="shared" si="1174"/>
        <v>0</v>
      </c>
      <c r="BB784" s="1169"/>
      <c r="BC784" s="1029"/>
      <c r="BD784" s="1027"/>
      <c r="BE784" s="1029"/>
      <c r="BF784" s="1029"/>
    </row>
    <row r="785" ht="22.5">
      <c r="B785" s="1205" t="s">
        <v>27</v>
      </c>
      <c r="C785" s="1205"/>
      <c r="D785" s="1205"/>
      <c r="E785" s="1183">
        <f t="shared" si="1145"/>
        <v>0</v>
      </c>
      <c r="F785" s="1183">
        <f t="shared" si="1159"/>
        <v>0</v>
      </c>
      <c r="G785" s="1184">
        <f>SUM(G759:G784)</f>
        <v>0</v>
      </c>
      <c r="H785" s="1185"/>
      <c r="I785" s="1186">
        <f t="shared" si="1158"/>
        <v>0</v>
      </c>
      <c r="J785" s="1186">
        <f t="shared" si="1160"/>
        <v>0</v>
      </c>
      <c r="K785" s="1187">
        <f>SUM(K759:K784)</f>
        <v>0</v>
      </c>
      <c r="L785" s="1210"/>
      <c r="M785" s="1213">
        <f t="shared" ref="M785:R785" si="1176">SUM(M759:M784)</f>
        <v>0</v>
      </c>
      <c r="N785" s="1213">
        <f t="shared" si="1176"/>
        <v>0</v>
      </c>
      <c r="O785" s="1213">
        <f t="shared" si="1176"/>
        <v>0</v>
      </c>
      <c r="P785" s="1213">
        <f t="shared" si="1176"/>
        <v>0</v>
      </c>
      <c r="Q785" s="1213">
        <f t="shared" si="1176"/>
        <v>0</v>
      </c>
      <c r="R785" s="1213">
        <f t="shared" si="1176"/>
        <v>0</v>
      </c>
      <c r="S785" s="1304"/>
      <c r="T785" s="1214"/>
      <c r="U785" s="1210">
        <f t="shared" ref="U785:AA785" si="1177">SUM(U759:U784)</f>
        <v>0</v>
      </c>
      <c r="V785" s="1209">
        <f t="shared" si="1177"/>
        <v>0</v>
      </c>
      <c r="W785" s="1209">
        <f t="shared" si="1177"/>
        <v>0</v>
      </c>
      <c r="X785" s="1209">
        <f t="shared" si="1177"/>
        <v>0</v>
      </c>
      <c r="Y785" s="1209">
        <f t="shared" si="1177"/>
        <v>0</v>
      </c>
      <c r="Z785" s="1209">
        <f t="shared" si="1177"/>
        <v>0</v>
      </c>
      <c r="AA785" s="1209">
        <f t="shared" si="1177"/>
        <v>0</v>
      </c>
      <c r="AB785" s="1172">
        <f t="shared" si="1164"/>
        <v>0</v>
      </c>
      <c r="AC785" s="1208"/>
      <c r="AD785" s="1210">
        <f t="shared" ref="AD785:AJ785" si="1178">SUM(AD759:AD784)</f>
        <v>0</v>
      </c>
      <c r="AE785" s="1209">
        <f t="shared" si="1178"/>
        <v>0</v>
      </c>
      <c r="AF785" s="1209">
        <f t="shared" si="1178"/>
        <v>0</v>
      </c>
      <c r="AG785" s="1209">
        <f t="shared" si="1178"/>
        <v>0</v>
      </c>
      <c r="AH785" s="1209">
        <f t="shared" si="1178"/>
        <v>0</v>
      </c>
      <c r="AI785" s="1209">
        <f t="shared" si="1178"/>
        <v>0</v>
      </c>
      <c r="AJ785" s="1209">
        <f t="shared" si="1178"/>
        <v>0</v>
      </c>
      <c r="AK785" s="1211"/>
      <c r="AL785" s="1208"/>
      <c r="AM785" s="1128"/>
      <c r="AN785" s="1190">
        <f t="shared" ref="AN785:AS785" si="1179">SUM(AN759:AN784)</f>
        <v>0</v>
      </c>
      <c r="AO785" s="1190">
        <f t="shared" si="1179"/>
        <v>0</v>
      </c>
      <c r="AP785" s="1190">
        <f t="shared" si="1179"/>
        <v>0</v>
      </c>
      <c r="AQ785" s="1190">
        <f t="shared" si="1179"/>
        <v>0</v>
      </c>
      <c r="AR785" s="1190">
        <f t="shared" si="1179"/>
        <v>0</v>
      </c>
      <c r="AS785" s="1190">
        <f t="shared" si="1179"/>
        <v>0</v>
      </c>
      <c r="AT785" s="1190"/>
      <c r="AU785" s="1191"/>
      <c r="AV785" s="1241"/>
      <c r="AW785" s="1096">
        <f t="shared" ref="AW785:BB785" si="1180">SUM(AW759:AW784)</f>
        <v>0</v>
      </c>
      <c r="AX785" s="1096">
        <f t="shared" si="1180"/>
        <v>0</v>
      </c>
      <c r="AY785" s="1096">
        <f t="shared" si="1180"/>
        <v>0</v>
      </c>
      <c r="AZ785" s="1096">
        <f t="shared" si="1180"/>
        <v>0</v>
      </c>
      <c r="BA785" s="1096">
        <f t="shared" si="1180"/>
        <v>0</v>
      </c>
      <c r="BB785" s="1096">
        <f t="shared" si="1180"/>
        <v>0</v>
      </c>
      <c r="BC785" s="1029"/>
      <c r="BD785" s="1027"/>
      <c r="BE785" s="1029"/>
      <c r="BF785" s="1029"/>
    </row>
    <row r="786" ht="22.5">
      <c r="B786" s="1205" t="s">
        <v>507</v>
      </c>
      <c r="C786" s="1205"/>
      <c r="D786" s="1205"/>
      <c r="E786" s="1183">
        <f t="shared" si="1145"/>
        <v>0</v>
      </c>
      <c r="F786" s="1183">
        <f t="shared" si="1159"/>
        <v>0</v>
      </c>
      <c r="G786" s="1220">
        <f>G785+G758+G744+G735</f>
        <v>0</v>
      </c>
      <c r="H786" s="1221"/>
      <c r="I786" s="1186">
        <f t="shared" si="1158"/>
        <v>0</v>
      </c>
      <c r="J786" s="1186">
        <f t="shared" si="1160"/>
        <v>0</v>
      </c>
      <c r="K786" s="1222">
        <f>K785+K758+K744+K735</f>
        <v>0</v>
      </c>
      <c r="L786" s="1197">
        <f t="shared" ref="L786:R786" si="1181">L785+L758+L744+L735</f>
        <v>0</v>
      </c>
      <c r="M786" s="1096">
        <f t="shared" si="1181"/>
        <v>0</v>
      </c>
      <c r="N786" s="1096">
        <f t="shared" si="1181"/>
        <v>0</v>
      </c>
      <c r="O786" s="1096">
        <f t="shared" si="1181"/>
        <v>0</v>
      </c>
      <c r="P786" s="1096">
        <f t="shared" si="1181"/>
        <v>0</v>
      </c>
      <c r="Q786" s="1096">
        <f t="shared" si="1181"/>
        <v>0</v>
      </c>
      <c r="R786" s="1096">
        <f t="shared" si="1181"/>
        <v>0</v>
      </c>
      <c r="S786" s="1190"/>
      <c r="T786" s="1189"/>
      <c r="U786" s="1190">
        <f t="shared" ref="U786:AA786" si="1182">U785+U758+U744+U735</f>
        <v>0</v>
      </c>
      <c r="V786" s="1096">
        <f t="shared" si="1182"/>
        <v>0</v>
      </c>
      <c r="W786" s="1096">
        <f t="shared" si="1182"/>
        <v>0</v>
      </c>
      <c r="X786" s="1096">
        <f t="shared" si="1182"/>
        <v>0</v>
      </c>
      <c r="Y786" s="1096">
        <f t="shared" si="1182"/>
        <v>0</v>
      </c>
      <c r="Z786" s="1096">
        <f t="shared" si="1182"/>
        <v>0</v>
      </c>
      <c r="AA786" s="1096">
        <f t="shared" si="1182"/>
        <v>0</v>
      </c>
      <c r="AB786" s="1172">
        <f t="shared" si="1164"/>
        <v>0</v>
      </c>
      <c r="AC786" s="1189"/>
      <c r="AD786" s="1197">
        <f t="shared" ref="AD786:AJ786" si="1183">AD785+AD758+AD744+AD735</f>
        <v>0</v>
      </c>
      <c r="AE786" s="1096">
        <f t="shared" si="1183"/>
        <v>0</v>
      </c>
      <c r="AF786" s="1096">
        <f t="shared" si="1183"/>
        <v>0</v>
      </c>
      <c r="AG786" s="1096">
        <f t="shared" si="1183"/>
        <v>0</v>
      </c>
      <c r="AH786" s="1096">
        <f t="shared" si="1183"/>
        <v>0</v>
      </c>
      <c r="AI786" s="1096">
        <f t="shared" si="1183"/>
        <v>0</v>
      </c>
      <c r="AJ786" s="1096">
        <f t="shared" si="1183"/>
        <v>0</v>
      </c>
      <c r="AK786" s="1190"/>
      <c r="AL786" s="1189"/>
      <c r="AM786" s="1197">
        <f t="shared" ref="AM786:AS786" si="1184">AM785+AM758+AM744+AM735</f>
        <v>0</v>
      </c>
      <c r="AN786" s="1190">
        <f t="shared" si="1184"/>
        <v>0</v>
      </c>
      <c r="AO786" s="1190">
        <f t="shared" si="1184"/>
        <v>0</v>
      </c>
      <c r="AP786" s="1190">
        <f t="shared" si="1184"/>
        <v>0</v>
      </c>
      <c r="AQ786" s="1190">
        <f t="shared" si="1184"/>
        <v>0</v>
      </c>
      <c r="AR786" s="1190">
        <f t="shared" si="1184"/>
        <v>0</v>
      </c>
      <c r="AS786" s="1190">
        <f t="shared" si="1184"/>
        <v>0</v>
      </c>
      <c r="AT786" s="1190"/>
      <c r="AU786" s="1191"/>
      <c r="AV786" s="1190">
        <f t="shared" ref="AV786:BB786" si="1185">AV785+AV758+AV744+AV735</f>
        <v>0</v>
      </c>
      <c r="AW786" s="1096">
        <f t="shared" si="1185"/>
        <v>0</v>
      </c>
      <c r="AX786" s="1096">
        <f t="shared" si="1185"/>
        <v>0</v>
      </c>
      <c r="AY786" s="1096">
        <f t="shared" si="1185"/>
        <v>0</v>
      </c>
      <c r="AZ786" s="1096">
        <f t="shared" si="1185"/>
        <v>0</v>
      </c>
      <c r="BA786" s="1096">
        <f t="shared" si="1185"/>
        <v>0</v>
      </c>
      <c r="BB786" s="1096">
        <f t="shared" si="1185"/>
        <v>0</v>
      </c>
      <c r="BC786" s="1029"/>
      <c r="BD786" s="1027"/>
      <c r="BE786" s="1029"/>
      <c r="BF786" s="1029"/>
    </row>
    <row r="787" s="1249" customFormat="1" ht="22.149999999999999" customHeight="1">
      <c r="A787" s="999"/>
      <c r="B787" s="1256"/>
      <c r="C787" s="1256"/>
      <c r="D787" s="1256"/>
      <c r="E787" s="1257"/>
      <c r="F787" s="1257"/>
      <c r="G787" s="1257"/>
      <c r="H787" s="1250"/>
      <c r="I787" s="1258"/>
      <c r="J787" s="1258"/>
      <c r="K787" s="1005"/>
      <c r="L787" s="1251"/>
      <c r="M787" s="1305"/>
      <c r="N787" s="1305"/>
      <c r="O787" s="1023"/>
      <c r="P787" s="1306"/>
      <c r="Q787" s="1306"/>
      <c r="R787" s="1305"/>
      <c r="S787" s="1305"/>
      <c r="T787" s="1307"/>
      <c r="U787" s="1308"/>
      <c r="V787" s="1251"/>
      <c r="W787" s="1251"/>
      <c r="X787" s="1251"/>
      <c r="Y787" s="1251"/>
      <c r="Z787" s="1251"/>
      <c r="AA787" s="1251"/>
      <c r="AB787" s="1251"/>
      <c r="AC787" s="1259"/>
      <c r="AD787" s="1308"/>
      <c r="AE787" s="1251"/>
      <c r="AF787" s="1251"/>
      <c r="AG787" s="1251"/>
      <c r="AH787" s="1251"/>
      <c r="AI787" s="1251"/>
      <c r="AJ787" s="1251"/>
      <c r="AK787" s="1251"/>
      <c r="AL787" s="1259"/>
      <c r="AM787" s="1308"/>
      <c r="AN787" s="1251"/>
      <c r="AO787" s="1251"/>
      <c r="AP787" s="1251"/>
      <c r="AQ787" s="1251"/>
      <c r="AR787" s="1251"/>
      <c r="AS787" s="1251"/>
      <c r="AT787" s="1251"/>
      <c r="AU787" s="1250"/>
      <c r="AV787" s="1308"/>
      <c r="AW787" s="1251"/>
      <c r="AX787" s="1251"/>
      <c r="AY787" s="1251"/>
      <c r="AZ787" s="1251"/>
      <c r="BA787" s="1251"/>
      <c r="BB787" s="1251"/>
      <c r="BC787" s="1251"/>
      <c r="BD787" s="1250"/>
      <c r="BE787" s="1251"/>
      <c r="BF787" s="1251"/>
      <c r="BG787" s="1252"/>
      <c r="BH787" s="1252"/>
      <c r="BI787" s="1252"/>
      <c r="BJ787" s="1252"/>
      <c r="BK787" s="1252"/>
      <c r="BL787" s="1252"/>
      <c r="BM787" s="1252"/>
    </row>
    <row r="788">
      <c r="B788" s="1133"/>
      <c r="C788" s="1133"/>
      <c r="D788" s="1133"/>
      <c r="E788" s="1017"/>
      <c r="F788" s="1017"/>
      <c r="G788" s="1099"/>
      <c r="H788" s="1100"/>
      <c r="I788" s="1020"/>
      <c r="J788" s="1020"/>
      <c r="L788" s="1024"/>
      <c r="M788" s="1023"/>
      <c r="N788" s="1023"/>
      <c r="O788" s="1023"/>
      <c r="P788" s="1023"/>
      <c r="Q788" s="1023"/>
      <c r="R788" s="1023"/>
      <c r="S788" s="1023"/>
      <c r="T788" s="1262"/>
      <c r="U788" s="1022"/>
      <c r="V788" s="1023"/>
      <c r="W788" s="1024"/>
      <c r="X788" s="1024"/>
      <c r="Y788" s="1023"/>
      <c r="Z788" s="1023"/>
      <c r="AA788" s="1023"/>
      <c r="AB788" s="1023"/>
      <c r="AC788" s="1262"/>
      <c r="AD788" s="1022"/>
      <c r="AE788" s="1023"/>
      <c r="AF788" s="1023"/>
      <c r="AG788" s="1023"/>
      <c r="AH788" s="1023"/>
      <c r="AI788" s="1023"/>
      <c r="AJ788" s="1023"/>
      <c r="AK788" s="1023"/>
      <c r="AL788" s="1262"/>
      <c r="AM788" s="1022"/>
      <c r="AN788" s="1023"/>
      <c r="AO788" s="1023"/>
      <c r="AP788" s="1023"/>
      <c r="AQ788" s="1023"/>
      <c r="AR788" s="1023"/>
      <c r="AS788" s="1023"/>
      <c r="AT788" s="1023"/>
      <c r="AU788" s="1263"/>
      <c r="AV788" s="1309"/>
      <c r="AW788" s="1230"/>
      <c r="AX788" s="1230"/>
      <c r="AY788" s="1230"/>
      <c r="AZ788" s="1230"/>
      <c r="BA788" s="1230"/>
      <c r="BB788" s="1230"/>
      <c r="BC788" s="1029"/>
      <c r="BD788" s="1027"/>
      <c r="BE788" s="1029"/>
      <c r="BF788" s="1029"/>
    </row>
    <row r="789">
      <c r="A789" s="1274"/>
      <c r="B789" s="1029"/>
      <c r="C789" s="1029"/>
      <c r="D789" s="1029"/>
      <c r="E789" s="1017"/>
      <c r="F789" s="1017"/>
      <c r="G789" s="1099"/>
      <c r="H789" s="1100"/>
      <c r="I789" s="1020"/>
      <c r="J789" s="1020"/>
      <c r="L789" s="1024"/>
      <c r="M789" s="1023"/>
      <c r="N789" s="1024"/>
      <c r="O789" s="1023"/>
      <c r="P789" s="1023"/>
      <c r="Q789" s="1024"/>
      <c r="R789" s="1024"/>
      <c r="S789" s="1024"/>
      <c r="T789" s="1025"/>
      <c r="U789" s="1022"/>
      <c r="V789" s="1023"/>
      <c r="W789" s="1024"/>
      <c r="X789" s="1024"/>
      <c r="Y789" s="1023"/>
      <c r="Z789" s="1024"/>
      <c r="AA789" s="1024"/>
      <c r="AB789" s="1024"/>
      <c r="AC789" s="1025"/>
      <c r="AD789" s="1022"/>
      <c r="AE789" s="1023"/>
      <c r="AF789" s="1024"/>
      <c r="AG789" s="1024"/>
      <c r="AH789" s="1023"/>
      <c r="AI789" s="1024"/>
      <c r="AJ789" s="1024"/>
      <c r="AK789" s="1024"/>
      <c r="AL789" s="1025"/>
      <c r="AM789" s="1022"/>
      <c r="AN789" s="1023"/>
      <c r="AO789" s="1024"/>
      <c r="AP789" s="1024"/>
      <c r="AQ789" s="1023"/>
      <c r="AR789" s="1024"/>
      <c r="AS789" s="1024"/>
      <c r="AT789" s="1024"/>
      <c r="AU789" s="1027"/>
      <c r="AV789" s="1028"/>
      <c r="AW789" s="1023"/>
      <c r="AX789" s="1024"/>
      <c r="AY789" s="1024"/>
      <c r="AZ789" s="1023"/>
      <c r="BA789" s="1024"/>
      <c r="BB789" s="1024"/>
      <c r="BC789" s="1029"/>
      <c r="BD789" s="1027"/>
      <c r="BE789" s="1029"/>
      <c r="BF789" s="1029"/>
    </row>
    <row r="790">
      <c r="B790" s="1029"/>
      <c r="C790" s="1029"/>
      <c r="D790" s="1029"/>
      <c r="E790" s="1017"/>
      <c r="F790" s="1017"/>
      <c r="G790" s="1099"/>
      <c r="H790" s="1100"/>
      <c r="I790" s="1020"/>
      <c r="J790" s="1020"/>
      <c r="L790" s="1024"/>
      <c r="M790" s="1023"/>
      <c r="N790" s="1024"/>
      <c r="O790" s="1023"/>
      <c r="P790" s="1023"/>
      <c r="Q790" s="1024"/>
      <c r="R790" s="1024"/>
      <c r="S790" s="1024"/>
      <c r="T790" s="1025"/>
      <c r="U790" s="1022"/>
      <c r="V790" s="1023"/>
      <c r="W790" s="1024"/>
      <c r="X790" s="1024"/>
      <c r="Y790" s="1023"/>
      <c r="Z790" s="1024"/>
      <c r="AA790" s="1024"/>
      <c r="AB790" s="1024"/>
      <c r="AC790" s="1025"/>
      <c r="AD790" s="1022"/>
      <c r="AE790" s="1023"/>
      <c r="AF790" s="1024"/>
      <c r="AG790" s="1024"/>
      <c r="AH790" s="1023"/>
      <c r="AI790" s="1024"/>
      <c r="AJ790" s="1024"/>
      <c r="AK790" s="1024"/>
      <c r="AL790" s="1025"/>
      <c r="AM790" s="1022"/>
      <c r="AN790" s="1023"/>
      <c r="AO790" s="1024"/>
      <c r="AP790" s="1024"/>
      <c r="AQ790" s="1023"/>
      <c r="AR790" s="1024"/>
      <c r="AS790" s="1024"/>
      <c r="AT790" s="1024"/>
      <c r="AU790" s="1027"/>
      <c r="AV790" s="1028"/>
      <c r="AW790" s="1023"/>
      <c r="AX790" s="1024"/>
      <c r="AY790" s="1024"/>
      <c r="AZ790" s="1023"/>
      <c r="BA790" s="1024"/>
      <c r="BB790" s="1024"/>
      <c r="BC790" s="1029"/>
      <c r="BD790" s="1027"/>
      <c r="BE790" s="1029"/>
      <c r="BF790" s="1029"/>
    </row>
    <row r="791">
      <c r="B791" s="1029"/>
      <c r="C791" s="1029"/>
      <c r="D791" s="1029"/>
      <c r="E791" s="1017"/>
      <c r="F791" s="1017"/>
      <c r="G791" s="1099"/>
      <c r="H791" s="1100"/>
      <c r="I791" s="1020"/>
      <c r="J791" s="1020"/>
      <c r="L791" s="1024"/>
      <c r="M791" s="1023"/>
      <c r="N791" s="1024"/>
      <c r="O791" s="1023"/>
      <c r="P791" s="1023"/>
      <c r="Q791" s="1024"/>
      <c r="R791" s="1024"/>
      <c r="S791" s="1024"/>
      <c r="T791" s="1025"/>
      <c r="U791" s="1022"/>
      <c r="V791" s="1023"/>
      <c r="W791" s="1024"/>
      <c r="X791" s="1024"/>
      <c r="Y791" s="1023"/>
      <c r="Z791" s="1024"/>
      <c r="AA791" s="1024"/>
      <c r="AB791" s="1024"/>
      <c r="AC791" s="1025"/>
      <c r="AD791" s="1022"/>
      <c r="AE791" s="1023"/>
      <c r="AF791" s="1024"/>
      <c r="AG791" s="1024"/>
      <c r="AH791" s="1023"/>
      <c r="AI791" s="1024"/>
      <c r="AJ791" s="1024"/>
      <c r="AK791" s="1024"/>
      <c r="AL791" s="1025"/>
      <c r="AM791" s="1022"/>
      <c r="AN791" s="1023"/>
      <c r="AO791" s="1024"/>
      <c r="AP791" s="1024"/>
      <c r="AQ791" s="1023"/>
      <c r="AR791" s="1024"/>
      <c r="AS791" s="1024"/>
      <c r="AT791" s="1024"/>
      <c r="AU791" s="1027"/>
      <c r="AV791" s="1028"/>
      <c r="AW791" s="1023"/>
      <c r="AX791" s="1024"/>
      <c r="AY791" s="1024"/>
      <c r="AZ791" s="1023"/>
      <c r="BA791" s="1024"/>
      <c r="BB791" s="1024"/>
      <c r="BC791" s="1029"/>
      <c r="BD791" s="1027"/>
      <c r="BE791" s="1029"/>
      <c r="BF791" s="1029"/>
    </row>
    <row r="792" ht="40.5" customHeight="1">
      <c r="B792" s="1310" t="s">
        <v>508</v>
      </c>
      <c r="C792" s="1311"/>
      <c r="D792" s="1311"/>
      <c r="E792" s="1113" t="s">
        <v>347</v>
      </c>
      <c r="F792" s="1114"/>
      <c r="G792" s="1114"/>
      <c r="H792" s="1115"/>
      <c r="I792" s="1235" t="s">
        <v>335</v>
      </c>
      <c r="J792" s="1236"/>
      <c r="K792" s="1237"/>
      <c r="L792" s="1119"/>
      <c r="M792" s="1120" t="s">
        <v>127</v>
      </c>
      <c r="N792" s="1121"/>
      <c r="O792" s="1121"/>
      <c r="P792" s="1121"/>
      <c r="Q792" s="1121"/>
      <c r="R792" s="1122"/>
      <c r="S792" s="1123"/>
      <c r="T792" s="1124"/>
      <c r="U792" s="1125"/>
      <c r="V792" s="1120" t="s">
        <v>325</v>
      </c>
      <c r="W792" s="1121"/>
      <c r="X792" s="1121"/>
      <c r="Y792" s="1121"/>
      <c r="Z792" s="1121"/>
      <c r="AA792" s="1122"/>
      <c r="AB792" s="1115"/>
      <c r="AC792" s="1126"/>
      <c r="AD792" s="1125"/>
      <c r="AE792" s="1120" t="s">
        <v>311</v>
      </c>
      <c r="AF792" s="1121"/>
      <c r="AG792" s="1121"/>
      <c r="AH792" s="1121"/>
      <c r="AI792" s="1121"/>
      <c r="AJ792" s="1122"/>
      <c r="AK792" s="1127"/>
      <c r="AL792" s="1126"/>
      <c r="AM792" s="1128"/>
      <c r="AN792" s="1043" t="s">
        <v>327</v>
      </c>
      <c r="AO792" s="1044"/>
      <c r="AP792" s="1044"/>
      <c r="AQ792" s="1044"/>
      <c r="AR792" s="1044"/>
      <c r="AS792" s="1045"/>
      <c r="AT792" s="1129"/>
      <c r="AU792" s="1130"/>
      <c r="AV792" s="1131"/>
      <c r="AW792" s="1043" t="s">
        <v>349</v>
      </c>
      <c r="AX792" s="1044"/>
      <c r="AY792" s="1044"/>
      <c r="AZ792" s="1044"/>
      <c r="BA792" s="1044"/>
      <c r="BB792" s="1045"/>
      <c r="BC792" s="1029"/>
      <c r="BD792" s="1132"/>
      <c r="BE792" s="1133"/>
      <c r="BF792" s="1133"/>
    </row>
    <row r="793" ht="18.75" customHeight="1">
      <c r="A793" s="1110"/>
      <c r="B793" s="1134" t="s">
        <v>350</v>
      </c>
      <c r="C793" s="1134"/>
      <c r="D793" s="1134"/>
      <c r="E793" s="1135" t="s">
        <v>332</v>
      </c>
      <c r="F793" s="1135" t="s">
        <v>333</v>
      </c>
      <c r="G793" s="1136" t="s">
        <v>334</v>
      </c>
      <c r="H793" s="1137" t="s">
        <v>341</v>
      </c>
      <c r="I793" s="1138"/>
      <c r="J793" s="1138"/>
      <c r="K793" s="1139"/>
      <c r="L793" s="1119"/>
      <c r="M793" s="1073" t="s">
        <v>336</v>
      </c>
      <c r="N793" s="1073" t="s">
        <v>337</v>
      </c>
      <c r="O793" s="1073" t="s">
        <v>338</v>
      </c>
      <c r="P793" s="1073" t="s">
        <v>344</v>
      </c>
      <c r="Q793" s="1073" t="s">
        <v>351</v>
      </c>
      <c r="R793" s="1140" t="s">
        <v>339</v>
      </c>
      <c r="S793" s="1141" t="s">
        <v>340</v>
      </c>
      <c r="T793" s="1142"/>
      <c r="U793" s="1128"/>
      <c r="V793" s="1073" t="s">
        <v>336</v>
      </c>
      <c r="W793" s="1073" t="s">
        <v>337</v>
      </c>
      <c r="X793" s="1073" t="s">
        <v>338</v>
      </c>
      <c r="Y793" s="1073" t="s">
        <v>344</v>
      </c>
      <c r="Z793" s="1073" t="s">
        <v>351</v>
      </c>
      <c r="AA793" s="1140" t="s">
        <v>339</v>
      </c>
      <c r="AB793" s="1143" t="str">
        <f>S793</f>
        <v xml:space="preserve">Итого (спирт+наркотики+растворы+перевязка)</v>
      </c>
      <c r="AC793" s="1142"/>
      <c r="AD793" s="1128"/>
      <c r="AE793" s="1073" t="s">
        <v>336</v>
      </c>
      <c r="AF793" s="1073" t="s">
        <v>337</v>
      </c>
      <c r="AG793" s="1073" t="s">
        <v>338</v>
      </c>
      <c r="AH793" s="1073" t="s">
        <v>344</v>
      </c>
      <c r="AI793" s="1073" t="s">
        <v>351</v>
      </c>
      <c r="AJ793" s="1140" t="s">
        <v>339</v>
      </c>
      <c r="AK793" s="1141" t="s">
        <v>340</v>
      </c>
      <c r="AL793" s="1142"/>
      <c r="AM793" s="1128"/>
      <c r="AN793" s="1144" t="s">
        <v>336</v>
      </c>
      <c r="AO793" s="1144" t="s">
        <v>337</v>
      </c>
      <c r="AP793" s="1144" t="s">
        <v>338</v>
      </c>
      <c r="AQ793" s="1073" t="s">
        <v>344</v>
      </c>
      <c r="AR793" s="1073" t="s">
        <v>351</v>
      </c>
      <c r="AS793" s="1140" t="s">
        <v>339</v>
      </c>
      <c r="AT793" s="1145"/>
      <c r="AU793" s="1146"/>
      <c r="AV793" s="1131"/>
      <c r="AW793" s="1144" t="s">
        <v>336</v>
      </c>
      <c r="AX793" s="1144" t="s">
        <v>337</v>
      </c>
      <c r="AY793" s="1144" t="s">
        <v>338</v>
      </c>
      <c r="AZ793" s="1073" t="s">
        <v>344</v>
      </c>
      <c r="BA793" s="1073" t="s">
        <v>351</v>
      </c>
      <c r="BB793" s="1140" t="s">
        <v>339</v>
      </c>
      <c r="BC793" s="1147"/>
      <c r="BD793" s="1132"/>
      <c r="BE793" s="1133"/>
      <c r="BF793" s="1133"/>
    </row>
    <row r="794" ht="39.75" customHeight="1">
      <c r="A794" s="1110"/>
      <c r="B794" s="1149"/>
      <c r="C794" s="1149"/>
      <c r="D794" s="1149"/>
      <c r="E794" s="1150"/>
      <c r="F794" s="1150"/>
      <c r="G794" s="1151"/>
      <c r="H794" s="1152"/>
      <c r="I794" s="1153" t="s">
        <v>342</v>
      </c>
      <c r="J794" s="1154" t="s">
        <v>339</v>
      </c>
      <c r="K794" s="1155" t="s">
        <v>335</v>
      </c>
      <c r="L794" s="1119"/>
      <c r="M794" s="1095"/>
      <c r="N794" s="1095"/>
      <c r="O794" s="1095"/>
      <c r="P794" s="1095"/>
      <c r="Q794" s="1095"/>
      <c r="R794" s="1123"/>
      <c r="S794" s="1156"/>
      <c r="T794" s="1124"/>
      <c r="U794" s="1128"/>
      <c r="V794" s="1095"/>
      <c r="W794" s="1095"/>
      <c r="X794" s="1095"/>
      <c r="Y794" s="1095"/>
      <c r="Z794" s="1095"/>
      <c r="AA794" s="1123"/>
      <c r="AB794" s="1157"/>
      <c r="AC794" s="1124"/>
      <c r="AD794" s="1128"/>
      <c r="AE794" s="1095"/>
      <c r="AF794" s="1095"/>
      <c r="AG794" s="1095"/>
      <c r="AH794" s="1095"/>
      <c r="AI794" s="1095"/>
      <c r="AJ794" s="1123"/>
      <c r="AK794" s="1156"/>
      <c r="AL794" s="1124"/>
      <c r="AM794" s="1128"/>
      <c r="AN794" s="1158"/>
      <c r="AO794" s="1158"/>
      <c r="AP794" s="1158"/>
      <c r="AQ794" s="1095"/>
      <c r="AR794" s="1095"/>
      <c r="AS794" s="1123"/>
      <c r="AT794" s="1159"/>
      <c r="AU794" s="1160"/>
      <c r="AV794" s="1131"/>
      <c r="AW794" s="1158"/>
      <c r="AX794" s="1158"/>
      <c r="AY794" s="1158"/>
      <c r="AZ794" s="1095"/>
      <c r="BA794" s="1095"/>
      <c r="BB794" s="1123"/>
      <c r="BC794" s="1161"/>
      <c r="BD794" s="1132"/>
      <c r="BE794" s="1133"/>
      <c r="BF794" s="1133"/>
    </row>
    <row r="795">
      <c r="A795" s="999" t="str">
        <f t="shared" ref="A795:A858" si="1186">A694</f>
        <v xml:space="preserve">Павельева Л.Г.</v>
      </c>
      <c r="B795" s="1162" t="s">
        <v>178</v>
      </c>
      <c r="C795" s="1162"/>
      <c r="D795" s="1162"/>
      <c r="E795" s="1164">
        <f t="shared" si="1145"/>
        <v>0</v>
      </c>
      <c r="F795" s="1164">
        <f t="shared" si="1159"/>
        <v>0</v>
      </c>
      <c r="G795" s="1165">
        <f t="shared" ref="G795:G802" si="1187">E795+F795</f>
        <v>0</v>
      </c>
      <c r="H795" s="1166"/>
      <c r="I795" s="1167">
        <f t="shared" si="1158"/>
        <v>0</v>
      </c>
      <c r="J795" s="1167">
        <f t="shared" si="1160"/>
        <v>0</v>
      </c>
      <c r="K795" s="1167">
        <f t="shared" ref="K795:K858" si="1188">G795-AB795</f>
        <v>0</v>
      </c>
      <c r="L795" s="1128"/>
      <c r="M795" s="1169"/>
      <c r="N795" s="1169"/>
      <c r="O795" s="1169"/>
      <c r="P795" s="1169"/>
      <c r="Q795" s="1169">
        <f t="shared" ref="Q795:Q802" si="1189">SUM(M795:P795)</f>
        <v>0</v>
      </c>
      <c r="R795" s="1169"/>
      <c r="S795" s="1170"/>
      <c r="T795" s="1171"/>
      <c r="U795" s="1128"/>
      <c r="V795" s="1169"/>
      <c r="W795" s="1169"/>
      <c r="X795" s="1169"/>
      <c r="Y795" s="1169"/>
      <c r="Z795" s="1169">
        <f t="shared" ref="Z795:Z802" si="1190">SUM(V795:Y795)</f>
        <v>0</v>
      </c>
      <c r="AA795" s="1169"/>
      <c r="AB795" s="1172">
        <f t="shared" ref="AB795:AB858" si="1191">Z795+AA795</f>
        <v>0</v>
      </c>
      <c r="AC795" s="1171"/>
      <c r="AD795" s="1128"/>
      <c r="AE795" s="1169"/>
      <c r="AF795" s="1169"/>
      <c r="AG795" s="1169"/>
      <c r="AH795" s="1169"/>
      <c r="AI795" s="1169">
        <f t="shared" ref="AI795:AI802" si="1192">SUM(AE795:AH795)</f>
        <v>0</v>
      </c>
      <c r="AJ795" s="1169"/>
      <c r="AK795" s="1170"/>
      <c r="AL795" s="1171"/>
      <c r="AM795" s="1128"/>
      <c r="AN795" s="1170"/>
      <c r="AO795" s="1170"/>
      <c r="AP795" s="1170"/>
      <c r="AQ795" s="1170"/>
      <c r="AR795" s="1170">
        <f t="shared" ref="AR795:AR802" si="1193">SUM(AN795:AQ795)</f>
        <v>0</v>
      </c>
      <c r="AS795" s="1170"/>
      <c r="AT795" s="1170"/>
      <c r="AU795" s="1174"/>
      <c r="AV795" s="1241"/>
      <c r="AW795" s="1169"/>
      <c r="AX795" s="1169"/>
      <c r="AY795" s="1169"/>
      <c r="AZ795" s="1169"/>
      <c r="BA795" s="1169">
        <f t="shared" ref="BA795:BA802" si="1194">SUM(AW795:AZ795)</f>
        <v>0</v>
      </c>
      <c r="BB795" s="1169"/>
      <c r="BC795" s="1029"/>
      <c r="BD795" s="1027"/>
      <c r="BE795" s="1029"/>
      <c r="BF795" s="1029"/>
    </row>
    <row r="796">
      <c r="A796" s="999" t="str">
        <f t="shared" si="1186"/>
        <v xml:space="preserve">Губаренко О.Н.</v>
      </c>
      <c r="B796" s="1176" t="s">
        <v>354</v>
      </c>
      <c r="C796" s="1176"/>
      <c r="D796" s="1176"/>
      <c r="E796" s="1164">
        <f t="shared" si="1145"/>
        <v>0</v>
      </c>
      <c r="F796" s="1164">
        <f t="shared" si="1145"/>
        <v>0</v>
      </c>
      <c r="G796" s="1165">
        <f t="shared" si="1187"/>
        <v>0</v>
      </c>
      <c r="H796" s="1166"/>
      <c r="I796" s="1167">
        <f t="shared" si="1158"/>
        <v>0</v>
      </c>
      <c r="J796" s="1167">
        <f t="shared" si="1160"/>
        <v>0</v>
      </c>
      <c r="K796" s="1167">
        <f t="shared" si="1188"/>
        <v>0</v>
      </c>
      <c r="L796" s="1128"/>
      <c r="M796" s="1169"/>
      <c r="N796" s="1177"/>
      <c r="O796" s="1169"/>
      <c r="P796" s="1169"/>
      <c r="Q796" s="1169">
        <f t="shared" si="1189"/>
        <v>0</v>
      </c>
      <c r="R796" s="1169"/>
      <c r="S796" s="1170"/>
      <c r="T796" s="1171"/>
      <c r="U796" s="1128"/>
      <c r="V796" s="1169"/>
      <c r="W796" s="1177"/>
      <c r="X796" s="1177"/>
      <c r="Y796" s="1169"/>
      <c r="Z796" s="1169">
        <f t="shared" si="1190"/>
        <v>0</v>
      </c>
      <c r="AA796" s="1169"/>
      <c r="AB796" s="1172">
        <f t="shared" si="1191"/>
        <v>0</v>
      </c>
      <c r="AC796" s="1171"/>
      <c r="AD796" s="1128"/>
      <c r="AE796" s="1169"/>
      <c r="AF796" s="1177"/>
      <c r="AG796" s="1177"/>
      <c r="AH796" s="1169"/>
      <c r="AI796" s="1169">
        <f t="shared" si="1192"/>
        <v>0</v>
      </c>
      <c r="AJ796" s="1169"/>
      <c r="AK796" s="1170"/>
      <c r="AL796" s="1171"/>
      <c r="AM796" s="1128"/>
      <c r="AN796" s="1170"/>
      <c r="AO796" s="1175"/>
      <c r="AP796" s="1175"/>
      <c r="AQ796" s="1170"/>
      <c r="AR796" s="1170">
        <f t="shared" si="1193"/>
        <v>0</v>
      </c>
      <c r="AS796" s="1170"/>
      <c r="AT796" s="1170"/>
      <c r="AU796" s="1174"/>
      <c r="AV796" s="1241"/>
      <c r="AW796" s="1169"/>
      <c r="AX796" s="1177"/>
      <c r="AY796" s="1177"/>
      <c r="AZ796" s="1169"/>
      <c r="BA796" s="1169">
        <f t="shared" si="1194"/>
        <v>0</v>
      </c>
      <c r="BB796" s="1169"/>
      <c r="BC796" s="1029"/>
      <c r="BD796" s="1027"/>
      <c r="BE796" s="1029"/>
      <c r="BF796" s="1029"/>
    </row>
    <row r="797">
      <c r="A797" s="999" t="str">
        <f t="shared" si="1186"/>
        <v xml:space="preserve">Петрюк Е.В.</v>
      </c>
      <c r="B797" s="1176" t="s">
        <v>181</v>
      </c>
      <c r="C797" s="1176"/>
      <c r="D797" s="1176"/>
      <c r="E797" s="1164">
        <f t="shared" si="1145"/>
        <v>0</v>
      </c>
      <c r="F797" s="1164">
        <f t="shared" si="1145"/>
        <v>0</v>
      </c>
      <c r="G797" s="1165">
        <f t="shared" si="1187"/>
        <v>0</v>
      </c>
      <c r="H797" s="1166"/>
      <c r="I797" s="1167">
        <f t="shared" si="1158"/>
        <v>0</v>
      </c>
      <c r="J797" s="1167">
        <f t="shared" si="1160"/>
        <v>0</v>
      </c>
      <c r="K797" s="1167">
        <f t="shared" si="1188"/>
        <v>0</v>
      </c>
      <c r="L797" s="1128"/>
      <c r="M797" s="1169"/>
      <c r="N797" s="1177"/>
      <c r="O797" s="1169"/>
      <c r="P797" s="1169"/>
      <c r="Q797" s="1169">
        <f t="shared" si="1189"/>
        <v>0</v>
      </c>
      <c r="R797" s="1169"/>
      <c r="S797" s="1170"/>
      <c r="T797" s="1171"/>
      <c r="U797" s="1128"/>
      <c r="V797" s="1169"/>
      <c r="W797" s="1177"/>
      <c r="X797" s="1177"/>
      <c r="Y797" s="1169"/>
      <c r="Z797" s="1169">
        <f t="shared" si="1190"/>
        <v>0</v>
      </c>
      <c r="AA797" s="1169"/>
      <c r="AB797" s="1172">
        <f t="shared" si="1191"/>
        <v>0</v>
      </c>
      <c r="AC797" s="1171"/>
      <c r="AD797" s="1128"/>
      <c r="AE797" s="1169"/>
      <c r="AF797" s="1177"/>
      <c r="AG797" s="1177"/>
      <c r="AH797" s="1169"/>
      <c r="AI797" s="1169">
        <f t="shared" si="1192"/>
        <v>0</v>
      </c>
      <c r="AJ797" s="1169"/>
      <c r="AK797" s="1170"/>
      <c r="AL797" s="1171"/>
      <c r="AM797" s="1128"/>
      <c r="AN797" s="1170"/>
      <c r="AO797" s="1175"/>
      <c r="AP797" s="1175"/>
      <c r="AQ797" s="1170"/>
      <c r="AR797" s="1170">
        <f t="shared" si="1193"/>
        <v>0</v>
      </c>
      <c r="AS797" s="1170"/>
      <c r="AT797" s="1170"/>
      <c r="AU797" s="1174"/>
      <c r="AV797" s="1241"/>
      <c r="AW797" s="1169"/>
      <c r="AX797" s="1177"/>
      <c r="AY797" s="1177"/>
      <c r="AZ797" s="1169"/>
      <c r="BA797" s="1169">
        <f t="shared" si="1194"/>
        <v>0</v>
      </c>
      <c r="BB797" s="1169"/>
      <c r="BC797" s="1029"/>
      <c r="BD797" s="1027"/>
      <c r="BE797" s="1029"/>
      <c r="BF797" s="1029"/>
    </row>
    <row r="798" ht="18.75" customHeight="1">
      <c r="A798" s="999" t="str">
        <f t="shared" si="1186"/>
        <v xml:space="preserve">Кутько И.Г.</v>
      </c>
      <c r="B798" s="1176" t="s">
        <v>357</v>
      </c>
      <c r="C798" s="1176"/>
      <c r="D798" s="1176"/>
      <c r="E798" s="1164">
        <f t="shared" si="1145"/>
        <v>0</v>
      </c>
      <c r="F798" s="1164">
        <f t="shared" si="1145"/>
        <v>0</v>
      </c>
      <c r="G798" s="1165">
        <f t="shared" si="1187"/>
        <v>0</v>
      </c>
      <c r="H798" s="1166"/>
      <c r="I798" s="1167">
        <f t="shared" si="1158"/>
        <v>0</v>
      </c>
      <c r="J798" s="1167">
        <f t="shared" si="1160"/>
        <v>0</v>
      </c>
      <c r="K798" s="1167">
        <f t="shared" si="1188"/>
        <v>0</v>
      </c>
      <c r="L798" s="1128"/>
      <c r="M798" s="1169"/>
      <c r="N798" s="1177"/>
      <c r="O798" s="1169"/>
      <c r="P798" s="1169"/>
      <c r="Q798" s="1169">
        <f t="shared" si="1189"/>
        <v>0</v>
      </c>
      <c r="R798" s="1169"/>
      <c r="S798" s="1170"/>
      <c r="T798" s="1171"/>
      <c r="U798" s="1128"/>
      <c r="V798" s="1169"/>
      <c r="W798" s="1177"/>
      <c r="X798" s="1177"/>
      <c r="Y798" s="1169"/>
      <c r="Z798" s="1169">
        <f t="shared" si="1190"/>
        <v>0</v>
      </c>
      <c r="AA798" s="1169"/>
      <c r="AB798" s="1172">
        <f t="shared" si="1191"/>
        <v>0</v>
      </c>
      <c r="AC798" s="1171"/>
      <c r="AD798" s="1128"/>
      <c r="AE798" s="1169"/>
      <c r="AF798" s="1177"/>
      <c r="AG798" s="1177"/>
      <c r="AH798" s="1169"/>
      <c r="AI798" s="1169">
        <f t="shared" si="1192"/>
        <v>0</v>
      </c>
      <c r="AJ798" s="1169"/>
      <c r="AK798" s="1170"/>
      <c r="AL798" s="1171"/>
      <c r="AM798" s="1128"/>
      <c r="AN798" s="1170"/>
      <c r="AO798" s="1175"/>
      <c r="AP798" s="1175"/>
      <c r="AQ798" s="1170"/>
      <c r="AR798" s="1170">
        <f t="shared" si="1193"/>
        <v>0</v>
      </c>
      <c r="AS798" s="1170"/>
      <c r="AT798" s="1170"/>
      <c r="AU798" s="1174"/>
      <c r="AV798" s="1241"/>
      <c r="AW798" s="1169"/>
      <c r="AX798" s="1177"/>
      <c r="AY798" s="1177"/>
      <c r="AZ798" s="1169"/>
      <c r="BA798" s="1169">
        <f t="shared" si="1194"/>
        <v>0</v>
      </c>
      <c r="BB798" s="1169"/>
      <c r="BC798" s="1029"/>
      <c r="BD798" s="1027"/>
      <c r="BE798" s="1029"/>
      <c r="BF798" s="1029"/>
    </row>
    <row r="799">
      <c r="A799" s="999" t="str">
        <f t="shared" si="1186"/>
        <v xml:space="preserve">Елина С.И.</v>
      </c>
      <c r="B799" s="1176" t="s">
        <v>183</v>
      </c>
      <c r="C799" s="1176"/>
      <c r="D799" s="1176"/>
      <c r="E799" s="1164">
        <f t="shared" si="1145"/>
        <v>0</v>
      </c>
      <c r="F799" s="1164">
        <f t="shared" si="1145"/>
        <v>0</v>
      </c>
      <c r="G799" s="1165">
        <f t="shared" si="1187"/>
        <v>0</v>
      </c>
      <c r="H799" s="1166"/>
      <c r="I799" s="1167">
        <f t="shared" si="1158"/>
        <v>0</v>
      </c>
      <c r="J799" s="1167">
        <f t="shared" si="1160"/>
        <v>0</v>
      </c>
      <c r="K799" s="1167">
        <f t="shared" si="1188"/>
        <v>0</v>
      </c>
      <c r="L799" s="1128"/>
      <c r="M799" s="1169"/>
      <c r="N799" s="1177"/>
      <c r="O799" s="1169"/>
      <c r="P799" s="1169"/>
      <c r="Q799" s="1169">
        <f t="shared" si="1189"/>
        <v>0</v>
      </c>
      <c r="R799" s="1169"/>
      <c r="S799" s="1170"/>
      <c r="T799" s="1171"/>
      <c r="U799" s="1128"/>
      <c r="V799" s="1169"/>
      <c r="W799" s="1177"/>
      <c r="X799" s="1177"/>
      <c r="Y799" s="1169"/>
      <c r="Z799" s="1169">
        <f t="shared" si="1190"/>
        <v>0</v>
      </c>
      <c r="AA799" s="1169"/>
      <c r="AB799" s="1172">
        <f t="shared" si="1191"/>
        <v>0</v>
      </c>
      <c r="AC799" s="1171"/>
      <c r="AD799" s="1128"/>
      <c r="AE799" s="1169"/>
      <c r="AF799" s="1177"/>
      <c r="AG799" s="1177"/>
      <c r="AH799" s="1169"/>
      <c r="AI799" s="1169">
        <f t="shared" si="1192"/>
        <v>0</v>
      </c>
      <c r="AJ799" s="1169"/>
      <c r="AK799" s="1170"/>
      <c r="AL799" s="1171"/>
      <c r="AM799" s="1128"/>
      <c r="AN799" s="1170"/>
      <c r="AO799" s="1175"/>
      <c r="AP799" s="1175"/>
      <c r="AQ799" s="1170"/>
      <c r="AR799" s="1170">
        <f t="shared" si="1193"/>
        <v>0</v>
      </c>
      <c r="AS799" s="1170"/>
      <c r="AT799" s="1170"/>
      <c r="AU799" s="1174"/>
      <c r="AV799" s="1241"/>
      <c r="AW799" s="1169"/>
      <c r="AX799" s="1177"/>
      <c r="AY799" s="1177"/>
      <c r="AZ799" s="1169"/>
      <c r="BA799" s="1169">
        <f t="shared" si="1194"/>
        <v>0</v>
      </c>
      <c r="BB799" s="1169"/>
      <c r="BC799" s="1029"/>
      <c r="BD799" s="1027"/>
      <c r="BE799" s="1029"/>
      <c r="BF799" s="1029"/>
    </row>
    <row r="800">
      <c r="A800" s="999" t="str">
        <f t="shared" si="1186"/>
        <v xml:space="preserve">Никитина О.Г.</v>
      </c>
      <c r="B800" s="1176" t="s">
        <v>184</v>
      </c>
      <c r="C800" s="1176"/>
      <c r="D800" s="1176"/>
      <c r="E800" s="1164">
        <f t="shared" si="1145"/>
        <v>0</v>
      </c>
      <c r="F800" s="1164">
        <f t="shared" si="1145"/>
        <v>0</v>
      </c>
      <c r="G800" s="1165">
        <f t="shared" si="1187"/>
        <v>0</v>
      </c>
      <c r="H800" s="1166"/>
      <c r="I800" s="1167">
        <f t="shared" si="1158"/>
        <v>0</v>
      </c>
      <c r="J800" s="1167">
        <f t="shared" si="1160"/>
        <v>0</v>
      </c>
      <c r="K800" s="1167">
        <f t="shared" si="1188"/>
        <v>0</v>
      </c>
      <c r="L800" s="1128"/>
      <c r="M800" s="1169"/>
      <c r="N800" s="1177"/>
      <c r="O800" s="1169"/>
      <c r="P800" s="1169"/>
      <c r="Q800" s="1169">
        <f t="shared" si="1189"/>
        <v>0</v>
      </c>
      <c r="R800" s="1169"/>
      <c r="S800" s="1170"/>
      <c r="T800" s="1171"/>
      <c r="U800" s="1128"/>
      <c r="V800" s="1169"/>
      <c r="W800" s="1177"/>
      <c r="X800" s="1177"/>
      <c r="Y800" s="1169"/>
      <c r="Z800" s="1169">
        <f t="shared" si="1190"/>
        <v>0</v>
      </c>
      <c r="AA800" s="1169"/>
      <c r="AB800" s="1172">
        <f t="shared" si="1191"/>
        <v>0</v>
      </c>
      <c r="AC800" s="1171"/>
      <c r="AD800" s="1128"/>
      <c r="AE800" s="1169"/>
      <c r="AF800" s="1177"/>
      <c r="AG800" s="1177"/>
      <c r="AH800" s="1169"/>
      <c r="AI800" s="1169">
        <f t="shared" si="1192"/>
        <v>0</v>
      </c>
      <c r="AJ800" s="1169"/>
      <c r="AK800" s="1170"/>
      <c r="AL800" s="1171"/>
      <c r="AM800" s="1128"/>
      <c r="AN800" s="1170"/>
      <c r="AO800" s="1175"/>
      <c r="AP800" s="1175"/>
      <c r="AQ800" s="1170"/>
      <c r="AR800" s="1170">
        <f t="shared" si="1193"/>
        <v>0</v>
      </c>
      <c r="AS800" s="1170"/>
      <c r="AT800" s="1170"/>
      <c r="AU800" s="1174"/>
      <c r="AV800" s="1241"/>
      <c r="AW800" s="1169"/>
      <c r="AX800" s="1177"/>
      <c r="AY800" s="1177"/>
      <c r="AZ800" s="1169"/>
      <c r="BA800" s="1169">
        <f t="shared" si="1194"/>
        <v>0</v>
      </c>
      <c r="BB800" s="1169"/>
      <c r="BC800" s="1029"/>
      <c r="BD800" s="1027"/>
      <c r="BE800" s="1029"/>
      <c r="BF800" s="1029"/>
    </row>
    <row r="801" ht="18.75" customHeight="1">
      <c r="A801" s="999" t="str">
        <f t="shared" si="1186"/>
        <v xml:space="preserve">Судакова Е.С.</v>
      </c>
      <c r="B801" s="1178" t="s">
        <v>361</v>
      </c>
      <c r="C801" s="1179"/>
      <c r="D801" s="1179"/>
      <c r="E801" s="1164">
        <f t="shared" si="1145"/>
        <v>0</v>
      </c>
      <c r="F801" s="1164">
        <f t="shared" si="1145"/>
        <v>0</v>
      </c>
      <c r="G801" s="1165">
        <f t="shared" si="1187"/>
        <v>0</v>
      </c>
      <c r="H801" s="1266"/>
      <c r="I801" s="1167">
        <f t="shared" si="1158"/>
        <v>0</v>
      </c>
      <c r="J801" s="1167">
        <f t="shared" si="1160"/>
        <v>0</v>
      </c>
      <c r="K801" s="1167">
        <f t="shared" si="1188"/>
        <v>0</v>
      </c>
      <c r="L801" s="1128"/>
      <c r="M801" s="1169"/>
      <c r="N801" s="1177"/>
      <c r="O801" s="1169"/>
      <c r="P801" s="1169"/>
      <c r="Q801" s="1169">
        <f t="shared" si="1189"/>
        <v>0</v>
      </c>
      <c r="R801" s="1169"/>
      <c r="S801" s="1170"/>
      <c r="T801" s="1171"/>
      <c r="U801" s="1128"/>
      <c r="V801" s="1169"/>
      <c r="W801" s="1177"/>
      <c r="X801" s="1177"/>
      <c r="Y801" s="1169"/>
      <c r="Z801" s="1169">
        <f t="shared" si="1190"/>
        <v>0</v>
      </c>
      <c r="AA801" s="1169"/>
      <c r="AB801" s="1172">
        <f t="shared" si="1191"/>
        <v>0</v>
      </c>
      <c r="AC801" s="1171"/>
      <c r="AD801" s="1128"/>
      <c r="AE801" s="1169"/>
      <c r="AF801" s="1177"/>
      <c r="AG801" s="1177"/>
      <c r="AH801" s="1169"/>
      <c r="AI801" s="1169">
        <f t="shared" si="1192"/>
        <v>0</v>
      </c>
      <c r="AJ801" s="1169"/>
      <c r="AK801" s="1170"/>
      <c r="AL801" s="1171"/>
      <c r="AM801" s="1128"/>
      <c r="AN801" s="1170"/>
      <c r="AO801" s="1175"/>
      <c r="AP801" s="1175"/>
      <c r="AQ801" s="1170"/>
      <c r="AR801" s="1170">
        <f t="shared" si="1193"/>
        <v>0</v>
      </c>
      <c r="AS801" s="1170"/>
      <c r="AT801" s="1170"/>
      <c r="AU801" s="1174"/>
      <c r="AV801" s="1241"/>
      <c r="AW801" s="1169"/>
      <c r="AX801" s="1177"/>
      <c r="AY801" s="1177"/>
      <c r="AZ801" s="1169"/>
      <c r="BA801" s="1169">
        <f t="shared" si="1194"/>
        <v>0</v>
      </c>
      <c r="BB801" s="1169"/>
      <c r="BC801" s="1029"/>
      <c r="BD801" s="1027"/>
      <c r="BE801" s="1029"/>
      <c r="BF801" s="1029"/>
    </row>
    <row r="802">
      <c r="A802" s="999" t="str">
        <f t="shared" si="1186"/>
        <v xml:space="preserve">Осипова А.А.</v>
      </c>
      <c r="B802" s="1176" t="s">
        <v>185</v>
      </c>
      <c r="C802" s="1176"/>
      <c r="D802" s="1176"/>
      <c r="E802" s="1164">
        <f t="shared" si="1145"/>
        <v>0</v>
      </c>
      <c r="F802" s="1164">
        <f t="shared" si="1145"/>
        <v>0</v>
      </c>
      <c r="G802" s="1165">
        <f t="shared" si="1187"/>
        <v>0</v>
      </c>
      <c r="H802" s="1166"/>
      <c r="I802" s="1167">
        <f t="shared" si="1158"/>
        <v>0</v>
      </c>
      <c r="J802" s="1167">
        <f t="shared" si="1160"/>
        <v>0</v>
      </c>
      <c r="K802" s="1167">
        <f t="shared" si="1188"/>
        <v>0</v>
      </c>
      <c r="L802" s="1128"/>
      <c r="M802" s="1169"/>
      <c r="N802" s="1177"/>
      <c r="O802" s="1169"/>
      <c r="P802" s="1169"/>
      <c r="Q802" s="1169">
        <f t="shared" si="1189"/>
        <v>0</v>
      </c>
      <c r="R802" s="1169"/>
      <c r="S802" s="1170"/>
      <c r="T802" s="1171"/>
      <c r="U802" s="1128"/>
      <c r="V802" s="1169"/>
      <c r="W802" s="1177"/>
      <c r="X802" s="1177"/>
      <c r="Y802" s="1169"/>
      <c r="Z802" s="1169">
        <f t="shared" si="1190"/>
        <v>0</v>
      </c>
      <c r="AA802" s="1169"/>
      <c r="AB802" s="1172">
        <f t="shared" si="1191"/>
        <v>0</v>
      </c>
      <c r="AC802" s="1171"/>
      <c r="AD802" s="1128"/>
      <c r="AE802" s="1169"/>
      <c r="AF802" s="1177"/>
      <c r="AG802" s="1177"/>
      <c r="AH802" s="1169"/>
      <c r="AI802" s="1169">
        <f t="shared" si="1192"/>
        <v>0</v>
      </c>
      <c r="AJ802" s="1169"/>
      <c r="AK802" s="1170"/>
      <c r="AL802" s="1171"/>
      <c r="AM802" s="1128"/>
      <c r="AN802" s="1170"/>
      <c r="AO802" s="1175"/>
      <c r="AP802" s="1175"/>
      <c r="AQ802" s="1170"/>
      <c r="AR802" s="1170">
        <f t="shared" si="1193"/>
        <v>0</v>
      </c>
      <c r="AS802" s="1170"/>
      <c r="AT802" s="1170"/>
      <c r="AU802" s="1174"/>
      <c r="AV802" s="1241"/>
      <c r="AW802" s="1169"/>
      <c r="AX802" s="1177"/>
      <c r="AY802" s="1177"/>
      <c r="AZ802" s="1169"/>
      <c r="BA802" s="1169">
        <f t="shared" si="1194"/>
        <v>0</v>
      </c>
      <c r="BB802" s="1169"/>
      <c r="BC802" s="1029"/>
      <c r="BD802" s="1027"/>
      <c r="BE802" s="1029"/>
      <c r="BF802" s="1029"/>
    </row>
    <row r="803" s="1180" customFormat="1">
      <c r="A803" s="999">
        <f t="shared" si="1186"/>
        <v>0</v>
      </c>
      <c r="B803" s="1182" t="s">
        <v>363</v>
      </c>
      <c r="C803" s="1182"/>
      <c r="D803" s="1182"/>
      <c r="E803" s="1183">
        <f>SUM(E795:E802)</f>
        <v>0</v>
      </c>
      <c r="F803" s="1183">
        <f>SUM(F795:F802)</f>
        <v>0</v>
      </c>
      <c r="G803" s="1184">
        <f>SUM(G795:G802)</f>
        <v>0</v>
      </c>
      <c r="H803" s="1185"/>
      <c r="I803" s="1186">
        <f t="shared" si="1158"/>
        <v>0</v>
      </c>
      <c r="J803" s="1186">
        <f t="shared" si="1160"/>
        <v>0</v>
      </c>
      <c r="K803" s="1167">
        <f t="shared" si="1188"/>
        <v>0</v>
      </c>
      <c r="L803" s="1197"/>
      <c r="M803" s="1096">
        <f t="shared" ref="M803:R803" si="1195">SUM(M795:M802)</f>
        <v>0</v>
      </c>
      <c r="N803" s="1096">
        <f t="shared" si="1195"/>
        <v>0</v>
      </c>
      <c r="O803" s="1096">
        <f t="shared" si="1195"/>
        <v>0</v>
      </c>
      <c r="P803" s="1096">
        <f t="shared" si="1195"/>
        <v>0</v>
      </c>
      <c r="Q803" s="1096">
        <f t="shared" si="1195"/>
        <v>0</v>
      </c>
      <c r="R803" s="1096">
        <f t="shared" si="1195"/>
        <v>0</v>
      </c>
      <c r="S803" s="1190"/>
      <c r="T803" s="1189"/>
      <c r="U803" s="1128"/>
      <c r="V803" s="1096">
        <f t="shared" ref="V803:AA803" si="1196">SUM(V795:V802)</f>
        <v>0</v>
      </c>
      <c r="W803" s="1096">
        <f t="shared" si="1196"/>
        <v>0</v>
      </c>
      <c r="X803" s="1096">
        <f t="shared" si="1196"/>
        <v>0</v>
      </c>
      <c r="Y803" s="1096">
        <f t="shared" si="1196"/>
        <v>0</v>
      </c>
      <c r="Z803" s="1096">
        <f t="shared" si="1196"/>
        <v>0</v>
      </c>
      <c r="AA803" s="1096">
        <f t="shared" si="1196"/>
        <v>0</v>
      </c>
      <c r="AB803" s="1172">
        <f t="shared" si="1191"/>
        <v>0</v>
      </c>
      <c r="AC803" s="1189"/>
      <c r="AD803" s="1125"/>
      <c r="AE803" s="1096">
        <f t="shared" ref="AE803:AJ803" si="1197">SUM(AE795:AE802)</f>
        <v>0</v>
      </c>
      <c r="AF803" s="1096">
        <f t="shared" si="1197"/>
        <v>0</v>
      </c>
      <c r="AG803" s="1096">
        <f t="shared" si="1197"/>
        <v>0</v>
      </c>
      <c r="AH803" s="1096">
        <f t="shared" si="1197"/>
        <v>0</v>
      </c>
      <c r="AI803" s="1096">
        <f t="shared" si="1197"/>
        <v>0</v>
      </c>
      <c r="AJ803" s="1096">
        <f t="shared" si="1197"/>
        <v>0</v>
      </c>
      <c r="AK803" s="1190"/>
      <c r="AL803" s="1189"/>
      <c r="AM803" s="1125"/>
      <c r="AN803" s="1190">
        <f t="shared" ref="AN803:AS803" si="1198">SUM(AN795:AN802)</f>
        <v>0</v>
      </c>
      <c r="AO803" s="1190">
        <f t="shared" si="1198"/>
        <v>0</v>
      </c>
      <c r="AP803" s="1190">
        <f t="shared" si="1198"/>
        <v>0</v>
      </c>
      <c r="AQ803" s="1190">
        <f t="shared" si="1198"/>
        <v>0</v>
      </c>
      <c r="AR803" s="1190">
        <f t="shared" si="1198"/>
        <v>0</v>
      </c>
      <c r="AS803" s="1190">
        <f t="shared" si="1198"/>
        <v>0</v>
      </c>
      <c r="AT803" s="1190"/>
      <c r="AU803" s="1191"/>
      <c r="AV803" s="1245"/>
      <c r="AW803" s="1096">
        <f t="shared" ref="AW803:BB803" si="1199">SUM(AW795:AW802)</f>
        <v>0</v>
      </c>
      <c r="AX803" s="1096">
        <f t="shared" si="1199"/>
        <v>0</v>
      </c>
      <c r="AY803" s="1096">
        <f t="shared" si="1199"/>
        <v>0</v>
      </c>
      <c r="AZ803" s="1096">
        <f t="shared" si="1199"/>
        <v>0</v>
      </c>
      <c r="BA803" s="1096">
        <f t="shared" si="1199"/>
        <v>0</v>
      </c>
      <c r="BB803" s="1096">
        <f t="shared" si="1199"/>
        <v>0</v>
      </c>
      <c r="BC803" s="1051"/>
      <c r="BD803" s="1052"/>
      <c r="BE803" s="1051"/>
      <c r="BF803" s="1051"/>
      <c r="BG803" s="1106"/>
      <c r="BH803" s="1106"/>
      <c r="BI803" s="1106"/>
      <c r="BJ803" s="1106"/>
      <c r="BK803" s="1106"/>
      <c r="BL803" s="1106"/>
      <c r="BM803" s="1106"/>
    </row>
    <row r="804">
      <c r="A804" s="999">
        <f t="shared" si="1186"/>
        <v>0</v>
      </c>
      <c r="B804" s="1176" t="s">
        <v>364</v>
      </c>
      <c r="C804" s="1176"/>
      <c r="D804" s="1176"/>
      <c r="E804" s="1164">
        <f t="shared" ref="E804:F816" si="1200">Q804+Z804+AI804+AR804+BA804</f>
        <v>0</v>
      </c>
      <c r="F804" s="1164">
        <f>R804+AA804+AJ804+AS804+BB804</f>
        <v>0</v>
      </c>
      <c r="G804" s="1165">
        <f t="shared" ref="G804:G816" si="1201">E804+F804</f>
        <v>0</v>
      </c>
      <c r="H804" s="1166"/>
      <c r="I804" s="1167">
        <f t="shared" si="1158"/>
        <v>0</v>
      </c>
      <c r="J804" s="1167">
        <f t="shared" si="1160"/>
        <v>0</v>
      </c>
      <c r="K804" s="1167">
        <f t="shared" si="1188"/>
        <v>0</v>
      </c>
      <c r="L804" s="1128"/>
      <c r="M804" s="1169"/>
      <c r="N804" s="1177"/>
      <c r="O804" s="1169"/>
      <c r="P804" s="1169"/>
      <c r="Q804" s="1169">
        <f t="shared" ref="Q804:Q816" si="1202">SUM(M804:P804)</f>
        <v>0</v>
      </c>
      <c r="R804" s="1169"/>
      <c r="S804" s="1170"/>
      <c r="T804" s="1171"/>
      <c r="U804" s="1128"/>
      <c r="V804" s="1169"/>
      <c r="W804" s="1177"/>
      <c r="X804" s="1177"/>
      <c r="Y804" s="1169"/>
      <c r="Z804" s="1169">
        <f t="shared" ref="Z804:Z816" si="1203">SUM(V804:Y804)</f>
        <v>0</v>
      </c>
      <c r="AA804" s="1169"/>
      <c r="AB804" s="1172">
        <f t="shared" si="1191"/>
        <v>0</v>
      </c>
      <c r="AC804" s="1171"/>
      <c r="AD804" s="1128"/>
      <c r="AE804" s="1169"/>
      <c r="AF804" s="1177"/>
      <c r="AG804" s="1177"/>
      <c r="AH804" s="1169"/>
      <c r="AI804" s="1169">
        <f t="shared" ref="AI804:AI816" si="1204">SUM(AE804:AH804)</f>
        <v>0</v>
      </c>
      <c r="AJ804" s="1169"/>
      <c r="AK804" s="1170"/>
      <c r="AL804" s="1171"/>
      <c r="AM804" s="1128"/>
      <c r="AN804" s="1170"/>
      <c r="AO804" s="1175"/>
      <c r="AP804" s="1175"/>
      <c r="AQ804" s="1170"/>
      <c r="AR804" s="1170">
        <f t="shared" ref="AR804:AR816" si="1205">SUM(AN804:AQ804)</f>
        <v>0</v>
      </c>
      <c r="AS804" s="1170"/>
      <c r="AT804" s="1170"/>
      <c r="AU804" s="1174"/>
      <c r="AV804" s="1241"/>
      <c r="AW804" s="1169"/>
      <c r="AX804" s="1177"/>
      <c r="AY804" s="1177"/>
      <c r="AZ804" s="1169"/>
      <c r="BA804" s="1169">
        <f t="shared" ref="BA804:BA816" si="1206">SUM(AW804:AZ804)</f>
        <v>0</v>
      </c>
      <c r="BB804" s="1169"/>
      <c r="BC804" s="1029"/>
      <c r="BD804" s="1027"/>
      <c r="BE804" s="1029"/>
      <c r="BF804" s="1029"/>
    </row>
    <row r="805">
      <c r="A805" s="999" t="str">
        <f t="shared" si="1186"/>
        <v xml:space="preserve">Сметанина О.В.</v>
      </c>
      <c r="B805" s="1176" t="s">
        <v>195</v>
      </c>
      <c r="C805" s="1176"/>
      <c r="D805" s="1176"/>
      <c r="E805" s="1164">
        <f t="shared" si="1200"/>
        <v>0</v>
      </c>
      <c r="F805" s="1164">
        <f t="shared" si="1200"/>
        <v>0</v>
      </c>
      <c r="G805" s="1165">
        <f t="shared" si="1201"/>
        <v>0</v>
      </c>
      <c r="H805" s="1166"/>
      <c r="I805" s="1167">
        <f t="shared" si="1158"/>
        <v>0</v>
      </c>
      <c r="J805" s="1167">
        <f t="shared" si="1160"/>
        <v>0</v>
      </c>
      <c r="K805" s="1167">
        <f t="shared" si="1188"/>
        <v>0</v>
      </c>
      <c r="L805" s="1128"/>
      <c r="M805" s="1169"/>
      <c r="N805" s="1177"/>
      <c r="O805" s="1169"/>
      <c r="P805" s="1169"/>
      <c r="Q805" s="1169">
        <f t="shared" si="1202"/>
        <v>0</v>
      </c>
      <c r="R805" s="1169"/>
      <c r="S805" s="1170"/>
      <c r="T805" s="1171"/>
      <c r="U805" s="1128"/>
      <c r="V805" s="1169"/>
      <c r="W805" s="1177"/>
      <c r="X805" s="1177"/>
      <c r="Y805" s="1169"/>
      <c r="Z805" s="1169">
        <f t="shared" si="1203"/>
        <v>0</v>
      </c>
      <c r="AA805" s="1169"/>
      <c r="AB805" s="1172">
        <f t="shared" si="1191"/>
        <v>0</v>
      </c>
      <c r="AC805" s="1171"/>
      <c r="AD805" s="1128"/>
      <c r="AE805" s="1169"/>
      <c r="AF805" s="1177"/>
      <c r="AG805" s="1177"/>
      <c r="AH805" s="1169"/>
      <c r="AI805" s="1169">
        <f t="shared" si="1204"/>
        <v>0</v>
      </c>
      <c r="AJ805" s="1169"/>
      <c r="AK805" s="1170"/>
      <c r="AL805" s="1171"/>
      <c r="AM805" s="1128"/>
      <c r="AN805" s="1170"/>
      <c r="AO805" s="1175"/>
      <c r="AP805" s="1175"/>
      <c r="AQ805" s="1170"/>
      <c r="AR805" s="1170">
        <f t="shared" si="1205"/>
        <v>0</v>
      </c>
      <c r="AS805" s="1170"/>
      <c r="AT805" s="1170"/>
      <c r="AU805" s="1174"/>
      <c r="AV805" s="1241"/>
      <c r="AW805" s="1169"/>
      <c r="AX805" s="1177"/>
      <c r="AY805" s="1177"/>
      <c r="AZ805" s="1169"/>
      <c r="BA805" s="1169">
        <f t="shared" si="1206"/>
        <v>0</v>
      </c>
      <c r="BB805" s="1169"/>
      <c r="BC805" s="1029"/>
      <c r="BD805" s="1027"/>
      <c r="BE805" s="1029"/>
      <c r="BF805" s="1029"/>
    </row>
    <row r="806">
      <c r="A806" s="999" t="str">
        <f t="shared" si="1186"/>
        <v xml:space="preserve">Козенко С.С.</v>
      </c>
      <c r="B806" s="1176" t="s">
        <v>196</v>
      </c>
      <c r="C806" s="1176"/>
      <c r="D806" s="1176"/>
      <c r="E806" s="1164">
        <f t="shared" si="1200"/>
        <v>0</v>
      </c>
      <c r="F806" s="1164">
        <f t="shared" si="1200"/>
        <v>0</v>
      </c>
      <c r="G806" s="1165">
        <f t="shared" si="1201"/>
        <v>0</v>
      </c>
      <c r="H806" s="1166"/>
      <c r="I806" s="1167">
        <f t="shared" si="1158"/>
        <v>0</v>
      </c>
      <c r="J806" s="1167">
        <f t="shared" si="1160"/>
        <v>0</v>
      </c>
      <c r="K806" s="1167">
        <f t="shared" si="1188"/>
        <v>0</v>
      </c>
      <c r="L806" s="1128"/>
      <c r="M806" s="1169"/>
      <c r="N806" s="1177"/>
      <c r="O806" s="1169"/>
      <c r="P806" s="1169"/>
      <c r="Q806" s="1169">
        <f t="shared" si="1202"/>
        <v>0</v>
      </c>
      <c r="R806" s="1169"/>
      <c r="S806" s="1170"/>
      <c r="T806" s="1171"/>
      <c r="U806" s="1128"/>
      <c r="V806" s="1169"/>
      <c r="W806" s="1177"/>
      <c r="X806" s="1177"/>
      <c r="Y806" s="1169"/>
      <c r="Z806" s="1169">
        <f t="shared" si="1203"/>
        <v>0</v>
      </c>
      <c r="AA806" s="1169"/>
      <c r="AB806" s="1172">
        <f t="shared" si="1191"/>
        <v>0</v>
      </c>
      <c r="AC806" s="1171"/>
      <c r="AD806" s="1128"/>
      <c r="AE806" s="1169"/>
      <c r="AF806" s="1177"/>
      <c r="AG806" s="1177"/>
      <c r="AH806" s="1169"/>
      <c r="AI806" s="1169">
        <f t="shared" si="1204"/>
        <v>0</v>
      </c>
      <c r="AJ806" s="1169"/>
      <c r="AK806" s="1170"/>
      <c r="AL806" s="1171"/>
      <c r="AM806" s="1128"/>
      <c r="AN806" s="1170"/>
      <c r="AO806" s="1175"/>
      <c r="AP806" s="1175"/>
      <c r="AQ806" s="1170"/>
      <c r="AR806" s="1170">
        <f t="shared" si="1205"/>
        <v>0</v>
      </c>
      <c r="AS806" s="1170"/>
      <c r="AT806" s="1170"/>
      <c r="AU806" s="1174"/>
      <c r="AV806" s="1241"/>
      <c r="AW806" s="1169"/>
      <c r="AX806" s="1177"/>
      <c r="AY806" s="1177"/>
      <c r="AZ806" s="1169"/>
      <c r="BA806" s="1169">
        <f t="shared" si="1206"/>
        <v>0</v>
      </c>
      <c r="BB806" s="1169"/>
      <c r="BC806" s="1029"/>
      <c r="BD806" s="1027"/>
      <c r="BE806" s="1029"/>
      <c r="BF806" s="1029"/>
    </row>
    <row r="807">
      <c r="A807" s="999">
        <f t="shared" si="1186"/>
        <v>0</v>
      </c>
      <c r="B807" s="1193" t="s">
        <v>367</v>
      </c>
      <c r="C807" s="1193"/>
      <c r="D807" s="1193"/>
      <c r="E807" s="1164">
        <f t="shared" si="1200"/>
        <v>0</v>
      </c>
      <c r="F807" s="1164">
        <f t="shared" si="1200"/>
        <v>0</v>
      </c>
      <c r="G807" s="1165">
        <f t="shared" si="1201"/>
        <v>0</v>
      </c>
      <c r="H807" s="1166"/>
      <c r="I807" s="1167">
        <f t="shared" si="1158"/>
        <v>0</v>
      </c>
      <c r="J807" s="1167">
        <f t="shared" si="1160"/>
        <v>0</v>
      </c>
      <c r="K807" s="1167">
        <f t="shared" si="1188"/>
        <v>0</v>
      </c>
      <c r="L807" s="1128"/>
      <c r="M807" s="1169"/>
      <c r="N807" s="1177"/>
      <c r="O807" s="1169"/>
      <c r="P807" s="1169"/>
      <c r="Q807" s="1169">
        <f t="shared" si="1202"/>
        <v>0</v>
      </c>
      <c r="R807" s="1169"/>
      <c r="S807" s="1170"/>
      <c r="T807" s="1171"/>
      <c r="U807" s="1128"/>
      <c r="V807" s="1169"/>
      <c r="W807" s="1177"/>
      <c r="X807" s="1177"/>
      <c r="Y807" s="1169"/>
      <c r="Z807" s="1169">
        <f t="shared" si="1203"/>
        <v>0</v>
      </c>
      <c r="AA807" s="1169"/>
      <c r="AB807" s="1172">
        <f t="shared" si="1191"/>
        <v>0</v>
      </c>
      <c r="AC807" s="1171"/>
      <c r="AD807" s="1128"/>
      <c r="AE807" s="1169"/>
      <c r="AF807" s="1177"/>
      <c r="AG807" s="1177"/>
      <c r="AH807" s="1169"/>
      <c r="AI807" s="1169">
        <f t="shared" si="1204"/>
        <v>0</v>
      </c>
      <c r="AJ807" s="1169"/>
      <c r="AK807" s="1170"/>
      <c r="AL807" s="1171"/>
      <c r="AM807" s="1128"/>
      <c r="AN807" s="1170"/>
      <c r="AO807" s="1175"/>
      <c r="AP807" s="1175"/>
      <c r="AQ807" s="1170"/>
      <c r="AR807" s="1170">
        <f t="shared" si="1205"/>
        <v>0</v>
      </c>
      <c r="AS807" s="1170"/>
      <c r="AT807" s="1170"/>
      <c r="AU807" s="1174"/>
      <c r="AV807" s="1241"/>
      <c r="AW807" s="1169"/>
      <c r="AX807" s="1177"/>
      <c r="AY807" s="1177"/>
      <c r="AZ807" s="1169"/>
      <c r="BA807" s="1169">
        <f t="shared" si="1206"/>
        <v>0</v>
      </c>
      <c r="BB807" s="1169"/>
      <c r="BC807" s="1029"/>
      <c r="BD807" s="1027"/>
      <c r="BE807" s="1029"/>
      <c r="BF807" s="1029"/>
    </row>
    <row r="808" ht="18" customHeight="1">
      <c r="A808" s="999" t="str">
        <f t="shared" si="1186"/>
        <v xml:space="preserve">Разумец Е.Г.</v>
      </c>
      <c r="B808" s="1176" t="s">
        <v>201</v>
      </c>
      <c r="C808" s="1176"/>
      <c r="D808" s="1176"/>
      <c r="E808" s="1164">
        <f t="shared" si="1200"/>
        <v>0</v>
      </c>
      <c r="F808" s="1164">
        <f t="shared" si="1200"/>
        <v>0</v>
      </c>
      <c r="G808" s="1165">
        <f t="shared" si="1201"/>
        <v>0</v>
      </c>
      <c r="H808" s="1166"/>
      <c r="I808" s="1167">
        <f t="shared" si="1158"/>
        <v>0</v>
      </c>
      <c r="J808" s="1167">
        <f t="shared" si="1160"/>
        <v>0</v>
      </c>
      <c r="K808" s="1167">
        <f t="shared" si="1188"/>
        <v>0</v>
      </c>
      <c r="L808" s="1128"/>
      <c r="M808" s="1169"/>
      <c r="N808" s="1177"/>
      <c r="O808" s="1169"/>
      <c r="P808" s="1169"/>
      <c r="Q808" s="1169">
        <f t="shared" si="1202"/>
        <v>0</v>
      </c>
      <c r="R808" s="1169"/>
      <c r="S808" s="1170"/>
      <c r="T808" s="1171"/>
      <c r="U808" s="1128"/>
      <c r="V808" s="1169"/>
      <c r="W808" s="1177"/>
      <c r="X808" s="1177"/>
      <c r="Y808" s="1169"/>
      <c r="Z808" s="1169">
        <f t="shared" si="1203"/>
        <v>0</v>
      </c>
      <c r="AA808" s="1169"/>
      <c r="AB808" s="1172">
        <f t="shared" si="1191"/>
        <v>0</v>
      </c>
      <c r="AC808" s="1171"/>
      <c r="AD808" s="1128"/>
      <c r="AE808" s="1169"/>
      <c r="AF808" s="1177"/>
      <c r="AG808" s="1177"/>
      <c r="AH808" s="1169"/>
      <c r="AI808" s="1169">
        <f t="shared" si="1204"/>
        <v>0</v>
      </c>
      <c r="AJ808" s="1169"/>
      <c r="AK808" s="1170"/>
      <c r="AL808" s="1171"/>
      <c r="AM808" s="1128"/>
      <c r="AN808" s="1170"/>
      <c r="AO808" s="1175"/>
      <c r="AP808" s="1175"/>
      <c r="AQ808" s="1170"/>
      <c r="AR808" s="1170">
        <f t="shared" si="1205"/>
        <v>0</v>
      </c>
      <c r="AS808" s="1170"/>
      <c r="AT808" s="1170"/>
      <c r="AU808" s="1174"/>
      <c r="AV808" s="1241"/>
      <c r="AW808" s="1169"/>
      <c r="AX808" s="1177"/>
      <c r="AY808" s="1177"/>
      <c r="AZ808" s="1169"/>
      <c r="BA808" s="1169">
        <f t="shared" si="1206"/>
        <v>0</v>
      </c>
      <c r="BB808" s="1169"/>
      <c r="BC808" s="1029"/>
      <c r="BD808" s="1027"/>
      <c r="BE808" s="1029"/>
      <c r="BF808" s="1029"/>
    </row>
    <row r="809" ht="18" customHeight="1">
      <c r="A809" s="999" t="str">
        <f t="shared" si="1186"/>
        <v xml:space="preserve">Шарова Т.М.</v>
      </c>
      <c r="B809" s="1176" t="s">
        <v>203</v>
      </c>
      <c r="C809" s="1176"/>
      <c r="D809" s="1176"/>
      <c r="E809" s="1164">
        <f t="shared" si="1200"/>
        <v>0</v>
      </c>
      <c r="F809" s="1164">
        <f t="shared" si="1200"/>
        <v>0</v>
      </c>
      <c r="G809" s="1165">
        <f t="shared" si="1201"/>
        <v>0</v>
      </c>
      <c r="H809" s="1166"/>
      <c r="I809" s="1167">
        <f t="shared" si="1158"/>
        <v>0</v>
      </c>
      <c r="J809" s="1167">
        <f t="shared" si="1160"/>
        <v>0</v>
      </c>
      <c r="K809" s="1167">
        <f t="shared" si="1188"/>
        <v>0</v>
      </c>
      <c r="L809" s="1128"/>
      <c r="M809" s="1169"/>
      <c r="N809" s="1177"/>
      <c r="O809" s="1169"/>
      <c r="P809" s="1169"/>
      <c r="Q809" s="1169">
        <f t="shared" si="1202"/>
        <v>0</v>
      </c>
      <c r="R809" s="1169"/>
      <c r="S809" s="1170"/>
      <c r="T809" s="1171"/>
      <c r="U809" s="1128"/>
      <c r="V809" s="1169"/>
      <c r="W809" s="1177"/>
      <c r="X809" s="1177"/>
      <c r="Y809" s="1169"/>
      <c r="Z809" s="1169">
        <f t="shared" si="1203"/>
        <v>0</v>
      </c>
      <c r="AA809" s="1169"/>
      <c r="AB809" s="1172">
        <f t="shared" si="1191"/>
        <v>0</v>
      </c>
      <c r="AC809" s="1171"/>
      <c r="AD809" s="1128"/>
      <c r="AE809" s="1169"/>
      <c r="AF809" s="1177"/>
      <c r="AG809" s="1177"/>
      <c r="AH809" s="1169"/>
      <c r="AI809" s="1169">
        <f t="shared" si="1204"/>
        <v>0</v>
      </c>
      <c r="AJ809" s="1169"/>
      <c r="AK809" s="1170"/>
      <c r="AL809" s="1171"/>
      <c r="AM809" s="1128"/>
      <c r="AN809" s="1170"/>
      <c r="AO809" s="1175"/>
      <c r="AP809" s="1175"/>
      <c r="AQ809" s="1170"/>
      <c r="AR809" s="1170">
        <f t="shared" si="1205"/>
        <v>0</v>
      </c>
      <c r="AS809" s="1170"/>
      <c r="AT809" s="1170"/>
      <c r="AU809" s="1174"/>
      <c r="AV809" s="1241"/>
      <c r="AW809" s="1169"/>
      <c r="AX809" s="1177"/>
      <c r="AY809" s="1177"/>
      <c r="AZ809" s="1169"/>
      <c r="BA809" s="1169">
        <f t="shared" si="1206"/>
        <v>0</v>
      </c>
      <c r="BB809" s="1169"/>
      <c r="BC809" s="1029"/>
      <c r="BD809" s="1027"/>
      <c r="BE809" s="1029"/>
      <c r="BF809" s="1029"/>
    </row>
    <row r="810" ht="18" customHeight="1">
      <c r="A810" s="999" t="str">
        <f t="shared" si="1186"/>
        <v xml:space="preserve">Крошка С.С.</v>
      </c>
      <c r="B810" s="1176" t="s">
        <v>204</v>
      </c>
      <c r="C810" s="1194"/>
      <c r="D810" s="1194"/>
      <c r="E810" s="1164">
        <f t="shared" si="1200"/>
        <v>0</v>
      </c>
      <c r="F810" s="1164">
        <f t="shared" si="1200"/>
        <v>0</v>
      </c>
      <c r="G810" s="1165">
        <f t="shared" si="1201"/>
        <v>0</v>
      </c>
      <c r="H810" s="1166"/>
      <c r="I810" s="1167">
        <f t="shared" si="1158"/>
        <v>0</v>
      </c>
      <c r="J810" s="1167">
        <f t="shared" si="1160"/>
        <v>0</v>
      </c>
      <c r="K810" s="1167">
        <f t="shared" si="1188"/>
        <v>0</v>
      </c>
      <c r="L810" s="1128"/>
      <c r="M810" s="1169"/>
      <c r="N810" s="1177"/>
      <c r="O810" s="1169"/>
      <c r="P810" s="1169"/>
      <c r="Q810" s="1169">
        <f t="shared" si="1202"/>
        <v>0</v>
      </c>
      <c r="R810" s="1169"/>
      <c r="S810" s="1170"/>
      <c r="T810" s="1171"/>
      <c r="U810" s="1128"/>
      <c r="V810" s="1169"/>
      <c r="W810" s="1177"/>
      <c r="X810" s="1177"/>
      <c r="Y810" s="1169"/>
      <c r="Z810" s="1169">
        <f t="shared" si="1203"/>
        <v>0</v>
      </c>
      <c r="AA810" s="1169"/>
      <c r="AB810" s="1172">
        <f t="shared" si="1191"/>
        <v>0</v>
      </c>
      <c r="AC810" s="1171"/>
      <c r="AD810" s="1128"/>
      <c r="AE810" s="1169"/>
      <c r="AF810" s="1177"/>
      <c r="AG810" s="1177"/>
      <c r="AH810" s="1169"/>
      <c r="AI810" s="1169">
        <f t="shared" si="1204"/>
        <v>0</v>
      </c>
      <c r="AJ810" s="1169"/>
      <c r="AK810" s="1170"/>
      <c r="AL810" s="1171"/>
      <c r="AM810" s="1128"/>
      <c r="AN810" s="1170"/>
      <c r="AO810" s="1175"/>
      <c r="AP810" s="1175"/>
      <c r="AQ810" s="1170"/>
      <c r="AR810" s="1170">
        <f t="shared" si="1205"/>
        <v>0</v>
      </c>
      <c r="AS810" s="1170"/>
      <c r="AT810" s="1170"/>
      <c r="AU810" s="1174"/>
      <c r="AV810" s="1241"/>
      <c r="AW810" s="1169"/>
      <c r="AX810" s="1177"/>
      <c r="AY810" s="1177"/>
      <c r="AZ810" s="1169"/>
      <c r="BA810" s="1169">
        <f t="shared" si="1206"/>
        <v>0</v>
      </c>
      <c r="BB810" s="1169"/>
      <c r="BC810" s="1029"/>
      <c r="BD810" s="1027"/>
      <c r="BE810" s="1029"/>
      <c r="BF810" s="1029"/>
    </row>
    <row r="811" ht="18" customHeight="1">
      <c r="A811" s="999" t="str">
        <f t="shared" si="1186"/>
        <v xml:space="preserve">Козлитина Н.В.</v>
      </c>
      <c r="B811" s="1176" t="s">
        <v>205</v>
      </c>
      <c r="C811" s="1176"/>
      <c r="D811" s="1176"/>
      <c r="E811" s="1164">
        <f t="shared" si="1200"/>
        <v>0</v>
      </c>
      <c r="F811" s="1164">
        <f t="shared" si="1200"/>
        <v>0</v>
      </c>
      <c r="G811" s="1165">
        <f t="shared" si="1201"/>
        <v>0</v>
      </c>
      <c r="H811" s="1166"/>
      <c r="I811" s="1167">
        <f t="shared" si="1158"/>
        <v>0</v>
      </c>
      <c r="J811" s="1167">
        <f t="shared" si="1160"/>
        <v>0</v>
      </c>
      <c r="K811" s="1167">
        <f t="shared" si="1188"/>
        <v>0</v>
      </c>
      <c r="L811" s="1128"/>
      <c r="M811" s="1169"/>
      <c r="N811" s="1177"/>
      <c r="O811" s="1169"/>
      <c r="P811" s="1169"/>
      <c r="Q811" s="1169">
        <f t="shared" si="1202"/>
        <v>0</v>
      </c>
      <c r="R811" s="1169"/>
      <c r="S811" s="1170"/>
      <c r="T811" s="1171"/>
      <c r="U811" s="1128"/>
      <c r="V811" s="1169"/>
      <c r="W811" s="1177"/>
      <c r="X811" s="1177"/>
      <c r="Y811" s="1169"/>
      <c r="Z811" s="1169">
        <f t="shared" si="1203"/>
        <v>0</v>
      </c>
      <c r="AA811" s="1169"/>
      <c r="AB811" s="1172">
        <f t="shared" si="1191"/>
        <v>0</v>
      </c>
      <c r="AC811" s="1171"/>
      <c r="AD811" s="1128"/>
      <c r="AE811" s="1169"/>
      <c r="AF811" s="1177"/>
      <c r="AG811" s="1177"/>
      <c r="AH811" s="1169"/>
      <c r="AI811" s="1169">
        <f t="shared" si="1204"/>
        <v>0</v>
      </c>
      <c r="AJ811" s="1169"/>
      <c r="AK811" s="1170"/>
      <c r="AL811" s="1171"/>
      <c r="AM811" s="1128"/>
      <c r="AN811" s="1170"/>
      <c r="AO811" s="1175"/>
      <c r="AP811" s="1175"/>
      <c r="AQ811" s="1170"/>
      <c r="AR811" s="1170">
        <f t="shared" si="1205"/>
        <v>0</v>
      </c>
      <c r="AS811" s="1170"/>
      <c r="AT811" s="1170"/>
      <c r="AU811" s="1174"/>
      <c r="AV811" s="1241"/>
      <c r="AW811" s="1169"/>
      <c r="AX811" s="1177"/>
      <c r="AY811" s="1177"/>
      <c r="AZ811" s="1169"/>
      <c r="BA811" s="1169">
        <f t="shared" si="1206"/>
        <v>0</v>
      </c>
      <c r="BB811" s="1169"/>
      <c r="BC811" s="1029"/>
      <c r="BD811" s="1027"/>
      <c r="BE811" s="1029"/>
      <c r="BF811" s="1029"/>
    </row>
    <row r="812" ht="18" customHeight="1">
      <c r="A812" s="999" t="str">
        <f t="shared" si="1186"/>
        <v xml:space="preserve">Баженова И.В.</v>
      </c>
      <c r="B812" s="1176" t="s">
        <v>206</v>
      </c>
      <c r="C812" s="1176"/>
      <c r="D812" s="1176"/>
      <c r="E812" s="1164">
        <f t="shared" si="1200"/>
        <v>0</v>
      </c>
      <c r="F812" s="1164">
        <f t="shared" si="1200"/>
        <v>0</v>
      </c>
      <c r="G812" s="1165">
        <f t="shared" si="1201"/>
        <v>0</v>
      </c>
      <c r="H812" s="1166"/>
      <c r="I812" s="1167">
        <f t="shared" si="1158"/>
        <v>0</v>
      </c>
      <c r="J812" s="1167">
        <f t="shared" si="1160"/>
        <v>0</v>
      </c>
      <c r="K812" s="1167">
        <f t="shared" si="1188"/>
        <v>0</v>
      </c>
      <c r="L812" s="1128"/>
      <c r="M812" s="1169"/>
      <c r="N812" s="1177"/>
      <c r="O812" s="1169"/>
      <c r="P812" s="1169"/>
      <c r="Q812" s="1169">
        <f t="shared" si="1202"/>
        <v>0</v>
      </c>
      <c r="R812" s="1169"/>
      <c r="S812" s="1170"/>
      <c r="T812" s="1171"/>
      <c r="U812" s="1128"/>
      <c r="V812" s="1169"/>
      <c r="W812" s="1177"/>
      <c r="X812" s="1177"/>
      <c r="Y812" s="1169"/>
      <c r="Z812" s="1169">
        <f t="shared" si="1203"/>
        <v>0</v>
      </c>
      <c r="AA812" s="1169"/>
      <c r="AB812" s="1172">
        <f t="shared" si="1191"/>
        <v>0</v>
      </c>
      <c r="AC812" s="1171"/>
      <c r="AD812" s="1128"/>
      <c r="AE812" s="1169"/>
      <c r="AF812" s="1177"/>
      <c r="AG812" s="1177"/>
      <c r="AH812" s="1169"/>
      <c r="AI812" s="1169">
        <f t="shared" si="1204"/>
        <v>0</v>
      </c>
      <c r="AJ812" s="1169"/>
      <c r="AK812" s="1170"/>
      <c r="AL812" s="1171"/>
      <c r="AM812" s="1128"/>
      <c r="AN812" s="1170"/>
      <c r="AO812" s="1175"/>
      <c r="AP812" s="1175"/>
      <c r="AQ812" s="1170"/>
      <c r="AR812" s="1170">
        <f t="shared" si="1205"/>
        <v>0</v>
      </c>
      <c r="AS812" s="1170"/>
      <c r="AT812" s="1170"/>
      <c r="AU812" s="1174"/>
      <c r="AV812" s="1241"/>
      <c r="AW812" s="1169"/>
      <c r="AX812" s="1177"/>
      <c r="AY812" s="1177"/>
      <c r="AZ812" s="1169"/>
      <c r="BA812" s="1169">
        <f t="shared" si="1206"/>
        <v>0</v>
      </c>
      <c r="BB812" s="1169"/>
      <c r="BC812" s="1029"/>
      <c r="BD812" s="1027"/>
      <c r="BE812" s="1029"/>
      <c r="BF812" s="1029"/>
    </row>
    <row r="813" ht="18" customHeight="1">
      <c r="A813" s="999" t="str">
        <f t="shared" si="1186"/>
        <v xml:space="preserve">Герингер О.А.</v>
      </c>
      <c r="B813" s="1176" t="s">
        <v>207</v>
      </c>
      <c r="C813" s="1194"/>
      <c r="D813" s="1194"/>
      <c r="E813" s="1164">
        <f t="shared" si="1200"/>
        <v>0</v>
      </c>
      <c r="F813" s="1164">
        <f t="shared" si="1200"/>
        <v>0</v>
      </c>
      <c r="G813" s="1165">
        <f t="shared" si="1201"/>
        <v>0</v>
      </c>
      <c r="H813" s="1166"/>
      <c r="I813" s="1167">
        <f t="shared" ref="I813:J876" si="1207">E813-Z813</f>
        <v>0</v>
      </c>
      <c r="J813" s="1167">
        <f t="shared" si="1160"/>
        <v>0</v>
      </c>
      <c r="K813" s="1167">
        <f t="shared" si="1188"/>
        <v>0</v>
      </c>
      <c r="L813" s="1128"/>
      <c r="M813" s="1169"/>
      <c r="N813" s="1177"/>
      <c r="O813" s="1169"/>
      <c r="P813" s="1169"/>
      <c r="Q813" s="1169">
        <f t="shared" si="1202"/>
        <v>0</v>
      </c>
      <c r="R813" s="1169"/>
      <c r="S813" s="1170"/>
      <c r="T813" s="1171"/>
      <c r="U813" s="1128"/>
      <c r="V813" s="1169"/>
      <c r="W813" s="1177"/>
      <c r="X813" s="1177"/>
      <c r="Y813" s="1169"/>
      <c r="Z813" s="1169">
        <f t="shared" si="1203"/>
        <v>0</v>
      </c>
      <c r="AA813" s="1169"/>
      <c r="AB813" s="1172">
        <f t="shared" si="1191"/>
        <v>0</v>
      </c>
      <c r="AC813" s="1171"/>
      <c r="AD813" s="1128"/>
      <c r="AE813" s="1169"/>
      <c r="AF813" s="1177"/>
      <c r="AG813" s="1177"/>
      <c r="AH813" s="1169"/>
      <c r="AI813" s="1169">
        <f t="shared" si="1204"/>
        <v>0</v>
      </c>
      <c r="AJ813" s="1169"/>
      <c r="AK813" s="1170"/>
      <c r="AL813" s="1171"/>
      <c r="AM813" s="1128"/>
      <c r="AN813" s="1170"/>
      <c r="AO813" s="1175"/>
      <c r="AP813" s="1175"/>
      <c r="AQ813" s="1170"/>
      <c r="AR813" s="1170">
        <f t="shared" si="1205"/>
        <v>0</v>
      </c>
      <c r="AS813" s="1170"/>
      <c r="AT813" s="1170"/>
      <c r="AU813" s="1174"/>
      <c r="AV813" s="1241"/>
      <c r="AW813" s="1169"/>
      <c r="AX813" s="1177"/>
      <c r="AY813" s="1177"/>
      <c r="AZ813" s="1169"/>
      <c r="BA813" s="1169">
        <f t="shared" si="1206"/>
        <v>0</v>
      </c>
      <c r="BB813" s="1169"/>
      <c r="BC813" s="1029"/>
      <c r="BD813" s="1027"/>
      <c r="BE813" s="1029"/>
      <c r="BF813" s="1029"/>
    </row>
    <row r="814" ht="18" customHeight="1">
      <c r="A814" s="999" t="str">
        <f t="shared" si="1186"/>
        <v xml:space="preserve">Ничипуренко И.А.</v>
      </c>
      <c r="B814" s="1176" t="s">
        <v>375</v>
      </c>
      <c r="C814" s="1176"/>
      <c r="D814" s="1176"/>
      <c r="E814" s="1164">
        <f t="shared" si="1200"/>
        <v>0</v>
      </c>
      <c r="F814" s="1164">
        <f t="shared" si="1200"/>
        <v>0</v>
      </c>
      <c r="G814" s="1165">
        <f t="shared" si="1201"/>
        <v>0</v>
      </c>
      <c r="H814" s="1166"/>
      <c r="I814" s="1167">
        <f t="shared" si="1207"/>
        <v>0</v>
      </c>
      <c r="J814" s="1167">
        <f t="shared" si="1160"/>
        <v>0</v>
      </c>
      <c r="K814" s="1167">
        <f t="shared" si="1188"/>
        <v>0</v>
      </c>
      <c r="L814" s="1128"/>
      <c r="M814" s="1169"/>
      <c r="N814" s="1177"/>
      <c r="O814" s="1169"/>
      <c r="P814" s="1169"/>
      <c r="Q814" s="1169">
        <f t="shared" si="1202"/>
        <v>0</v>
      </c>
      <c r="R814" s="1169"/>
      <c r="S814" s="1170"/>
      <c r="T814" s="1171"/>
      <c r="U814" s="1128"/>
      <c r="V814" s="1169"/>
      <c r="W814" s="1177"/>
      <c r="X814" s="1177"/>
      <c r="Y814" s="1169"/>
      <c r="Z814" s="1169">
        <f t="shared" si="1203"/>
        <v>0</v>
      </c>
      <c r="AA814" s="1169"/>
      <c r="AB814" s="1172">
        <f t="shared" si="1191"/>
        <v>0</v>
      </c>
      <c r="AC814" s="1171"/>
      <c r="AD814" s="1128"/>
      <c r="AE814" s="1169"/>
      <c r="AF814" s="1177"/>
      <c r="AG814" s="1177"/>
      <c r="AH814" s="1169"/>
      <c r="AI814" s="1169">
        <f t="shared" si="1204"/>
        <v>0</v>
      </c>
      <c r="AJ814" s="1169"/>
      <c r="AK814" s="1170"/>
      <c r="AL814" s="1171"/>
      <c r="AM814" s="1128"/>
      <c r="AN814" s="1170"/>
      <c r="AO814" s="1175"/>
      <c r="AP814" s="1175"/>
      <c r="AQ814" s="1170"/>
      <c r="AR814" s="1170">
        <f t="shared" si="1205"/>
        <v>0</v>
      </c>
      <c r="AS814" s="1170"/>
      <c r="AT814" s="1170"/>
      <c r="AU814" s="1174"/>
      <c r="AV814" s="1241"/>
      <c r="AW814" s="1169"/>
      <c r="AX814" s="1177"/>
      <c r="AY814" s="1177"/>
      <c r="AZ814" s="1169"/>
      <c r="BA814" s="1169">
        <f t="shared" si="1206"/>
        <v>0</v>
      </c>
      <c r="BB814" s="1169"/>
      <c r="BC814" s="1029"/>
      <c r="BD814" s="1027"/>
      <c r="BE814" s="1029"/>
      <c r="BF814" s="1029"/>
    </row>
    <row r="815" ht="18" customHeight="1">
      <c r="A815" s="999" t="s">
        <v>509</v>
      </c>
      <c r="B815" s="1176" t="s">
        <v>210</v>
      </c>
      <c r="C815" s="1176"/>
      <c r="D815" s="1176"/>
      <c r="E815" s="1164">
        <f t="shared" si="1200"/>
        <v>0</v>
      </c>
      <c r="F815" s="1164">
        <f t="shared" si="1200"/>
        <v>0</v>
      </c>
      <c r="G815" s="1165">
        <f t="shared" si="1201"/>
        <v>0</v>
      </c>
      <c r="H815" s="1166"/>
      <c r="I815" s="1167">
        <f t="shared" si="1207"/>
        <v>0</v>
      </c>
      <c r="J815" s="1167">
        <f t="shared" si="1160"/>
        <v>0</v>
      </c>
      <c r="K815" s="1167">
        <f t="shared" si="1188"/>
        <v>0</v>
      </c>
      <c r="L815" s="1128"/>
      <c r="M815" s="1169"/>
      <c r="N815" s="1177"/>
      <c r="O815" s="1169"/>
      <c r="P815" s="1169"/>
      <c r="Q815" s="1169">
        <f t="shared" si="1202"/>
        <v>0</v>
      </c>
      <c r="R815" s="1169"/>
      <c r="S815" s="1170"/>
      <c r="T815" s="1171"/>
      <c r="U815" s="1128"/>
      <c r="V815" s="1169"/>
      <c r="W815" s="1177"/>
      <c r="X815" s="1177"/>
      <c r="Y815" s="1169"/>
      <c r="Z815" s="1169">
        <f t="shared" si="1203"/>
        <v>0</v>
      </c>
      <c r="AA815" s="1169"/>
      <c r="AB815" s="1172">
        <f t="shared" si="1191"/>
        <v>0</v>
      </c>
      <c r="AC815" s="1171"/>
      <c r="AD815" s="1128"/>
      <c r="AE815" s="1169"/>
      <c r="AF815" s="1177"/>
      <c r="AG815" s="1177"/>
      <c r="AH815" s="1169"/>
      <c r="AI815" s="1169">
        <f t="shared" si="1204"/>
        <v>0</v>
      </c>
      <c r="AJ815" s="1169"/>
      <c r="AK815" s="1170"/>
      <c r="AL815" s="1171"/>
      <c r="AM815" s="1128"/>
      <c r="AN815" s="1170"/>
      <c r="AO815" s="1175"/>
      <c r="AP815" s="1175"/>
      <c r="AQ815" s="1170"/>
      <c r="AR815" s="1170">
        <f t="shared" si="1205"/>
        <v>0</v>
      </c>
      <c r="AS815" s="1170"/>
      <c r="AT815" s="1170"/>
      <c r="AU815" s="1174"/>
      <c r="AV815" s="1241"/>
      <c r="AW815" s="1169"/>
      <c r="AX815" s="1177"/>
      <c r="AY815" s="1177"/>
      <c r="AZ815" s="1169"/>
      <c r="BA815" s="1169">
        <f t="shared" si="1206"/>
        <v>0</v>
      </c>
      <c r="BB815" s="1169"/>
      <c r="BC815" s="1029"/>
      <c r="BD815" s="1027"/>
      <c r="BE815" s="1029"/>
      <c r="BF815" s="1029"/>
    </row>
    <row r="816" ht="18" customHeight="1">
      <c r="A816" s="999" t="str">
        <f t="shared" si="1186"/>
        <v xml:space="preserve">Мазуренко А.Н.</v>
      </c>
      <c r="B816" s="1176" t="s">
        <v>211</v>
      </c>
      <c r="C816" s="1176"/>
      <c r="D816" s="1176"/>
      <c r="E816" s="1164">
        <f t="shared" si="1200"/>
        <v>0</v>
      </c>
      <c r="F816" s="1164">
        <f t="shared" si="1200"/>
        <v>0</v>
      </c>
      <c r="G816" s="1165">
        <f t="shared" si="1201"/>
        <v>0</v>
      </c>
      <c r="H816" s="1166"/>
      <c r="I816" s="1167">
        <f t="shared" si="1207"/>
        <v>0</v>
      </c>
      <c r="J816" s="1167">
        <f t="shared" si="1160"/>
        <v>0</v>
      </c>
      <c r="K816" s="1167">
        <f t="shared" si="1188"/>
        <v>0</v>
      </c>
      <c r="L816" s="1128"/>
      <c r="M816" s="1169"/>
      <c r="N816" s="1177"/>
      <c r="O816" s="1169"/>
      <c r="P816" s="1169"/>
      <c r="Q816" s="1169">
        <f t="shared" si="1202"/>
        <v>0</v>
      </c>
      <c r="R816" s="1169"/>
      <c r="S816" s="1170"/>
      <c r="T816" s="1171"/>
      <c r="U816" s="1128"/>
      <c r="V816" s="1169"/>
      <c r="W816" s="1177"/>
      <c r="X816" s="1177"/>
      <c r="Y816" s="1169"/>
      <c r="Z816" s="1169">
        <f t="shared" si="1203"/>
        <v>0</v>
      </c>
      <c r="AA816" s="1169"/>
      <c r="AB816" s="1172">
        <f t="shared" si="1191"/>
        <v>0</v>
      </c>
      <c r="AC816" s="1171"/>
      <c r="AD816" s="1128"/>
      <c r="AE816" s="1169"/>
      <c r="AF816" s="1177"/>
      <c r="AG816" s="1177"/>
      <c r="AH816" s="1169"/>
      <c r="AI816" s="1169">
        <f t="shared" si="1204"/>
        <v>0</v>
      </c>
      <c r="AJ816" s="1169"/>
      <c r="AK816" s="1170"/>
      <c r="AL816" s="1171"/>
      <c r="AM816" s="1128"/>
      <c r="AN816" s="1170"/>
      <c r="AO816" s="1175"/>
      <c r="AP816" s="1175"/>
      <c r="AQ816" s="1170"/>
      <c r="AR816" s="1170">
        <f t="shared" si="1205"/>
        <v>0</v>
      </c>
      <c r="AS816" s="1170"/>
      <c r="AT816" s="1170"/>
      <c r="AU816" s="1174"/>
      <c r="AV816" s="1241"/>
      <c r="AW816" s="1169"/>
      <c r="AX816" s="1177"/>
      <c r="AY816" s="1177"/>
      <c r="AZ816" s="1169"/>
      <c r="BA816" s="1169">
        <f t="shared" si="1206"/>
        <v>0</v>
      </c>
      <c r="BB816" s="1169"/>
      <c r="BC816" s="1029"/>
      <c r="BD816" s="1027"/>
      <c r="BE816" s="1029"/>
      <c r="BF816" s="1029"/>
    </row>
    <row r="817" s="1180" customFormat="1" ht="18" customHeight="1">
      <c r="A817" s="999">
        <f t="shared" si="1186"/>
        <v>0</v>
      </c>
      <c r="B817" s="1182" t="s">
        <v>363</v>
      </c>
      <c r="C817" s="1182"/>
      <c r="D817" s="1182"/>
      <c r="E817" s="1183">
        <f>SUM(E804:E816)</f>
        <v>0</v>
      </c>
      <c r="F817" s="1183">
        <f>SUM(F804:F816)</f>
        <v>0</v>
      </c>
      <c r="G817" s="1184">
        <f>SUM(G804:G816)</f>
        <v>0</v>
      </c>
      <c r="H817" s="1185"/>
      <c r="I817" s="1167">
        <f t="shared" si="1207"/>
        <v>0</v>
      </c>
      <c r="J817" s="1167">
        <f t="shared" si="1160"/>
        <v>0</v>
      </c>
      <c r="K817" s="1167">
        <f t="shared" si="1188"/>
        <v>0</v>
      </c>
      <c r="L817" s="1197"/>
      <c r="M817" s="1096">
        <f t="shared" ref="M817:R817" si="1208">SUM(M804:M816)</f>
        <v>0</v>
      </c>
      <c r="N817" s="1096">
        <f t="shared" si="1208"/>
        <v>0</v>
      </c>
      <c r="O817" s="1096">
        <f t="shared" si="1208"/>
        <v>0</v>
      </c>
      <c r="P817" s="1096">
        <f t="shared" si="1208"/>
        <v>0</v>
      </c>
      <c r="Q817" s="1096">
        <f t="shared" si="1208"/>
        <v>0</v>
      </c>
      <c r="R817" s="1096">
        <f t="shared" si="1208"/>
        <v>0</v>
      </c>
      <c r="S817" s="1190"/>
      <c r="T817" s="1189"/>
      <c r="U817" s="1128"/>
      <c r="V817" s="1096">
        <f t="shared" ref="V817:AA817" si="1209">SUM(V804:V816)</f>
        <v>0</v>
      </c>
      <c r="W817" s="1096">
        <f t="shared" si="1209"/>
        <v>0</v>
      </c>
      <c r="X817" s="1096">
        <f t="shared" si="1209"/>
        <v>0</v>
      </c>
      <c r="Y817" s="1096">
        <f t="shared" si="1209"/>
        <v>0</v>
      </c>
      <c r="Z817" s="1096">
        <f t="shared" si="1209"/>
        <v>0</v>
      </c>
      <c r="AA817" s="1096">
        <f t="shared" si="1209"/>
        <v>0</v>
      </c>
      <c r="AB817" s="1172">
        <f t="shared" si="1191"/>
        <v>0</v>
      </c>
      <c r="AC817" s="1189"/>
      <c r="AD817" s="1125"/>
      <c r="AE817" s="1096">
        <f t="shared" ref="AE817:AJ817" si="1210">SUM(AE804:AE816)</f>
        <v>0</v>
      </c>
      <c r="AF817" s="1096">
        <f t="shared" si="1210"/>
        <v>0</v>
      </c>
      <c r="AG817" s="1096">
        <f t="shared" si="1210"/>
        <v>0</v>
      </c>
      <c r="AH817" s="1096">
        <f t="shared" si="1210"/>
        <v>0</v>
      </c>
      <c r="AI817" s="1096">
        <f t="shared" si="1210"/>
        <v>0</v>
      </c>
      <c r="AJ817" s="1096">
        <f t="shared" si="1210"/>
        <v>0</v>
      </c>
      <c r="AK817" s="1190"/>
      <c r="AL817" s="1189"/>
      <c r="AM817" s="1125"/>
      <c r="AN817" s="1190">
        <f t="shared" ref="AN817:AS817" si="1211">SUM(AN804:AN816)</f>
        <v>0</v>
      </c>
      <c r="AO817" s="1190">
        <f t="shared" si="1211"/>
        <v>0</v>
      </c>
      <c r="AP817" s="1190">
        <f t="shared" si="1211"/>
        <v>0</v>
      </c>
      <c r="AQ817" s="1190">
        <f t="shared" si="1211"/>
        <v>0</v>
      </c>
      <c r="AR817" s="1190">
        <f t="shared" si="1211"/>
        <v>0</v>
      </c>
      <c r="AS817" s="1190">
        <f t="shared" si="1211"/>
        <v>0</v>
      </c>
      <c r="AT817" s="1190"/>
      <c r="AU817" s="1191"/>
      <c r="AV817" s="1245"/>
      <c r="AW817" s="1096">
        <f t="shared" ref="AW817:BB817" si="1212">SUM(AW804:AW816)</f>
        <v>0</v>
      </c>
      <c r="AX817" s="1096">
        <f t="shared" si="1212"/>
        <v>0</v>
      </c>
      <c r="AY817" s="1096">
        <f t="shared" si="1212"/>
        <v>0</v>
      </c>
      <c r="AZ817" s="1096">
        <f t="shared" si="1212"/>
        <v>0</v>
      </c>
      <c r="BA817" s="1096">
        <f t="shared" si="1212"/>
        <v>0</v>
      </c>
      <c r="BB817" s="1096">
        <f t="shared" si="1212"/>
        <v>0</v>
      </c>
      <c r="BC817" s="1051"/>
      <c r="BD817" s="1052"/>
      <c r="BE817" s="1051"/>
      <c r="BF817" s="1051"/>
      <c r="BG817" s="1106"/>
      <c r="BH817" s="1106"/>
      <c r="BI817" s="1106"/>
      <c r="BJ817" s="1106"/>
      <c r="BK817" s="1106"/>
      <c r="BL817" s="1106"/>
      <c r="BM817" s="1106"/>
    </row>
    <row r="818" ht="18" customHeight="1">
      <c r="A818" s="999" t="str">
        <f t="shared" si="1186"/>
        <v xml:space="preserve">Румак В.Н,  Стоянова Е.П.</v>
      </c>
      <c r="B818" s="1176" t="s">
        <v>379</v>
      </c>
      <c r="C818" s="1176"/>
      <c r="D818" s="1176"/>
      <c r="E818" s="1164">
        <f t="shared" ref="E818:F822" si="1213">Q818+Z818+AI818+AR818+BA818</f>
        <v>0</v>
      </c>
      <c r="F818" s="1164">
        <f t="shared" si="1213"/>
        <v>0</v>
      </c>
      <c r="G818" s="1165">
        <f t="shared" ref="G818:G822" si="1214">E818+F818</f>
        <v>0</v>
      </c>
      <c r="H818" s="1166"/>
      <c r="I818" s="1167">
        <f t="shared" si="1207"/>
        <v>0</v>
      </c>
      <c r="J818" s="1167">
        <f t="shared" si="1160"/>
        <v>0</v>
      </c>
      <c r="K818" s="1167">
        <f t="shared" si="1188"/>
        <v>0</v>
      </c>
      <c r="L818" s="1128"/>
      <c r="M818" s="1169"/>
      <c r="N818" s="1177"/>
      <c r="O818" s="1169"/>
      <c r="P818" s="1169"/>
      <c r="Q818" s="1169">
        <f t="shared" ref="Q818:Q822" si="1215">SUM(M818:P818)</f>
        <v>0</v>
      </c>
      <c r="R818" s="1169"/>
      <c r="S818" s="1170"/>
      <c r="T818" s="1171"/>
      <c r="U818" s="1128"/>
      <c r="V818" s="1169"/>
      <c r="W818" s="1177"/>
      <c r="X818" s="1177"/>
      <c r="Y818" s="1169"/>
      <c r="Z818" s="1169">
        <f t="shared" ref="Z818:Z822" si="1216">SUM(V818:Y818)</f>
        <v>0</v>
      </c>
      <c r="AA818" s="1169"/>
      <c r="AB818" s="1172">
        <f t="shared" si="1191"/>
        <v>0</v>
      </c>
      <c r="AC818" s="1171"/>
      <c r="AD818" s="1128"/>
      <c r="AE818" s="1169"/>
      <c r="AF818" s="1177"/>
      <c r="AG818" s="1177"/>
      <c r="AH818" s="1169"/>
      <c r="AI818" s="1169">
        <f t="shared" ref="AI818:AI822" si="1217">SUM(AE818:AH818)</f>
        <v>0</v>
      </c>
      <c r="AJ818" s="1169"/>
      <c r="AK818" s="1170"/>
      <c r="AL818" s="1171"/>
      <c r="AM818" s="1128"/>
      <c r="AN818" s="1170"/>
      <c r="AO818" s="1175"/>
      <c r="AP818" s="1175"/>
      <c r="AQ818" s="1170"/>
      <c r="AR818" s="1170">
        <f t="shared" ref="AR818:AR822" si="1218">SUM(AN818:AQ818)</f>
        <v>0</v>
      </c>
      <c r="AS818" s="1170"/>
      <c r="AT818" s="1170"/>
      <c r="AU818" s="1174"/>
      <c r="AV818" s="1241"/>
      <c r="AW818" s="1169"/>
      <c r="AX818" s="1177"/>
      <c r="AY818" s="1177"/>
      <c r="AZ818" s="1169"/>
      <c r="BA818" s="1169">
        <f t="shared" ref="BA818:BA822" si="1219">SUM(AW818:AZ818)</f>
        <v>0</v>
      </c>
      <c r="BB818" s="1169"/>
      <c r="BC818" s="1029"/>
      <c r="BD818" s="1027"/>
      <c r="BE818" s="1029"/>
      <c r="BF818" s="1029"/>
    </row>
    <row r="819" s="1215" customFormat="1" ht="18" customHeight="1">
      <c r="A819" s="999" t="str">
        <f t="shared" si="1186"/>
        <v xml:space="preserve">Голубцова О.В.</v>
      </c>
      <c r="B819" s="1176" t="s">
        <v>381</v>
      </c>
      <c r="C819" s="1176"/>
      <c r="D819" s="1176"/>
      <c r="E819" s="1164">
        <f t="shared" si="1213"/>
        <v>0</v>
      </c>
      <c r="F819" s="1164">
        <f t="shared" si="1213"/>
        <v>0</v>
      </c>
      <c r="G819" s="1165">
        <f t="shared" si="1214"/>
        <v>0</v>
      </c>
      <c r="H819" s="1166"/>
      <c r="I819" s="1167">
        <f t="shared" si="1207"/>
        <v>0</v>
      </c>
      <c r="J819" s="1167">
        <f t="shared" ref="J819:J882" si="1220">F819-AA819</f>
        <v>0</v>
      </c>
      <c r="K819" s="1167">
        <f t="shared" si="1188"/>
        <v>0</v>
      </c>
      <c r="L819" s="1128"/>
      <c r="M819" s="1169"/>
      <c r="N819" s="1177"/>
      <c r="O819" s="1169"/>
      <c r="P819" s="1169"/>
      <c r="Q819" s="1169">
        <f t="shared" si="1215"/>
        <v>0</v>
      </c>
      <c r="R819" s="1169"/>
      <c r="S819" s="1170"/>
      <c r="T819" s="1171"/>
      <c r="U819" s="1128"/>
      <c r="V819" s="1169"/>
      <c r="W819" s="1177"/>
      <c r="X819" s="1177"/>
      <c r="Y819" s="1169"/>
      <c r="Z819" s="1169">
        <f t="shared" si="1216"/>
        <v>0</v>
      </c>
      <c r="AA819" s="1169"/>
      <c r="AB819" s="1172">
        <f t="shared" si="1191"/>
        <v>0</v>
      </c>
      <c r="AC819" s="1171"/>
      <c r="AD819" s="1128"/>
      <c r="AE819" s="1169"/>
      <c r="AF819" s="1177"/>
      <c r="AG819" s="1177"/>
      <c r="AH819" s="1169"/>
      <c r="AI819" s="1169">
        <f t="shared" si="1217"/>
        <v>0</v>
      </c>
      <c r="AJ819" s="1169"/>
      <c r="AK819" s="1170"/>
      <c r="AL819" s="1171"/>
      <c r="AM819" s="1128"/>
      <c r="AN819" s="1170"/>
      <c r="AO819" s="1175"/>
      <c r="AP819" s="1175"/>
      <c r="AQ819" s="1170"/>
      <c r="AR819" s="1170">
        <f t="shared" si="1218"/>
        <v>0</v>
      </c>
      <c r="AS819" s="1170"/>
      <c r="AT819" s="1170"/>
      <c r="AU819" s="1174"/>
      <c r="AV819" s="1241"/>
      <c r="AW819" s="1169"/>
      <c r="AX819" s="1177"/>
      <c r="AY819" s="1177"/>
      <c r="AZ819" s="1169"/>
      <c r="BA819" s="1169">
        <f t="shared" si="1219"/>
        <v>0</v>
      </c>
      <c r="BB819" s="1169"/>
      <c r="BC819" s="1024"/>
      <c r="BD819" s="1027"/>
      <c r="BE819" s="1024"/>
      <c r="BF819" s="1024"/>
      <c r="BG819" s="1008"/>
      <c r="BH819" s="1008"/>
      <c r="BI819" s="1008"/>
      <c r="BJ819" s="1008"/>
      <c r="BK819" s="1008"/>
      <c r="BL819" s="1008"/>
      <c r="BM819" s="1008"/>
    </row>
    <row r="820" ht="18" customHeight="1">
      <c r="A820" s="999" t="str">
        <f t="shared" si="1186"/>
        <v xml:space="preserve">Бородулина М.П.</v>
      </c>
      <c r="B820" s="1176" t="s">
        <v>383</v>
      </c>
      <c r="C820" s="1176"/>
      <c r="D820" s="1176"/>
      <c r="E820" s="1164">
        <f t="shared" si="1213"/>
        <v>0</v>
      </c>
      <c r="F820" s="1164">
        <f t="shared" si="1213"/>
        <v>0</v>
      </c>
      <c r="G820" s="1165">
        <f t="shared" si="1214"/>
        <v>0</v>
      </c>
      <c r="H820" s="1166"/>
      <c r="I820" s="1167">
        <f t="shared" si="1207"/>
        <v>0</v>
      </c>
      <c r="J820" s="1167">
        <f t="shared" si="1220"/>
        <v>0</v>
      </c>
      <c r="K820" s="1167">
        <f t="shared" si="1188"/>
        <v>0</v>
      </c>
      <c r="L820" s="1128"/>
      <c r="M820" s="1169"/>
      <c r="N820" s="1177"/>
      <c r="O820" s="1169"/>
      <c r="P820" s="1169"/>
      <c r="Q820" s="1169">
        <f t="shared" si="1215"/>
        <v>0</v>
      </c>
      <c r="R820" s="1169"/>
      <c r="S820" s="1170"/>
      <c r="T820" s="1171"/>
      <c r="U820" s="1128"/>
      <c r="V820" s="1169"/>
      <c r="W820" s="1177"/>
      <c r="X820" s="1177"/>
      <c r="Y820" s="1169"/>
      <c r="Z820" s="1169">
        <f t="shared" si="1216"/>
        <v>0</v>
      </c>
      <c r="AA820" s="1169"/>
      <c r="AB820" s="1172">
        <f t="shared" si="1191"/>
        <v>0</v>
      </c>
      <c r="AC820" s="1171"/>
      <c r="AD820" s="1128"/>
      <c r="AE820" s="1169"/>
      <c r="AF820" s="1177"/>
      <c r="AG820" s="1177"/>
      <c r="AH820" s="1169"/>
      <c r="AI820" s="1169">
        <f t="shared" si="1217"/>
        <v>0</v>
      </c>
      <c r="AJ820" s="1169"/>
      <c r="AK820" s="1170"/>
      <c r="AL820" s="1171"/>
      <c r="AM820" s="1128"/>
      <c r="AN820" s="1170"/>
      <c r="AO820" s="1175"/>
      <c r="AP820" s="1175"/>
      <c r="AQ820" s="1170"/>
      <c r="AR820" s="1170">
        <f t="shared" si="1218"/>
        <v>0</v>
      </c>
      <c r="AS820" s="1170"/>
      <c r="AT820" s="1170"/>
      <c r="AU820" s="1174"/>
      <c r="AV820" s="1241"/>
      <c r="AW820" s="1169"/>
      <c r="AX820" s="1177"/>
      <c r="AY820" s="1177"/>
      <c r="AZ820" s="1169"/>
      <c r="BA820" s="1169">
        <f t="shared" si="1219"/>
        <v>0</v>
      </c>
      <c r="BB820" s="1169"/>
      <c r="BC820" s="1029"/>
      <c r="BD820" s="1027"/>
      <c r="BE820" s="1029"/>
      <c r="BF820" s="1029"/>
    </row>
    <row r="821" ht="18" customHeight="1">
      <c r="A821" s="999" t="str">
        <f t="shared" si="1186"/>
        <v xml:space="preserve">Буханова Т.И. Мансурова А.Г.</v>
      </c>
      <c r="B821" s="1176" t="s">
        <v>385</v>
      </c>
      <c r="C821" s="1196"/>
      <c r="D821" s="1196"/>
      <c r="E821" s="1164">
        <f t="shared" si="1213"/>
        <v>0</v>
      </c>
      <c r="F821" s="1164">
        <f t="shared" si="1213"/>
        <v>0</v>
      </c>
      <c r="G821" s="1165">
        <f t="shared" si="1214"/>
        <v>0</v>
      </c>
      <c r="H821" s="1166"/>
      <c r="I821" s="1167">
        <f t="shared" si="1207"/>
        <v>0</v>
      </c>
      <c r="J821" s="1167">
        <f t="shared" si="1220"/>
        <v>0</v>
      </c>
      <c r="K821" s="1167">
        <f t="shared" si="1188"/>
        <v>0</v>
      </c>
      <c r="L821" s="1128"/>
      <c r="M821" s="1169"/>
      <c r="N821" s="1177"/>
      <c r="O821" s="1169"/>
      <c r="P821" s="1169"/>
      <c r="Q821" s="1169">
        <f t="shared" si="1215"/>
        <v>0</v>
      </c>
      <c r="R821" s="1169"/>
      <c r="S821" s="1170"/>
      <c r="T821" s="1171"/>
      <c r="U821" s="1128"/>
      <c r="V821" s="1169"/>
      <c r="W821" s="1177"/>
      <c r="X821" s="1177"/>
      <c r="Y821" s="1169"/>
      <c r="Z821" s="1169">
        <f t="shared" si="1216"/>
        <v>0</v>
      </c>
      <c r="AA821" s="1169"/>
      <c r="AB821" s="1172">
        <f t="shared" si="1191"/>
        <v>0</v>
      </c>
      <c r="AC821" s="1171"/>
      <c r="AD821" s="1128"/>
      <c r="AE821" s="1169"/>
      <c r="AF821" s="1177"/>
      <c r="AG821" s="1177"/>
      <c r="AH821" s="1169"/>
      <c r="AI821" s="1169">
        <f t="shared" si="1217"/>
        <v>0</v>
      </c>
      <c r="AJ821" s="1169"/>
      <c r="AK821" s="1170"/>
      <c r="AL821" s="1171"/>
      <c r="AM821" s="1128"/>
      <c r="AN821" s="1170"/>
      <c r="AO821" s="1175"/>
      <c r="AP821" s="1175"/>
      <c r="AQ821" s="1170"/>
      <c r="AR821" s="1170">
        <f t="shared" si="1218"/>
        <v>0</v>
      </c>
      <c r="AS821" s="1170"/>
      <c r="AT821" s="1170"/>
      <c r="AU821" s="1174"/>
      <c r="AV821" s="1241"/>
      <c r="AW821" s="1169"/>
      <c r="AX821" s="1177"/>
      <c r="AY821" s="1177"/>
      <c r="AZ821" s="1169"/>
      <c r="BA821" s="1169">
        <f t="shared" si="1219"/>
        <v>0</v>
      </c>
      <c r="BB821" s="1169"/>
      <c r="BC821" s="1029"/>
      <c r="BD821" s="1027"/>
      <c r="BE821" s="1029"/>
      <c r="BF821" s="1029"/>
    </row>
    <row r="822" ht="18" customHeight="1">
      <c r="A822" s="999" t="str">
        <f t="shared" si="1186"/>
        <v xml:space="preserve">Мирошник Е.В.</v>
      </c>
      <c r="B822" s="1176" t="s">
        <v>387</v>
      </c>
      <c r="C822" s="1176"/>
      <c r="D822" s="1176"/>
      <c r="E822" s="1164">
        <f t="shared" si="1213"/>
        <v>0</v>
      </c>
      <c r="F822" s="1164">
        <f t="shared" si="1213"/>
        <v>0</v>
      </c>
      <c r="G822" s="1165">
        <f t="shared" si="1214"/>
        <v>0</v>
      </c>
      <c r="H822" s="1166"/>
      <c r="I822" s="1167">
        <f t="shared" si="1207"/>
        <v>0</v>
      </c>
      <c r="J822" s="1167">
        <f t="shared" si="1220"/>
        <v>0</v>
      </c>
      <c r="K822" s="1167">
        <f t="shared" si="1188"/>
        <v>0</v>
      </c>
      <c r="L822" s="1128"/>
      <c r="M822" s="1169"/>
      <c r="N822" s="1177"/>
      <c r="O822" s="1169"/>
      <c r="P822" s="1169"/>
      <c r="Q822" s="1169">
        <f t="shared" si="1215"/>
        <v>0</v>
      </c>
      <c r="R822" s="1169"/>
      <c r="S822" s="1170"/>
      <c r="T822" s="1171"/>
      <c r="U822" s="1128"/>
      <c r="V822" s="1169"/>
      <c r="W822" s="1177"/>
      <c r="X822" s="1177"/>
      <c r="Y822" s="1169"/>
      <c r="Z822" s="1169">
        <f t="shared" si="1216"/>
        <v>0</v>
      </c>
      <c r="AA822" s="1169"/>
      <c r="AB822" s="1172">
        <f t="shared" si="1191"/>
        <v>0</v>
      </c>
      <c r="AC822" s="1171"/>
      <c r="AD822" s="1128"/>
      <c r="AE822" s="1169"/>
      <c r="AF822" s="1177"/>
      <c r="AG822" s="1177"/>
      <c r="AH822" s="1169"/>
      <c r="AI822" s="1169">
        <f t="shared" si="1217"/>
        <v>0</v>
      </c>
      <c r="AJ822" s="1169"/>
      <c r="AK822" s="1170"/>
      <c r="AL822" s="1171"/>
      <c r="AM822" s="1128"/>
      <c r="AN822" s="1170"/>
      <c r="AO822" s="1175"/>
      <c r="AP822" s="1175"/>
      <c r="AQ822" s="1170"/>
      <c r="AR822" s="1170">
        <f t="shared" si="1218"/>
        <v>0</v>
      </c>
      <c r="AS822" s="1170"/>
      <c r="AT822" s="1170"/>
      <c r="AU822" s="1174"/>
      <c r="AV822" s="1241"/>
      <c r="AW822" s="1169"/>
      <c r="AX822" s="1177"/>
      <c r="AY822" s="1177"/>
      <c r="AZ822" s="1169"/>
      <c r="BA822" s="1169">
        <f t="shared" si="1219"/>
        <v>0</v>
      </c>
      <c r="BB822" s="1169"/>
      <c r="BC822" s="1029"/>
      <c r="BD822" s="1027"/>
      <c r="BE822" s="1029"/>
      <c r="BF822" s="1029"/>
    </row>
    <row r="823" s="1180" customFormat="1" ht="18" customHeight="1">
      <c r="A823" s="999">
        <f t="shared" si="1186"/>
        <v>0</v>
      </c>
      <c r="B823" s="1182" t="s">
        <v>388</v>
      </c>
      <c r="C823" s="1182"/>
      <c r="D823" s="1182"/>
      <c r="E823" s="1183">
        <f>SUM(E818:E822)</f>
        <v>0</v>
      </c>
      <c r="F823" s="1183">
        <f>SUM(F818:F822)</f>
        <v>0</v>
      </c>
      <c r="G823" s="1184">
        <f>SUM(G818:G822)</f>
        <v>0</v>
      </c>
      <c r="H823" s="1185"/>
      <c r="I823" s="1167">
        <f t="shared" si="1207"/>
        <v>0</v>
      </c>
      <c r="J823" s="1167">
        <f t="shared" si="1220"/>
        <v>0</v>
      </c>
      <c r="K823" s="1167">
        <f t="shared" si="1188"/>
        <v>0</v>
      </c>
      <c r="L823" s="1197"/>
      <c r="M823" s="1096">
        <f t="shared" ref="M823:R823" si="1221">SUM(M818:M822)</f>
        <v>0</v>
      </c>
      <c r="N823" s="1096">
        <f t="shared" si="1221"/>
        <v>0</v>
      </c>
      <c r="O823" s="1096">
        <f t="shared" si="1221"/>
        <v>0</v>
      </c>
      <c r="P823" s="1096">
        <f t="shared" si="1221"/>
        <v>0</v>
      </c>
      <c r="Q823" s="1096">
        <f t="shared" si="1221"/>
        <v>0</v>
      </c>
      <c r="R823" s="1096">
        <f t="shared" si="1221"/>
        <v>0</v>
      </c>
      <c r="S823" s="1190"/>
      <c r="T823" s="1189"/>
      <c r="U823" s="1197"/>
      <c r="V823" s="1096">
        <f t="shared" ref="V823:AA823" si="1222">SUM(V818:V822)</f>
        <v>0</v>
      </c>
      <c r="W823" s="1096">
        <f t="shared" si="1222"/>
        <v>0</v>
      </c>
      <c r="X823" s="1096">
        <f t="shared" si="1222"/>
        <v>0</v>
      </c>
      <c r="Y823" s="1096">
        <f t="shared" si="1222"/>
        <v>0</v>
      </c>
      <c r="Z823" s="1096">
        <f t="shared" si="1222"/>
        <v>0</v>
      </c>
      <c r="AA823" s="1096">
        <f t="shared" si="1222"/>
        <v>0</v>
      </c>
      <c r="AB823" s="1172">
        <f t="shared" si="1191"/>
        <v>0</v>
      </c>
      <c r="AC823" s="1189"/>
      <c r="AD823" s="1197"/>
      <c r="AE823" s="1096">
        <f t="shared" ref="AE823:AJ823" si="1223">SUM(AE818:AE822)</f>
        <v>0</v>
      </c>
      <c r="AF823" s="1096">
        <f t="shared" si="1223"/>
        <v>0</v>
      </c>
      <c r="AG823" s="1096">
        <f t="shared" si="1223"/>
        <v>0</v>
      </c>
      <c r="AH823" s="1096">
        <f t="shared" si="1223"/>
        <v>0</v>
      </c>
      <c r="AI823" s="1096">
        <f t="shared" si="1223"/>
        <v>0</v>
      </c>
      <c r="AJ823" s="1096">
        <f t="shared" si="1223"/>
        <v>0</v>
      </c>
      <c r="AK823" s="1190"/>
      <c r="AL823" s="1189"/>
      <c r="AM823" s="1197"/>
      <c r="AN823" s="1190">
        <f t="shared" ref="AN823:AS823" si="1224">SUM(AN818:AN822)</f>
        <v>0</v>
      </c>
      <c r="AO823" s="1190">
        <f t="shared" si="1224"/>
        <v>0</v>
      </c>
      <c r="AP823" s="1190">
        <f t="shared" si="1224"/>
        <v>0</v>
      </c>
      <c r="AQ823" s="1190">
        <f t="shared" si="1224"/>
        <v>0</v>
      </c>
      <c r="AR823" s="1190">
        <f t="shared" si="1224"/>
        <v>0</v>
      </c>
      <c r="AS823" s="1190">
        <f t="shared" si="1224"/>
        <v>0</v>
      </c>
      <c r="AT823" s="1190"/>
      <c r="AU823" s="1191"/>
      <c r="AV823" s="1197">
        <f t="shared" ref="AV823:BB823" si="1225">SUM(AV818:AV822)</f>
        <v>0</v>
      </c>
      <c r="AW823" s="1096">
        <f t="shared" si="1225"/>
        <v>0</v>
      </c>
      <c r="AX823" s="1096">
        <f t="shared" si="1225"/>
        <v>0</v>
      </c>
      <c r="AY823" s="1096">
        <f t="shared" si="1225"/>
        <v>0</v>
      </c>
      <c r="AZ823" s="1096">
        <f t="shared" si="1225"/>
        <v>0</v>
      </c>
      <c r="BA823" s="1096">
        <f t="shared" si="1225"/>
        <v>0</v>
      </c>
      <c r="BB823" s="1096">
        <f t="shared" si="1225"/>
        <v>0</v>
      </c>
      <c r="BC823" s="1051"/>
      <c r="BD823" s="1052"/>
      <c r="BE823" s="1051"/>
      <c r="BF823" s="1051"/>
      <c r="BG823" s="1106"/>
      <c r="BH823" s="1106"/>
      <c r="BI823" s="1106"/>
      <c r="BJ823" s="1106"/>
      <c r="BK823" s="1106"/>
      <c r="BL823" s="1106"/>
      <c r="BM823" s="1106"/>
    </row>
    <row r="824" ht="18" customHeight="1">
      <c r="A824" s="999" t="str">
        <f t="shared" si="1186"/>
        <v xml:space="preserve">Зиненко Ю.А. Шаповалова Т.Ю.</v>
      </c>
      <c r="B824" s="1176" t="s">
        <v>390</v>
      </c>
      <c r="C824" s="1198"/>
      <c r="D824" s="1198"/>
      <c r="E824" s="1164">
        <f t="shared" ref="E824:F826" si="1226">Q824+Z824+AI824+AR824+BA824</f>
        <v>0</v>
      </c>
      <c r="F824" s="1164">
        <f t="shared" si="1226"/>
        <v>0</v>
      </c>
      <c r="G824" s="1165">
        <f t="shared" ref="G824:G826" si="1227">E824+F824</f>
        <v>0</v>
      </c>
      <c r="H824" s="1166"/>
      <c r="I824" s="1167">
        <f t="shared" si="1207"/>
        <v>0</v>
      </c>
      <c r="J824" s="1167">
        <f t="shared" si="1220"/>
        <v>0</v>
      </c>
      <c r="K824" s="1167">
        <f t="shared" si="1188"/>
        <v>0</v>
      </c>
      <c r="L824" s="1197"/>
      <c r="M824" s="1169"/>
      <c r="N824" s="1199"/>
      <c r="O824" s="1169"/>
      <c r="P824" s="1169"/>
      <c r="Q824" s="1169">
        <f t="shared" ref="Q824:Q826" si="1228">SUM(M824:P824)</f>
        <v>0</v>
      </c>
      <c r="R824" s="1169"/>
      <c r="S824" s="1170"/>
      <c r="T824" s="1171"/>
      <c r="U824" s="1128"/>
      <c r="V824" s="1169"/>
      <c r="W824" s="1199"/>
      <c r="X824" s="1199"/>
      <c r="Y824" s="1169"/>
      <c r="Z824" s="1169">
        <f t="shared" ref="Z824:Z826" si="1229">SUM(V824:Y824)</f>
        <v>0</v>
      </c>
      <c r="AA824" s="1169"/>
      <c r="AB824" s="1172">
        <f t="shared" si="1191"/>
        <v>0</v>
      </c>
      <c r="AC824" s="1171"/>
      <c r="AD824" s="1128"/>
      <c r="AE824" s="1169"/>
      <c r="AF824" s="1199"/>
      <c r="AG824" s="1199"/>
      <c r="AH824" s="1169"/>
      <c r="AI824" s="1169">
        <f t="shared" ref="AI824:AI826" si="1230">SUM(AE824:AH824)</f>
        <v>0</v>
      </c>
      <c r="AJ824" s="1169"/>
      <c r="AK824" s="1170"/>
      <c r="AL824" s="1171"/>
      <c r="AM824" s="1128"/>
      <c r="AN824" s="1170"/>
      <c r="AO824" s="1200"/>
      <c r="AP824" s="1200"/>
      <c r="AQ824" s="1170"/>
      <c r="AR824" s="1170">
        <f t="shared" ref="AR824:AR826" si="1231">SUM(AN824:AQ824)</f>
        <v>0</v>
      </c>
      <c r="AS824" s="1170"/>
      <c r="AT824" s="1170"/>
      <c r="AU824" s="1174"/>
      <c r="AV824" s="1241"/>
      <c r="AW824" s="1169"/>
      <c r="AX824" s="1199"/>
      <c r="AY824" s="1199"/>
      <c r="AZ824" s="1169"/>
      <c r="BA824" s="1169">
        <f t="shared" ref="BA824:BA826" si="1232">SUM(AW824:AZ824)</f>
        <v>0</v>
      </c>
      <c r="BB824" s="1169"/>
      <c r="BC824" s="1029"/>
      <c r="BD824" s="1027"/>
      <c r="BE824" s="1029"/>
      <c r="BF824" s="1029"/>
    </row>
    <row r="825" ht="18" customHeight="1">
      <c r="A825" s="999" t="str">
        <f t="shared" si="1186"/>
        <v xml:space="preserve">Майорова И.В.</v>
      </c>
      <c r="B825" s="1176" t="s">
        <v>392</v>
      </c>
      <c r="C825" s="1198"/>
      <c r="D825" s="1198"/>
      <c r="E825" s="1164">
        <f t="shared" si="1226"/>
        <v>0</v>
      </c>
      <c r="F825" s="1164">
        <f t="shared" si="1226"/>
        <v>0</v>
      </c>
      <c r="G825" s="1165">
        <f t="shared" si="1227"/>
        <v>0</v>
      </c>
      <c r="H825" s="1166"/>
      <c r="I825" s="1167">
        <f t="shared" si="1207"/>
        <v>0</v>
      </c>
      <c r="J825" s="1167">
        <f t="shared" si="1220"/>
        <v>0</v>
      </c>
      <c r="K825" s="1167">
        <f t="shared" si="1188"/>
        <v>0</v>
      </c>
      <c r="L825" s="1197"/>
      <c r="M825" s="1169"/>
      <c r="N825" s="1177"/>
      <c r="O825" s="1169"/>
      <c r="P825" s="1169"/>
      <c r="Q825" s="1169">
        <f t="shared" si="1228"/>
        <v>0</v>
      </c>
      <c r="R825" s="1169"/>
      <c r="S825" s="1170"/>
      <c r="T825" s="1171"/>
      <c r="U825" s="1128"/>
      <c r="V825" s="1169"/>
      <c r="W825" s="1177"/>
      <c r="X825" s="1177"/>
      <c r="Y825" s="1169"/>
      <c r="Z825" s="1169">
        <f t="shared" si="1229"/>
        <v>0</v>
      </c>
      <c r="AA825" s="1169"/>
      <c r="AB825" s="1172">
        <f t="shared" si="1191"/>
        <v>0</v>
      </c>
      <c r="AC825" s="1171"/>
      <c r="AD825" s="1128"/>
      <c r="AE825" s="1169"/>
      <c r="AF825" s="1177"/>
      <c r="AG825" s="1177"/>
      <c r="AH825" s="1169"/>
      <c r="AI825" s="1169">
        <f t="shared" si="1230"/>
        <v>0</v>
      </c>
      <c r="AJ825" s="1169"/>
      <c r="AK825" s="1170"/>
      <c r="AL825" s="1171"/>
      <c r="AM825" s="1128"/>
      <c r="AN825" s="1170"/>
      <c r="AO825" s="1175"/>
      <c r="AP825" s="1175"/>
      <c r="AQ825" s="1170"/>
      <c r="AR825" s="1170">
        <f t="shared" si="1231"/>
        <v>0</v>
      </c>
      <c r="AS825" s="1170"/>
      <c r="AT825" s="1170"/>
      <c r="AU825" s="1174"/>
      <c r="AV825" s="1241"/>
      <c r="AW825" s="1169"/>
      <c r="AX825" s="1177"/>
      <c r="AY825" s="1177"/>
      <c r="AZ825" s="1169"/>
      <c r="BA825" s="1169">
        <f t="shared" si="1232"/>
        <v>0</v>
      </c>
      <c r="BB825" s="1169"/>
      <c r="BC825" s="1029"/>
      <c r="BD825" s="1027"/>
      <c r="BE825" s="1029"/>
      <c r="BF825" s="1029"/>
    </row>
    <row r="826" ht="18" customHeight="1">
      <c r="A826" s="999" t="str">
        <f t="shared" si="1186"/>
        <v xml:space="preserve">Гребенюк Ю.С.,  Молчанова Н.М.</v>
      </c>
      <c r="B826" s="1176" t="s">
        <v>265</v>
      </c>
      <c r="C826" s="1176"/>
      <c r="D826" s="1176"/>
      <c r="E826" s="1164">
        <f t="shared" si="1226"/>
        <v>0</v>
      </c>
      <c r="F826" s="1164">
        <f t="shared" si="1226"/>
        <v>0</v>
      </c>
      <c r="G826" s="1165">
        <f t="shared" si="1227"/>
        <v>0</v>
      </c>
      <c r="H826" s="1166"/>
      <c r="I826" s="1167">
        <f t="shared" si="1207"/>
        <v>0</v>
      </c>
      <c r="J826" s="1167">
        <f t="shared" si="1220"/>
        <v>0</v>
      </c>
      <c r="K826" s="1167">
        <f t="shared" si="1188"/>
        <v>0</v>
      </c>
      <c r="L826" s="1128"/>
      <c r="M826" s="1169"/>
      <c r="N826" s="1177"/>
      <c r="O826" s="1169"/>
      <c r="P826" s="1169"/>
      <c r="Q826" s="1169">
        <f t="shared" si="1228"/>
        <v>0</v>
      </c>
      <c r="R826" s="1169"/>
      <c r="S826" s="1170"/>
      <c r="T826" s="1171"/>
      <c r="U826" s="1128"/>
      <c r="V826" s="1169"/>
      <c r="W826" s="1177"/>
      <c r="X826" s="1177"/>
      <c r="Y826" s="1169"/>
      <c r="Z826" s="1169">
        <f t="shared" si="1229"/>
        <v>0</v>
      </c>
      <c r="AA826" s="1169"/>
      <c r="AB826" s="1172">
        <f t="shared" si="1191"/>
        <v>0</v>
      </c>
      <c r="AC826" s="1171"/>
      <c r="AD826" s="1128"/>
      <c r="AE826" s="1169"/>
      <c r="AF826" s="1177"/>
      <c r="AG826" s="1177"/>
      <c r="AH826" s="1169"/>
      <c r="AI826" s="1169">
        <f t="shared" si="1230"/>
        <v>0</v>
      </c>
      <c r="AJ826" s="1169"/>
      <c r="AK826" s="1170"/>
      <c r="AL826" s="1171"/>
      <c r="AM826" s="1128"/>
      <c r="AN826" s="1170"/>
      <c r="AO826" s="1175"/>
      <c r="AP826" s="1175"/>
      <c r="AQ826" s="1170"/>
      <c r="AR826" s="1170">
        <f t="shared" si="1231"/>
        <v>0</v>
      </c>
      <c r="AS826" s="1170"/>
      <c r="AT826" s="1170"/>
      <c r="AU826" s="1174"/>
      <c r="AV826" s="1241"/>
      <c r="AW826" s="1169"/>
      <c r="AX826" s="1177"/>
      <c r="AY826" s="1177"/>
      <c r="AZ826" s="1169"/>
      <c r="BA826" s="1169">
        <f t="shared" si="1232"/>
        <v>0</v>
      </c>
      <c r="BB826" s="1169"/>
      <c r="BC826" s="1029"/>
      <c r="BD826" s="1027"/>
      <c r="BE826" s="1029"/>
      <c r="BF826" s="1029"/>
    </row>
    <row r="827" s="1180" customFormat="1" ht="18" customHeight="1">
      <c r="A827" s="999">
        <f t="shared" si="1186"/>
        <v>0</v>
      </c>
      <c r="B827" s="1182" t="s">
        <v>394</v>
      </c>
      <c r="C827" s="1182"/>
      <c r="D827" s="1182"/>
      <c r="E827" s="1183">
        <f>SUM(E824:E826)</f>
        <v>0</v>
      </c>
      <c r="F827" s="1183">
        <f>SUM(F824:F826)</f>
        <v>0</v>
      </c>
      <c r="G827" s="1184">
        <f>SUM(G824:G826)</f>
        <v>0</v>
      </c>
      <c r="H827" s="1185"/>
      <c r="I827" s="1167">
        <f t="shared" si="1207"/>
        <v>0</v>
      </c>
      <c r="J827" s="1167">
        <f t="shared" si="1220"/>
        <v>0</v>
      </c>
      <c r="K827" s="1167">
        <f t="shared" si="1188"/>
        <v>0</v>
      </c>
      <c r="L827" s="1197"/>
      <c r="M827" s="1096">
        <f t="shared" ref="M827:R831" si="1233">SUM(M824:M826)</f>
        <v>0</v>
      </c>
      <c r="N827" s="1096">
        <f t="shared" si="1233"/>
        <v>0</v>
      </c>
      <c r="O827" s="1096">
        <f t="shared" si="1233"/>
        <v>0</v>
      </c>
      <c r="P827" s="1096">
        <f t="shared" si="1233"/>
        <v>0</v>
      </c>
      <c r="Q827" s="1096">
        <f t="shared" si="1233"/>
        <v>0</v>
      </c>
      <c r="R827" s="1096">
        <f t="shared" si="1233"/>
        <v>0</v>
      </c>
      <c r="S827" s="1190"/>
      <c r="T827" s="1189"/>
      <c r="U827" s="1128"/>
      <c r="V827" s="1096">
        <f t="shared" ref="V827:AA831" si="1234">SUM(V824:V826)</f>
        <v>0</v>
      </c>
      <c r="W827" s="1096">
        <f t="shared" si="1234"/>
        <v>0</v>
      </c>
      <c r="X827" s="1096">
        <f t="shared" si="1234"/>
        <v>0</v>
      </c>
      <c r="Y827" s="1096">
        <f t="shared" si="1234"/>
        <v>0</v>
      </c>
      <c r="Z827" s="1096">
        <f t="shared" si="1234"/>
        <v>0</v>
      </c>
      <c r="AA827" s="1096">
        <f t="shared" si="1234"/>
        <v>0</v>
      </c>
      <c r="AB827" s="1172">
        <f t="shared" si="1191"/>
        <v>0</v>
      </c>
      <c r="AC827" s="1189"/>
      <c r="AD827" s="1125"/>
      <c r="AE827" s="1096">
        <f t="shared" ref="AE827:AJ831" si="1235">SUM(AE824:AE826)</f>
        <v>0</v>
      </c>
      <c r="AF827" s="1096">
        <f t="shared" si="1235"/>
        <v>0</v>
      </c>
      <c r="AG827" s="1096">
        <f t="shared" si="1235"/>
        <v>0</v>
      </c>
      <c r="AH827" s="1096">
        <f t="shared" si="1235"/>
        <v>0</v>
      </c>
      <c r="AI827" s="1096">
        <f t="shared" si="1235"/>
        <v>0</v>
      </c>
      <c r="AJ827" s="1096">
        <f t="shared" si="1235"/>
        <v>0</v>
      </c>
      <c r="AK827" s="1190"/>
      <c r="AL827" s="1189"/>
      <c r="AM827" s="1125"/>
      <c r="AN827" s="1190">
        <f t="shared" ref="AN827:AS831" si="1236">SUM(AN824:AN826)</f>
        <v>0</v>
      </c>
      <c r="AO827" s="1190">
        <f t="shared" si="1236"/>
        <v>0</v>
      </c>
      <c r="AP827" s="1190">
        <f t="shared" si="1236"/>
        <v>0</v>
      </c>
      <c r="AQ827" s="1190">
        <f t="shared" si="1236"/>
        <v>0</v>
      </c>
      <c r="AR827" s="1190">
        <f t="shared" si="1236"/>
        <v>0</v>
      </c>
      <c r="AS827" s="1190">
        <f t="shared" si="1236"/>
        <v>0</v>
      </c>
      <c r="AT827" s="1190"/>
      <c r="AU827" s="1191"/>
      <c r="AV827" s="1245"/>
      <c r="AW827" s="1096">
        <f t="shared" ref="AW827:BB831" si="1237">SUM(AW824:AW826)</f>
        <v>0</v>
      </c>
      <c r="AX827" s="1096">
        <f t="shared" si="1237"/>
        <v>0</v>
      </c>
      <c r="AY827" s="1096">
        <f t="shared" si="1237"/>
        <v>0</v>
      </c>
      <c r="AZ827" s="1096">
        <f t="shared" si="1237"/>
        <v>0</v>
      </c>
      <c r="BA827" s="1096">
        <f t="shared" si="1237"/>
        <v>0</v>
      </c>
      <c r="BB827" s="1096">
        <f t="shared" si="1237"/>
        <v>0</v>
      </c>
      <c r="BC827" s="1051"/>
      <c r="BD827" s="1052"/>
      <c r="BE827" s="1051"/>
      <c r="BF827" s="1051"/>
      <c r="BG827" s="1106"/>
      <c r="BH827" s="1106"/>
      <c r="BI827" s="1106"/>
      <c r="BJ827" s="1106"/>
      <c r="BK827" s="1106"/>
      <c r="BL827" s="1106"/>
      <c r="BM827" s="1106"/>
    </row>
    <row r="828" ht="18" customHeight="1">
      <c r="A828" s="999" t="str">
        <f t="shared" si="1186"/>
        <v xml:space="preserve">Шевченко ЕА, Мацак ЕН,  Ворокова ВЕ</v>
      </c>
      <c r="B828" s="1202" t="s">
        <v>50</v>
      </c>
      <c r="C828" s="1202"/>
      <c r="D828" s="1202"/>
      <c r="E828" s="1164">
        <f t="shared" ref="E828:F830" si="1238">Q828+Z828+AI828+AR828+BA828</f>
        <v>0</v>
      </c>
      <c r="F828" s="1164">
        <f t="shared" si="1238"/>
        <v>0</v>
      </c>
      <c r="G828" s="1165">
        <f t="shared" ref="G828:G830" si="1239">E828+F828</f>
        <v>0</v>
      </c>
      <c r="H828" s="1166"/>
      <c r="I828" s="1167">
        <f t="shared" si="1207"/>
        <v>0</v>
      </c>
      <c r="J828" s="1167">
        <f t="shared" si="1220"/>
        <v>0</v>
      </c>
      <c r="K828" s="1167">
        <f t="shared" si="1188"/>
        <v>0</v>
      </c>
      <c r="L828" s="1128"/>
      <c r="M828" s="1169"/>
      <c r="N828" s="1177"/>
      <c r="O828" s="1169"/>
      <c r="P828" s="1169"/>
      <c r="Q828" s="1169">
        <f t="shared" ref="Q828:Q830" si="1240">SUM(M828:P828)</f>
        <v>0</v>
      </c>
      <c r="R828" s="1169"/>
      <c r="S828" s="1170"/>
      <c r="T828" s="1171"/>
      <c r="U828" s="1128"/>
      <c r="V828" s="1169"/>
      <c r="W828" s="1177"/>
      <c r="X828" s="1177"/>
      <c r="Y828" s="1169"/>
      <c r="Z828" s="1169">
        <f t="shared" ref="Z828:Z830" si="1241">SUM(V828:Y828)</f>
        <v>0</v>
      </c>
      <c r="AA828" s="1169"/>
      <c r="AB828" s="1172">
        <f t="shared" si="1191"/>
        <v>0</v>
      </c>
      <c r="AC828" s="1171"/>
      <c r="AD828" s="1128"/>
      <c r="AE828" s="1169"/>
      <c r="AF828" s="1177"/>
      <c r="AG828" s="1177"/>
      <c r="AH828" s="1169"/>
      <c r="AI828" s="1169">
        <f t="shared" ref="AI828:AI830" si="1242">SUM(AE828:AH828)</f>
        <v>0</v>
      </c>
      <c r="AJ828" s="1169"/>
      <c r="AK828" s="1170"/>
      <c r="AL828" s="1171"/>
      <c r="AM828" s="1128"/>
      <c r="AN828" s="1170"/>
      <c r="AO828" s="1175"/>
      <c r="AP828" s="1175"/>
      <c r="AQ828" s="1170"/>
      <c r="AR828" s="1170">
        <f t="shared" ref="AR828:AR830" si="1243">SUM(AN828:AQ828)</f>
        <v>0</v>
      </c>
      <c r="AS828" s="1170"/>
      <c r="AT828" s="1170"/>
      <c r="AU828" s="1174"/>
      <c r="AV828" s="1241"/>
      <c r="AW828" s="1169"/>
      <c r="AX828" s="1177"/>
      <c r="AY828" s="1177"/>
      <c r="AZ828" s="1169"/>
      <c r="BA828" s="1169">
        <f t="shared" ref="BA828:BA830" si="1244">SUM(AW828:AZ828)</f>
        <v>0</v>
      </c>
      <c r="BB828" s="1169"/>
      <c r="BC828" s="1029"/>
      <c r="BD828" s="1027"/>
      <c r="BE828" s="1029"/>
      <c r="BF828" s="1029"/>
    </row>
    <row r="829">
      <c r="A829" s="999" t="str">
        <f t="shared" si="1186"/>
        <v xml:space="preserve">Лещенко О.А.</v>
      </c>
      <c r="B829" s="1202" t="s">
        <v>397</v>
      </c>
      <c r="C829" s="1202"/>
      <c r="D829" s="1202"/>
      <c r="E829" s="1164">
        <f t="shared" si="1238"/>
        <v>0</v>
      </c>
      <c r="F829" s="1164">
        <f t="shared" si="1238"/>
        <v>0</v>
      </c>
      <c r="G829" s="1165">
        <f t="shared" si="1239"/>
        <v>0</v>
      </c>
      <c r="H829" s="1166"/>
      <c r="I829" s="1167">
        <f t="shared" si="1207"/>
        <v>0</v>
      </c>
      <c r="J829" s="1167">
        <f t="shared" si="1220"/>
        <v>0</v>
      </c>
      <c r="K829" s="1167">
        <f t="shared" si="1188"/>
        <v>0</v>
      </c>
      <c r="L829" s="1128"/>
      <c r="M829" s="1169"/>
      <c r="N829" s="1177"/>
      <c r="O829" s="1169"/>
      <c r="P829" s="1169"/>
      <c r="Q829" s="1169">
        <f t="shared" si="1240"/>
        <v>0</v>
      </c>
      <c r="R829" s="1169"/>
      <c r="S829" s="1170"/>
      <c r="T829" s="1171"/>
      <c r="U829" s="1128"/>
      <c r="V829" s="1169"/>
      <c r="W829" s="1177"/>
      <c r="X829" s="1177"/>
      <c r="Y829" s="1169"/>
      <c r="Z829" s="1169">
        <f t="shared" si="1241"/>
        <v>0</v>
      </c>
      <c r="AA829" s="1169"/>
      <c r="AB829" s="1172">
        <f t="shared" si="1191"/>
        <v>0</v>
      </c>
      <c r="AC829" s="1171"/>
      <c r="AD829" s="1128"/>
      <c r="AE829" s="1169"/>
      <c r="AF829" s="1177"/>
      <c r="AG829" s="1177"/>
      <c r="AH829" s="1169"/>
      <c r="AI829" s="1169">
        <f t="shared" si="1242"/>
        <v>0</v>
      </c>
      <c r="AJ829" s="1169"/>
      <c r="AK829" s="1170"/>
      <c r="AL829" s="1171"/>
      <c r="AM829" s="1128"/>
      <c r="AN829" s="1170"/>
      <c r="AO829" s="1175"/>
      <c r="AP829" s="1175"/>
      <c r="AQ829" s="1170"/>
      <c r="AR829" s="1170">
        <f t="shared" si="1243"/>
        <v>0</v>
      </c>
      <c r="AS829" s="1170"/>
      <c r="AT829" s="1170"/>
      <c r="AU829" s="1174"/>
      <c r="AV829" s="1241"/>
      <c r="AW829" s="1169"/>
      <c r="AX829" s="1177"/>
      <c r="AY829" s="1177"/>
      <c r="AZ829" s="1169"/>
      <c r="BA829" s="1169">
        <f t="shared" si="1244"/>
        <v>0</v>
      </c>
      <c r="BB829" s="1169"/>
      <c r="BC829" s="1029"/>
      <c r="BD829" s="1027"/>
      <c r="BE829" s="1029"/>
      <c r="BF829" s="1029"/>
    </row>
    <row r="830">
      <c r="A830" s="999" t="str">
        <f t="shared" si="1186"/>
        <v xml:space="preserve">Павленко И.В.</v>
      </c>
      <c r="B830" s="1202" t="s">
        <v>399</v>
      </c>
      <c r="C830" s="1202"/>
      <c r="D830" s="1202"/>
      <c r="E830" s="1164">
        <f t="shared" si="1238"/>
        <v>0</v>
      </c>
      <c r="F830" s="1164">
        <f t="shared" si="1238"/>
        <v>0</v>
      </c>
      <c r="G830" s="1165">
        <f t="shared" si="1239"/>
        <v>0</v>
      </c>
      <c r="H830" s="1166"/>
      <c r="I830" s="1167">
        <f t="shared" si="1207"/>
        <v>0</v>
      </c>
      <c r="J830" s="1167">
        <f t="shared" si="1220"/>
        <v>0</v>
      </c>
      <c r="K830" s="1167">
        <f t="shared" si="1188"/>
        <v>0</v>
      </c>
      <c r="L830" s="1128"/>
      <c r="M830" s="1169"/>
      <c r="N830" s="1177"/>
      <c r="O830" s="1169"/>
      <c r="P830" s="1169"/>
      <c r="Q830" s="1169">
        <f t="shared" si="1240"/>
        <v>0</v>
      </c>
      <c r="R830" s="1169"/>
      <c r="S830" s="1170"/>
      <c r="T830" s="1171"/>
      <c r="U830" s="1128"/>
      <c r="V830" s="1169"/>
      <c r="W830" s="1177"/>
      <c r="X830" s="1177"/>
      <c r="Y830" s="1169"/>
      <c r="Z830" s="1169">
        <f t="shared" si="1241"/>
        <v>0</v>
      </c>
      <c r="AA830" s="1169"/>
      <c r="AB830" s="1172">
        <f t="shared" si="1191"/>
        <v>0</v>
      </c>
      <c r="AC830" s="1171"/>
      <c r="AD830" s="1128"/>
      <c r="AE830" s="1169"/>
      <c r="AF830" s="1177"/>
      <c r="AG830" s="1177"/>
      <c r="AH830" s="1169"/>
      <c r="AI830" s="1169">
        <f t="shared" si="1242"/>
        <v>0</v>
      </c>
      <c r="AJ830" s="1169"/>
      <c r="AK830" s="1170"/>
      <c r="AL830" s="1171"/>
      <c r="AM830" s="1128"/>
      <c r="AN830" s="1170"/>
      <c r="AO830" s="1175"/>
      <c r="AP830" s="1175"/>
      <c r="AQ830" s="1170"/>
      <c r="AR830" s="1170">
        <f t="shared" si="1243"/>
        <v>0</v>
      </c>
      <c r="AS830" s="1170"/>
      <c r="AT830" s="1170"/>
      <c r="AU830" s="1174"/>
      <c r="AV830" s="1241"/>
      <c r="AW830" s="1169"/>
      <c r="AX830" s="1177"/>
      <c r="AY830" s="1177"/>
      <c r="AZ830" s="1169"/>
      <c r="BA830" s="1169">
        <f t="shared" si="1244"/>
        <v>0</v>
      </c>
      <c r="BB830" s="1169"/>
      <c r="BC830" s="1029"/>
      <c r="BD830" s="1027"/>
      <c r="BE830" s="1029"/>
      <c r="BF830" s="1029"/>
    </row>
    <row r="831" s="1180" customFormat="1">
      <c r="A831" s="999">
        <f t="shared" si="1186"/>
        <v>0</v>
      </c>
      <c r="B831" s="1205" t="s">
        <v>363</v>
      </c>
      <c r="C831" s="1205"/>
      <c r="D831" s="1205"/>
      <c r="E831" s="1183">
        <f>SUM(E828:E830)</f>
        <v>0</v>
      </c>
      <c r="F831" s="1183">
        <f>SUM(F828:F830)</f>
        <v>0</v>
      </c>
      <c r="G831" s="1184">
        <f>SUM(G828:G830)</f>
        <v>0</v>
      </c>
      <c r="H831" s="1185"/>
      <c r="I831" s="1167">
        <f t="shared" si="1207"/>
        <v>0</v>
      </c>
      <c r="J831" s="1167">
        <f t="shared" si="1220"/>
        <v>0</v>
      </c>
      <c r="K831" s="1167">
        <f t="shared" si="1188"/>
        <v>0</v>
      </c>
      <c r="L831" s="1197"/>
      <c r="M831" s="1096">
        <f t="shared" si="1233"/>
        <v>0</v>
      </c>
      <c r="N831" s="1096">
        <f t="shared" si="1233"/>
        <v>0</v>
      </c>
      <c r="O831" s="1096">
        <f t="shared" si="1233"/>
        <v>0</v>
      </c>
      <c r="P831" s="1096">
        <f t="shared" si="1233"/>
        <v>0</v>
      </c>
      <c r="Q831" s="1096">
        <f t="shared" si="1233"/>
        <v>0</v>
      </c>
      <c r="R831" s="1096">
        <f t="shared" si="1233"/>
        <v>0</v>
      </c>
      <c r="S831" s="1190"/>
      <c r="T831" s="1189"/>
      <c r="U831" s="1128"/>
      <c r="V831" s="1096">
        <f t="shared" si="1234"/>
        <v>0</v>
      </c>
      <c r="W831" s="1096">
        <f t="shared" si="1234"/>
        <v>0</v>
      </c>
      <c r="X831" s="1096">
        <f t="shared" si="1234"/>
        <v>0</v>
      </c>
      <c r="Y831" s="1096">
        <f t="shared" si="1234"/>
        <v>0</v>
      </c>
      <c r="Z831" s="1096">
        <f t="shared" si="1234"/>
        <v>0</v>
      </c>
      <c r="AA831" s="1096">
        <f t="shared" si="1234"/>
        <v>0</v>
      </c>
      <c r="AB831" s="1172">
        <f t="shared" si="1191"/>
        <v>0</v>
      </c>
      <c r="AC831" s="1189"/>
      <c r="AD831" s="1125"/>
      <c r="AE831" s="1096">
        <f t="shared" si="1235"/>
        <v>0</v>
      </c>
      <c r="AF831" s="1096">
        <f t="shared" si="1235"/>
        <v>0</v>
      </c>
      <c r="AG831" s="1096">
        <f t="shared" si="1235"/>
        <v>0</v>
      </c>
      <c r="AH831" s="1096">
        <f t="shared" si="1235"/>
        <v>0</v>
      </c>
      <c r="AI831" s="1096">
        <f t="shared" si="1235"/>
        <v>0</v>
      </c>
      <c r="AJ831" s="1096">
        <f t="shared" si="1235"/>
        <v>0</v>
      </c>
      <c r="AK831" s="1190"/>
      <c r="AL831" s="1189"/>
      <c r="AM831" s="1125"/>
      <c r="AN831" s="1190">
        <f t="shared" si="1236"/>
        <v>0</v>
      </c>
      <c r="AO831" s="1190">
        <f t="shared" si="1236"/>
        <v>0</v>
      </c>
      <c r="AP831" s="1190">
        <f t="shared" si="1236"/>
        <v>0</v>
      </c>
      <c r="AQ831" s="1190">
        <f t="shared" si="1236"/>
        <v>0</v>
      </c>
      <c r="AR831" s="1190">
        <f t="shared" si="1236"/>
        <v>0</v>
      </c>
      <c r="AS831" s="1190">
        <f t="shared" si="1236"/>
        <v>0</v>
      </c>
      <c r="AT831" s="1190"/>
      <c r="AU831" s="1191"/>
      <c r="AV831" s="1245"/>
      <c r="AW831" s="1096">
        <f t="shared" si="1237"/>
        <v>0</v>
      </c>
      <c r="AX831" s="1096">
        <f t="shared" si="1237"/>
        <v>0</v>
      </c>
      <c r="AY831" s="1096">
        <f t="shared" si="1237"/>
        <v>0</v>
      </c>
      <c r="AZ831" s="1096">
        <f t="shared" si="1237"/>
        <v>0</v>
      </c>
      <c r="BA831" s="1096">
        <f t="shared" si="1237"/>
        <v>0</v>
      </c>
      <c r="BB831" s="1096">
        <f t="shared" si="1237"/>
        <v>0</v>
      </c>
      <c r="BC831" s="1051"/>
      <c r="BD831" s="1052"/>
      <c r="BE831" s="1051"/>
      <c r="BF831" s="1051"/>
      <c r="BG831" s="1106"/>
      <c r="BH831" s="1106"/>
      <c r="BI831" s="1106"/>
      <c r="BJ831" s="1106"/>
      <c r="BK831" s="1106"/>
      <c r="BL831" s="1106"/>
      <c r="BM831" s="1106"/>
    </row>
    <row r="832" s="1180" customFormat="1">
      <c r="A832" s="999">
        <f t="shared" si="1186"/>
        <v>0</v>
      </c>
      <c r="B832" s="1205" t="s">
        <v>400</v>
      </c>
      <c r="C832" s="1205"/>
      <c r="D832" s="1205"/>
      <c r="E832" s="1183">
        <f>E831+E827+E823+E817+E803</f>
        <v>0</v>
      </c>
      <c r="F832" s="1183">
        <f>F831+F827+F823+F817+F803</f>
        <v>0</v>
      </c>
      <c r="G832" s="1184">
        <f>G831+G827+G823+G817+G803</f>
        <v>0</v>
      </c>
      <c r="H832" s="1185"/>
      <c r="I832" s="1167">
        <f t="shared" si="1207"/>
        <v>0</v>
      </c>
      <c r="J832" s="1167">
        <f t="shared" si="1220"/>
        <v>0</v>
      </c>
      <c r="K832" s="1167">
        <f t="shared" si="1188"/>
        <v>0</v>
      </c>
      <c r="L832" s="1210">
        <f t="shared" ref="L832:R832" si="1245">L831+L827+L823+L817+L803</f>
        <v>0</v>
      </c>
      <c r="M832" s="1209">
        <f>M831+M827+M823+M817+M803</f>
        <v>0</v>
      </c>
      <c r="N832" s="1209">
        <f t="shared" si="1245"/>
        <v>0</v>
      </c>
      <c r="O832" s="1209">
        <f t="shared" si="1245"/>
        <v>0</v>
      </c>
      <c r="P832" s="1209">
        <f t="shared" si="1245"/>
        <v>0</v>
      </c>
      <c r="Q832" s="1209">
        <f t="shared" si="1245"/>
        <v>0</v>
      </c>
      <c r="R832" s="1209">
        <f t="shared" si="1245"/>
        <v>0</v>
      </c>
      <c r="S832" s="1211"/>
      <c r="T832" s="1208"/>
      <c r="U832" s="1211">
        <f t="shared" ref="U832:AA832" si="1246">U831+U827+U823+U817+U803</f>
        <v>0</v>
      </c>
      <c r="V832" s="1209">
        <f t="shared" si="1246"/>
        <v>0</v>
      </c>
      <c r="W832" s="1209">
        <f t="shared" si="1246"/>
        <v>0</v>
      </c>
      <c r="X832" s="1209">
        <f t="shared" si="1246"/>
        <v>0</v>
      </c>
      <c r="Y832" s="1209">
        <f t="shared" si="1246"/>
        <v>0</v>
      </c>
      <c r="Z832" s="1209">
        <f t="shared" si="1246"/>
        <v>0</v>
      </c>
      <c r="AA832" s="1209">
        <f t="shared" si="1246"/>
        <v>0</v>
      </c>
      <c r="AB832" s="1172">
        <f t="shared" si="1191"/>
        <v>0</v>
      </c>
      <c r="AC832" s="1208"/>
      <c r="AD832" s="1210">
        <f t="shared" ref="AD832:AJ832" si="1247">AD831+AD827+AD823+AD817+AD803</f>
        <v>0</v>
      </c>
      <c r="AE832" s="1209">
        <f t="shared" si="1247"/>
        <v>0</v>
      </c>
      <c r="AF832" s="1209">
        <f t="shared" si="1247"/>
        <v>0</v>
      </c>
      <c r="AG832" s="1209">
        <f t="shared" si="1247"/>
        <v>0</v>
      </c>
      <c r="AH832" s="1209">
        <f t="shared" si="1247"/>
        <v>0</v>
      </c>
      <c r="AI832" s="1209">
        <f t="shared" si="1247"/>
        <v>0</v>
      </c>
      <c r="AJ832" s="1209">
        <f t="shared" si="1247"/>
        <v>0</v>
      </c>
      <c r="AK832" s="1211"/>
      <c r="AL832" s="1208"/>
      <c r="AM832" s="1210">
        <f t="shared" ref="AM832:AS832" si="1248">AM831+AM827+AM823+AM817+AM803</f>
        <v>0</v>
      </c>
      <c r="AN832" s="1211">
        <f t="shared" si="1248"/>
        <v>0</v>
      </c>
      <c r="AO832" s="1211">
        <f t="shared" si="1248"/>
        <v>0</v>
      </c>
      <c r="AP832" s="1211">
        <f t="shared" si="1248"/>
        <v>0</v>
      </c>
      <c r="AQ832" s="1211">
        <f t="shared" si="1248"/>
        <v>0</v>
      </c>
      <c r="AR832" s="1211">
        <f t="shared" si="1248"/>
        <v>0</v>
      </c>
      <c r="AS832" s="1211">
        <f t="shared" si="1248"/>
        <v>0</v>
      </c>
      <c r="AT832" s="1211"/>
      <c r="AU832" s="1212"/>
      <c r="AV832" s="1211">
        <f t="shared" ref="AV832:BB832" si="1249">AV831+AV827+AV823+AV817+AV803</f>
        <v>0</v>
      </c>
      <c r="AW832" s="1209">
        <f t="shared" si="1249"/>
        <v>0</v>
      </c>
      <c r="AX832" s="1209">
        <f t="shared" si="1249"/>
        <v>0</v>
      </c>
      <c r="AY832" s="1209">
        <f t="shared" si="1249"/>
        <v>0</v>
      </c>
      <c r="AZ832" s="1209">
        <f t="shared" si="1249"/>
        <v>0</v>
      </c>
      <c r="BA832" s="1209">
        <f t="shared" si="1249"/>
        <v>0</v>
      </c>
      <c r="BB832" s="1209">
        <f t="shared" si="1249"/>
        <v>0</v>
      </c>
      <c r="BC832" s="1051"/>
      <c r="BD832" s="1052"/>
      <c r="BE832" s="1051"/>
      <c r="BF832" s="1051"/>
      <c r="BG832" s="1106"/>
      <c r="BH832" s="1106"/>
      <c r="BI832" s="1106"/>
      <c r="BJ832" s="1106"/>
      <c r="BK832" s="1106"/>
      <c r="BL832" s="1106"/>
      <c r="BM832" s="1106"/>
    </row>
    <row r="833">
      <c r="A833" s="999" t="str">
        <f t="shared" si="1186"/>
        <v xml:space="preserve">Куприянова А.В.</v>
      </c>
      <c r="B833" s="1202" t="s">
        <v>402</v>
      </c>
      <c r="C833" s="1202"/>
      <c r="D833" s="1202"/>
      <c r="E833" s="1164">
        <f t="shared" ref="E833:E834" si="1250">Q833+Z833+AI833+AR833+BA833</f>
        <v>0</v>
      </c>
      <c r="F833" s="1164">
        <f t="shared" ref="F833:F834" si="1251">R833+AA833+AJ833+AS833+BB833</f>
        <v>0</v>
      </c>
      <c r="G833" s="1165">
        <f t="shared" ref="G833:G834" si="1252">E833+F833</f>
        <v>0</v>
      </c>
      <c r="H833" s="1166"/>
      <c r="I833" s="1167">
        <f t="shared" si="1207"/>
        <v>0</v>
      </c>
      <c r="J833" s="1167">
        <f t="shared" si="1220"/>
        <v>0</v>
      </c>
      <c r="K833" s="1167">
        <f t="shared" si="1188"/>
        <v>0</v>
      </c>
      <c r="L833" s="1128"/>
      <c r="M833" s="1169"/>
      <c r="N833" s="1177"/>
      <c r="O833" s="1169"/>
      <c r="P833" s="1169"/>
      <c r="Q833" s="1169">
        <f t="shared" ref="Q833:Q834" si="1253">SUM(M833:P833)</f>
        <v>0</v>
      </c>
      <c r="R833" s="1169"/>
      <c r="S833" s="1170"/>
      <c r="T833" s="1171"/>
      <c r="U833" s="1128"/>
      <c r="V833" s="1169"/>
      <c r="W833" s="1177"/>
      <c r="X833" s="1177"/>
      <c r="Y833" s="1169"/>
      <c r="Z833" s="1169">
        <f t="shared" ref="Z833:Z834" si="1254">SUM(V833:Y833)</f>
        <v>0</v>
      </c>
      <c r="AA833" s="1169"/>
      <c r="AB833" s="1172">
        <f t="shared" si="1191"/>
        <v>0</v>
      </c>
      <c r="AC833" s="1171"/>
      <c r="AD833" s="1128"/>
      <c r="AE833" s="1169"/>
      <c r="AF833" s="1177"/>
      <c r="AG833" s="1177"/>
      <c r="AH833" s="1169"/>
      <c r="AI833" s="1169">
        <f t="shared" ref="AI833:AI834" si="1255">SUM(AE833:AH833)</f>
        <v>0</v>
      </c>
      <c r="AJ833" s="1169"/>
      <c r="AK833" s="1170"/>
      <c r="AL833" s="1171"/>
      <c r="AM833" s="1128"/>
      <c r="AN833" s="1170"/>
      <c r="AO833" s="1175"/>
      <c r="AP833" s="1175"/>
      <c r="AQ833" s="1170"/>
      <c r="AR833" s="1170">
        <f t="shared" ref="AR833:AR834" si="1256">SUM(AN833:AQ833)</f>
        <v>0</v>
      </c>
      <c r="AS833" s="1170"/>
      <c r="AT833" s="1170"/>
      <c r="AU833" s="1174"/>
      <c r="AV833" s="1241"/>
      <c r="AW833" s="1169"/>
      <c r="AX833" s="1177"/>
      <c r="AY833" s="1177"/>
      <c r="AZ833" s="1169"/>
      <c r="BA833" s="1169">
        <f t="shared" ref="BA833:BA834" si="1257">SUM(AW833:AZ833)</f>
        <v>0</v>
      </c>
      <c r="BB833" s="1169"/>
      <c r="BC833" s="1029"/>
      <c r="BD833" s="1027"/>
      <c r="BE833" s="1029"/>
      <c r="BF833" s="1029"/>
    </row>
    <row r="834">
      <c r="A834" s="999" t="str">
        <f t="shared" si="1186"/>
        <v xml:space="preserve">Попова И.Ю.</v>
      </c>
      <c r="B834" s="1202" t="s">
        <v>404</v>
      </c>
      <c r="C834" s="1202"/>
      <c r="D834" s="1202"/>
      <c r="E834" s="1164">
        <f t="shared" si="1250"/>
        <v>0</v>
      </c>
      <c r="F834" s="1164">
        <f t="shared" si="1251"/>
        <v>0</v>
      </c>
      <c r="G834" s="1165">
        <f t="shared" si="1252"/>
        <v>0</v>
      </c>
      <c r="H834" s="1166"/>
      <c r="I834" s="1167">
        <f t="shared" si="1207"/>
        <v>0</v>
      </c>
      <c r="J834" s="1167">
        <f t="shared" si="1220"/>
        <v>0</v>
      </c>
      <c r="K834" s="1167">
        <f t="shared" si="1188"/>
        <v>0</v>
      </c>
      <c r="L834" s="1128"/>
      <c r="M834" s="1169"/>
      <c r="N834" s="1177"/>
      <c r="O834" s="1169"/>
      <c r="P834" s="1169"/>
      <c r="Q834" s="1169">
        <f t="shared" si="1253"/>
        <v>0</v>
      </c>
      <c r="R834" s="1169"/>
      <c r="S834" s="1170"/>
      <c r="T834" s="1171"/>
      <c r="U834" s="1128"/>
      <c r="V834" s="1169"/>
      <c r="W834" s="1177"/>
      <c r="X834" s="1177"/>
      <c r="Y834" s="1169"/>
      <c r="Z834" s="1169">
        <f t="shared" si="1254"/>
        <v>0</v>
      </c>
      <c r="AA834" s="1169"/>
      <c r="AB834" s="1172">
        <f t="shared" si="1191"/>
        <v>0</v>
      </c>
      <c r="AC834" s="1171"/>
      <c r="AD834" s="1128"/>
      <c r="AE834" s="1169"/>
      <c r="AF834" s="1177"/>
      <c r="AG834" s="1177"/>
      <c r="AH834" s="1169"/>
      <c r="AI834" s="1169">
        <f t="shared" si="1255"/>
        <v>0</v>
      </c>
      <c r="AJ834" s="1169"/>
      <c r="AK834" s="1170"/>
      <c r="AL834" s="1171"/>
      <c r="AM834" s="1128"/>
      <c r="AN834" s="1170"/>
      <c r="AO834" s="1175"/>
      <c r="AP834" s="1175"/>
      <c r="AQ834" s="1170"/>
      <c r="AR834" s="1170">
        <f t="shared" si="1256"/>
        <v>0</v>
      </c>
      <c r="AS834" s="1170"/>
      <c r="AT834" s="1170"/>
      <c r="AU834" s="1174"/>
      <c r="AV834" s="1241"/>
      <c r="AW834" s="1169"/>
      <c r="AX834" s="1177"/>
      <c r="AY834" s="1177"/>
      <c r="AZ834" s="1169"/>
      <c r="BA834" s="1169">
        <f t="shared" si="1257"/>
        <v>0</v>
      </c>
      <c r="BB834" s="1169"/>
      <c r="BC834" s="1029"/>
      <c r="BD834" s="1027"/>
      <c r="BE834" s="1029"/>
      <c r="BF834" s="1029"/>
    </row>
    <row r="835" s="1180" customFormat="1">
      <c r="A835" s="999">
        <f t="shared" si="1186"/>
        <v>0</v>
      </c>
      <c r="B835" s="1205" t="s">
        <v>405</v>
      </c>
      <c r="C835" s="1205"/>
      <c r="D835" s="1205"/>
      <c r="E835" s="1183">
        <f>E833+E834</f>
        <v>0</v>
      </c>
      <c r="F835" s="1183">
        <f>F833+F834</f>
        <v>0</v>
      </c>
      <c r="G835" s="1184">
        <f>G833+G834</f>
        <v>0</v>
      </c>
      <c r="H835" s="1185"/>
      <c r="I835" s="1167">
        <f t="shared" si="1207"/>
        <v>0</v>
      </c>
      <c r="J835" s="1167">
        <f t="shared" si="1220"/>
        <v>0</v>
      </c>
      <c r="K835" s="1167">
        <f t="shared" si="1188"/>
        <v>0</v>
      </c>
      <c r="L835" s="1210"/>
      <c r="M835" s="1213">
        <f t="shared" ref="M835:R835" si="1258">M833+M834</f>
        <v>0</v>
      </c>
      <c r="N835" s="1213">
        <f t="shared" si="1258"/>
        <v>0</v>
      </c>
      <c r="O835" s="1213">
        <f t="shared" si="1258"/>
        <v>0</v>
      </c>
      <c r="P835" s="1213">
        <f t="shared" si="1258"/>
        <v>0</v>
      </c>
      <c r="Q835" s="1213">
        <f t="shared" si="1258"/>
        <v>0</v>
      </c>
      <c r="R835" s="1213">
        <f t="shared" si="1258"/>
        <v>0</v>
      </c>
      <c r="S835" s="1304"/>
      <c r="T835" s="1214"/>
      <c r="U835" s="1210"/>
      <c r="V835" s="1209">
        <f t="shared" ref="V835:AA835" si="1259">V833+V834</f>
        <v>0</v>
      </c>
      <c r="W835" s="1209">
        <f t="shared" si="1259"/>
        <v>0</v>
      </c>
      <c r="X835" s="1209">
        <f t="shared" si="1259"/>
        <v>0</v>
      </c>
      <c r="Y835" s="1209">
        <f t="shared" si="1259"/>
        <v>0</v>
      </c>
      <c r="Z835" s="1209">
        <f t="shared" si="1259"/>
        <v>0</v>
      </c>
      <c r="AA835" s="1209">
        <f t="shared" si="1259"/>
        <v>0</v>
      </c>
      <c r="AB835" s="1172">
        <f t="shared" si="1191"/>
        <v>0</v>
      </c>
      <c r="AC835" s="1208"/>
      <c r="AD835" s="1210"/>
      <c r="AE835" s="1209">
        <f t="shared" ref="AE835:AJ835" si="1260">AE833+AE834</f>
        <v>0</v>
      </c>
      <c r="AF835" s="1209">
        <f t="shared" si="1260"/>
        <v>0</v>
      </c>
      <c r="AG835" s="1209">
        <f t="shared" si="1260"/>
        <v>0</v>
      </c>
      <c r="AH835" s="1209">
        <f t="shared" si="1260"/>
        <v>0</v>
      </c>
      <c r="AI835" s="1209">
        <f t="shared" si="1260"/>
        <v>0</v>
      </c>
      <c r="AJ835" s="1209">
        <f t="shared" si="1260"/>
        <v>0</v>
      </c>
      <c r="AK835" s="1211"/>
      <c r="AL835" s="1208"/>
      <c r="AM835" s="1210"/>
      <c r="AN835" s="1211">
        <f t="shared" ref="AN835:AS835" si="1261">AN833+AN834</f>
        <v>0</v>
      </c>
      <c r="AO835" s="1211">
        <f t="shared" si="1261"/>
        <v>0</v>
      </c>
      <c r="AP835" s="1211">
        <f t="shared" si="1261"/>
        <v>0</v>
      </c>
      <c r="AQ835" s="1211">
        <f t="shared" si="1261"/>
        <v>0</v>
      </c>
      <c r="AR835" s="1211">
        <f t="shared" si="1261"/>
        <v>0</v>
      </c>
      <c r="AS835" s="1211">
        <f t="shared" si="1261"/>
        <v>0</v>
      </c>
      <c r="AT835" s="1211"/>
      <c r="AU835" s="1212"/>
      <c r="AV835" s="1210">
        <f t="shared" ref="AV835:BB835" si="1262">AV833+AV834</f>
        <v>0</v>
      </c>
      <c r="AW835" s="1209">
        <f t="shared" si="1262"/>
        <v>0</v>
      </c>
      <c r="AX835" s="1209">
        <f t="shared" si="1262"/>
        <v>0</v>
      </c>
      <c r="AY835" s="1209">
        <f t="shared" si="1262"/>
        <v>0</v>
      </c>
      <c r="AZ835" s="1209">
        <f t="shared" si="1262"/>
        <v>0</v>
      </c>
      <c r="BA835" s="1209">
        <f t="shared" si="1262"/>
        <v>0</v>
      </c>
      <c r="BB835" s="1209">
        <f t="shared" si="1262"/>
        <v>0</v>
      </c>
      <c r="BC835" s="1051"/>
      <c r="BD835" s="1052"/>
      <c r="BE835" s="1051"/>
      <c r="BF835" s="1051"/>
      <c r="BG835" s="1106"/>
      <c r="BH835" s="1106"/>
      <c r="BI835" s="1106"/>
      <c r="BJ835" s="1106"/>
      <c r="BK835" s="1106"/>
      <c r="BL835" s="1106"/>
      <c r="BM835" s="1106"/>
    </row>
    <row r="836" s="1180" customFormat="1">
      <c r="A836" s="999">
        <f t="shared" si="1186"/>
        <v>0</v>
      </c>
      <c r="B836" s="1205" t="s">
        <v>406</v>
      </c>
      <c r="C836" s="1205"/>
      <c r="D836" s="1205"/>
      <c r="E836" s="1183">
        <f>E832+E835</f>
        <v>0</v>
      </c>
      <c r="F836" s="1183">
        <f>F832+F835</f>
        <v>0</v>
      </c>
      <c r="G836" s="1184">
        <f>G832+G835</f>
        <v>0</v>
      </c>
      <c r="H836" s="1185"/>
      <c r="I836" s="1167">
        <f t="shared" si="1207"/>
        <v>0</v>
      </c>
      <c r="J836" s="1167">
        <f t="shared" si="1220"/>
        <v>0</v>
      </c>
      <c r="K836" s="1167">
        <f t="shared" si="1188"/>
        <v>0</v>
      </c>
      <c r="L836" s="1210">
        <f t="shared" ref="L836:R836" si="1263">L832+L835</f>
        <v>0</v>
      </c>
      <c r="M836" s="1209">
        <f t="shared" si="1263"/>
        <v>0</v>
      </c>
      <c r="N836" s="1209">
        <f t="shared" si="1263"/>
        <v>0</v>
      </c>
      <c r="O836" s="1209">
        <f t="shared" si="1263"/>
        <v>0</v>
      </c>
      <c r="P836" s="1209">
        <f t="shared" si="1263"/>
        <v>0</v>
      </c>
      <c r="Q836" s="1209">
        <f t="shared" si="1263"/>
        <v>0</v>
      </c>
      <c r="R836" s="1209">
        <f t="shared" si="1263"/>
        <v>0</v>
      </c>
      <c r="S836" s="1211"/>
      <c r="T836" s="1208"/>
      <c r="U836" s="1211">
        <f t="shared" ref="U836:AA836" si="1264">U832+U835</f>
        <v>0</v>
      </c>
      <c r="V836" s="1209">
        <f t="shared" si="1264"/>
        <v>0</v>
      </c>
      <c r="W836" s="1209">
        <f t="shared" si="1264"/>
        <v>0</v>
      </c>
      <c r="X836" s="1209">
        <f t="shared" si="1264"/>
        <v>0</v>
      </c>
      <c r="Y836" s="1209">
        <f t="shared" si="1264"/>
        <v>0</v>
      </c>
      <c r="Z836" s="1209">
        <f t="shared" si="1264"/>
        <v>0</v>
      </c>
      <c r="AA836" s="1209">
        <f t="shared" si="1264"/>
        <v>0</v>
      </c>
      <c r="AB836" s="1172">
        <f t="shared" si="1191"/>
        <v>0</v>
      </c>
      <c r="AC836" s="1208"/>
      <c r="AD836" s="1210">
        <f t="shared" ref="AD836:AJ836" si="1265">AD832+AD835</f>
        <v>0</v>
      </c>
      <c r="AE836" s="1209">
        <f t="shared" si="1265"/>
        <v>0</v>
      </c>
      <c r="AF836" s="1209">
        <f t="shared" si="1265"/>
        <v>0</v>
      </c>
      <c r="AG836" s="1209">
        <f t="shared" si="1265"/>
        <v>0</v>
      </c>
      <c r="AH836" s="1209">
        <f t="shared" si="1265"/>
        <v>0</v>
      </c>
      <c r="AI836" s="1209">
        <f t="shared" si="1265"/>
        <v>0</v>
      </c>
      <c r="AJ836" s="1209">
        <f t="shared" si="1265"/>
        <v>0</v>
      </c>
      <c r="AK836" s="1211"/>
      <c r="AL836" s="1208"/>
      <c r="AM836" s="1210">
        <f t="shared" ref="AM836:AS836" si="1266">AM832+AM835</f>
        <v>0</v>
      </c>
      <c r="AN836" s="1211">
        <f t="shared" si="1266"/>
        <v>0</v>
      </c>
      <c r="AO836" s="1211">
        <f t="shared" si="1266"/>
        <v>0</v>
      </c>
      <c r="AP836" s="1211">
        <f t="shared" si="1266"/>
        <v>0</v>
      </c>
      <c r="AQ836" s="1211">
        <f t="shared" si="1266"/>
        <v>0</v>
      </c>
      <c r="AR836" s="1211">
        <f t="shared" si="1266"/>
        <v>0</v>
      </c>
      <c r="AS836" s="1211">
        <f t="shared" si="1266"/>
        <v>0</v>
      </c>
      <c r="AT836" s="1211"/>
      <c r="AU836" s="1212"/>
      <c r="AV836" s="1211">
        <f t="shared" ref="AV836:BB836" si="1267">AV832+AV835</f>
        <v>0</v>
      </c>
      <c r="AW836" s="1209">
        <f t="shared" si="1267"/>
        <v>0</v>
      </c>
      <c r="AX836" s="1209">
        <f t="shared" si="1267"/>
        <v>0</v>
      </c>
      <c r="AY836" s="1209">
        <f t="shared" si="1267"/>
        <v>0</v>
      </c>
      <c r="AZ836" s="1209">
        <f t="shared" si="1267"/>
        <v>0</v>
      </c>
      <c r="BA836" s="1209">
        <f t="shared" si="1267"/>
        <v>0</v>
      </c>
      <c r="BB836" s="1209">
        <f t="shared" si="1267"/>
        <v>0</v>
      </c>
      <c r="BC836" s="1051"/>
      <c r="BD836" s="1052"/>
      <c r="BE836" s="1051"/>
      <c r="BF836" s="1051"/>
      <c r="BG836" s="1106"/>
      <c r="BH836" s="1106"/>
      <c r="BI836" s="1106"/>
      <c r="BJ836" s="1106"/>
      <c r="BK836" s="1106"/>
      <c r="BL836" s="1106"/>
      <c r="BM836" s="1106"/>
    </row>
    <row r="837" ht="16.5" customHeight="1">
      <c r="A837" s="999">
        <f t="shared" si="1186"/>
        <v>0</v>
      </c>
      <c r="B837" s="1202" t="s">
        <v>407</v>
      </c>
      <c r="C837" s="1202"/>
      <c r="D837" s="1202"/>
      <c r="E837" s="1164">
        <f t="shared" ref="E837:F844" si="1268">Q837+Z837+AI837+AR837+BA837</f>
        <v>0</v>
      </c>
      <c r="F837" s="1164">
        <f t="shared" si="1268"/>
        <v>0</v>
      </c>
      <c r="G837" s="1165">
        <f t="shared" ref="G837:G844" si="1269">E837+F837</f>
        <v>0</v>
      </c>
      <c r="H837" s="1166"/>
      <c r="I837" s="1167">
        <f t="shared" si="1207"/>
        <v>0</v>
      </c>
      <c r="J837" s="1167">
        <f t="shared" si="1220"/>
        <v>0</v>
      </c>
      <c r="K837" s="1167">
        <f t="shared" si="1188"/>
        <v>0</v>
      </c>
      <c r="L837" s="1128"/>
      <c r="M837" s="1169"/>
      <c r="N837" s="1177"/>
      <c r="O837" s="1169"/>
      <c r="P837" s="1169"/>
      <c r="Q837" s="1169">
        <f t="shared" ref="Q837:Q844" si="1270">SUM(M837:P837)</f>
        <v>0</v>
      </c>
      <c r="R837" s="1169"/>
      <c r="S837" s="1170"/>
      <c r="T837" s="1171"/>
      <c r="U837" s="1128"/>
      <c r="V837" s="1169"/>
      <c r="W837" s="1177"/>
      <c r="X837" s="1177"/>
      <c r="Y837" s="1169"/>
      <c r="Z837" s="1169">
        <f t="shared" ref="Z837:Z844" si="1271">SUM(V837:Y837)</f>
        <v>0</v>
      </c>
      <c r="AA837" s="1169"/>
      <c r="AB837" s="1172">
        <f t="shared" si="1191"/>
        <v>0</v>
      </c>
      <c r="AC837" s="1171"/>
      <c r="AD837" s="1128"/>
      <c r="AE837" s="1169"/>
      <c r="AF837" s="1177"/>
      <c r="AG837" s="1177"/>
      <c r="AH837" s="1169"/>
      <c r="AI837" s="1169">
        <f t="shared" ref="AI837:AI844" si="1272">SUM(AE837:AH837)</f>
        <v>0</v>
      </c>
      <c r="AJ837" s="1169"/>
      <c r="AK837" s="1170"/>
      <c r="AL837" s="1171"/>
      <c r="AM837" s="1128"/>
      <c r="AN837" s="1170"/>
      <c r="AO837" s="1175"/>
      <c r="AP837" s="1175"/>
      <c r="AQ837" s="1170"/>
      <c r="AR837" s="1170">
        <f t="shared" ref="AR837:AR844" si="1273">SUM(AN837:AQ837)</f>
        <v>0</v>
      </c>
      <c r="AS837" s="1170"/>
      <c r="AT837" s="1170"/>
      <c r="AU837" s="1174"/>
      <c r="AV837" s="1241"/>
      <c r="AW837" s="1169"/>
      <c r="AX837" s="1177"/>
      <c r="AY837" s="1177"/>
      <c r="AZ837" s="1169"/>
      <c r="BA837" s="1169">
        <f t="shared" ref="BA837:BA844" si="1274">SUM(AW837:AZ837)</f>
        <v>0</v>
      </c>
      <c r="BB837" s="1169"/>
      <c r="BC837" s="1029"/>
      <c r="BD837" s="1027"/>
      <c r="BE837" s="1029"/>
      <c r="BF837" s="1029"/>
    </row>
    <row r="838" ht="16.5" customHeight="1">
      <c r="A838" s="999" t="str">
        <f t="shared" si="1186"/>
        <v xml:space="preserve">Леоненко Г.Н</v>
      </c>
      <c r="B838" s="1202" t="s">
        <v>409</v>
      </c>
      <c r="C838" s="1202"/>
      <c r="D838" s="1202"/>
      <c r="E838" s="1164">
        <f t="shared" si="1268"/>
        <v>0</v>
      </c>
      <c r="F838" s="1164">
        <f t="shared" si="1268"/>
        <v>0</v>
      </c>
      <c r="G838" s="1165">
        <f t="shared" si="1269"/>
        <v>0</v>
      </c>
      <c r="H838" s="1166"/>
      <c r="I838" s="1167">
        <f t="shared" si="1207"/>
        <v>0</v>
      </c>
      <c r="J838" s="1167">
        <f t="shared" si="1220"/>
        <v>0</v>
      </c>
      <c r="K838" s="1167">
        <f t="shared" si="1188"/>
        <v>0</v>
      </c>
      <c r="L838" s="1128"/>
      <c r="M838" s="1169"/>
      <c r="N838" s="1177"/>
      <c r="O838" s="1169"/>
      <c r="P838" s="1169"/>
      <c r="Q838" s="1169">
        <f t="shared" si="1270"/>
        <v>0</v>
      </c>
      <c r="R838" s="1169"/>
      <c r="S838" s="1170"/>
      <c r="T838" s="1171"/>
      <c r="U838" s="1128"/>
      <c r="V838" s="1169"/>
      <c r="W838" s="1177"/>
      <c r="X838" s="1177"/>
      <c r="Y838" s="1169"/>
      <c r="Z838" s="1169">
        <f t="shared" si="1271"/>
        <v>0</v>
      </c>
      <c r="AA838" s="1169"/>
      <c r="AB838" s="1172">
        <f t="shared" si="1191"/>
        <v>0</v>
      </c>
      <c r="AC838" s="1171"/>
      <c r="AD838" s="1128"/>
      <c r="AE838" s="1169"/>
      <c r="AF838" s="1177"/>
      <c r="AG838" s="1177"/>
      <c r="AH838" s="1169"/>
      <c r="AI838" s="1169">
        <f t="shared" si="1272"/>
        <v>0</v>
      </c>
      <c r="AJ838" s="1169"/>
      <c r="AK838" s="1170"/>
      <c r="AL838" s="1171"/>
      <c r="AM838" s="1128"/>
      <c r="AN838" s="1170"/>
      <c r="AO838" s="1175"/>
      <c r="AP838" s="1175"/>
      <c r="AQ838" s="1170"/>
      <c r="AR838" s="1170">
        <f t="shared" si="1273"/>
        <v>0</v>
      </c>
      <c r="AS838" s="1170"/>
      <c r="AT838" s="1170"/>
      <c r="AU838" s="1174"/>
      <c r="AV838" s="1241"/>
      <c r="AW838" s="1169"/>
      <c r="AX838" s="1177"/>
      <c r="AY838" s="1177"/>
      <c r="AZ838" s="1169"/>
      <c r="BA838" s="1169">
        <f t="shared" si="1274"/>
        <v>0</v>
      </c>
      <c r="BB838" s="1169"/>
      <c r="BC838" s="1029"/>
      <c r="BD838" s="1027"/>
      <c r="BE838" s="1029"/>
      <c r="BF838" s="1029"/>
    </row>
    <row r="839" s="1215" customFormat="1" ht="16.5" customHeight="1">
      <c r="A839" s="999" t="str">
        <f t="shared" si="1186"/>
        <v xml:space="preserve">Саяпина О.А.</v>
      </c>
      <c r="B839" s="1202" t="s">
        <v>411</v>
      </c>
      <c r="C839" s="1217"/>
      <c r="D839" s="1217"/>
      <c r="E839" s="1164">
        <f t="shared" si="1268"/>
        <v>0</v>
      </c>
      <c r="F839" s="1164">
        <f t="shared" si="1268"/>
        <v>0</v>
      </c>
      <c r="G839" s="1165">
        <f t="shared" si="1269"/>
        <v>0</v>
      </c>
      <c r="H839" s="1166"/>
      <c r="I839" s="1167">
        <f t="shared" si="1207"/>
        <v>0</v>
      </c>
      <c r="J839" s="1167">
        <f t="shared" si="1220"/>
        <v>0</v>
      </c>
      <c r="K839" s="1167">
        <f t="shared" si="1188"/>
        <v>0</v>
      </c>
      <c r="L839" s="1128"/>
      <c r="M839" s="1169"/>
      <c r="N839" s="1177"/>
      <c r="O839" s="1169"/>
      <c r="P839" s="1169"/>
      <c r="Q839" s="1169">
        <f t="shared" si="1270"/>
        <v>0</v>
      </c>
      <c r="R839" s="1169"/>
      <c r="S839" s="1170"/>
      <c r="T839" s="1171"/>
      <c r="U839" s="1128"/>
      <c r="V839" s="1169"/>
      <c r="W839" s="1177"/>
      <c r="X839" s="1177"/>
      <c r="Y839" s="1169"/>
      <c r="Z839" s="1169">
        <f t="shared" si="1271"/>
        <v>0</v>
      </c>
      <c r="AA839" s="1169"/>
      <c r="AB839" s="1172">
        <f t="shared" si="1191"/>
        <v>0</v>
      </c>
      <c r="AC839" s="1171"/>
      <c r="AD839" s="1128"/>
      <c r="AE839" s="1169"/>
      <c r="AF839" s="1177"/>
      <c r="AG839" s="1177"/>
      <c r="AH839" s="1169"/>
      <c r="AI839" s="1169">
        <f t="shared" si="1272"/>
        <v>0</v>
      </c>
      <c r="AJ839" s="1169"/>
      <c r="AK839" s="1170"/>
      <c r="AL839" s="1171"/>
      <c r="AM839" s="1128"/>
      <c r="AN839" s="1170"/>
      <c r="AO839" s="1175"/>
      <c r="AP839" s="1175"/>
      <c r="AQ839" s="1170"/>
      <c r="AR839" s="1170">
        <f t="shared" si="1273"/>
        <v>0</v>
      </c>
      <c r="AS839" s="1170"/>
      <c r="AT839" s="1170"/>
      <c r="AU839" s="1174"/>
      <c r="AV839" s="1128"/>
      <c r="AW839" s="1169"/>
      <c r="AX839" s="1177"/>
      <c r="AY839" s="1177"/>
      <c r="AZ839" s="1169"/>
      <c r="BA839" s="1169">
        <f t="shared" si="1274"/>
        <v>0</v>
      </c>
      <c r="BB839" s="1169"/>
      <c r="BC839" s="1024"/>
      <c r="BD839" s="1027"/>
      <c r="BE839" s="1024"/>
      <c r="BF839" s="1024"/>
      <c r="BG839" s="1008"/>
      <c r="BH839" s="1008"/>
      <c r="BI839" s="1008"/>
      <c r="BJ839" s="1008"/>
      <c r="BK839" s="1008"/>
      <c r="BL839" s="1008"/>
      <c r="BM839" s="1008"/>
    </row>
    <row r="840" s="1215" customFormat="1" ht="16.5" customHeight="1">
      <c r="A840" s="999" t="str">
        <f t="shared" si="1186"/>
        <v xml:space="preserve">Дегтярева Е.И. Акилова С.В.</v>
      </c>
      <c r="B840" s="1202" t="s">
        <v>413</v>
      </c>
      <c r="C840" s="1217"/>
      <c r="D840" s="1217"/>
      <c r="E840" s="1164">
        <f t="shared" si="1268"/>
        <v>0</v>
      </c>
      <c r="F840" s="1164">
        <f t="shared" si="1268"/>
        <v>0</v>
      </c>
      <c r="G840" s="1165">
        <f t="shared" si="1269"/>
        <v>0</v>
      </c>
      <c r="H840" s="1166"/>
      <c r="I840" s="1167">
        <f t="shared" si="1207"/>
        <v>0</v>
      </c>
      <c r="J840" s="1167">
        <f t="shared" si="1220"/>
        <v>0</v>
      </c>
      <c r="K840" s="1167">
        <f t="shared" si="1188"/>
        <v>0</v>
      </c>
      <c r="L840" s="1128"/>
      <c r="M840" s="1169"/>
      <c r="N840" s="1177"/>
      <c r="O840" s="1169"/>
      <c r="P840" s="1169"/>
      <c r="Q840" s="1169">
        <f t="shared" si="1270"/>
        <v>0</v>
      </c>
      <c r="R840" s="1169"/>
      <c r="S840" s="1170"/>
      <c r="T840" s="1171"/>
      <c r="U840" s="1128"/>
      <c r="V840" s="1169"/>
      <c r="W840" s="1177"/>
      <c r="X840" s="1177"/>
      <c r="Y840" s="1169"/>
      <c r="Z840" s="1169">
        <f t="shared" si="1271"/>
        <v>0</v>
      </c>
      <c r="AA840" s="1169"/>
      <c r="AB840" s="1172">
        <f t="shared" si="1191"/>
        <v>0</v>
      </c>
      <c r="AC840" s="1171"/>
      <c r="AD840" s="1128"/>
      <c r="AE840" s="1169"/>
      <c r="AF840" s="1177"/>
      <c r="AG840" s="1177"/>
      <c r="AH840" s="1169"/>
      <c r="AI840" s="1169">
        <f t="shared" si="1272"/>
        <v>0</v>
      </c>
      <c r="AJ840" s="1169"/>
      <c r="AK840" s="1170"/>
      <c r="AL840" s="1171"/>
      <c r="AM840" s="1128"/>
      <c r="AN840" s="1170"/>
      <c r="AO840" s="1175"/>
      <c r="AP840" s="1175"/>
      <c r="AQ840" s="1170"/>
      <c r="AR840" s="1170">
        <f t="shared" si="1273"/>
        <v>0</v>
      </c>
      <c r="AS840" s="1170"/>
      <c r="AT840" s="1170"/>
      <c r="AU840" s="1174"/>
      <c r="AV840" s="1128"/>
      <c r="AW840" s="1169"/>
      <c r="AX840" s="1177"/>
      <c r="AY840" s="1177"/>
      <c r="AZ840" s="1169"/>
      <c r="BA840" s="1169">
        <f t="shared" si="1274"/>
        <v>0</v>
      </c>
      <c r="BB840" s="1169"/>
      <c r="BC840" s="1024"/>
      <c r="BD840" s="1027"/>
      <c r="BE840" s="1024"/>
      <c r="BF840" s="1024"/>
      <c r="BG840" s="1008"/>
      <c r="BH840" s="1008"/>
      <c r="BI840" s="1008"/>
      <c r="BJ840" s="1008"/>
      <c r="BK840" s="1008"/>
      <c r="BL840" s="1008"/>
      <c r="BM840" s="1008"/>
    </row>
    <row r="841" s="1215" customFormat="1" ht="16.5" customHeight="1">
      <c r="A841" s="999">
        <f t="shared" si="1186"/>
        <v>0</v>
      </c>
      <c r="B841" s="1202" t="s">
        <v>504</v>
      </c>
      <c r="C841" s="1202"/>
      <c r="D841" s="1202"/>
      <c r="E841" s="1164"/>
      <c r="F841" s="1164"/>
      <c r="G841" s="1165"/>
      <c r="H841" s="1166"/>
      <c r="I841" s="1167">
        <f t="shared" si="1207"/>
        <v>0</v>
      </c>
      <c r="J841" s="1167">
        <f t="shared" si="1220"/>
        <v>0</v>
      </c>
      <c r="K841" s="1167">
        <f t="shared" si="1188"/>
        <v>0</v>
      </c>
      <c r="L841" s="1128"/>
      <c r="M841" s="1169"/>
      <c r="N841" s="1177"/>
      <c r="O841" s="1169"/>
      <c r="P841" s="1169"/>
      <c r="Q841" s="1169">
        <f t="shared" si="1270"/>
        <v>0</v>
      </c>
      <c r="R841" s="1169"/>
      <c r="S841" s="1170"/>
      <c r="T841" s="1171"/>
      <c r="U841" s="1128"/>
      <c r="V841" s="1169"/>
      <c r="W841" s="1177"/>
      <c r="X841" s="1177"/>
      <c r="Y841" s="1169"/>
      <c r="Z841" s="1169">
        <f t="shared" si="1271"/>
        <v>0</v>
      </c>
      <c r="AA841" s="1169"/>
      <c r="AB841" s="1172">
        <f t="shared" si="1191"/>
        <v>0</v>
      </c>
      <c r="AC841" s="1171"/>
      <c r="AD841" s="1128"/>
      <c r="AE841" s="1169"/>
      <c r="AF841" s="1177"/>
      <c r="AG841" s="1177"/>
      <c r="AH841" s="1169"/>
      <c r="AI841" s="1169">
        <f t="shared" si="1272"/>
        <v>0</v>
      </c>
      <c r="AJ841" s="1169"/>
      <c r="AK841" s="1170"/>
      <c r="AL841" s="1171"/>
      <c r="AM841" s="1128"/>
      <c r="AN841" s="1170"/>
      <c r="AO841" s="1175"/>
      <c r="AP841" s="1175"/>
      <c r="AQ841" s="1170"/>
      <c r="AR841" s="1170">
        <f t="shared" si="1273"/>
        <v>0</v>
      </c>
      <c r="AS841" s="1170"/>
      <c r="AT841" s="1170"/>
      <c r="AU841" s="1174"/>
      <c r="AV841" s="1128"/>
      <c r="AW841" s="1169"/>
      <c r="AX841" s="1177"/>
      <c r="AY841" s="1177"/>
      <c r="AZ841" s="1169"/>
      <c r="BA841" s="1169">
        <f t="shared" si="1274"/>
        <v>0</v>
      </c>
      <c r="BB841" s="1169"/>
      <c r="BC841" s="1024"/>
      <c r="BD841" s="1027"/>
      <c r="BE841" s="1024"/>
      <c r="BF841" s="1024"/>
      <c r="BG841" s="1008"/>
      <c r="BH841" s="1008"/>
      <c r="BI841" s="1008"/>
      <c r="BJ841" s="1008"/>
      <c r="BK841" s="1008"/>
      <c r="BL841" s="1008"/>
      <c r="BM841" s="1008"/>
    </row>
    <row r="842" s="1215" customFormat="1" ht="16.5" customHeight="1">
      <c r="A842" s="999" t="str">
        <f t="shared" si="1186"/>
        <v xml:space="preserve">Ковалевская ОА,  Горнухина НЕ</v>
      </c>
      <c r="B842" s="1202" t="s">
        <v>416</v>
      </c>
      <c r="C842" s="1202"/>
      <c r="D842" s="1202"/>
      <c r="E842" s="1164">
        <f t="shared" si="1268"/>
        <v>0</v>
      </c>
      <c r="F842" s="1164">
        <f t="shared" si="1268"/>
        <v>0</v>
      </c>
      <c r="G842" s="1165">
        <f t="shared" si="1269"/>
        <v>0</v>
      </c>
      <c r="H842" s="1166"/>
      <c r="I842" s="1167">
        <f t="shared" si="1207"/>
        <v>0</v>
      </c>
      <c r="J842" s="1167">
        <f t="shared" si="1220"/>
        <v>0</v>
      </c>
      <c r="K842" s="1167">
        <f t="shared" si="1188"/>
        <v>0</v>
      </c>
      <c r="L842" s="1128"/>
      <c r="M842" s="1169"/>
      <c r="N842" s="1177"/>
      <c r="O842" s="1169"/>
      <c r="P842" s="1169"/>
      <c r="Q842" s="1169">
        <f t="shared" si="1270"/>
        <v>0</v>
      </c>
      <c r="R842" s="1169"/>
      <c r="S842" s="1170"/>
      <c r="T842" s="1171"/>
      <c r="U842" s="1128"/>
      <c r="V842" s="1169"/>
      <c r="W842" s="1177"/>
      <c r="X842" s="1177"/>
      <c r="Y842" s="1169"/>
      <c r="Z842" s="1169">
        <f t="shared" si="1271"/>
        <v>0</v>
      </c>
      <c r="AA842" s="1169"/>
      <c r="AB842" s="1172">
        <f t="shared" si="1191"/>
        <v>0</v>
      </c>
      <c r="AC842" s="1171"/>
      <c r="AD842" s="1128"/>
      <c r="AE842" s="1169"/>
      <c r="AF842" s="1177"/>
      <c r="AG842" s="1177"/>
      <c r="AH842" s="1169"/>
      <c r="AI842" s="1169">
        <f t="shared" si="1272"/>
        <v>0</v>
      </c>
      <c r="AJ842" s="1169"/>
      <c r="AK842" s="1170"/>
      <c r="AL842" s="1171"/>
      <c r="AM842" s="1128"/>
      <c r="AN842" s="1170"/>
      <c r="AO842" s="1175"/>
      <c r="AP842" s="1175"/>
      <c r="AQ842" s="1170"/>
      <c r="AR842" s="1170">
        <f t="shared" si="1273"/>
        <v>0</v>
      </c>
      <c r="AS842" s="1170"/>
      <c r="AT842" s="1170"/>
      <c r="AU842" s="1174"/>
      <c r="AV842" s="1128"/>
      <c r="AW842" s="1169"/>
      <c r="AX842" s="1177"/>
      <c r="AY842" s="1177"/>
      <c r="AZ842" s="1169"/>
      <c r="BA842" s="1169">
        <f t="shared" si="1274"/>
        <v>0</v>
      </c>
      <c r="BB842" s="1169"/>
      <c r="BC842" s="1024"/>
      <c r="BD842" s="1027"/>
      <c r="BE842" s="1024"/>
      <c r="BF842" s="1024"/>
      <c r="BG842" s="1008"/>
      <c r="BH842" s="1008"/>
      <c r="BI842" s="1008"/>
      <c r="BJ842" s="1008"/>
      <c r="BK842" s="1008"/>
      <c r="BL842" s="1008"/>
      <c r="BM842" s="1008"/>
    </row>
    <row r="843" s="1215" customFormat="1" ht="16.5" customHeight="1">
      <c r="A843" s="999" t="str">
        <f t="shared" si="1186"/>
        <v xml:space="preserve">Никонова-Цыганова Н.А. Столберова МИ</v>
      </c>
      <c r="B843" s="1202" t="s">
        <v>80</v>
      </c>
      <c r="C843" s="1217"/>
      <c r="D843" s="1217"/>
      <c r="E843" s="1164">
        <f t="shared" si="1268"/>
        <v>0</v>
      </c>
      <c r="F843" s="1164">
        <f t="shared" si="1268"/>
        <v>0</v>
      </c>
      <c r="G843" s="1165">
        <f t="shared" si="1269"/>
        <v>0</v>
      </c>
      <c r="H843" s="1166"/>
      <c r="I843" s="1167">
        <f t="shared" si="1207"/>
        <v>0</v>
      </c>
      <c r="J843" s="1167">
        <f t="shared" si="1220"/>
        <v>0</v>
      </c>
      <c r="K843" s="1167">
        <f t="shared" si="1188"/>
        <v>0</v>
      </c>
      <c r="L843" s="1128"/>
      <c r="M843" s="1169"/>
      <c r="N843" s="1199"/>
      <c r="O843" s="1169"/>
      <c r="P843" s="1169"/>
      <c r="Q843" s="1169">
        <f t="shared" si="1270"/>
        <v>0</v>
      </c>
      <c r="R843" s="1169"/>
      <c r="S843" s="1170"/>
      <c r="T843" s="1171"/>
      <c r="U843" s="1128"/>
      <c r="V843" s="1169"/>
      <c r="W843" s="1199"/>
      <c r="X843" s="1177"/>
      <c r="Y843" s="1169"/>
      <c r="Z843" s="1169">
        <f t="shared" si="1271"/>
        <v>0</v>
      </c>
      <c r="AA843" s="1169"/>
      <c r="AB843" s="1172">
        <f t="shared" si="1191"/>
        <v>0</v>
      </c>
      <c r="AC843" s="1171"/>
      <c r="AD843" s="1128"/>
      <c r="AE843" s="1169"/>
      <c r="AF843" s="1199"/>
      <c r="AG843" s="1177"/>
      <c r="AH843" s="1169"/>
      <c r="AI843" s="1169">
        <f t="shared" si="1272"/>
        <v>0</v>
      </c>
      <c r="AJ843" s="1169"/>
      <c r="AK843" s="1170"/>
      <c r="AL843" s="1171"/>
      <c r="AM843" s="1128"/>
      <c r="AN843" s="1170"/>
      <c r="AO843" s="1200"/>
      <c r="AP843" s="1175"/>
      <c r="AQ843" s="1170"/>
      <c r="AR843" s="1170">
        <f t="shared" si="1273"/>
        <v>0</v>
      </c>
      <c r="AS843" s="1170"/>
      <c r="AT843" s="1170"/>
      <c r="AU843" s="1174"/>
      <c r="AV843" s="1128"/>
      <c r="AW843" s="1169"/>
      <c r="AX843" s="1199"/>
      <c r="AY843" s="1177"/>
      <c r="AZ843" s="1169"/>
      <c r="BA843" s="1169">
        <f t="shared" si="1274"/>
        <v>0</v>
      </c>
      <c r="BB843" s="1169"/>
      <c r="BC843" s="1024"/>
      <c r="BD843" s="1027"/>
      <c r="BE843" s="1024"/>
      <c r="BF843" s="1024"/>
      <c r="BG843" s="1008"/>
      <c r="BH843" s="1008"/>
      <c r="BI843" s="1008"/>
      <c r="BJ843" s="1008"/>
      <c r="BK843" s="1008"/>
      <c r="BL843" s="1008"/>
      <c r="BM843" s="1008"/>
    </row>
    <row r="844" s="1215" customFormat="1" ht="16.5" customHeight="1">
      <c r="A844" s="999" t="str">
        <f t="shared" si="1186"/>
        <v xml:space="preserve">Шевкунова С.А.</v>
      </c>
      <c r="B844" s="1202" t="s">
        <v>419</v>
      </c>
      <c r="C844" s="1202"/>
      <c r="D844" s="1202"/>
      <c r="E844" s="1164">
        <f t="shared" si="1268"/>
        <v>0</v>
      </c>
      <c r="F844" s="1164">
        <f t="shared" si="1268"/>
        <v>0</v>
      </c>
      <c r="G844" s="1165">
        <f t="shared" si="1269"/>
        <v>0</v>
      </c>
      <c r="H844" s="1166"/>
      <c r="I844" s="1167">
        <f t="shared" si="1207"/>
        <v>0</v>
      </c>
      <c r="J844" s="1167">
        <f t="shared" si="1220"/>
        <v>0</v>
      </c>
      <c r="K844" s="1167">
        <f t="shared" si="1188"/>
        <v>0</v>
      </c>
      <c r="L844" s="1128"/>
      <c r="M844" s="1169"/>
      <c r="N844" s="1177"/>
      <c r="O844" s="1169"/>
      <c r="P844" s="1169"/>
      <c r="Q844" s="1169">
        <f t="shared" si="1270"/>
        <v>0</v>
      </c>
      <c r="R844" s="1169"/>
      <c r="S844" s="1170"/>
      <c r="T844" s="1171"/>
      <c r="U844" s="1128"/>
      <c r="V844" s="1169"/>
      <c r="W844" s="1177"/>
      <c r="X844" s="1177"/>
      <c r="Y844" s="1169"/>
      <c r="Z844" s="1169">
        <f t="shared" si="1271"/>
        <v>0</v>
      </c>
      <c r="AA844" s="1169"/>
      <c r="AB844" s="1172">
        <f t="shared" si="1191"/>
        <v>0</v>
      </c>
      <c r="AC844" s="1171"/>
      <c r="AD844" s="1128"/>
      <c r="AE844" s="1169"/>
      <c r="AF844" s="1177"/>
      <c r="AG844" s="1177"/>
      <c r="AH844" s="1169"/>
      <c r="AI844" s="1169">
        <f t="shared" si="1272"/>
        <v>0</v>
      </c>
      <c r="AJ844" s="1169"/>
      <c r="AK844" s="1170"/>
      <c r="AL844" s="1171"/>
      <c r="AM844" s="1128"/>
      <c r="AN844" s="1170"/>
      <c r="AO844" s="1175"/>
      <c r="AP844" s="1175"/>
      <c r="AQ844" s="1170"/>
      <c r="AR844" s="1170">
        <f t="shared" si="1273"/>
        <v>0</v>
      </c>
      <c r="AS844" s="1170"/>
      <c r="AT844" s="1170"/>
      <c r="AU844" s="1174"/>
      <c r="AV844" s="1128"/>
      <c r="AW844" s="1169"/>
      <c r="AX844" s="1177"/>
      <c r="AY844" s="1177"/>
      <c r="AZ844" s="1169"/>
      <c r="BA844" s="1169">
        <f t="shared" si="1274"/>
        <v>0</v>
      </c>
      <c r="BB844" s="1169"/>
      <c r="BC844" s="1024"/>
      <c r="BD844" s="1027"/>
      <c r="BE844" s="1024"/>
      <c r="BF844" s="1024"/>
      <c r="BG844" s="1008"/>
      <c r="BH844" s="1008"/>
      <c r="BI844" s="1008"/>
      <c r="BJ844" s="1008"/>
      <c r="BK844" s="1008"/>
      <c r="BL844" s="1008"/>
      <c r="BM844" s="1008"/>
    </row>
    <row r="845" s="1215" customFormat="1" ht="16.5" customHeight="1">
      <c r="A845" s="999" t="str">
        <f t="shared" si="1186"/>
        <v xml:space="preserve">Никонова-Цыганова Н.А. Столберова МИ</v>
      </c>
      <c r="B845" s="1205" t="s">
        <v>363</v>
      </c>
      <c r="C845" s="1205"/>
      <c r="D845" s="1205"/>
      <c r="E845" s="1302">
        <f>SUM(E837:E844)</f>
        <v>0</v>
      </c>
      <c r="F845" s="1302">
        <f>SUM(F837:F844)</f>
        <v>0</v>
      </c>
      <c r="G845" s="1220">
        <f>SUM(G837:G844)</f>
        <v>0</v>
      </c>
      <c r="H845" s="1221"/>
      <c r="I845" s="1167">
        <f t="shared" si="1207"/>
        <v>0</v>
      </c>
      <c r="J845" s="1167">
        <f t="shared" si="1220"/>
        <v>0</v>
      </c>
      <c r="K845" s="1167">
        <f t="shared" si="1188"/>
        <v>0</v>
      </c>
      <c r="L845" s="1197"/>
      <c r="M845" s="1096">
        <f t="shared" ref="M845:R845" si="1275">SUM(M837:M844)</f>
        <v>0</v>
      </c>
      <c r="N845" s="1096">
        <f t="shared" si="1275"/>
        <v>0</v>
      </c>
      <c r="O845" s="1096">
        <f t="shared" si="1275"/>
        <v>0</v>
      </c>
      <c r="P845" s="1096">
        <f t="shared" si="1275"/>
        <v>0</v>
      </c>
      <c r="Q845" s="1096">
        <f t="shared" si="1275"/>
        <v>0</v>
      </c>
      <c r="R845" s="1096">
        <f t="shared" si="1275"/>
        <v>0</v>
      </c>
      <c r="S845" s="1190"/>
      <c r="T845" s="1189"/>
      <c r="U845" s="1197"/>
      <c r="V845" s="1096">
        <f t="shared" ref="V845:AA845" si="1276">SUM(V837:V844)</f>
        <v>0</v>
      </c>
      <c r="W845" s="1096">
        <f t="shared" si="1276"/>
        <v>0</v>
      </c>
      <c r="X845" s="1096">
        <f t="shared" si="1276"/>
        <v>0</v>
      </c>
      <c r="Y845" s="1096">
        <f t="shared" si="1276"/>
        <v>0</v>
      </c>
      <c r="Z845" s="1096">
        <f t="shared" si="1276"/>
        <v>0</v>
      </c>
      <c r="AA845" s="1096">
        <f t="shared" si="1276"/>
        <v>0</v>
      </c>
      <c r="AB845" s="1172">
        <f t="shared" si="1191"/>
        <v>0</v>
      </c>
      <c r="AC845" s="1189"/>
      <c r="AD845" s="1197"/>
      <c r="AE845" s="1096">
        <f t="shared" ref="AE845:AJ845" si="1277">SUM(AE837:AE844)</f>
        <v>0</v>
      </c>
      <c r="AF845" s="1096">
        <f t="shared" si="1277"/>
        <v>0</v>
      </c>
      <c r="AG845" s="1096">
        <f t="shared" si="1277"/>
        <v>0</v>
      </c>
      <c r="AH845" s="1096">
        <f t="shared" si="1277"/>
        <v>0</v>
      </c>
      <c r="AI845" s="1096">
        <f t="shared" si="1277"/>
        <v>0</v>
      </c>
      <c r="AJ845" s="1096">
        <f t="shared" si="1277"/>
        <v>0</v>
      </c>
      <c r="AK845" s="1190"/>
      <c r="AL845" s="1189"/>
      <c r="AM845" s="1197"/>
      <c r="AN845" s="1190">
        <f t="shared" ref="AN845:AS845" si="1278">SUM(AN837:AN844)</f>
        <v>0</v>
      </c>
      <c r="AO845" s="1190">
        <f t="shared" si="1278"/>
        <v>0</v>
      </c>
      <c r="AP845" s="1190">
        <f t="shared" si="1278"/>
        <v>0</v>
      </c>
      <c r="AQ845" s="1190">
        <f t="shared" si="1278"/>
        <v>0</v>
      </c>
      <c r="AR845" s="1190">
        <f t="shared" si="1278"/>
        <v>0</v>
      </c>
      <c r="AS845" s="1190">
        <f t="shared" si="1278"/>
        <v>0</v>
      </c>
      <c r="AT845" s="1190"/>
      <c r="AU845" s="1191"/>
      <c r="AV845" s="1197">
        <f t="shared" ref="AV845:BB845" si="1279">SUM(AV837:AV844)</f>
        <v>0</v>
      </c>
      <c r="AW845" s="1096">
        <f t="shared" si="1279"/>
        <v>0</v>
      </c>
      <c r="AX845" s="1096">
        <f t="shared" si="1279"/>
        <v>0</v>
      </c>
      <c r="AY845" s="1096">
        <f t="shared" si="1279"/>
        <v>0</v>
      </c>
      <c r="AZ845" s="1096">
        <f t="shared" si="1279"/>
        <v>0</v>
      </c>
      <c r="BA845" s="1096">
        <f t="shared" si="1279"/>
        <v>0</v>
      </c>
      <c r="BB845" s="1096">
        <f t="shared" si="1279"/>
        <v>0</v>
      </c>
      <c r="BC845" s="1024"/>
      <c r="BD845" s="1027"/>
      <c r="BE845" s="1024"/>
      <c r="BF845" s="1024"/>
      <c r="BG845" s="1008"/>
      <c r="BH845" s="1008"/>
      <c r="BI845" s="1008"/>
      <c r="BJ845" s="1008"/>
      <c r="BK845" s="1008"/>
      <c r="BL845" s="1008"/>
      <c r="BM845" s="1008"/>
    </row>
    <row r="846" s="1215" customFormat="1" ht="16.5" customHeight="1">
      <c r="A846" s="999" t="str">
        <f t="shared" si="1186"/>
        <v xml:space="preserve">Шеламкова Н.В.</v>
      </c>
      <c r="B846" s="1202" t="s">
        <v>421</v>
      </c>
      <c r="C846" s="1202"/>
      <c r="D846" s="1202"/>
      <c r="E846" s="1164">
        <f t="shared" ref="E846:F858" si="1280">Q846+Z846+AI846+AR846+BA846</f>
        <v>0</v>
      </c>
      <c r="F846" s="1164">
        <f t="shared" si="1280"/>
        <v>0</v>
      </c>
      <c r="G846" s="1165">
        <f t="shared" ref="G846:G858" si="1281">E846+F846</f>
        <v>0</v>
      </c>
      <c r="H846" s="1166"/>
      <c r="I846" s="1167">
        <f t="shared" si="1207"/>
        <v>0</v>
      </c>
      <c r="J846" s="1167">
        <f t="shared" si="1220"/>
        <v>0</v>
      </c>
      <c r="K846" s="1167">
        <f t="shared" si="1188"/>
        <v>0</v>
      </c>
      <c r="L846" s="1128"/>
      <c r="M846" s="1169"/>
      <c r="N846" s="1177"/>
      <c r="O846" s="1169"/>
      <c r="P846" s="1169"/>
      <c r="Q846" s="1169">
        <f t="shared" ref="Q846:Q858" si="1282">SUM(M846:P846)</f>
        <v>0</v>
      </c>
      <c r="R846" s="1169"/>
      <c r="S846" s="1170"/>
      <c r="T846" s="1171"/>
      <c r="U846" s="1128"/>
      <c r="V846" s="1169"/>
      <c r="W846" s="1177"/>
      <c r="X846" s="1177"/>
      <c r="Y846" s="1169"/>
      <c r="Z846" s="1169">
        <f t="shared" ref="Z846:Z858" si="1283">SUM(V846:Y846)</f>
        <v>0</v>
      </c>
      <c r="AA846" s="1169"/>
      <c r="AB846" s="1172">
        <f t="shared" si="1191"/>
        <v>0</v>
      </c>
      <c r="AC846" s="1171"/>
      <c r="AD846" s="1128"/>
      <c r="AE846" s="1169"/>
      <c r="AF846" s="1177"/>
      <c r="AG846" s="1177"/>
      <c r="AH846" s="1169"/>
      <c r="AI846" s="1169">
        <f t="shared" ref="AI846:AI858" si="1284">SUM(AE846:AH846)</f>
        <v>0</v>
      </c>
      <c r="AJ846" s="1169"/>
      <c r="AK846" s="1170"/>
      <c r="AL846" s="1171"/>
      <c r="AM846" s="1128"/>
      <c r="AN846" s="1170"/>
      <c r="AO846" s="1175"/>
      <c r="AP846" s="1175"/>
      <c r="AQ846" s="1170"/>
      <c r="AR846" s="1170">
        <f t="shared" ref="AR846:AR858" si="1285">SUM(AN846:AQ846)</f>
        <v>0</v>
      </c>
      <c r="AS846" s="1170"/>
      <c r="AT846" s="1170"/>
      <c r="AU846" s="1174"/>
      <c r="AV846" s="1128"/>
      <c r="AW846" s="1169"/>
      <c r="AX846" s="1177"/>
      <c r="AY846" s="1177"/>
      <c r="AZ846" s="1169"/>
      <c r="BA846" s="1169">
        <f t="shared" ref="BA846:BA858" si="1286">SUM(AW846:AZ846)</f>
        <v>0</v>
      </c>
      <c r="BB846" s="1169"/>
      <c r="BC846" s="1024"/>
      <c r="BD846" s="1027"/>
      <c r="BE846" s="1024"/>
      <c r="BF846" s="1024"/>
      <c r="BG846" s="1008"/>
      <c r="BH846" s="1008"/>
      <c r="BI846" s="1008"/>
      <c r="BJ846" s="1008"/>
      <c r="BK846" s="1008"/>
      <c r="BL846" s="1008"/>
      <c r="BM846" s="1008"/>
    </row>
    <row r="847" s="1215" customFormat="1" ht="16.5" customHeight="1">
      <c r="A847" s="999" t="str">
        <f t="shared" si="1186"/>
        <v xml:space="preserve">Буланова О.Н. Сычева Ю.В.</v>
      </c>
      <c r="B847" s="1202" t="s">
        <v>68</v>
      </c>
      <c r="C847" s="1202"/>
      <c r="D847" s="1202"/>
      <c r="E847" s="1164">
        <f t="shared" si="1280"/>
        <v>0</v>
      </c>
      <c r="F847" s="1164">
        <f t="shared" si="1280"/>
        <v>0</v>
      </c>
      <c r="G847" s="1165">
        <f t="shared" si="1281"/>
        <v>0</v>
      </c>
      <c r="H847" s="1166"/>
      <c r="I847" s="1167">
        <f t="shared" si="1207"/>
        <v>0</v>
      </c>
      <c r="J847" s="1167">
        <f t="shared" si="1220"/>
        <v>0</v>
      </c>
      <c r="K847" s="1167">
        <f t="shared" si="1188"/>
        <v>0</v>
      </c>
      <c r="L847" s="1128"/>
      <c r="M847" s="1169"/>
      <c r="N847" s="1177"/>
      <c r="O847" s="1169"/>
      <c r="P847" s="1169"/>
      <c r="Q847" s="1169">
        <f t="shared" si="1282"/>
        <v>0</v>
      </c>
      <c r="R847" s="1169"/>
      <c r="S847" s="1170"/>
      <c r="T847" s="1171"/>
      <c r="U847" s="1128"/>
      <c r="V847" s="1169"/>
      <c r="W847" s="1177"/>
      <c r="X847" s="1177"/>
      <c r="Y847" s="1169"/>
      <c r="Z847" s="1169">
        <f t="shared" si="1283"/>
        <v>0</v>
      </c>
      <c r="AA847" s="1169"/>
      <c r="AB847" s="1172">
        <f t="shared" si="1191"/>
        <v>0</v>
      </c>
      <c r="AC847" s="1171"/>
      <c r="AD847" s="1128"/>
      <c r="AE847" s="1169"/>
      <c r="AF847" s="1177"/>
      <c r="AG847" s="1177"/>
      <c r="AH847" s="1169"/>
      <c r="AI847" s="1169">
        <f t="shared" si="1284"/>
        <v>0</v>
      </c>
      <c r="AJ847" s="1169"/>
      <c r="AK847" s="1170"/>
      <c r="AL847" s="1171"/>
      <c r="AM847" s="1128"/>
      <c r="AN847" s="1170"/>
      <c r="AO847" s="1175"/>
      <c r="AP847" s="1175"/>
      <c r="AQ847" s="1170"/>
      <c r="AR847" s="1170">
        <f t="shared" si="1285"/>
        <v>0</v>
      </c>
      <c r="AS847" s="1170"/>
      <c r="AT847" s="1170"/>
      <c r="AU847" s="1174"/>
      <c r="AV847" s="1128"/>
      <c r="AW847" s="1169"/>
      <c r="AX847" s="1177"/>
      <c r="AY847" s="1177"/>
      <c r="AZ847" s="1169"/>
      <c r="BA847" s="1169">
        <f t="shared" si="1286"/>
        <v>0</v>
      </c>
      <c r="BB847" s="1169"/>
      <c r="BC847" s="1024"/>
      <c r="BD847" s="1027"/>
      <c r="BE847" s="1024"/>
      <c r="BF847" s="1024"/>
      <c r="BG847" s="1008"/>
      <c r="BH847" s="1008"/>
      <c r="BI847" s="1008"/>
      <c r="BJ847" s="1008"/>
      <c r="BK847" s="1008"/>
      <c r="BL847" s="1008"/>
      <c r="BM847" s="1008"/>
    </row>
    <row r="848" s="1215" customFormat="1" ht="16.5" customHeight="1">
      <c r="A848" s="999" t="str">
        <f t="shared" si="1186"/>
        <v xml:space="preserve">Бояринцева Н.А.</v>
      </c>
      <c r="B848" s="1202" t="s">
        <v>289</v>
      </c>
      <c r="C848" s="1202"/>
      <c r="D848" s="1202"/>
      <c r="E848" s="1164">
        <f t="shared" si="1280"/>
        <v>0</v>
      </c>
      <c r="F848" s="1164">
        <f t="shared" si="1280"/>
        <v>0</v>
      </c>
      <c r="G848" s="1165">
        <f t="shared" si="1281"/>
        <v>0</v>
      </c>
      <c r="H848" s="1166"/>
      <c r="I848" s="1167">
        <f t="shared" si="1207"/>
        <v>0</v>
      </c>
      <c r="J848" s="1167">
        <f t="shared" si="1220"/>
        <v>0</v>
      </c>
      <c r="K848" s="1167">
        <f t="shared" si="1188"/>
        <v>0</v>
      </c>
      <c r="L848" s="1128"/>
      <c r="M848" s="1169"/>
      <c r="N848" s="1177"/>
      <c r="O848" s="1169"/>
      <c r="P848" s="1169"/>
      <c r="Q848" s="1169">
        <f t="shared" si="1282"/>
        <v>0</v>
      </c>
      <c r="R848" s="1169"/>
      <c r="S848" s="1170"/>
      <c r="T848" s="1171"/>
      <c r="U848" s="1128"/>
      <c r="V848" s="1169"/>
      <c r="W848" s="1177"/>
      <c r="X848" s="1177"/>
      <c r="Y848" s="1169"/>
      <c r="Z848" s="1169">
        <f t="shared" si="1283"/>
        <v>0</v>
      </c>
      <c r="AA848" s="1169"/>
      <c r="AB848" s="1172">
        <f t="shared" si="1191"/>
        <v>0</v>
      </c>
      <c r="AC848" s="1171"/>
      <c r="AD848" s="1128"/>
      <c r="AE848" s="1169"/>
      <c r="AF848" s="1177"/>
      <c r="AG848" s="1177"/>
      <c r="AH848" s="1169"/>
      <c r="AI848" s="1169">
        <f t="shared" si="1284"/>
        <v>0</v>
      </c>
      <c r="AJ848" s="1169"/>
      <c r="AK848" s="1170"/>
      <c r="AL848" s="1171"/>
      <c r="AM848" s="1128"/>
      <c r="AN848" s="1170"/>
      <c r="AO848" s="1175"/>
      <c r="AP848" s="1175"/>
      <c r="AQ848" s="1170"/>
      <c r="AR848" s="1170">
        <f t="shared" si="1285"/>
        <v>0</v>
      </c>
      <c r="AS848" s="1170"/>
      <c r="AT848" s="1170"/>
      <c r="AU848" s="1174"/>
      <c r="AV848" s="1128"/>
      <c r="AW848" s="1169"/>
      <c r="AX848" s="1177"/>
      <c r="AY848" s="1177"/>
      <c r="AZ848" s="1169"/>
      <c r="BA848" s="1169">
        <f t="shared" si="1286"/>
        <v>0</v>
      </c>
      <c r="BB848" s="1169"/>
      <c r="BC848" s="1024"/>
      <c r="BD848" s="1027"/>
      <c r="BE848" s="1024"/>
      <c r="BF848" s="1024"/>
      <c r="BG848" s="1008"/>
      <c r="BH848" s="1008"/>
      <c r="BI848" s="1008"/>
      <c r="BJ848" s="1008"/>
      <c r="BK848" s="1008"/>
      <c r="BL848" s="1008"/>
      <c r="BM848" s="1008"/>
    </row>
    <row r="849" s="1215" customFormat="1" ht="16.5" customHeight="1">
      <c r="A849" s="999">
        <f t="shared" si="1186"/>
        <v>0</v>
      </c>
      <c r="B849" s="1202" t="s">
        <v>424</v>
      </c>
      <c r="C849" s="1202"/>
      <c r="D849" s="1202"/>
      <c r="E849" s="1164">
        <f t="shared" si="1280"/>
        <v>0</v>
      </c>
      <c r="F849" s="1164">
        <f t="shared" si="1280"/>
        <v>0</v>
      </c>
      <c r="G849" s="1165">
        <f t="shared" si="1281"/>
        <v>0</v>
      </c>
      <c r="H849" s="1166"/>
      <c r="I849" s="1167">
        <f t="shared" si="1207"/>
        <v>0</v>
      </c>
      <c r="J849" s="1167">
        <f t="shared" si="1220"/>
        <v>0</v>
      </c>
      <c r="K849" s="1167">
        <f t="shared" si="1188"/>
        <v>0</v>
      </c>
      <c r="L849" s="1128"/>
      <c r="M849" s="1169"/>
      <c r="N849" s="1177"/>
      <c r="O849" s="1169"/>
      <c r="P849" s="1169"/>
      <c r="Q849" s="1169">
        <f t="shared" si="1282"/>
        <v>0</v>
      </c>
      <c r="R849" s="1169"/>
      <c r="S849" s="1170"/>
      <c r="T849" s="1171"/>
      <c r="U849" s="1128"/>
      <c r="V849" s="1169"/>
      <c r="W849" s="1177"/>
      <c r="X849" s="1177"/>
      <c r="Y849" s="1169"/>
      <c r="Z849" s="1169">
        <f t="shared" si="1283"/>
        <v>0</v>
      </c>
      <c r="AA849" s="1169"/>
      <c r="AB849" s="1172">
        <f t="shared" si="1191"/>
        <v>0</v>
      </c>
      <c r="AC849" s="1171"/>
      <c r="AD849" s="1128"/>
      <c r="AE849" s="1169"/>
      <c r="AF849" s="1177"/>
      <c r="AG849" s="1177"/>
      <c r="AH849" s="1169"/>
      <c r="AI849" s="1169">
        <f t="shared" si="1284"/>
        <v>0</v>
      </c>
      <c r="AJ849" s="1169"/>
      <c r="AK849" s="1170"/>
      <c r="AL849" s="1171"/>
      <c r="AM849" s="1128"/>
      <c r="AN849" s="1170"/>
      <c r="AO849" s="1175"/>
      <c r="AP849" s="1175"/>
      <c r="AQ849" s="1170"/>
      <c r="AR849" s="1170">
        <f t="shared" si="1285"/>
        <v>0</v>
      </c>
      <c r="AS849" s="1170"/>
      <c r="AT849" s="1170"/>
      <c r="AU849" s="1174"/>
      <c r="AV849" s="1128"/>
      <c r="AW849" s="1169"/>
      <c r="AX849" s="1177"/>
      <c r="AY849" s="1177"/>
      <c r="AZ849" s="1169"/>
      <c r="BA849" s="1169">
        <f t="shared" si="1286"/>
        <v>0</v>
      </c>
      <c r="BB849" s="1169"/>
      <c r="BC849" s="1024"/>
      <c r="BD849" s="1027"/>
      <c r="BE849" s="1024"/>
      <c r="BF849" s="1024"/>
      <c r="BG849" s="1008"/>
      <c r="BH849" s="1008"/>
      <c r="BI849" s="1008"/>
      <c r="BJ849" s="1008"/>
      <c r="BK849" s="1008"/>
      <c r="BL849" s="1008"/>
      <c r="BM849" s="1008"/>
    </row>
    <row r="850" s="1215" customFormat="1" ht="16.5" customHeight="1">
      <c r="A850" s="999" t="str">
        <f t="shared" si="1186"/>
        <v xml:space="preserve">Соболева Т.Ю.</v>
      </c>
      <c r="B850" s="1202" t="s">
        <v>426</v>
      </c>
      <c r="C850" s="1202"/>
      <c r="D850" s="1202"/>
      <c r="E850" s="1164">
        <f t="shared" si="1280"/>
        <v>0</v>
      </c>
      <c r="F850" s="1164">
        <f t="shared" si="1280"/>
        <v>0</v>
      </c>
      <c r="G850" s="1165">
        <f t="shared" si="1281"/>
        <v>0</v>
      </c>
      <c r="H850" s="1166"/>
      <c r="I850" s="1167">
        <f t="shared" si="1207"/>
        <v>0</v>
      </c>
      <c r="J850" s="1167">
        <f t="shared" si="1220"/>
        <v>0</v>
      </c>
      <c r="K850" s="1167">
        <f t="shared" si="1188"/>
        <v>0</v>
      </c>
      <c r="L850" s="1128"/>
      <c r="M850" s="1169"/>
      <c r="N850" s="1177"/>
      <c r="O850" s="1169"/>
      <c r="P850" s="1169"/>
      <c r="Q850" s="1169">
        <f t="shared" si="1282"/>
        <v>0</v>
      </c>
      <c r="R850" s="1169"/>
      <c r="S850" s="1170"/>
      <c r="T850" s="1171"/>
      <c r="U850" s="1128"/>
      <c r="V850" s="1169"/>
      <c r="W850" s="1177"/>
      <c r="X850" s="1177"/>
      <c r="Y850" s="1169"/>
      <c r="Z850" s="1169">
        <f t="shared" si="1283"/>
        <v>0</v>
      </c>
      <c r="AA850" s="1169"/>
      <c r="AB850" s="1172">
        <f t="shared" si="1191"/>
        <v>0</v>
      </c>
      <c r="AC850" s="1171"/>
      <c r="AD850" s="1128"/>
      <c r="AE850" s="1169"/>
      <c r="AF850" s="1177"/>
      <c r="AG850" s="1177"/>
      <c r="AH850" s="1169"/>
      <c r="AI850" s="1169">
        <f t="shared" si="1284"/>
        <v>0</v>
      </c>
      <c r="AJ850" s="1169"/>
      <c r="AK850" s="1170"/>
      <c r="AL850" s="1171"/>
      <c r="AM850" s="1128"/>
      <c r="AN850" s="1170"/>
      <c r="AO850" s="1175"/>
      <c r="AP850" s="1175"/>
      <c r="AQ850" s="1170"/>
      <c r="AR850" s="1170">
        <f t="shared" si="1285"/>
        <v>0</v>
      </c>
      <c r="AS850" s="1170"/>
      <c r="AT850" s="1170"/>
      <c r="AU850" s="1174"/>
      <c r="AV850" s="1128"/>
      <c r="AW850" s="1169"/>
      <c r="AX850" s="1177"/>
      <c r="AY850" s="1177"/>
      <c r="AZ850" s="1169"/>
      <c r="BA850" s="1169">
        <f t="shared" si="1286"/>
        <v>0</v>
      </c>
      <c r="BB850" s="1169"/>
      <c r="BC850" s="1024"/>
      <c r="BD850" s="1027"/>
      <c r="BE850" s="1024"/>
      <c r="BF850" s="1024"/>
      <c r="BG850" s="1008"/>
      <c r="BH850" s="1008"/>
      <c r="BI850" s="1008"/>
      <c r="BJ850" s="1008"/>
      <c r="BK850" s="1008"/>
      <c r="BL850" s="1008"/>
      <c r="BM850" s="1008"/>
    </row>
    <row r="851" s="1215" customFormat="1" ht="16.5" customHeight="1">
      <c r="A851" s="999">
        <f t="shared" si="1186"/>
        <v>0</v>
      </c>
      <c r="B851" s="1202" t="s">
        <v>427</v>
      </c>
      <c r="C851" s="1202"/>
      <c r="D851" s="1202"/>
      <c r="E851" s="1164">
        <f t="shared" si="1280"/>
        <v>0</v>
      </c>
      <c r="F851" s="1164">
        <f t="shared" si="1280"/>
        <v>0</v>
      </c>
      <c r="G851" s="1165">
        <f t="shared" si="1281"/>
        <v>0</v>
      </c>
      <c r="H851" s="1166"/>
      <c r="I851" s="1167">
        <f t="shared" si="1207"/>
        <v>0</v>
      </c>
      <c r="J851" s="1167">
        <f t="shared" si="1220"/>
        <v>0</v>
      </c>
      <c r="K851" s="1167">
        <f t="shared" si="1188"/>
        <v>0</v>
      </c>
      <c r="L851" s="1128"/>
      <c r="M851" s="1169"/>
      <c r="N851" s="1177"/>
      <c r="O851" s="1169"/>
      <c r="P851" s="1169"/>
      <c r="Q851" s="1169">
        <f t="shared" si="1282"/>
        <v>0</v>
      </c>
      <c r="R851" s="1169"/>
      <c r="S851" s="1170"/>
      <c r="T851" s="1171"/>
      <c r="U851" s="1128"/>
      <c r="V851" s="1169"/>
      <c r="W851" s="1177"/>
      <c r="X851" s="1177"/>
      <c r="Y851" s="1169"/>
      <c r="Z851" s="1169">
        <f t="shared" si="1283"/>
        <v>0</v>
      </c>
      <c r="AA851" s="1169"/>
      <c r="AB851" s="1172">
        <f t="shared" si="1191"/>
        <v>0</v>
      </c>
      <c r="AC851" s="1171"/>
      <c r="AD851" s="1128"/>
      <c r="AE851" s="1169"/>
      <c r="AF851" s="1177"/>
      <c r="AG851" s="1177"/>
      <c r="AH851" s="1169"/>
      <c r="AI851" s="1169">
        <f t="shared" si="1284"/>
        <v>0</v>
      </c>
      <c r="AJ851" s="1169"/>
      <c r="AK851" s="1170"/>
      <c r="AL851" s="1171"/>
      <c r="AM851" s="1128"/>
      <c r="AN851" s="1170"/>
      <c r="AO851" s="1175"/>
      <c r="AP851" s="1175"/>
      <c r="AQ851" s="1170"/>
      <c r="AR851" s="1170">
        <f t="shared" si="1285"/>
        <v>0</v>
      </c>
      <c r="AS851" s="1170"/>
      <c r="AT851" s="1170"/>
      <c r="AU851" s="1174"/>
      <c r="AV851" s="1128"/>
      <c r="AW851" s="1169"/>
      <c r="AX851" s="1177"/>
      <c r="AY851" s="1177"/>
      <c r="AZ851" s="1169"/>
      <c r="BA851" s="1169">
        <f t="shared" si="1286"/>
        <v>0</v>
      </c>
      <c r="BB851" s="1169"/>
      <c r="BC851" s="1024"/>
      <c r="BD851" s="1027"/>
      <c r="BE851" s="1024"/>
      <c r="BF851" s="1024"/>
      <c r="BG851" s="1008"/>
      <c r="BH851" s="1008"/>
      <c r="BI851" s="1008"/>
      <c r="BJ851" s="1008"/>
      <c r="BK851" s="1008"/>
      <c r="BL851" s="1008"/>
      <c r="BM851" s="1008"/>
    </row>
    <row r="852" s="1215" customFormat="1" ht="16.5" customHeight="1">
      <c r="A852" s="999" t="str">
        <f t="shared" si="1186"/>
        <v xml:space="preserve">Астапова С.А.</v>
      </c>
      <c r="B852" s="1202" t="s">
        <v>73</v>
      </c>
      <c r="C852" s="1202"/>
      <c r="D852" s="1202"/>
      <c r="E852" s="1164">
        <f t="shared" si="1280"/>
        <v>0</v>
      </c>
      <c r="F852" s="1164">
        <f t="shared" si="1280"/>
        <v>0</v>
      </c>
      <c r="G852" s="1165">
        <f t="shared" si="1281"/>
        <v>0</v>
      </c>
      <c r="H852" s="1166"/>
      <c r="I852" s="1167">
        <f t="shared" si="1207"/>
        <v>0</v>
      </c>
      <c r="J852" s="1167">
        <f t="shared" si="1220"/>
        <v>0</v>
      </c>
      <c r="K852" s="1167">
        <f t="shared" si="1188"/>
        <v>0</v>
      </c>
      <c r="L852" s="1128"/>
      <c r="M852" s="1169"/>
      <c r="N852" s="1177"/>
      <c r="O852" s="1169"/>
      <c r="P852" s="1169"/>
      <c r="Q852" s="1169">
        <f t="shared" si="1282"/>
        <v>0</v>
      </c>
      <c r="R852" s="1169"/>
      <c r="S852" s="1170"/>
      <c r="T852" s="1171"/>
      <c r="U852" s="1128"/>
      <c r="V852" s="1169"/>
      <c r="W852" s="1177"/>
      <c r="X852" s="1177"/>
      <c r="Y852" s="1169"/>
      <c r="Z852" s="1169">
        <f t="shared" si="1283"/>
        <v>0</v>
      </c>
      <c r="AA852" s="1169"/>
      <c r="AB852" s="1172">
        <f t="shared" si="1191"/>
        <v>0</v>
      </c>
      <c r="AC852" s="1171"/>
      <c r="AD852" s="1128"/>
      <c r="AE852" s="1169"/>
      <c r="AF852" s="1177"/>
      <c r="AG852" s="1177"/>
      <c r="AH852" s="1169"/>
      <c r="AI852" s="1169">
        <f t="shared" si="1284"/>
        <v>0</v>
      </c>
      <c r="AJ852" s="1169"/>
      <c r="AK852" s="1170"/>
      <c r="AL852" s="1171"/>
      <c r="AM852" s="1128"/>
      <c r="AN852" s="1170"/>
      <c r="AO852" s="1175"/>
      <c r="AP852" s="1175"/>
      <c r="AQ852" s="1170"/>
      <c r="AR852" s="1170">
        <f t="shared" si="1285"/>
        <v>0</v>
      </c>
      <c r="AS852" s="1170"/>
      <c r="AT852" s="1170"/>
      <c r="AU852" s="1174"/>
      <c r="AV852" s="1128"/>
      <c r="AW852" s="1169"/>
      <c r="AX852" s="1177"/>
      <c r="AY852" s="1177"/>
      <c r="AZ852" s="1169"/>
      <c r="BA852" s="1169">
        <f t="shared" si="1286"/>
        <v>0</v>
      </c>
      <c r="BB852" s="1169"/>
      <c r="BC852" s="1024"/>
      <c r="BD852" s="1027"/>
      <c r="BE852" s="1024"/>
      <c r="BF852" s="1024"/>
      <c r="BG852" s="1008"/>
      <c r="BH852" s="1008"/>
      <c r="BI852" s="1008"/>
      <c r="BJ852" s="1008"/>
      <c r="BK852" s="1008"/>
      <c r="BL852" s="1008"/>
      <c r="BM852" s="1008"/>
    </row>
    <row r="853" s="1215" customFormat="1" ht="16.5" customHeight="1">
      <c r="A853" s="999" t="str">
        <f t="shared" si="1186"/>
        <v xml:space="preserve">Кирпа Е.Д.</v>
      </c>
      <c r="B853" s="1202" t="s">
        <v>75</v>
      </c>
      <c r="C853" s="1202"/>
      <c r="D853" s="1202"/>
      <c r="E853" s="1164">
        <f t="shared" si="1280"/>
        <v>0</v>
      </c>
      <c r="F853" s="1164">
        <f t="shared" si="1280"/>
        <v>0</v>
      </c>
      <c r="G853" s="1165">
        <f t="shared" si="1281"/>
        <v>0</v>
      </c>
      <c r="H853" s="1166"/>
      <c r="I853" s="1167">
        <f t="shared" si="1207"/>
        <v>0</v>
      </c>
      <c r="J853" s="1167">
        <f t="shared" si="1220"/>
        <v>0</v>
      </c>
      <c r="K853" s="1167">
        <f t="shared" si="1188"/>
        <v>0</v>
      </c>
      <c r="L853" s="1128"/>
      <c r="M853" s="1169"/>
      <c r="N853" s="1177"/>
      <c r="O853" s="1169"/>
      <c r="P853" s="1169"/>
      <c r="Q853" s="1169">
        <f t="shared" si="1282"/>
        <v>0</v>
      </c>
      <c r="R853" s="1169"/>
      <c r="S853" s="1170"/>
      <c r="T853" s="1171"/>
      <c r="U853" s="1128"/>
      <c r="V853" s="1169"/>
      <c r="W853" s="1177"/>
      <c r="X853" s="1177"/>
      <c r="Y853" s="1169"/>
      <c r="Z853" s="1169">
        <f t="shared" si="1283"/>
        <v>0</v>
      </c>
      <c r="AA853" s="1169"/>
      <c r="AB853" s="1172">
        <f t="shared" si="1191"/>
        <v>0</v>
      </c>
      <c r="AC853" s="1171"/>
      <c r="AD853" s="1128"/>
      <c r="AE853" s="1169"/>
      <c r="AF853" s="1177"/>
      <c r="AG853" s="1177"/>
      <c r="AH853" s="1169"/>
      <c r="AI853" s="1169">
        <f t="shared" si="1284"/>
        <v>0</v>
      </c>
      <c r="AJ853" s="1169"/>
      <c r="AK853" s="1170"/>
      <c r="AL853" s="1171"/>
      <c r="AM853" s="1128"/>
      <c r="AN853" s="1170"/>
      <c r="AO853" s="1175"/>
      <c r="AP853" s="1175"/>
      <c r="AQ853" s="1170"/>
      <c r="AR853" s="1170">
        <f t="shared" si="1285"/>
        <v>0</v>
      </c>
      <c r="AS853" s="1170"/>
      <c r="AT853" s="1170"/>
      <c r="AU853" s="1174"/>
      <c r="AV853" s="1128"/>
      <c r="AW853" s="1169"/>
      <c r="AX853" s="1177"/>
      <c r="AY853" s="1177"/>
      <c r="AZ853" s="1169"/>
      <c r="BA853" s="1169">
        <f t="shared" si="1286"/>
        <v>0</v>
      </c>
      <c r="BB853" s="1169"/>
      <c r="BC853" s="1024"/>
      <c r="BD853" s="1027"/>
      <c r="BE853" s="1024"/>
      <c r="BF853" s="1024"/>
      <c r="BG853" s="1008"/>
      <c r="BH853" s="1008"/>
      <c r="BI853" s="1008"/>
      <c r="BJ853" s="1008"/>
      <c r="BK853" s="1008"/>
      <c r="BL853" s="1008"/>
      <c r="BM853" s="1008"/>
    </row>
    <row r="854" s="1215" customFormat="1" ht="16.5" customHeight="1">
      <c r="A854" s="999" t="str">
        <f t="shared" si="1186"/>
        <v xml:space="preserve">Трофимкина Н.В.</v>
      </c>
      <c r="B854" s="1202" t="s">
        <v>431</v>
      </c>
      <c r="C854" s="1202"/>
      <c r="D854" s="1202"/>
      <c r="E854" s="1164">
        <f t="shared" si="1280"/>
        <v>0</v>
      </c>
      <c r="F854" s="1164">
        <f t="shared" si="1280"/>
        <v>0</v>
      </c>
      <c r="G854" s="1165">
        <f t="shared" si="1281"/>
        <v>0</v>
      </c>
      <c r="H854" s="1166"/>
      <c r="I854" s="1167">
        <f t="shared" si="1207"/>
        <v>0</v>
      </c>
      <c r="J854" s="1167">
        <f t="shared" si="1220"/>
        <v>0</v>
      </c>
      <c r="K854" s="1167">
        <f t="shared" si="1188"/>
        <v>0</v>
      </c>
      <c r="L854" s="1128"/>
      <c r="M854" s="1169"/>
      <c r="N854" s="1177"/>
      <c r="O854" s="1169"/>
      <c r="P854" s="1169"/>
      <c r="Q854" s="1169">
        <f t="shared" si="1282"/>
        <v>0</v>
      </c>
      <c r="R854" s="1169"/>
      <c r="S854" s="1170"/>
      <c r="T854" s="1171"/>
      <c r="U854" s="1128"/>
      <c r="V854" s="1169"/>
      <c r="W854" s="1177"/>
      <c r="X854" s="1177"/>
      <c r="Y854" s="1169"/>
      <c r="Z854" s="1169">
        <f t="shared" si="1283"/>
        <v>0</v>
      </c>
      <c r="AA854" s="1169"/>
      <c r="AB854" s="1172">
        <f t="shared" si="1191"/>
        <v>0</v>
      </c>
      <c r="AC854" s="1171"/>
      <c r="AD854" s="1128"/>
      <c r="AE854" s="1169"/>
      <c r="AF854" s="1177"/>
      <c r="AG854" s="1177"/>
      <c r="AH854" s="1169"/>
      <c r="AI854" s="1169">
        <f t="shared" si="1284"/>
        <v>0</v>
      </c>
      <c r="AJ854" s="1169"/>
      <c r="AK854" s="1170"/>
      <c r="AL854" s="1171"/>
      <c r="AM854" s="1128"/>
      <c r="AN854" s="1170"/>
      <c r="AO854" s="1175"/>
      <c r="AP854" s="1175"/>
      <c r="AQ854" s="1170"/>
      <c r="AR854" s="1170">
        <f t="shared" si="1285"/>
        <v>0</v>
      </c>
      <c r="AS854" s="1170"/>
      <c r="AT854" s="1170"/>
      <c r="AU854" s="1174"/>
      <c r="AV854" s="1128"/>
      <c r="AW854" s="1169"/>
      <c r="AX854" s="1177"/>
      <c r="AY854" s="1177"/>
      <c r="AZ854" s="1169"/>
      <c r="BA854" s="1169">
        <f t="shared" si="1286"/>
        <v>0</v>
      </c>
      <c r="BB854" s="1169"/>
      <c r="BC854" s="1024"/>
      <c r="BD854" s="1027"/>
      <c r="BE854" s="1024"/>
      <c r="BF854" s="1024"/>
      <c r="BG854" s="1008"/>
      <c r="BH854" s="1008"/>
      <c r="BI854" s="1008"/>
      <c r="BJ854" s="1008"/>
      <c r="BK854" s="1008"/>
      <c r="BL854" s="1008"/>
      <c r="BM854" s="1008"/>
    </row>
    <row r="855" s="1215" customFormat="1" ht="16.5" customHeight="1">
      <c r="A855" s="999" t="str">
        <f t="shared" si="1186"/>
        <v xml:space="preserve">Жилкина В.В.</v>
      </c>
      <c r="B855" s="1202" t="s">
        <v>433</v>
      </c>
      <c r="C855" s="1217"/>
      <c r="D855" s="1217"/>
      <c r="E855" s="1164">
        <f t="shared" si="1280"/>
        <v>0</v>
      </c>
      <c r="F855" s="1164">
        <f t="shared" si="1280"/>
        <v>0</v>
      </c>
      <c r="G855" s="1165">
        <f t="shared" si="1281"/>
        <v>0</v>
      </c>
      <c r="H855" s="1166"/>
      <c r="I855" s="1167">
        <f t="shared" si="1207"/>
        <v>0</v>
      </c>
      <c r="J855" s="1167">
        <f t="shared" si="1220"/>
        <v>0</v>
      </c>
      <c r="K855" s="1167">
        <f t="shared" si="1188"/>
        <v>0</v>
      </c>
      <c r="L855" s="1128"/>
      <c r="M855" s="1169"/>
      <c r="N855" s="1177"/>
      <c r="O855" s="1169"/>
      <c r="P855" s="1169"/>
      <c r="Q855" s="1169">
        <f t="shared" si="1282"/>
        <v>0</v>
      </c>
      <c r="R855" s="1169"/>
      <c r="S855" s="1170"/>
      <c r="T855" s="1171"/>
      <c r="U855" s="1128"/>
      <c r="V855" s="1169"/>
      <c r="W855" s="1177"/>
      <c r="X855" s="1177"/>
      <c r="Y855" s="1169"/>
      <c r="Z855" s="1169">
        <f t="shared" si="1283"/>
        <v>0</v>
      </c>
      <c r="AA855" s="1169"/>
      <c r="AB855" s="1172">
        <f t="shared" si="1191"/>
        <v>0</v>
      </c>
      <c r="AC855" s="1171"/>
      <c r="AD855" s="1128"/>
      <c r="AE855" s="1169"/>
      <c r="AF855" s="1177"/>
      <c r="AG855" s="1177"/>
      <c r="AH855" s="1169"/>
      <c r="AI855" s="1169">
        <f t="shared" si="1284"/>
        <v>0</v>
      </c>
      <c r="AJ855" s="1169"/>
      <c r="AK855" s="1170"/>
      <c r="AL855" s="1171"/>
      <c r="AM855" s="1128"/>
      <c r="AN855" s="1170"/>
      <c r="AO855" s="1175"/>
      <c r="AP855" s="1175"/>
      <c r="AQ855" s="1170"/>
      <c r="AR855" s="1170">
        <f t="shared" si="1285"/>
        <v>0</v>
      </c>
      <c r="AS855" s="1170"/>
      <c r="AT855" s="1170"/>
      <c r="AU855" s="1174"/>
      <c r="AV855" s="1128"/>
      <c r="AW855" s="1169"/>
      <c r="AX855" s="1177"/>
      <c r="AY855" s="1177"/>
      <c r="AZ855" s="1169"/>
      <c r="BA855" s="1169">
        <f t="shared" si="1286"/>
        <v>0</v>
      </c>
      <c r="BB855" s="1169"/>
      <c r="BC855" s="1024"/>
      <c r="BD855" s="1027"/>
      <c r="BE855" s="1024"/>
      <c r="BF855" s="1024"/>
      <c r="BG855" s="1008"/>
      <c r="BH855" s="1008"/>
      <c r="BI855" s="1008"/>
      <c r="BJ855" s="1008"/>
      <c r="BK855" s="1008"/>
      <c r="BL855" s="1008"/>
      <c r="BM855" s="1008"/>
    </row>
    <row r="856" s="1215" customFormat="1" ht="16.5" customHeight="1">
      <c r="A856" s="999" t="str">
        <f t="shared" si="1186"/>
        <v xml:space="preserve">Марушенко В.Н. Донцова Н.Г.</v>
      </c>
      <c r="B856" s="1202" t="s">
        <v>435</v>
      </c>
      <c r="C856" s="1202"/>
      <c r="D856" s="1202"/>
      <c r="E856" s="1164">
        <f t="shared" si="1280"/>
        <v>0</v>
      </c>
      <c r="F856" s="1164">
        <f t="shared" si="1280"/>
        <v>0</v>
      </c>
      <c r="G856" s="1165">
        <f t="shared" si="1281"/>
        <v>0</v>
      </c>
      <c r="H856" s="1166"/>
      <c r="I856" s="1167">
        <f t="shared" si="1207"/>
        <v>0</v>
      </c>
      <c r="J856" s="1167">
        <f t="shared" si="1220"/>
        <v>0</v>
      </c>
      <c r="K856" s="1167">
        <f t="shared" si="1188"/>
        <v>0</v>
      </c>
      <c r="L856" s="1128"/>
      <c r="M856" s="1169"/>
      <c r="N856" s="1177"/>
      <c r="O856" s="1169"/>
      <c r="P856" s="1169"/>
      <c r="Q856" s="1169">
        <f t="shared" si="1282"/>
        <v>0</v>
      </c>
      <c r="R856" s="1169"/>
      <c r="S856" s="1170"/>
      <c r="T856" s="1171"/>
      <c r="U856" s="1128"/>
      <c r="V856" s="1169"/>
      <c r="W856" s="1177"/>
      <c r="X856" s="1177"/>
      <c r="Y856" s="1169"/>
      <c r="Z856" s="1169">
        <f t="shared" si="1283"/>
        <v>0</v>
      </c>
      <c r="AA856" s="1169"/>
      <c r="AB856" s="1172">
        <f t="shared" si="1191"/>
        <v>0</v>
      </c>
      <c r="AC856" s="1171"/>
      <c r="AD856" s="1128"/>
      <c r="AE856" s="1169"/>
      <c r="AF856" s="1177"/>
      <c r="AG856" s="1177"/>
      <c r="AH856" s="1169"/>
      <c r="AI856" s="1169">
        <f t="shared" si="1284"/>
        <v>0</v>
      </c>
      <c r="AJ856" s="1169"/>
      <c r="AK856" s="1170"/>
      <c r="AL856" s="1171"/>
      <c r="AM856" s="1128"/>
      <c r="AN856" s="1170"/>
      <c r="AO856" s="1175"/>
      <c r="AP856" s="1175"/>
      <c r="AQ856" s="1170"/>
      <c r="AR856" s="1170">
        <f t="shared" si="1285"/>
        <v>0</v>
      </c>
      <c r="AS856" s="1170"/>
      <c r="AT856" s="1170"/>
      <c r="AU856" s="1174"/>
      <c r="AV856" s="1128"/>
      <c r="AW856" s="1169"/>
      <c r="AX856" s="1177"/>
      <c r="AY856" s="1177"/>
      <c r="AZ856" s="1169"/>
      <c r="BA856" s="1169">
        <f t="shared" si="1286"/>
        <v>0</v>
      </c>
      <c r="BB856" s="1169"/>
      <c r="BC856" s="1024"/>
      <c r="BD856" s="1027"/>
      <c r="BE856" s="1024"/>
      <c r="BF856" s="1024"/>
      <c r="BG856" s="1008"/>
      <c r="BH856" s="1008"/>
      <c r="BI856" s="1008"/>
      <c r="BJ856" s="1008"/>
      <c r="BK856" s="1008"/>
      <c r="BL856" s="1008"/>
      <c r="BM856" s="1008"/>
    </row>
    <row r="857" s="1215" customFormat="1" ht="16.5" customHeight="1">
      <c r="A857" s="999">
        <f t="shared" si="1186"/>
        <v>0</v>
      </c>
      <c r="B857" s="1202" t="s">
        <v>436</v>
      </c>
      <c r="C857" s="1202"/>
      <c r="D857" s="1202"/>
      <c r="E857" s="1164">
        <f t="shared" si="1280"/>
        <v>0</v>
      </c>
      <c r="F857" s="1164">
        <f t="shared" si="1280"/>
        <v>0</v>
      </c>
      <c r="G857" s="1165">
        <f t="shared" si="1281"/>
        <v>0</v>
      </c>
      <c r="H857" s="1166"/>
      <c r="I857" s="1167">
        <f t="shared" si="1207"/>
        <v>0</v>
      </c>
      <c r="J857" s="1167">
        <f t="shared" si="1220"/>
        <v>0</v>
      </c>
      <c r="K857" s="1167">
        <f t="shared" si="1188"/>
        <v>0</v>
      </c>
      <c r="L857" s="1128"/>
      <c r="M857" s="1169"/>
      <c r="N857" s="1177"/>
      <c r="O857" s="1169"/>
      <c r="P857" s="1169"/>
      <c r="Q857" s="1169">
        <f t="shared" si="1282"/>
        <v>0</v>
      </c>
      <c r="R857" s="1169"/>
      <c r="S857" s="1170"/>
      <c r="T857" s="1171"/>
      <c r="U857" s="1128"/>
      <c r="V857" s="1169"/>
      <c r="W857" s="1177"/>
      <c r="X857" s="1177"/>
      <c r="Y857" s="1169"/>
      <c r="Z857" s="1169">
        <f t="shared" si="1283"/>
        <v>0</v>
      </c>
      <c r="AA857" s="1169"/>
      <c r="AB857" s="1172">
        <f t="shared" si="1191"/>
        <v>0</v>
      </c>
      <c r="AC857" s="1171"/>
      <c r="AD857" s="1128"/>
      <c r="AE857" s="1169"/>
      <c r="AF857" s="1177"/>
      <c r="AG857" s="1177"/>
      <c r="AH857" s="1169"/>
      <c r="AI857" s="1169">
        <f t="shared" si="1284"/>
        <v>0</v>
      </c>
      <c r="AJ857" s="1169"/>
      <c r="AK857" s="1170"/>
      <c r="AL857" s="1171"/>
      <c r="AM857" s="1128"/>
      <c r="AN857" s="1170"/>
      <c r="AO857" s="1175"/>
      <c r="AP857" s="1175"/>
      <c r="AQ857" s="1170"/>
      <c r="AR857" s="1170">
        <f t="shared" si="1285"/>
        <v>0</v>
      </c>
      <c r="AS857" s="1170"/>
      <c r="AT857" s="1170"/>
      <c r="AU857" s="1174"/>
      <c r="AV857" s="1128"/>
      <c r="AW857" s="1169"/>
      <c r="AX857" s="1177"/>
      <c r="AY857" s="1177"/>
      <c r="AZ857" s="1169"/>
      <c r="BA857" s="1169">
        <f t="shared" si="1286"/>
        <v>0</v>
      </c>
      <c r="BB857" s="1169"/>
      <c r="BC857" s="1024"/>
      <c r="BD857" s="1027"/>
      <c r="BE857" s="1024"/>
      <c r="BF857" s="1024"/>
      <c r="BG857" s="1008"/>
      <c r="BH857" s="1008"/>
      <c r="BI857" s="1008"/>
      <c r="BJ857" s="1008"/>
      <c r="BK857" s="1008"/>
      <c r="BL857" s="1008"/>
      <c r="BM857" s="1008"/>
    </row>
    <row r="858" s="1215" customFormat="1" ht="16.5" customHeight="1">
      <c r="A858" s="999" t="str">
        <f t="shared" si="1186"/>
        <v xml:space="preserve">Кузнецова Е.В.</v>
      </c>
      <c r="B858" s="1202" t="s">
        <v>78</v>
      </c>
      <c r="C858" s="1000"/>
      <c r="D858" s="1000"/>
      <c r="E858" s="1164">
        <f t="shared" si="1280"/>
        <v>0</v>
      </c>
      <c r="F858" s="1164">
        <f t="shared" si="1280"/>
        <v>0</v>
      </c>
      <c r="G858" s="1165">
        <f t="shared" si="1281"/>
        <v>0</v>
      </c>
      <c r="H858" s="1166"/>
      <c r="I858" s="1167">
        <f t="shared" si="1207"/>
        <v>0</v>
      </c>
      <c r="J858" s="1167">
        <f t="shared" si="1220"/>
        <v>0</v>
      </c>
      <c r="K858" s="1167">
        <f t="shared" si="1188"/>
        <v>0</v>
      </c>
      <c r="L858" s="1128"/>
      <c r="M858" s="1169"/>
      <c r="N858" s="1177"/>
      <c r="O858" s="1169"/>
      <c r="P858" s="1169"/>
      <c r="Q858" s="1169">
        <f t="shared" si="1282"/>
        <v>0</v>
      </c>
      <c r="R858" s="1169"/>
      <c r="S858" s="1170"/>
      <c r="T858" s="1171"/>
      <c r="U858" s="1128"/>
      <c r="V858" s="1169"/>
      <c r="W858" s="1177"/>
      <c r="X858" s="1177"/>
      <c r="Y858" s="1169"/>
      <c r="Z858" s="1169">
        <f t="shared" si="1283"/>
        <v>0</v>
      </c>
      <c r="AA858" s="1169"/>
      <c r="AB858" s="1172">
        <f t="shared" si="1191"/>
        <v>0</v>
      </c>
      <c r="AC858" s="1171"/>
      <c r="AD858" s="1128"/>
      <c r="AE858" s="1169"/>
      <c r="AF858" s="1177"/>
      <c r="AG858" s="1177"/>
      <c r="AH858" s="1169"/>
      <c r="AI858" s="1169">
        <f t="shared" si="1284"/>
        <v>0</v>
      </c>
      <c r="AJ858" s="1169"/>
      <c r="AK858" s="1170"/>
      <c r="AL858" s="1171"/>
      <c r="AM858" s="1128"/>
      <c r="AN858" s="1170"/>
      <c r="AO858" s="1175"/>
      <c r="AP858" s="1175"/>
      <c r="AQ858" s="1170"/>
      <c r="AR858" s="1170">
        <f t="shared" si="1285"/>
        <v>0</v>
      </c>
      <c r="AS858" s="1170"/>
      <c r="AT858" s="1170"/>
      <c r="AU858" s="1174"/>
      <c r="AV858" s="1128"/>
      <c r="AW858" s="1169"/>
      <c r="AX858" s="1177"/>
      <c r="AY858" s="1177"/>
      <c r="AZ858" s="1169"/>
      <c r="BA858" s="1169">
        <f t="shared" si="1286"/>
        <v>0</v>
      </c>
      <c r="BB858" s="1169"/>
      <c r="BC858" s="1024"/>
      <c r="BD858" s="1027"/>
      <c r="BE858" s="1024"/>
      <c r="BF858" s="1024"/>
      <c r="BG858" s="1008"/>
      <c r="BH858" s="1008"/>
      <c r="BI858" s="1008"/>
      <c r="BJ858" s="1008"/>
      <c r="BK858" s="1008"/>
      <c r="BL858" s="1008"/>
      <c r="BM858" s="1008"/>
    </row>
    <row r="859" s="1215" customFormat="1" ht="16.5" customHeight="1">
      <c r="A859" s="999">
        <f t="shared" ref="A859:A885" si="1287">A758</f>
        <v>0</v>
      </c>
      <c r="B859" s="1205" t="s">
        <v>22</v>
      </c>
      <c r="C859" s="1205"/>
      <c r="D859" s="1205"/>
      <c r="E859" s="1183">
        <f>SUM(E846:E858)</f>
        <v>0</v>
      </c>
      <c r="F859" s="1183">
        <f>SUM(F846:F858)</f>
        <v>0</v>
      </c>
      <c r="G859" s="1184">
        <f>SUM(G846:G858)</f>
        <v>0</v>
      </c>
      <c r="H859" s="1185"/>
      <c r="I859" s="1167">
        <f t="shared" si="1207"/>
        <v>0</v>
      </c>
      <c r="J859" s="1167">
        <f t="shared" si="1220"/>
        <v>0</v>
      </c>
      <c r="K859" s="1167">
        <f t="shared" ref="K859:K887" si="1288">G859-AB859</f>
        <v>0</v>
      </c>
      <c r="L859" s="1128"/>
      <c r="M859" s="1096">
        <f t="shared" ref="M859:R859" si="1289">SUM(M846:M858)</f>
        <v>0</v>
      </c>
      <c r="N859" s="1096">
        <f t="shared" si="1289"/>
        <v>0</v>
      </c>
      <c r="O859" s="1096">
        <f t="shared" si="1289"/>
        <v>0</v>
      </c>
      <c r="P859" s="1096">
        <f t="shared" si="1289"/>
        <v>0</v>
      </c>
      <c r="Q859" s="1096">
        <f t="shared" si="1289"/>
        <v>0</v>
      </c>
      <c r="R859" s="1096">
        <f t="shared" si="1289"/>
        <v>0</v>
      </c>
      <c r="S859" s="1190"/>
      <c r="T859" s="1189"/>
      <c r="U859" s="1128"/>
      <c r="V859" s="1096">
        <f t="shared" ref="V859:AA859" si="1290">SUM(V846:V858)</f>
        <v>0</v>
      </c>
      <c r="W859" s="1096">
        <f t="shared" si="1290"/>
        <v>0</v>
      </c>
      <c r="X859" s="1096">
        <f t="shared" si="1290"/>
        <v>0</v>
      </c>
      <c r="Y859" s="1096">
        <f t="shared" si="1290"/>
        <v>0</v>
      </c>
      <c r="Z859" s="1096">
        <f t="shared" si="1290"/>
        <v>0</v>
      </c>
      <c r="AA859" s="1096">
        <f t="shared" si="1290"/>
        <v>0</v>
      </c>
      <c r="AB859" s="1172">
        <f t="shared" ref="AB859:AB887" si="1291">Z859+AA859</f>
        <v>0</v>
      </c>
      <c r="AC859" s="1189"/>
      <c r="AD859" s="1128"/>
      <c r="AE859" s="1096">
        <f t="shared" ref="AE859:AJ859" si="1292">SUM(AE846:AE858)</f>
        <v>0</v>
      </c>
      <c r="AF859" s="1096">
        <f t="shared" si="1292"/>
        <v>0</v>
      </c>
      <c r="AG859" s="1096">
        <f t="shared" si="1292"/>
        <v>0</v>
      </c>
      <c r="AH859" s="1096">
        <f t="shared" si="1292"/>
        <v>0</v>
      </c>
      <c r="AI859" s="1096">
        <f t="shared" si="1292"/>
        <v>0</v>
      </c>
      <c r="AJ859" s="1096">
        <f t="shared" si="1292"/>
        <v>0</v>
      </c>
      <c r="AK859" s="1190"/>
      <c r="AL859" s="1189"/>
      <c r="AM859" s="1128"/>
      <c r="AN859" s="1190">
        <f t="shared" ref="AN859:AS859" si="1293">SUM(AN846:AN858)</f>
        <v>0</v>
      </c>
      <c r="AO859" s="1190">
        <f t="shared" si="1293"/>
        <v>0</v>
      </c>
      <c r="AP859" s="1190">
        <f t="shared" si="1293"/>
        <v>0</v>
      </c>
      <c r="AQ859" s="1190">
        <f t="shared" si="1293"/>
        <v>0</v>
      </c>
      <c r="AR859" s="1190">
        <f t="shared" si="1293"/>
        <v>0</v>
      </c>
      <c r="AS859" s="1190">
        <f t="shared" si="1293"/>
        <v>0</v>
      </c>
      <c r="AT859" s="1190"/>
      <c r="AU859" s="1191"/>
      <c r="AV859" s="1128"/>
      <c r="AW859" s="1096">
        <f t="shared" ref="AW859:BB859" si="1294">SUM(AW846:AW858)</f>
        <v>0</v>
      </c>
      <c r="AX859" s="1096">
        <f t="shared" si="1294"/>
        <v>0</v>
      </c>
      <c r="AY859" s="1096">
        <f t="shared" si="1294"/>
        <v>0</v>
      </c>
      <c r="AZ859" s="1096">
        <f t="shared" si="1294"/>
        <v>0</v>
      </c>
      <c r="BA859" s="1096">
        <f t="shared" si="1294"/>
        <v>0</v>
      </c>
      <c r="BB859" s="1096">
        <f t="shared" si="1294"/>
        <v>0</v>
      </c>
      <c r="BC859" s="1024"/>
      <c r="BD859" s="1027"/>
      <c r="BE859" s="1024"/>
      <c r="BF859" s="1024"/>
      <c r="BG859" s="1008"/>
      <c r="BH859" s="1008"/>
      <c r="BI859" s="1008"/>
      <c r="BJ859" s="1008"/>
      <c r="BK859" s="1008"/>
      <c r="BL859" s="1008"/>
      <c r="BM859" s="1008"/>
    </row>
    <row r="860" s="1215" customFormat="1" ht="16.5" customHeight="1">
      <c r="A860" s="999" t="str">
        <f t="shared" si="1287"/>
        <v xml:space="preserve">Титякова Т.А.</v>
      </c>
      <c r="B860" s="1202" t="s">
        <v>26</v>
      </c>
      <c r="C860" s="1202"/>
      <c r="D860" s="1202"/>
      <c r="E860" s="1164">
        <f t="shared" ref="E860:F885" si="1295">Q860+Z860+AI860+AR860+BA860</f>
        <v>0</v>
      </c>
      <c r="F860" s="1164">
        <f t="shared" si="1295"/>
        <v>0</v>
      </c>
      <c r="G860" s="1165">
        <f t="shared" ref="G860:G885" si="1296">E860+F860</f>
        <v>0</v>
      </c>
      <c r="H860" s="1166"/>
      <c r="I860" s="1167">
        <f t="shared" si="1207"/>
        <v>0</v>
      </c>
      <c r="J860" s="1167">
        <f t="shared" si="1220"/>
        <v>0</v>
      </c>
      <c r="K860" s="1167">
        <f t="shared" si="1288"/>
        <v>0</v>
      </c>
      <c r="L860" s="1128"/>
      <c r="M860" s="1169"/>
      <c r="N860" s="1177"/>
      <c r="O860" s="1169"/>
      <c r="P860" s="1169"/>
      <c r="Q860" s="1169">
        <f t="shared" ref="Q860:Q885" si="1297">SUM(M860:P860)</f>
        <v>0</v>
      </c>
      <c r="R860" s="1169"/>
      <c r="S860" s="1170"/>
      <c r="T860" s="1171"/>
      <c r="U860" s="1128"/>
      <c r="V860" s="1169"/>
      <c r="W860" s="1177"/>
      <c r="X860" s="1177"/>
      <c r="Y860" s="1169"/>
      <c r="Z860" s="1169">
        <f t="shared" ref="Z860:Z885" si="1298">SUM(V860:Y860)</f>
        <v>0</v>
      </c>
      <c r="AA860" s="1169"/>
      <c r="AB860" s="1172">
        <f t="shared" si="1291"/>
        <v>0</v>
      </c>
      <c r="AC860" s="1171"/>
      <c r="AD860" s="1128"/>
      <c r="AE860" s="1169"/>
      <c r="AF860" s="1177"/>
      <c r="AG860" s="1177"/>
      <c r="AH860" s="1169"/>
      <c r="AI860" s="1169">
        <f t="shared" ref="AI860:AI885" si="1299">SUM(AE860:AH860)</f>
        <v>0</v>
      </c>
      <c r="AJ860" s="1169"/>
      <c r="AK860" s="1170"/>
      <c r="AL860" s="1171"/>
      <c r="AM860" s="1128"/>
      <c r="AN860" s="1170"/>
      <c r="AO860" s="1175"/>
      <c r="AP860" s="1175"/>
      <c r="AQ860" s="1170"/>
      <c r="AR860" s="1170">
        <f t="shared" ref="AR860:AR885" si="1300">SUM(AN860:AQ860)</f>
        <v>0</v>
      </c>
      <c r="AS860" s="1170"/>
      <c r="AT860" s="1170"/>
      <c r="AU860" s="1174"/>
      <c r="AV860" s="1128"/>
      <c r="AW860" s="1169"/>
      <c r="AX860" s="1177"/>
      <c r="AY860" s="1177"/>
      <c r="AZ860" s="1169"/>
      <c r="BA860" s="1169">
        <f t="shared" ref="BA860:BA885" si="1301">SUM(AW860:AZ860)</f>
        <v>0</v>
      </c>
      <c r="BB860" s="1169"/>
      <c r="BC860" s="1024"/>
      <c r="BD860" s="1027"/>
      <c r="BE860" s="1024"/>
      <c r="BF860" s="1024"/>
      <c r="BG860" s="1008"/>
      <c r="BH860" s="1008"/>
      <c r="BI860" s="1008"/>
      <c r="BJ860" s="1008"/>
      <c r="BK860" s="1008"/>
      <c r="BL860" s="1008"/>
      <c r="BM860" s="1008"/>
    </row>
    <row r="861" s="1215" customFormat="1" ht="16.5" customHeight="1">
      <c r="A861" s="999">
        <f t="shared" si="1287"/>
        <v>0</v>
      </c>
      <c r="B861" s="1202" t="s">
        <v>439</v>
      </c>
      <c r="C861" s="1202"/>
      <c r="D861" s="1202"/>
      <c r="E861" s="1164">
        <f t="shared" si="1295"/>
        <v>0</v>
      </c>
      <c r="F861" s="1164">
        <f t="shared" si="1295"/>
        <v>0</v>
      </c>
      <c r="G861" s="1165">
        <f t="shared" si="1296"/>
        <v>0</v>
      </c>
      <c r="H861" s="1166"/>
      <c r="I861" s="1167">
        <f t="shared" si="1207"/>
        <v>0</v>
      </c>
      <c r="J861" s="1167">
        <f t="shared" si="1220"/>
        <v>0</v>
      </c>
      <c r="K861" s="1167">
        <f t="shared" si="1288"/>
        <v>0</v>
      </c>
      <c r="L861" s="1128"/>
      <c r="M861" s="1169"/>
      <c r="N861" s="1177"/>
      <c r="O861" s="1169"/>
      <c r="P861" s="1169"/>
      <c r="Q861" s="1169">
        <f t="shared" si="1297"/>
        <v>0</v>
      </c>
      <c r="R861" s="1169"/>
      <c r="S861" s="1170"/>
      <c r="T861" s="1171"/>
      <c r="U861" s="1128"/>
      <c r="V861" s="1169"/>
      <c r="W861" s="1177"/>
      <c r="X861" s="1177"/>
      <c r="Y861" s="1169"/>
      <c r="Z861" s="1169">
        <f t="shared" si="1298"/>
        <v>0</v>
      </c>
      <c r="AA861" s="1169"/>
      <c r="AB861" s="1172">
        <f t="shared" si="1291"/>
        <v>0</v>
      </c>
      <c r="AC861" s="1171"/>
      <c r="AD861" s="1128"/>
      <c r="AE861" s="1169"/>
      <c r="AF861" s="1177"/>
      <c r="AG861" s="1177"/>
      <c r="AH861" s="1169"/>
      <c r="AI861" s="1169">
        <f t="shared" si="1299"/>
        <v>0</v>
      </c>
      <c r="AJ861" s="1169"/>
      <c r="AK861" s="1170"/>
      <c r="AL861" s="1171"/>
      <c r="AM861" s="1128"/>
      <c r="AN861" s="1170"/>
      <c r="AO861" s="1175"/>
      <c r="AP861" s="1175"/>
      <c r="AQ861" s="1170"/>
      <c r="AR861" s="1170">
        <f t="shared" si="1300"/>
        <v>0</v>
      </c>
      <c r="AS861" s="1170"/>
      <c r="AT861" s="1170"/>
      <c r="AU861" s="1174"/>
      <c r="AV861" s="1128"/>
      <c r="AW861" s="1169"/>
      <c r="AX861" s="1177"/>
      <c r="AY861" s="1177"/>
      <c r="AZ861" s="1169"/>
      <c r="BA861" s="1169">
        <f t="shared" si="1301"/>
        <v>0</v>
      </c>
      <c r="BB861" s="1169"/>
      <c r="BC861" s="1024"/>
      <c r="BD861" s="1027"/>
      <c r="BE861" s="1024"/>
      <c r="BF861" s="1024"/>
      <c r="BG861" s="1008"/>
      <c r="BH861" s="1008"/>
      <c r="BI861" s="1008"/>
      <c r="BJ861" s="1008"/>
      <c r="BK861" s="1008"/>
      <c r="BL861" s="1008"/>
      <c r="BM861" s="1008"/>
    </row>
    <row r="862" s="1215" customFormat="1" ht="16.5" customHeight="1">
      <c r="A862" s="999" t="s">
        <v>510</v>
      </c>
      <c r="B862" s="1202" t="s">
        <v>441</v>
      </c>
      <c r="C862" s="1202"/>
      <c r="D862" s="1202"/>
      <c r="E862" s="1164">
        <f t="shared" si="1295"/>
        <v>0</v>
      </c>
      <c r="F862" s="1164">
        <f t="shared" si="1295"/>
        <v>0</v>
      </c>
      <c r="G862" s="1165">
        <f t="shared" si="1296"/>
        <v>0</v>
      </c>
      <c r="H862" s="1166"/>
      <c r="I862" s="1167">
        <f t="shared" si="1207"/>
        <v>0</v>
      </c>
      <c r="J862" s="1167">
        <f t="shared" si="1220"/>
        <v>0</v>
      </c>
      <c r="K862" s="1167">
        <f t="shared" si="1288"/>
        <v>0</v>
      </c>
      <c r="L862" s="1128"/>
      <c r="M862" s="1169"/>
      <c r="N862" s="1177"/>
      <c r="O862" s="1169"/>
      <c r="P862" s="1169"/>
      <c r="Q862" s="1169">
        <f t="shared" si="1297"/>
        <v>0</v>
      </c>
      <c r="R862" s="1169"/>
      <c r="S862" s="1170"/>
      <c r="T862" s="1171"/>
      <c r="U862" s="1128"/>
      <c r="V862" s="1169"/>
      <c r="W862" s="1177"/>
      <c r="X862" s="1177"/>
      <c r="Y862" s="1169"/>
      <c r="Z862" s="1169">
        <f t="shared" si="1298"/>
        <v>0</v>
      </c>
      <c r="AA862" s="1169"/>
      <c r="AB862" s="1172">
        <f t="shared" si="1291"/>
        <v>0</v>
      </c>
      <c r="AC862" s="1171"/>
      <c r="AD862" s="1128"/>
      <c r="AE862" s="1169"/>
      <c r="AF862" s="1177"/>
      <c r="AG862" s="1177"/>
      <c r="AH862" s="1169"/>
      <c r="AI862" s="1169">
        <f t="shared" si="1299"/>
        <v>0</v>
      </c>
      <c r="AJ862" s="1169"/>
      <c r="AK862" s="1170"/>
      <c r="AL862" s="1171"/>
      <c r="AM862" s="1128"/>
      <c r="AN862" s="1170"/>
      <c r="AO862" s="1175"/>
      <c r="AP862" s="1175"/>
      <c r="AQ862" s="1170"/>
      <c r="AR862" s="1170">
        <f t="shared" si="1300"/>
        <v>0</v>
      </c>
      <c r="AS862" s="1170"/>
      <c r="AT862" s="1170"/>
      <c r="AU862" s="1174"/>
      <c r="AV862" s="1128"/>
      <c r="AW862" s="1169"/>
      <c r="AX862" s="1177"/>
      <c r="AY862" s="1177"/>
      <c r="AZ862" s="1169"/>
      <c r="BA862" s="1169">
        <f t="shared" si="1301"/>
        <v>0</v>
      </c>
      <c r="BB862" s="1169"/>
      <c r="BC862" s="1024"/>
      <c r="BD862" s="1027"/>
      <c r="BE862" s="1024"/>
      <c r="BF862" s="1024"/>
      <c r="BG862" s="1008"/>
      <c r="BH862" s="1008"/>
      <c r="BI862" s="1008"/>
      <c r="BJ862" s="1008"/>
      <c r="BK862" s="1008"/>
      <c r="BL862" s="1008"/>
      <c r="BM862" s="1008"/>
    </row>
    <row r="863" s="1215" customFormat="1" ht="16.5" customHeight="1">
      <c r="A863" s="999" t="str">
        <f t="shared" si="1287"/>
        <v xml:space="preserve">Куликова А.Г.</v>
      </c>
      <c r="B863" s="1202" t="s">
        <v>84</v>
      </c>
      <c r="C863" s="1202"/>
      <c r="D863" s="1202"/>
      <c r="E863" s="1164">
        <f t="shared" si="1295"/>
        <v>0</v>
      </c>
      <c r="F863" s="1164">
        <f t="shared" si="1295"/>
        <v>0</v>
      </c>
      <c r="G863" s="1165">
        <f t="shared" si="1296"/>
        <v>0</v>
      </c>
      <c r="H863" s="1166"/>
      <c r="I863" s="1167">
        <f t="shared" si="1207"/>
        <v>0</v>
      </c>
      <c r="J863" s="1167">
        <f t="shared" si="1220"/>
        <v>0</v>
      </c>
      <c r="K863" s="1167">
        <f t="shared" si="1288"/>
        <v>0</v>
      </c>
      <c r="L863" s="1128"/>
      <c r="M863" s="1169"/>
      <c r="N863" s="1177"/>
      <c r="O863" s="1169"/>
      <c r="P863" s="1169"/>
      <c r="Q863" s="1169">
        <f t="shared" si="1297"/>
        <v>0</v>
      </c>
      <c r="R863" s="1169"/>
      <c r="S863" s="1170"/>
      <c r="T863" s="1171"/>
      <c r="U863" s="1128"/>
      <c r="V863" s="1169"/>
      <c r="W863" s="1177"/>
      <c r="X863" s="1177"/>
      <c r="Y863" s="1169"/>
      <c r="Z863" s="1169">
        <f t="shared" si="1298"/>
        <v>0</v>
      </c>
      <c r="AA863" s="1169"/>
      <c r="AB863" s="1172">
        <f t="shared" si="1291"/>
        <v>0</v>
      </c>
      <c r="AC863" s="1171"/>
      <c r="AD863" s="1128"/>
      <c r="AE863" s="1169"/>
      <c r="AF863" s="1177"/>
      <c r="AG863" s="1177"/>
      <c r="AH863" s="1169"/>
      <c r="AI863" s="1169">
        <f t="shared" si="1299"/>
        <v>0</v>
      </c>
      <c r="AJ863" s="1169"/>
      <c r="AK863" s="1170"/>
      <c r="AL863" s="1171"/>
      <c r="AM863" s="1128"/>
      <c r="AN863" s="1170"/>
      <c r="AO863" s="1175"/>
      <c r="AP863" s="1175"/>
      <c r="AQ863" s="1170"/>
      <c r="AR863" s="1170">
        <f t="shared" si="1300"/>
        <v>0</v>
      </c>
      <c r="AS863" s="1170"/>
      <c r="AT863" s="1170"/>
      <c r="AU863" s="1174"/>
      <c r="AV863" s="1128"/>
      <c r="AW863" s="1169"/>
      <c r="AX863" s="1177"/>
      <c r="AY863" s="1177"/>
      <c r="AZ863" s="1169"/>
      <c r="BA863" s="1169">
        <f t="shared" si="1301"/>
        <v>0</v>
      </c>
      <c r="BB863" s="1169"/>
      <c r="BC863" s="1024"/>
      <c r="BD863" s="1027"/>
      <c r="BE863" s="1024"/>
      <c r="BF863" s="1024"/>
      <c r="BG863" s="1008"/>
      <c r="BH863" s="1008"/>
      <c r="BI863" s="1008"/>
      <c r="BJ863" s="1008"/>
      <c r="BK863" s="1008"/>
      <c r="BL863" s="1008"/>
      <c r="BM863" s="1008"/>
    </row>
    <row r="864" s="1215" customFormat="1" ht="16.5" customHeight="1">
      <c r="A864" s="999" t="str">
        <f t="shared" si="1287"/>
        <v xml:space="preserve">Жандарова ИВ, Елина С.И.</v>
      </c>
      <c r="B864" s="1202" t="s">
        <v>288</v>
      </c>
      <c r="C864" s="1202"/>
      <c r="D864" s="1202"/>
      <c r="E864" s="1164">
        <f t="shared" si="1295"/>
        <v>0</v>
      </c>
      <c r="F864" s="1164">
        <f t="shared" si="1295"/>
        <v>0</v>
      </c>
      <c r="G864" s="1165">
        <f t="shared" si="1296"/>
        <v>0</v>
      </c>
      <c r="H864" s="1166"/>
      <c r="I864" s="1167">
        <f t="shared" si="1207"/>
        <v>0</v>
      </c>
      <c r="J864" s="1167">
        <f t="shared" si="1220"/>
        <v>0</v>
      </c>
      <c r="K864" s="1167">
        <f t="shared" si="1288"/>
        <v>0</v>
      </c>
      <c r="L864" s="1128"/>
      <c r="M864" s="1169"/>
      <c r="N864" s="1177"/>
      <c r="O864" s="1169"/>
      <c r="P864" s="1169"/>
      <c r="Q864" s="1169">
        <f t="shared" si="1297"/>
        <v>0</v>
      </c>
      <c r="R864" s="1169"/>
      <c r="S864" s="1170"/>
      <c r="T864" s="1171"/>
      <c r="U864" s="1128"/>
      <c r="V864" s="1169"/>
      <c r="W864" s="1177"/>
      <c r="X864" s="1177"/>
      <c r="Y864" s="1169"/>
      <c r="Z864" s="1169">
        <f t="shared" si="1298"/>
        <v>0</v>
      </c>
      <c r="AA864" s="1169"/>
      <c r="AB864" s="1172">
        <f t="shared" si="1291"/>
        <v>0</v>
      </c>
      <c r="AC864" s="1171"/>
      <c r="AD864" s="1128"/>
      <c r="AE864" s="1169"/>
      <c r="AF864" s="1177"/>
      <c r="AG864" s="1177"/>
      <c r="AH864" s="1169"/>
      <c r="AI864" s="1169">
        <f t="shared" si="1299"/>
        <v>0</v>
      </c>
      <c r="AJ864" s="1169"/>
      <c r="AK864" s="1170"/>
      <c r="AL864" s="1171"/>
      <c r="AM864" s="1128"/>
      <c r="AN864" s="1170"/>
      <c r="AO864" s="1175"/>
      <c r="AP864" s="1175"/>
      <c r="AQ864" s="1170"/>
      <c r="AR864" s="1170">
        <f t="shared" si="1300"/>
        <v>0</v>
      </c>
      <c r="AS864" s="1170"/>
      <c r="AT864" s="1170"/>
      <c r="AU864" s="1174"/>
      <c r="AV864" s="1128"/>
      <c r="AW864" s="1169"/>
      <c r="AX864" s="1177"/>
      <c r="AY864" s="1177"/>
      <c r="AZ864" s="1169"/>
      <c r="BA864" s="1169">
        <f t="shared" si="1301"/>
        <v>0</v>
      </c>
      <c r="BB864" s="1169"/>
      <c r="BC864" s="1024"/>
      <c r="BD864" s="1027"/>
      <c r="BE864" s="1024"/>
      <c r="BF864" s="1024"/>
      <c r="BG864" s="1008"/>
      <c r="BH864" s="1008"/>
      <c r="BI864" s="1008"/>
      <c r="BJ864" s="1008"/>
      <c r="BK864" s="1008"/>
      <c r="BL864" s="1008"/>
      <c r="BM864" s="1008"/>
    </row>
    <row r="865" s="1215" customFormat="1" ht="16.5" customHeight="1">
      <c r="A865" s="999" t="str">
        <f t="shared" si="1287"/>
        <v xml:space="preserve">Бояркина Л.Е. Кондратьева АА</v>
      </c>
      <c r="B865" s="1176" t="s">
        <v>445</v>
      </c>
      <c r="C865" s="1176"/>
      <c r="D865" s="1176"/>
      <c r="E865" s="1164">
        <f t="shared" si="1295"/>
        <v>0</v>
      </c>
      <c r="F865" s="1164">
        <f t="shared" si="1295"/>
        <v>0</v>
      </c>
      <c r="G865" s="1165">
        <f t="shared" si="1296"/>
        <v>0</v>
      </c>
      <c r="H865" s="1166"/>
      <c r="I865" s="1167">
        <f t="shared" si="1207"/>
        <v>0</v>
      </c>
      <c r="J865" s="1167">
        <f t="shared" si="1220"/>
        <v>0</v>
      </c>
      <c r="K865" s="1167">
        <f t="shared" si="1288"/>
        <v>0</v>
      </c>
      <c r="L865" s="1128"/>
      <c r="M865" s="1169"/>
      <c r="N865" s="1177"/>
      <c r="O865" s="1169"/>
      <c r="P865" s="1169"/>
      <c r="Q865" s="1169">
        <f t="shared" si="1297"/>
        <v>0</v>
      </c>
      <c r="R865" s="1169"/>
      <c r="S865" s="1170"/>
      <c r="T865" s="1171"/>
      <c r="U865" s="1128"/>
      <c r="V865" s="1169"/>
      <c r="W865" s="1177"/>
      <c r="X865" s="1177"/>
      <c r="Y865" s="1169"/>
      <c r="Z865" s="1169">
        <f t="shared" si="1298"/>
        <v>0</v>
      </c>
      <c r="AA865" s="1169"/>
      <c r="AB865" s="1172">
        <f t="shared" si="1291"/>
        <v>0</v>
      </c>
      <c r="AC865" s="1171"/>
      <c r="AD865" s="1128"/>
      <c r="AE865" s="1169"/>
      <c r="AF865" s="1177"/>
      <c r="AG865" s="1177"/>
      <c r="AH865" s="1169"/>
      <c r="AI865" s="1169">
        <f t="shared" si="1299"/>
        <v>0</v>
      </c>
      <c r="AJ865" s="1169"/>
      <c r="AK865" s="1170"/>
      <c r="AL865" s="1171"/>
      <c r="AM865" s="1128"/>
      <c r="AN865" s="1170"/>
      <c r="AO865" s="1175"/>
      <c r="AP865" s="1175"/>
      <c r="AQ865" s="1170"/>
      <c r="AR865" s="1170">
        <f t="shared" si="1300"/>
        <v>0</v>
      </c>
      <c r="AS865" s="1170"/>
      <c r="AT865" s="1170"/>
      <c r="AU865" s="1174"/>
      <c r="AV865" s="1128"/>
      <c r="AW865" s="1169"/>
      <c r="AX865" s="1177"/>
      <c r="AY865" s="1177"/>
      <c r="AZ865" s="1169"/>
      <c r="BA865" s="1169">
        <f t="shared" si="1301"/>
        <v>0</v>
      </c>
      <c r="BB865" s="1169"/>
      <c r="BC865" s="1024"/>
      <c r="BD865" s="1027"/>
      <c r="BE865" s="1024"/>
      <c r="BF865" s="1024"/>
      <c r="BG865" s="1008"/>
      <c r="BH865" s="1008"/>
      <c r="BI865" s="1008"/>
      <c r="BJ865" s="1008"/>
      <c r="BK865" s="1008"/>
      <c r="BL865" s="1008"/>
      <c r="BM865" s="1008"/>
    </row>
    <row r="866" s="1215" customFormat="1" ht="16.5" customHeight="1">
      <c r="A866" s="999" t="str">
        <f t="shared" si="1287"/>
        <v xml:space="preserve">Трофимчук О.Е., Радченко Т.А.   Куция НЛ  Красносельская (усть-Ивановка)</v>
      </c>
      <c r="B866" s="1176" t="s">
        <v>447</v>
      </c>
      <c r="C866" s="1176"/>
      <c r="D866" s="1176"/>
      <c r="E866" s="1164">
        <f t="shared" si="1295"/>
        <v>0</v>
      </c>
      <c r="F866" s="1164">
        <f t="shared" si="1295"/>
        <v>0</v>
      </c>
      <c r="G866" s="1165">
        <f t="shared" si="1296"/>
        <v>0</v>
      </c>
      <c r="H866" s="1166"/>
      <c r="I866" s="1167">
        <f t="shared" si="1207"/>
        <v>0</v>
      </c>
      <c r="J866" s="1167">
        <f t="shared" si="1220"/>
        <v>0</v>
      </c>
      <c r="K866" s="1167">
        <f t="shared" si="1288"/>
        <v>0</v>
      </c>
      <c r="L866" s="1128"/>
      <c r="M866" s="1169"/>
      <c r="N866" s="1177"/>
      <c r="O866" s="1169"/>
      <c r="P866" s="1169"/>
      <c r="Q866" s="1169">
        <f t="shared" si="1297"/>
        <v>0</v>
      </c>
      <c r="R866" s="1169"/>
      <c r="S866" s="1170"/>
      <c r="T866" s="1171"/>
      <c r="U866" s="1128"/>
      <c r="V866" s="1169"/>
      <c r="W866" s="1177"/>
      <c r="X866" s="1177"/>
      <c r="Y866" s="1169"/>
      <c r="Z866" s="1169">
        <f t="shared" si="1298"/>
        <v>0</v>
      </c>
      <c r="AA866" s="1169"/>
      <c r="AB866" s="1172">
        <f t="shared" si="1291"/>
        <v>0</v>
      </c>
      <c r="AC866" s="1171"/>
      <c r="AD866" s="1128"/>
      <c r="AE866" s="1169"/>
      <c r="AF866" s="1177"/>
      <c r="AG866" s="1177"/>
      <c r="AH866" s="1169"/>
      <c r="AI866" s="1169">
        <f t="shared" si="1299"/>
        <v>0</v>
      </c>
      <c r="AJ866" s="1169"/>
      <c r="AK866" s="1170"/>
      <c r="AL866" s="1171"/>
      <c r="AM866" s="1128"/>
      <c r="AN866" s="1170"/>
      <c r="AO866" s="1175"/>
      <c r="AP866" s="1175"/>
      <c r="AQ866" s="1170"/>
      <c r="AR866" s="1170">
        <f t="shared" si="1300"/>
        <v>0</v>
      </c>
      <c r="AS866" s="1170"/>
      <c r="AT866" s="1170"/>
      <c r="AU866" s="1174"/>
      <c r="AV866" s="1128"/>
      <c r="AW866" s="1169"/>
      <c r="AX866" s="1177"/>
      <c r="AY866" s="1177"/>
      <c r="AZ866" s="1169"/>
      <c r="BA866" s="1169">
        <f t="shared" si="1301"/>
        <v>0</v>
      </c>
      <c r="BB866" s="1169"/>
      <c r="BC866" s="1024"/>
      <c r="BD866" s="1027"/>
      <c r="BE866" s="1024"/>
      <c r="BF866" s="1024"/>
      <c r="BG866" s="1008"/>
      <c r="BH866" s="1008"/>
      <c r="BI866" s="1008"/>
      <c r="BJ866" s="1008"/>
      <c r="BK866" s="1008"/>
      <c r="BL866" s="1008"/>
      <c r="BM866" s="1008"/>
    </row>
    <row r="867" s="1215" customFormat="1" ht="16.5" customHeight="1">
      <c r="A867" s="999" t="str">
        <f t="shared" si="1287"/>
        <v xml:space="preserve">Третьяк О.М.</v>
      </c>
      <c r="B867" s="1176" t="s">
        <v>449</v>
      </c>
      <c r="C867" s="1176"/>
      <c r="D867" s="1176"/>
      <c r="E867" s="1164">
        <f t="shared" si="1295"/>
        <v>0</v>
      </c>
      <c r="F867" s="1164">
        <f t="shared" si="1295"/>
        <v>0</v>
      </c>
      <c r="G867" s="1165">
        <f t="shared" si="1296"/>
        <v>0</v>
      </c>
      <c r="H867" s="1166"/>
      <c r="I867" s="1167">
        <f t="shared" si="1207"/>
        <v>0</v>
      </c>
      <c r="J867" s="1167">
        <f t="shared" si="1220"/>
        <v>0</v>
      </c>
      <c r="K867" s="1167">
        <f t="shared" si="1288"/>
        <v>0</v>
      </c>
      <c r="L867" s="1128"/>
      <c r="M867" s="1169"/>
      <c r="N867" s="1177"/>
      <c r="O867" s="1169"/>
      <c r="P867" s="1169"/>
      <c r="Q867" s="1169">
        <f t="shared" si="1297"/>
        <v>0</v>
      </c>
      <c r="R867" s="1169"/>
      <c r="S867" s="1170"/>
      <c r="T867" s="1171"/>
      <c r="U867" s="1128"/>
      <c r="V867" s="1169"/>
      <c r="W867" s="1177"/>
      <c r="X867" s="1177"/>
      <c r="Y867" s="1169"/>
      <c r="Z867" s="1169">
        <f t="shared" si="1298"/>
        <v>0</v>
      </c>
      <c r="AA867" s="1169"/>
      <c r="AB867" s="1172">
        <f t="shared" si="1291"/>
        <v>0</v>
      </c>
      <c r="AC867" s="1171"/>
      <c r="AD867" s="1128"/>
      <c r="AE867" s="1169"/>
      <c r="AF867" s="1177"/>
      <c r="AG867" s="1177"/>
      <c r="AH867" s="1169"/>
      <c r="AI867" s="1169">
        <f t="shared" si="1299"/>
        <v>0</v>
      </c>
      <c r="AJ867" s="1169"/>
      <c r="AK867" s="1170"/>
      <c r="AL867" s="1171"/>
      <c r="AM867" s="1128"/>
      <c r="AN867" s="1170"/>
      <c r="AO867" s="1175"/>
      <c r="AP867" s="1175"/>
      <c r="AQ867" s="1170"/>
      <c r="AR867" s="1170">
        <f t="shared" si="1300"/>
        <v>0</v>
      </c>
      <c r="AS867" s="1170"/>
      <c r="AT867" s="1170"/>
      <c r="AU867" s="1174"/>
      <c r="AV867" s="1128"/>
      <c r="AW867" s="1169"/>
      <c r="AX867" s="1177"/>
      <c r="AY867" s="1177"/>
      <c r="AZ867" s="1169"/>
      <c r="BA867" s="1169">
        <f t="shared" si="1301"/>
        <v>0</v>
      </c>
      <c r="BB867" s="1169"/>
      <c r="BC867" s="1024"/>
      <c r="BD867" s="1027"/>
      <c r="BE867" s="1024"/>
      <c r="BF867" s="1024"/>
      <c r="BG867" s="1008"/>
      <c r="BH867" s="1008"/>
      <c r="BI867" s="1008"/>
      <c r="BJ867" s="1008"/>
      <c r="BK867" s="1008"/>
      <c r="BL867" s="1008"/>
      <c r="BM867" s="1008"/>
    </row>
    <row r="868" s="1215" customFormat="1" ht="16.5" customHeight="1">
      <c r="A868" s="999">
        <f t="shared" si="1287"/>
        <v>0</v>
      </c>
      <c r="B868" s="1176" t="s">
        <v>450</v>
      </c>
      <c r="C868" s="1176"/>
      <c r="D868" s="1176"/>
      <c r="E868" s="1164">
        <f t="shared" si="1295"/>
        <v>0</v>
      </c>
      <c r="F868" s="1164">
        <f t="shared" si="1295"/>
        <v>0</v>
      </c>
      <c r="G868" s="1165">
        <f t="shared" si="1296"/>
        <v>0</v>
      </c>
      <c r="H868" s="1166"/>
      <c r="I868" s="1167">
        <f t="shared" si="1207"/>
        <v>0</v>
      </c>
      <c r="J868" s="1167">
        <f t="shared" si="1220"/>
        <v>0</v>
      </c>
      <c r="K868" s="1167">
        <f t="shared" si="1288"/>
        <v>0</v>
      </c>
      <c r="L868" s="1128"/>
      <c r="M868" s="1169"/>
      <c r="N868" s="1177"/>
      <c r="O868" s="1169"/>
      <c r="P868" s="1169"/>
      <c r="Q868" s="1169">
        <f t="shared" si="1297"/>
        <v>0</v>
      </c>
      <c r="R868" s="1169"/>
      <c r="S868" s="1170"/>
      <c r="T868" s="1171"/>
      <c r="U868" s="1128"/>
      <c r="V868" s="1169"/>
      <c r="W868" s="1177"/>
      <c r="X868" s="1177"/>
      <c r="Y868" s="1169"/>
      <c r="Z868" s="1169">
        <f t="shared" si="1298"/>
        <v>0</v>
      </c>
      <c r="AA868" s="1169"/>
      <c r="AB868" s="1172">
        <f t="shared" si="1291"/>
        <v>0</v>
      </c>
      <c r="AC868" s="1171"/>
      <c r="AD868" s="1128"/>
      <c r="AE868" s="1169"/>
      <c r="AF868" s="1177"/>
      <c r="AG868" s="1177"/>
      <c r="AH868" s="1169"/>
      <c r="AI868" s="1169">
        <f t="shared" si="1299"/>
        <v>0</v>
      </c>
      <c r="AJ868" s="1169"/>
      <c r="AK868" s="1170"/>
      <c r="AL868" s="1171"/>
      <c r="AM868" s="1128"/>
      <c r="AN868" s="1170"/>
      <c r="AO868" s="1175"/>
      <c r="AP868" s="1175"/>
      <c r="AQ868" s="1170"/>
      <c r="AR868" s="1170">
        <f t="shared" si="1300"/>
        <v>0</v>
      </c>
      <c r="AS868" s="1170"/>
      <c r="AT868" s="1170"/>
      <c r="AU868" s="1174"/>
      <c r="AV868" s="1128"/>
      <c r="AW868" s="1169"/>
      <c r="AX868" s="1177"/>
      <c r="AY868" s="1177"/>
      <c r="AZ868" s="1169"/>
      <c r="BA868" s="1169">
        <f t="shared" si="1301"/>
        <v>0</v>
      </c>
      <c r="BB868" s="1169"/>
      <c r="BC868" s="1024"/>
      <c r="BD868" s="1027"/>
      <c r="BE868" s="1024"/>
      <c r="BF868" s="1024"/>
      <c r="BG868" s="1008"/>
      <c r="BH868" s="1008"/>
      <c r="BI868" s="1008"/>
      <c r="BJ868" s="1008"/>
      <c r="BK868" s="1008"/>
      <c r="BL868" s="1008"/>
      <c r="BM868" s="1008"/>
    </row>
    <row r="869" s="1215" customFormat="1" ht="16.5" customHeight="1">
      <c r="A869" s="999" t="str">
        <f t="shared" si="1287"/>
        <v xml:space="preserve">Бедина и Позднякова</v>
      </c>
      <c r="B869" s="1202" t="s">
        <v>452</v>
      </c>
      <c r="C869" s="1202"/>
      <c r="D869" s="1202"/>
      <c r="E869" s="1164">
        <f t="shared" si="1295"/>
        <v>0</v>
      </c>
      <c r="F869" s="1164">
        <f t="shared" si="1295"/>
        <v>0</v>
      </c>
      <c r="G869" s="1165">
        <f t="shared" si="1296"/>
        <v>0</v>
      </c>
      <c r="H869" s="1166"/>
      <c r="I869" s="1167">
        <f t="shared" si="1207"/>
        <v>0</v>
      </c>
      <c r="J869" s="1167">
        <f t="shared" si="1220"/>
        <v>0</v>
      </c>
      <c r="K869" s="1167">
        <f t="shared" si="1288"/>
        <v>0</v>
      </c>
      <c r="L869" s="1128"/>
      <c r="M869" s="1169"/>
      <c r="N869" s="1177"/>
      <c r="O869" s="1169"/>
      <c r="P869" s="1169"/>
      <c r="Q869" s="1169">
        <f t="shared" si="1297"/>
        <v>0</v>
      </c>
      <c r="R869" s="1169"/>
      <c r="S869" s="1170"/>
      <c r="T869" s="1171"/>
      <c r="U869" s="1128"/>
      <c r="V869" s="1169"/>
      <c r="W869" s="1177"/>
      <c r="X869" s="1177"/>
      <c r="Y869" s="1169"/>
      <c r="Z869" s="1169">
        <f t="shared" si="1298"/>
        <v>0</v>
      </c>
      <c r="AA869" s="1169"/>
      <c r="AB869" s="1172">
        <f t="shared" si="1291"/>
        <v>0</v>
      </c>
      <c r="AC869" s="1171"/>
      <c r="AD869" s="1128"/>
      <c r="AE869" s="1169"/>
      <c r="AF869" s="1177"/>
      <c r="AG869" s="1177"/>
      <c r="AH869" s="1169"/>
      <c r="AI869" s="1169">
        <f t="shared" si="1299"/>
        <v>0</v>
      </c>
      <c r="AJ869" s="1169"/>
      <c r="AK869" s="1170"/>
      <c r="AL869" s="1171"/>
      <c r="AM869" s="1128"/>
      <c r="AN869" s="1170"/>
      <c r="AO869" s="1175"/>
      <c r="AP869" s="1175"/>
      <c r="AQ869" s="1170"/>
      <c r="AR869" s="1170">
        <f t="shared" si="1300"/>
        <v>0</v>
      </c>
      <c r="AS869" s="1170"/>
      <c r="AT869" s="1170"/>
      <c r="AU869" s="1174"/>
      <c r="AV869" s="1128"/>
      <c r="AW869" s="1169"/>
      <c r="AX869" s="1177"/>
      <c r="AY869" s="1177"/>
      <c r="AZ869" s="1169"/>
      <c r="BA869" s="1169">
        <f t="shared" si="1301"/>
        <v>0</v>
      </c>
      <c r="BB869" s="1169"/>
      <c r="BC869" s="1024"/>
      <c r="BD869" s="1027"/>
      <c r="BE869" s="1024"/>
      <c r="BF869" s="1024"/>
      <c r="BG869" s="1008"/>
      <c r="BH869" s="1008"/>
      <c r="BI869" s="1008"/>
      <c r="BJ869" s="1008"/>
      <c r="BK869" s="1008"/>
      <c r="BL869" s="1008"/>
      <c r="BM869" s="1008"/>
    </row>
    <row r="870" s="1215" customFormat="1" ht="16.5" customHeight="1">
      <c r="A870" s="999" t="str">
        <f t="shared" si="1287"/>
        <v xml:space="preserve">Макарова Е.В.</v>
      </c>
      <c r="B870" s="1202" t="s">
        <v>454</v>
      </c>
      <c r="C870" s="1202"/>
      <c r="D870" s="1202"/>
      <c r="E870" s="1164">
        <f t="shared" si="1295"/>
        <v>0</v>
      </c>
      <c r="F870" s="1164">
        <f t="shared" si="1295"/>
        <v>0</v>
      </c>
      <c r="G870" s="1165">
        <f t="shared" si="1296"/>
        <v>0</v>
      </c>
      <c r="H870" s="1166"/>
      <c r="I870" s="1167">
        <f t="shared" si="1207"/>
        <v>0</v>
      </c>
      <c r="J870" s="1167">
        <f t="shared" si="1220"/>
        <v>0</v>
      </c>
      <c r="K870" s="1167">
        <f t="shared" si="1288"/>
        <v>0</v>
      </c>
      <c r="L870" s="1128"/>
      <c r="M870" s="1169"/>
      <c r="N870" s="1177"/>
      <c r="O870" s="1169"/>
      <c r="P870" s="1169"/>
      <c r="Q870" s="1169">
        <f t="shared" si="1297"/>
        <v>0</v>
      </c>
      <c r="R870" s="1169"/>
      <c r="S870" s="1170"/>
      <c r="T870" s="1171"/>
      <c r="U870" s="1128"/>
      <c r="V870" s="1169"/>
      <c r="W870" s="1177"/>
      <c r="X870" s="1177"/>
      <c r="Y870" s="1169"/>
      <c r="Z870" s="1169">
        <f t="shared" si="1298"/>
        <v>0</v>
      </c>
      <c r="AA870" s="1169"/>
      <c r="AB870" s="1172">
        <f t="shared" si="1291"/>
        <v>0</v>
      </c>
      <c r="AC870" s="1171"/>
      <c r="AD870" s="1128"/>
      <c r="AE870" s="1169"/>
      <c r="AF870" s="1177"/>
      <c r="AG870" s="1177"/>
      <c r="AH870" s="1169"/>
      <c r="AI870" s="1169">
        <f t="shared" si="1299"/>
        <v>0</v>
      </c>
      <c r="AJ870" s="1169"/>
      <c r="AK870" s="1170"/>
      <c r="AL870" s="1171"/>
      <c r="AM870" s="1128"/>
      <c r="AN870" s="1170"/>
      <c r="AO870" s="1175"/>
      <c r="AP870" s="1175"/>
      <c r="AQ870" s="1170"/>
      <c r="AR870" s="1170">
        <f t="shared" si="1300"/>
        <v>0</v>
      </c>
      <c r="AS870" s="1170"/>
      <c r="AT870" s="1170"/>
      <c r="AU870" s="1174"/>
      <c r="AV870" s="1128"/>
      <c r="AW870" s="1169"/>
      <c r="AX870" s="1177"/>
      <c r="AY870" s="1177"/>
      <c r="AZ870" s="1169"/>
      <c r="BA870" s="1169">
        <f t="shared" si="1301"/>
        <v>0</v>
      </c>
      <c r="BB870" s="1169"/>
      <c r="BC870" s="1024"/>
      <c r="BD870" s="1027"/>
      <c r="BE870" s="1024"/>
      <c r="BF870" s="1024"/>
      <c r="BG870" s="1008"/>
      <c r="BH870" s="1008"/>
      <c r="BI870" s="1008"/>
      <c r="BJ870" s="1008"/>
      <c r="BK870" s="1008"/>
      <c r="BL870" s="1008"/>
      <c r="BM870" s="1008"/>
    </row>
    <row r="871" s="1215" customFormat="1" ht="16.5" customHeight="1">
      <c r="A871" s="999" t="str">
        <f t="shared" si="1287"/>
        <v xml:space="preserve">Юшкова Н.Г.</v>
      </c>
      <c r="B871" s="1202" t="s">
        <v>311</v>
      </c>
      <c r="C871" s="1202"/>
      <c r="D871" s="1202"/>
      <c r="E871" s="1164">
        <f t="shared" si="1295"/>
        <v>0</v>
      </c>
      <c r="F871" s="1164">
        <f t="shared" si="1295"/>
        <v>0</v>
      </c>
      <c r="G871" s="1165">
        <f t="shared" si="1296"/>
        <v>0</v>
      </c>
      <c r="H871" s="1166"/>
      <c r="I871" s="1167">
        <f t="shared" si="1207"/>
        <v>0</v>
      </c>
      <c r="J871" s="1167">
        <f t="shared" si="1220"/>
        <v>0</v>
      </c>
      <c r="K871" s="1167">
        <f t="shared" si="1288"/>
        <v>0</v>
      </c>
      <c r="L871" s="1128"/>
      <c r="M871" s="1169"/>
      <c r="N871" s="1177"/>
      <c r="O871" s="1169"/>
      <c r="P871" s="1169"/>
      <c r="Q871" s="1169">
        <f t="shared" si="1297"/>
        <v>0</v>
      </c>
      <c r="R871" s="1169"/>
      <c r="S871" s="1170"/>
      <c r="T871" s="1171"/>
      <c r="U871" s="1128"/>
      <c r="V871" s="1169"/>
      <c r="W871" s="1177"/>
      <c r="X871" s="1177"/>
      <c r="Y871" s="1169"/>
      <c r="Z871" s="1169">
        <f t="shared" si="1298"/>
        <v>0</v>
      </c>
      <c r="AA871" s="1169"/>
      <c r="AB871" s="1172">
        <f t="shared" si="1291"/>
        <v>0</v>
      </c>
      <c r="AC871" s="1171"/>
      <c r="AD871" s="1128"/>
      <c r="AE871" s="1169"/>
      <c r="AF871" s="1177"/>
      <c r="AG871" s="1177"/>
      <c r="AH871" s="1169"/>
      <c r="AI871" s="1169">
        <f t="shared" si="1299"/>
        <v>0</v>
      </c>
      <c r="AJ871" s="1169"/>
      <c r="AK871" s="1170"/>
      <c r="AL871" s="1171"/>
      <c r="AM871" s="1128"/>
      <c r="AN871" s="1170"/>
      <c r="AO871" s="1175"/>
      <c r="AP871" s="1175"/>
      <c r="AQ871" s="1170"/>
      <c r="AR871" s="1170">
        <f t="shared" si="1300"/>
        <v>0</v>
      </c>
      <c r="AS871" s="1170"/>
      <c r="AT871" s="1170"/>
      <c r="AU871" s="1174"/>
      <c r="AV871" s="1128"/>
      <c r="AW871" s="1169"/>
      <c r="AX871" s="1177"/>
      <c r="AY871" s="1177"/>
      <c r="AZ871" s="1169"/>
      <c r="BA871" s="1169">
        <f t="shared" si="1301"/>
        <v>0</v>
      </c>
      <c r="BB871" s="1169"/>
      <c r="BC871" s="1024"/>
      <c r="BD871" s="1027"/>
      <c r="BE871" s="1024"/>
      <c r="BF871" s="1024"/>
      <c r="BG871" s="1008"/>
      <c r="BH871" s="1008"/>
      <c r="BI871" s="1008"/>
      <c r="BJ871" s="1008"/>
      <c r="BK871" s="1008"/>
      <c r="BL871" s="1008"/>
      <c r="BM871" s="1008"/>
    </row>
    <row r="872" s="1215" customFormat="1" ht="16.5" customHeight="1">
      <c r="A872" s="999">
        <f t="shared" si="1287"/>
        <v>0</v>
      </c>
      <c r="B872" s="1202" t="s">
        <v>456</v>
      </c>
      <c r="C872" s="1202"/>
      <c r="D872" s="1202"/>
      <c r="E872" s="1164">
        <f t="shared" si="1295"/>
        <v>0</v>
      </c>
      <c r="F872" s="1164">
        <f t="shared" si="1295"/>
        <v>0</v>
      </c>
      <c r="G872" s="1165">
        <f t="shared" si="1296"/>
        <v>0</v>
      </c>
      <c r="H872" s="1166"/>
      <c r="I872" s="1167">
        <f t="shared" si="1207"/>
        <v>0</v>
      </c>
      <c r="J872" s="1167">
        <f t="shared" si="1220"/>
        <v>0</v>
      </c>
      <c r="K872" s="1167">
        <f t="shared" si="1288"/>
        <v>0</v>
      </c>
      <c r="L872" s="1128"/>
      <c r="M872" s="1169"/>
      <c r="N872" s="1177"/>
      <c r="O872" s="1169"/>
      <c r="P872" s="1169"/>
      <c r="Q872" s="1169">
        <f t="shared" si="1297"/>
        <v>0</v>
      </c>
      <c r="R872" s="1169"/>
      <c r="S872" s="1170"/>
      <c r="T872" s="1171"/>
      <c r="U872" s="1128"/>
      <c r="V872" s="1169"/>
      <c r="W872" s="1177"/>
      <c r="X872" s="1177"/>
      <c r="Y872" s="1169"/>
      <c r="Z872" s="1169">
        <f t="shared" si="1298"/>
        <v>0</v>
      </c>
      <c r="AA872" s="1169"/>
      <c r="AB872" s="1172">
        <f t="shared" si="1291"/>
        <v>0</v>
      </c>
      <c r="AC872" s="1171"/>
      <c r="AD872" s="1128"/>
      <c r="AE872" s="1169"/>
      <c r="AF872" s="1177"/>
      <c r="AG872" s="1177"/>
      <c r="AH872" s="1169"/>
      <c r="AI872" s="1169">
        <f t="shared" si="1299"/>
        <v>0</v>
      </c>
      <c r="AJ872" s="1169"/>
      <c r="AK872" s="1170"/>
      <c r="AL872" s="1171"/>
      <c r="AM872" s="1128"/>
      <c r="AN872" s="1170"/>
      <c r="AO872" s="1175"/>
      <c r="AP872" s="1175"/>
      <c r="AQ872" s="1170"/>
      <c r="AR872" s="1170">
        <f t="shared" si="1300"/>
        <v>0</v>
      </c>
      <c r="AS872" s="1170"/>
      <c r="AT872" s="1170"/>
      <c r="AU872" s="1174"/>
      <c r="AV872" s="1128"/>
      <c r="AW872" s="1169"/>
      <c r="AX872" s="1177"/>
      <c r="AY872" s="1177"/>
      <c r="AZ872" s="1169"/>
      <c r="BA872" s="1169">
        <f t="shared" si="1301"/>
        <v>0</v>
      </c>
      <c r="BB872" s="1169"/>
      <c r="BC872" s="1024"/>
      <c r="BD872" s="1027"/>
      <c r="BE872" s="1024"/>
      <c r="BF872" s="1024"/>
      <c r="BG872" s="1008"/>
      <c r="BH872" s="1008"/>
      <c r="BI872" s="1008"/>
      <c r="BJ872" s="1008"/>
      <c r="BK872" s="1008"/>
      <c r="BL872" s="1008"/>
      <c r="BM872" s="1008"/>
    </row>
    <row r="873" s="1215" customFormat="1" ht="16.5" customHeight="1">
      <c r="A873" s="999">
        <f t="shared" si="1287"/>
        <v>0</v>
      </c>
      <c r="B873" s="1202" t="s">
        <v>457</v>
      </c>
      <c r="C873" s="1202"/>
      <c r="D873" s="1202"/>
      <c r="E873" s="1164">
        <f t="shared" si="1295"/>
        <v>0</v>
      </c>
      <c r="F873" s="1164">
        <f t="shared" ref="F873:F874" si="1302">R873+AA873+AJ873+AS873+BB873</f>
        <v>0</v>
      </c>
      <c r="G873" s="1165">
        <f t="shared" si="1296"/>
        <v>0</v>
      </c>
      <c r="H873" s="1166"/>
      <c r="I873" s="1167">
        <f t="shared" si="1207"/>
        <v>0</v>
      </c>
      <c r="J873" s="1167">
        <f t="shared" si="1220"/>
        <v>0</v>
      </c>
      <c r="K873" s="1167">
        <f t="shared" si="1288"/>
        <v>0</v>
      </c>
      <c r="L873" s="1128"/>
      <c r="M873" s="1169"/>
      <c r="N873" s="1177"/>
      <c r="O873" s="1169"/>
      <c r="P873" s="1169"/>
      <c r="Q873" s="1169">
        <f t="shared" si="1297"/>
        <v>0</v>
      </c>
      <c r="R873" s="1169"/>
      <c r="S873" s="1170"/>
      <c r="T873" s="1171"/>
      <c r="U873" s="1128"/>
      <c r="V873" s="1169"/>
      <c r="W873" s="1177"/>
      <c r="X873" s="1177"/>
      <c r="Y873" s="1169"/>
      <c r="Z873" s="1169">
        <f t="shared" si="1298"/>
        <v>0</v>
      </c>
      <c r="AA873" s="1169"/>
      <c r="AB873" s="1172">
        <f t="shared" si="1291"/>
        <v>0</v>
      </c>
      <c r="AC873" s="1171"/>
      <c r="AD873" s="1128"/>
      <c r="AE873" s="1169"/>
      <c r="AF873" s="1177"/>
      <c r="AG873" s="1177"/>
      <c r="AH873" s="1169"/>
      <c r="AI873" s="1169">
        <f t="shared" si="1299"/>
        <v>0</v>
      </c>
      <c r="AJ873" s="1169"/>
      <c r="AK873" s="1170"/>
      <c r="AL873" s="1171"/>
      <c r="AM873" s="1128"/>
      <c r="AN873" s="1170"/>
      <c r="AO873" s="1175"/>
      <c r="AP873" s="1175"/>
      <c r="AQ873" s="1170"/>
      <c r="AR873" s="1170">
        <f t="shared" si="1300"/>
        <v>0</v>
      </c>
      <c r="AS873" s="1170"/>
      <c r="AT873" s="1170"/>
      <c r="AU873" s="1174"/>
      <c r="AV873" s="1128"/>
      <c r="AW873" s="1169"/>
      <c r="AX873" s="1177"/>
      <c r="AY873" s="1177"/>
      <c r="AZ873" s="1169"/>
      <c r="BA873" s="1169">
        <f t="shared" si="1301"/>
        <v>0</v>
      </c>
      <c r="BB873" s="1169"/>
      <c r="BC873" s="1024"/>
      <c r="BD873" s="1027"/>
      <c r="BE873" s="1024"/>
      <c r="BF873" s="1024"/>
      <c r="BG873" s="1008"/>
      <c r="BH873" s="1008"/>
      <c r="BI873" s="1008"/>
      <c r="BJ873" s="1008"/>
      <c r="BK873" s="1008"/>
      <c r="BL873" s="1008"/>
      <c r="BM873" s="1008"/>
    </row>
    <row r="874" s="1215" customFormat="1" ht="16.5" customHeight="1">
      <c r="A874" s="999">
        <f t="shared" si="1287"/>
        <v>0</v>
      </c>
      <c r="B874" s="1202" t="s">
        <v>458</v>
      </c>
      <c r="C874" s="1202"/>
      <c r="D874" s="1202"/>
      <c r="E874" s="1164">
        <f t="shared" si="1295"/>
        <v>0</v>
      </c>
      <c r="F874" s="1164">
        <f t="shared" si="1302"/>
        <v>0</v>
      </c>
      <c r="G874" s="1165">
        <f t="shared" si="1296"/>
        <v>0</v>
      </c>
      <c r="H874" s="1166"/>
      <c r="I874" s="1167">
        <f t="shared" si="1207"/>
        <v>0</v>
      </c>
      <c r="J874" s="1167">
        <f t="shared" si="1220"/>
        <v>0</v>
      </c>
      <c r="K874" s="1167">
        <f t="shared" si="1288"/>
        <v>0</v>
      </c>
      <c r="L874" s="1128"/>
      <c r="M874" s="1169"/>
      <c r="N874" s="1177"/>
      <c r="O874" s="1169"/>
      <c r="P874" s="1169"/>
      <c r="Q874" s="1169">
        <f t="shared" si="1297"/>
        <v>0</v>
      </c>
      <c r="R874" s="1169"/>
      <c r="S874" s="1170"/>
      <c r="T874" s="1171"/>
      <c r="U874" s="1128"/>
      <c r="V874" s="1169"/>
      <c r="W874" s="1177"/>
      <c r="X874" s="1177"/>
      <c r="Y874" s="1169"/>
      <c r="Z874" s="1169">
        <f t="shared" si="1298"/>
        <v>0</v>
      </c>
      <c r="AA874" s="1169"/>
      <c r="AB874" s="1172">
        <f t="shared" si="1291"/>
        <v>0</v>
      </c>
      <c r="AC874" s="1171"/>
      <c r="AD874" s="1128"/>
      <c r="AE874" s="1169"/>
      <c r="AF874" s="1177"/>
      <c r="AG874" s="1177"/>
      <c r="AH874" s="1169"/>
      <c r="AI874" s="1169">
        <f t="shared" si="1299"/>
        <v>0</v>
      </c>
      <c r="AJ874" s="1169"/>
      <c r="AK874" s="1170"/>
      <c r="AL874" s="1171"/>
      <c r="AM874" s="1128"/>
      <c r="AN874" s="1170"/>
      <c r="AO874" s="1175"/>
      <c r="AP874" s="1175"/>
      <c r="AQ874" s="1170"/>
      <c r="AR874" s="1170">
        <f t="shared" si="1300"/>
        <v>0</v>
      </c>
      <c r="AS874" s="1170"/>
      <c r="AT874" s="1170"/>
      <c r="AU874" s="1174"/>
      <c r="AV874" s="1128"/>
      <c r="AW874" s="1169"/>
      <c r="AX874" s="1177"/>
      <c r="AY874" s="1177"/>
      <c r="AZ874" s="1169"/>
      <c r="BA874" s="1169">
        <f t="shared" si="1301"/>
        <v>0</v>
      </c>
      <c r="BB874" s="1169"/>
      <c r="BC874" s="1024"/>
      <c r="BD874" s="1027"/>
      <c r="BE874" s="1024"/>
      <c r="BF874" s="1024"/>
      <c r="BG874" s="1008"/>
      <c r="BH874" s="1008"/>
      <c r="BI874" s="1008"/>
      <c r="BJ874" s="1008"/>
      <c r="BK874" s="1008"/>
      <c r="BL874" s="1008"/>
      <c r="BM874" s="1008"/>
    </row>
    <row r="875" s="1215" customFormat="1" ht="16.5" customHeight="1">
      <c r="A875" s="999">
        <f t="shared" si="1287"/>
        <v>0</v>
      </c>
      <c r="B875" s="1202" t="s">
        <v>459</v>
      </c>
      <c r="C875" s="1202"/>
      <c r="D875" s="1202"/>
      <c r="E875" s="1164">
        <f t="shared" si="1295"/>
        <v>0</v>
      </c>
      <c r="F875" s="1164">
        <f t="shared" si="1295"/>
        <v>0</v>
      </c>
      <c r="G875" s="1165">
        <f t="shared" si="1296"/>
        <v>0</v>
      </c>
      <c r="H875" s="1166"/>
      <c r="I875" s="1167">
        <f t="shared" si="1207"/>
        <v>0</v>
      </c>
      <c r="J875" s="1167">
        <f t="shared" si="1220"/>
        <v>0</v>
      </c>
      <c r="K875" s="1167">
        <f t="shared" si="1288"/>
        <v>0</v>
      </c>
      <c r="L875" s="1128"/>
      <c r="M875" s="1169"/>
      <c r="N875" s="1177"/>
      <c r="O875" s="1169"/>
      <c r="P875" s="1169"/>
      <c r="Q875" s="1169">
        <f t="shared" si="1297"/>
        <v>0</v>
      </c>
      <c r="R875" s="1169"/>
      <c r="S875" s="1170"/>
      <c r="T875" s="1171"/>
      <c r="U875" s="1128"/>
      <c r="V875" s="1169"/>
      <c r="W875" s="1177"/>
      <c r="X875" s="1177"/>
      <c r="Y875" s="1169"/>
      <c r="Z875" s="1169">
        <f t="shared" si="1298"/>
        <v>0</v>
      </c>
      <c r="AA875" s="1169"/>
      <c r="AB875" s="1172">
        <f t="shared" si="1291"/>
        <v>0</v>
      </c>
      <c r="AC875" s="1171"/>
      <c r="AD875" s="1128"/>
      <c r="AE875" s="1169"/>
      <c r="AF875" s="1177"/>
      <c r="AG875" s="1177"/>
      <c r="AH875" s="1169"/>
      <c r="AI875" s="1169">
        <f t="shared" si="1299"/>
        <v>0</v>
      </c>
      <c r="AJ875" s="1169"/>
      <c r="AK875" s="1170"/>
      <c r="AL875" s="1171"/>
      <c r="AM875" s="1128"/>
      <c r="AN875" s="1170"/>
      <c r="AO875" s="1175"/>
      <c r="AP875" s="1175"/>
      <c r="AQ875" s="1170"/>
      <c r="AR875" s="1170">
        <f t="shared" si="1300"/>
        <v>0</v>
      </c>
      <c r="AS875" s="1170"/>
      <c r="AT875" s="1170"/>
      <c r="AU875" s="1174"/>
      <c r="AV875" s="1128"/>
      <c r="AW875" s="1169"/>
      <c r="AX875" s="1177"/>
      <c r="AY875" s="1177"/>
      <c r="AZ875" s="1169"/>
      <c r="BA875" s="1169">
        <f t="shared" si="1301"/>
        <v>0</v>
      </c>
      <c r="BB875" s="1169"/>
      <c r="BC875" s="1024"/>
      <c r="BD875" s="1027"/>
      <c r="BE875" s="1024"/>
      <c r="BF875" s="1024"/>
      <c r="BG875" s="1008"/>
      <c r="BH875" s="1008"/>
      <c r="BI875" s="1008"/>
      <c r="BJ875" s="1008"/>
      <c r="BK875" s="1008"/>
      <c r="BL875" s="1008"/>
      <c r="BM875" s="1008"/>
    </row>
    <row r="876" s="1215" customFormat="1" ht="16.5" customHeight="1">
      <c r="A876" s="999">
        <f t="shared" si="1287"/>
        <v>0</v>
      </c>
      <c r="B876" s="1202" t="s">
        <v>460</v>
      </c>
      <c r="C876" s="1202"/>
      <c r="D876" s="1202"/>
      <c r="E876" s="1164">
        <f t="shared" si="1295"/>
        <v>0</v>
      </c>
      <c r="F876" s="1164">
        <f t="shared" si="1295"/>
        <v>0</v>
      </c>
      <c r="G876" s="1165">
        <f t="shared" si="1296"/>
        <v>0</v>
      </c>
      <c r="H876" s="1166"/>
      <c r="I876" s="1167">
        <f t="shared" si="1207"/>
        <v>0</v>
      </c>
      <c r="J876" s="1167">
        <f t="shared" si="1220"/>
        <v>0</v>
      </c>
      <c r="K876" s="1167">
        <f t="shared" si="1288"/>
        <v>0</v>
      </c>
      <c r="L876" s="1128"/>
      <c r="M876" s="1169"/>
      <c r="N876" s="1177"/>
      <c r="O876" s="1169"/>
      <c r="P876" s="1169"/>
      <c r="Q876" s="1169">
        <f t="shared" si="1297"/>
        <v>0</v>
      </c>
      <c r="R876" s="1169"/>
      <c r="S876" s="1170"/>
      <c r="T876" s="1171"/>
      <c r="U876" s="1128"/>
      <c r="V876" s="1169"/>
      <c r="W876" s="1177"/>
      <c r="X876" s="1177"/>
      <c r="Y876" s="1169"/>
      <c r="Z876" s="1169">
        <f t="shared" si="1298"/>
        <v>0</v>
      </c>
      <c r="AA876" s="1169"/>
      <c r="AB876" s="1172">
        <f t="shared" si="1291"/>
        <v>0</v>
      </c>
      <c r="AC876" s="1171"/>
      <c r="AD876" s="1128"/>
      <c r="AE876" s="1169"/>
      <c r="AF876" s="1177"/>
      <c r="AG876" s="1177"/>
      <c r="AH876" s="1169"/>
      <c r="AI876" s="1169">
        <f t="shared" si="1299"/>
        <v>0</v>
      </c>
      <c r="AJ876" s="1169"/>
      <c r="AK876" s="1170"/>
      <c r="AL876" s="1171"/>
      <c r="AM876" s="1128"/>
      <c r="AN876" s="1170"/>
      <c r="AO876" s="1175"/>
      <c r="AP876" s="1175"/>
      <c r="AQ876" s="1170"/>
      <c r="AR876" s="1170">
        <f t="shared" si="1300"/>
        <v>0</v>
      </c>
      <c r="AS876" s="1170"/>
      <c r="AT876" s="1170"/>
      <c r="AU876" s="1174"/>
      <c r="AV876" s="1128"/>
      <c r="AW876" s="1169"/>
      <c r="AX876" s="1177"/>
      <c r="AY876" s="1177"/>
      <c r="AZ876" s="1169"/>
      <c r="BA876" s="1169">
        <f t="shared" si="1301"/>
        <v>0</v>
      </c>
      <c r="BB876" s="1169"/>
      <c r="BC876" s="1024"/>
      <c r="BD876" s="1027"/>
      <c r="BE876" s="1024"/>
      <c r="BF876" s="1024"/>
      <c r="BG876" s="1008"/>
      <c r="BH876" s="1008"/>
      <c r="BI876" s="1008"/>
      <c r="BJ876" s="1008"/>
      <c r="BK876" s="1008"/>
      <c r="BL876" s="1008"/>
      <c r="BM876" s="1008"/>
    </row>
    <row r="877" s="1215" customFormat="1" ht="16.5" customHeight="1">
      <c r="A877" s="999" t="str">
        <f t="shared" si="1287"/>
        <v xml:space="preserve">Белова СА</v>
      </c>
      <c r="B877" s="1202" t="s">
        <v>461</v>
      </c>
      <c r="C877" s="1202"/>
      <c r="D877" s="1202"/>
      <c r="E877" s="1164">
        <f t="shared" si="1295"/>
        <v>0</v>
      </c>
      <c r="F877" s="1164">
        <f t="shared" si="1295"/>
        <v>0</v>
      </c>
      <c r="G877" s="1165">
        <f t="shared" si="1296"/>
        <v>0</v>
      </c>
      <c r="H877" s="1166"/>
      <c r="I877" s="1167">
        <f t="shared" ref="I877:J940" si="1303">E877-Z877</f>
        <v>0</v>
      </c>
      <c r="J877" s="1167">
        <f t="shared" si="1220"/>
        <v>0</v>
      </c>
      <c r="K877" s="1167">
        <f t="shared" si="1288"/>
        <v>0</v>
      </c>
      <c r="L877" s="1128"/>
      <c r="M877" s="1169"/>
      <c r="N877" s="1177"/>
      <c r="O877" s="1169"/>
      <c r="P877" s="1169"/>
      <c r="Q877" s="1169">
        <f t="shared" si="1297"/>
        <v>0</v>
      </c>
      <c r="R877" s="1169"/>
      <c r="S877" s="1170"/>
      <c r="T877" s="1171"/>
      <c r="U877" s="1128"/>
      <c r="V877" s="1169"/>
      <c r="W877" s="1177"/>
      <c r="X877" s="1177"/>
      <c r="Y877" s="1169"/>
      <c r="Z877" s="1169">
        <f t="shared" si="1298"/>
        <v>0</v>
      </c>
      <c r="AA877" s="1169"/>
      <c r="AB877" s="1172">
        <f t="shared" si="1291"/>
        <v>0</v>
      </c>
      <c r="AC877" s="1171"/>
      <c r="AD877" s="1128"/>
      <c r="AE877" s="1169"/>
      <c r="AF877" s="1177"/>
      <c r="AG877" s="1177"/>
      <c r="AH877" s="1169"/>
      <c r="AI877" s="1169">
        <f t="shared" si="1299"/>
        <v>0</v>
      </c>
      <c r="AJ877" s="1169"/>
      <c r="AK877" s="1170"/>
      <c r="AL877" s="1171"/>
      <c r="AM877" s="1128"/>
      <c r="AN877" s="1170"/>
      <c r="AO877" s="1175"/>
      <c r="AP877" s="1175"/>
      <c r="AQ877" s="1170"/>
      <c r="AR877" s="1170">
        <f t="shared" si="1300"/>
        <v>0</v>
      </c>
      <c r="AS877" s="1170"/>
      <c r="AT877" s="1170"/>
      <c r="AU877" s="1174"/>
      <c r="AV877" s="1128"/>
      <c r="AW877" s="1169"/>
      <c r="AX877" s="1177"/>
      <c r="AY877" s="1177"/>
      <c r="AZ877" s="1169"/>
      <c r="BA877" s="1169">
        <f t="shared" si="1301"/>
        <v>0</v>
      </c>
      <c r="BB877" s="1169"/>
      <c r="BC877" s="1024"/>
      <c r="BD877" s="1027"/>
      <c r="BE877" s="1024"/>
      <c r="BF877" s="1024"/>
      <c r="BG877" s="1008"/>
      <c r="BH877" s="1008"/>
      <c r="BI877" s="1008"/>
      <c r="BJ877" s="1008"/>
      <c r="BK877" s="1008"/>
      <c r="BL877" s="1008"/>
      <c r="BM877" s="1008"/>
    </row>
    <row r="878" s="1215" customFormat="1" ht="16.5" customHeight="1">
      <c r="A878" s="999">
        <f t="shared" si="1287"/>
        <v>0</v>
      </c>
      <c r="B878" s="1202" t="s">
        <v>462</v>
      </c>
      <c r="C878" s="1202"/>
      <c r="D878" s="1202"/>
      <c r="E878" s="1164">
        <f t="shared" si="1295"/>
        <v>0</v>
      </c>
      <c r="F878" s="1164">
        <f t="shared" si="1295"/>
        <v>0</v>
      </c>
      <c r="G878" s="1165">
        <f t="shared" si="1296"/>
        <v>0</v>
      </c>
      <c r="H878" s="1166"/>
      <c r="I878" s="1167">
        <f t="shared" si="1303"/>
        <v>0</v>
      </c>
      <c r="J878" s="1167">
        <f t="shared" si="1220"/>
        <v>0</v>
      </c>
      <c r="K878" s="1167">
        <f t="shared" si="1288"/>
        <v>0</v>
      </c>
      <c r="L878" s="1128"/>
      <c r="M878" s="1169"/>
      <c r="N878" s="1177"/>
      <c r="O878" s="1169"/>
      <c r="P878" s="1169"/>
      <c r="Q878" s="1169">
        <f t="shared" si="1297"/>
        <v>0</v>
      </c>
      <c r="R878" s="1169"/>
      <c r="S878" s="1170"/>
      <c r="T878" s="1171"/>
      <c r="U878" s="1128"/>
      <c r="V878" s="1169"/>
      <c r="W878" s="1177"/>
      <c r="X878" s="1177"/>
      <c r="Y878" s="1169"/>
      <c r="Z878" s="1169">
        <f t="shared" si="1298"/>
        <v>0</v>
      </c>
      <c r="AA878" s="1169"/>
      <c r="AB878" s="1172">
        <f t="shared" si="1291"/>
        <v>0</v>
      </c>
      <c r="AC878" s="1171"/>
      <c r="AD878" s="1128"/>
      <c r="AE878" s="1169"/>
      <c r="AF878" s="1177"/>
      <c r="AG878" s="1177"/>
      <c r="AH878" s="1169"/>
      <c r="AI878" s="1169">
        <f t="shared" si="1299"/>
        <v>0</v>
      </c>
      <c r="AJ878" s="1169"/>
      <c r="AK878" s="1170"/>
      <c r="AL878" s="1171"/>
      <c r="AM878" s="1128"/>
      <c r="AN878" s="1170"/>
      <c r="AO878" s="1175"/>
      <c r="AP878" s="1175"/>
      <c r="AQ878" s="1170"/>
      <c r="AR878" s="1170">
        <f t="shared" si="1300"/>
        <v>0</v>
      </c>
      <c r="AS878" s="1170"/>
      <c r="AT878" s="1170"/>
      <c r="AU878" s="1174"/>
      <c r="AV878" s="1128"/>
      <c r="AW878" s="1169"/>
      <c r="AX878" s="1177"/>
      <c r="AY878" s="1177"/>
      <c r="AZ878" s="1169"/>
      <c r="BA878" s="1169">
        <f t="shared" si="1301"/>
        <v>0</v>
      </c>
      <c r="BB878" s="1169"/>
      <c r="BC878" s="1024"/>
      <c r="BD878" s="1027"/>
      <c r="BE878" s="1024"/>
      <c r="BF878" s="1024"/>
      <c r="BG878" s="1008"/>
      <c r="BH878" s="1008"/>
      <c r="BI878" s="1008"/>
      <c r="BJ878" s="1008"/>
      <c r="BK878" s="1008"/>
      <c r="BL878" s="1008"/>
      <c r="BM878" s="1008"/>
    </row>
    <row r="879" s="1215" customFormat="1" ht="16.5" customHeight="1">
      <c r="A879" s="999">
        <f t="shared" si="1287"/>
        <v>0</v>
      </c>
      <c r="B879" s="1202" t="s">
        <v>463</v>
      </c>
      <c r="C879" s="1202"/>
      <c r="D879" s="1202"/>
      <c r="E879" s="1164">
        <f t="shared" si="1295"/>
        <v>0</v>
      </c>
      <c r="F879" s="1164">
        <f t="shared" si="1295"/>
        <v>0</v>
      </c>
      <c r="G879" s="1165">
        <f t="shared" si="1296"/>
        <v>0</v>
      </c>
      <c r="H879" s="1166"/>
      <c r="I879" s="1167">
        <f t="shared" si="1303"/>
        <v>0</v>
      </c>
      <c r="J879" s="1167">
        <f t="shared" si="1220"/>
        <v>0</v>
      </c>
      <c r="K879" s="1167">
        <f t="shared" si="1288"/>
        <v>0</v>
      </c>
      <c r="L879" s="1128"/>
      <c r="M879" s="1169"/>
      <c r="N879" s="1177"/>
      <c r="O879" s="1169"/>
      <c r="P879" s="1169"/>
      <c r="Q879" s="1169">
        <f t="shared" si="1297"/>
        <v>0</v>
      </c>
      <c r="R879" s="1169"/>
      <c r="S879" s="1170"/>
      <c r="T879" s="1171"/>
      <c r="U879" s="1128"/>
      <c r="V879" s="1169"/>
      <c r="W879" s="1177"/>
      <c r="X879" s="1177"/>
      <c r="Y879" s="1169"/>
      <c r="Z879" s="1169">
        <f t="shared" si="1298"/>
        <v>0</v>
      </c>
      <c r="AA879" s="1169"/>
      <c r="AB879" s="1172">
        <f t="shared" si="1291"/>
        <v>0</v>
      </c>
      <c r="AC879" s="1171"/>
      <c r="AD879" s="1128"/>
      <c r="AE879" s="1169"/>
      <c r="AF879" s="1177"/>
      <c r="AG879" s="1177"/>
      <c r="AH879" s="1169"/>
      <c r="AI879" s="1169">
        <f t="shared" si="1299"/>
        <v>0</v>
      </c>
      <c r="AJ879" s="1169"/>
      <c r="AK879" s="1170"/>
      <c r="AL879" s="1171"/>
      <c r="AM879" s="1128"/>
      <c r="AN879" s="1170"/>
      <c r="AO879" s="1175"/>
      <c r="AP879" s="1175"/>
      <c r="AQ879" s="1170"/>
      <c r="AR879" s="1170">
        <f t="shared" si="1300"/>
        <v>0</v>
      </c>
      <c r="AS879" s="1170"/>
      <c r="AT879" s="1170"/>
      <c r="AU879" s="1174"/>
      <c r="AV879" s="1128"/>
      <c r="AW879" s="1169"/>
      <c r="AX879" s="1177"/>
      <c r="AY879" s="1177"/>
      <c r="AZ879" s="1169"/>
      <c r="BA879" s="1169">
        <f t="shared" si="1301"/>
        <v>0</v>
      </c>
      <c r="BB879" s="1169"/>
      <c r="BC879" s="1024"/>
      <c r="BD879" s="1027"/>
      <c r="BE879" s="1024"/>
      <c r="BF879" s="1024"/>
      <c r="BG879" s="1008"/>
      <c r="BH879" s="1008"/>
      <c r="BI879" s="1008"/>
      <c r="BJ879" s="1008"/>
      <c r="BK879" s="1008"/>
      <c r="BL879" s="1008"/>
      <c r="BM879" s="1008"/>
    </row>
    <row r="880" ht="16.5" customHeight="1">
      <c r="A880" s="999">
        <f t="shared" si="1287"/>
        <v>0</v>
      </c>
      <c r="B880" s="1202" t="s">
        <v>464</v>
      </c>
      <c r="C880" s="1202"/>
      <c r="D880" s="1202"/>
      <c r="E880" s="1164">
        <f t="shared" si="1295"/>
        <v>0</v>
      </c>
      <c r="F880" s="1164">
        <f t="shared" si="1295"/>
        <v>0</v>
      </c>
      <c r="G880" s="1165">
        <f t="shared" si="1296"/>
        <v>0</v>
      </c>
      <c r="H880" s="1166"/>
      <c r="I880" s="1167">
        <f t="shared" si="1303"/>
        <v>0</v>
      </c>
      <c r="J880" s="1167">
        <f t="shared" si="1220"/>
        <v>0</v>
      </c>
      <c r="K880" s="1167">
        <f t="shared" si="1288"/>
        <v>0</v>
      </c>
      <c r="L880" s="1128"/>
      <c r="M880" s="1169"/>
      <c r="N880" s="1177"/>
      <c r="O880" s="1169"/>
      <c r="P880" s="1169"/>
      <c r="Q880" s="1169">
        <f t="shared" si="1297"/>
        <v>0</v>
      </c>
      <c r="R880" s="1169"/>
      <c r="S880" s="1170"/>
      <c r="T880" s="1171"/>
      <c r="U880" s="1128"/>
      <c r="V880" s="1169"/>
      <c r="W880" s="1177"/>
      <c r="X880" s="1177"/>
      <c r="Y880" s="1169"/>
      <c r="Z880" s="1169">
        <f t="shared" si="1298"/>
        <v>0</v>
      </c>
      <c r="AA880" s="1169"/>
      <c r="AB880" s="1172">
        <f t="shared" si="1291"/>
        <v>0</v>
      </c>
      <c r="AC880" s="1171"/>
      <c r="AD880" s="1128"/>
      <c r="AE880" s="1169"/>
      <c r="AF880" s="1177"/>
      <c r="AG880" s="1177"/>
      <c r="AH880" s="1169"/>
      <c r="AI880" s="1169">
        <f t="shared" si="1299"/>
        <v>0</v>
      </c>
      <c r="AJ880" s="1169"/>
      <c r="AK880" s="1170"/>
      <c r="AL880" s="1171"/>
      <c r="AM880" s="1128"/>
      <c r="AN880" s="1170"/>
      <c r="AO880" s="1175"/>
      <c r="AP880" s="1175"/>
      <c r="AQ880" s="1170"/>
      <c r="AR880" s="1170">
        <f t="shared" si="1300"/>
        <v>0</v>
      </c>
      <c r="AS880" s="1170"/>
      <c r="AT880" s="1170"/>
      <c r="AU880" s="1174"/>
      <c r="AV880" s="1241"/>
      <c r="AW880" s="1169"/>
      <c r="AX880" s="1177"/>
      <c r="AY880" s="1177"/>
      <c r="AZ880" s="1169"/>
      <c r="BA880" s="1169">
        <f t="shared" si="1301"/>
        <v>0</v>
      </c>
      <c r="BB880" s="1169"/>
      <c r="BC880" s="1029"/>
      <c r="BD880" s="1027"/>
      <c r="BE880" s="1029"/>
      <c r="BF880" s="1029"/>
    </row>
    <row r="881" ht="16.5" customHeight="1">
      <c r="A881" s="999">
        <f t="shared" si="1287"/>
        <v>0</v>
      </c>
      <c r="B881" s="1202" t="s">
        <v>465</v>
      </c>
      <c r="C881" s="1202"/>
      <c r="D881" s="1202"/>
      <c r="E881" s="1164">
        <f t="shared" si="1295"/>
        <v>0</v>
      </c>
      <c r="F881" s="1164">
        <f t="shared" si="1295"/>
        <v>0</v>
      </c>
      <c r="G881" s="1165">
        <f t="shared" si="1296"/>
        <v>0</v>
      </c>
      <c r="H881" s="1166"/>
      <c r="I881" s="1167">
        <f t="shared" si="1303"/>
        <v>0</v>
      </c>
      <c r="J881" s="1167">
        <f t="shared" si="1220"/>
        <v>0</v>
      </c>
      <c r="K881" s="1167">
        <f t="shared" si="1288"/>
        <v>0</v>
      </c>
      <c r="L881" s="1128"/>
      <c r="M881" s="1169"/>
      <c r="N881" s="1177"/>
      <c r="O881" s="1169"/>
      <c r="P881" s="1169"/>
      <c r="Q881" s="1169">
        <f t="shared" si="1297"/>
        <v>0</v>
      </c>
      <c r="R881" s="1169"/>
      <c r="S881" s="1170"/>
      <c r="T881" s="1171"/>
      <c r="U881" s="1128"/>
      <c r="V881" s="1169"/>
      <c r="W881" s="1177"/>
      <c r="X881" s="1177"/>
      <c r="Y881" s="1169"/>
      <c r="Z881" s="1169">
        <f t="shared" si="1298"/>
        <v>0</v>
      </c>
      <c r="AA881" s="1169"/>
      <c r="AB881" s="1172">
        <f t="shared" si="1291"/>
        <v>0</v>
      </c>
      <c r="AC881" s="1171"/>
      <c r="AD881" s="1128"/>
      <c r="AE881" s="1169"/>
      <c r="AF881" s="1177"/>
      <c r="AG881" s="1177"/>
      <c r="AH881" s="1169"/>
      <c r="AI881" s="1169">
        <f t="shared" si="1299"/>
        <v>0</v>
      </c>
      <c r="AJ881" s="1169"/>
      <c r="AK881" s="1170"/>
      <c r="AL881" s="1171"/>
      <c r="AM881" s="1128"/>
      <c r="AN881" s="1170"/>
      <c r="AO881" s="1175"/>
      <c r="AP881" s="1175"/>
      <c r="AQ881" s="1170"/>
      <c r="AR881" s="1170">
        <f t="shared" si="1300"/>
        <v>0</v>
      </c>
      <c r="AS881" s="1170"/>
      <c r="AT881" s="1170"/>
      <c r="AU881" s="1174"/>
      <c r="AV881" s="1241"/>
      <c r="AW881" s="1169"/>
      <c r="AX881" s="1177"/>
      <c r="AY881" s="1177"/>
      <c r="AZ881" s="1169"/>
      <c r="BA881" s="1169">
        <f t="shared" si="1301"/>
        <v>0</v>
      </c>
      <c r="BB881" s="1169"/>
      <c r="BC881" s="1029"/>
      <c r="BD881" s="1027"/>
      <c r="BE881" s="1029"/>
      <c r="BF881" s="1029"/>
    </row>
    <row r="882" ht="16.5" customHeight="1">
      <c r="A882" s="999">
        <f t="shared" si="1287"/>
        <v>0</v>
      </c>
      <c r="B882" s="1202" t="s">
        <v>303</v>
      </c>
      <c r="C882" s="1202"/>
      <c r="D882" s="1202"/>
      <c r="E882" s="1164">
        <f t="shared" si="1295"/>
        <v>0</v>
      </c>
      <c r="F882" s="1164">
        <f t="shared" si="1295"/>
        <v>0</v>
      </c>
      <c r="G882" s="1165">
        <f t="shared" si="1296"/>
        <v>0</v>
      </c>
      <c r="H882" s="1166"/>
      <c r="I882" s="1167">
        <f t="shared" si="1303"/>
        <v>0</v>
      </c>
      <c r="J882" s="1167">
        <f t="shared" si="1220"/>
        <v>0</v>
      </c>
      <c r="K882" s="1167">
        <f t="shared" si="1288"/>
        <v>0</v>
      </c>
      <c r="L882" s="1128"/>
      <c r="M882" s="1169"/>
      <c r="N882" s="1177"/>
      <c r="O882" s="1169"/>
      <c r="P882" s="1169"/>
      <c r="Q882" s="1169">
        <f t="shared" si="1297"/>
        <v>0</v>
      </c>
      <c r="R882" s="1169"/>
      <c r="S882" s="1170"/>
      <c r="T882" s="1171"/>
      <c r="U882" s="1128"/>
      <c r="V882" s="1169"/>
      <c r="W882" s="1177"/>
      <c r="X882" s="1177"/>
      <c r="Y882" s="1169"/>
      <c r="Z882" s="1169">
        <f t="shared" si="1298"/>
        <v>0</v>
      </c>
      <c r="AA882" s="1169"/>
      <c r="AB882" s="1172">
        <f t="shared" si="1291"/>
        <v>0</v>
      </c>
      <c r="AC882" s="1171"/>
      <c r="AD882" s="1128"/>
      <c r="AE882" s="1169"/>
      <c r="AF882" s="1177"/>
      <c r="AG882" s="1177"/>
      <c r="AH882" s="1169"/>
      <c r="AI882" s="1169">
        <f t="shared" si="1299"/>
        <v>0</v>
      </c>
      <c r="AJ882" s="1169"/>
      <c r="AK882" s="1170"/>
      <c r="AL882" s="1171"/>
      <c r="AM882" s="1128"/>
      <c r="AN882" s="1170"/>
      <c r="AO882" s="1175"/>
      <c r="AP882" s="1175"/>
      <c r="AQ882" s="1170"/>
      <c r="AR882" s="1170">
        <f t="shared" si="1300"/>
        <v>0</v>
      </c>
      <c r="AS882" s="1170"/>
      <c r="AT882" s="1170"/>
      <c r="AU882" s="1174"/>
      <c r="AV882" s="1241"/>
      <c r="AW882" s="1169"/>
      <c r="AX882" s="1177"/>
      <c r="AY882" s="1177"/>
      <c r="AZ882" s="1169"/>
      <c r="BA882" s="1169">
        <f t="shared" si="1301"/>
        <v>0</v>
      </c>
      <c r="BB882" s="1169"/>
      <c r="BC882" s="1029"/>
      <c r="BD882" s="1027"/>
      <c r="BE882" s="1029"/>
      <c r="BF882" s="1029"/>
    </row>
    <row r="883">
      <c r="A883" s="999">
        <f t="shared" si="1287"/>
        <v>0</v>
      </c>
      <c r="B883" s="1202" t="s">
        <v>304</v>
      </c>
      <c r="C883" s="1202"/>
      <c r="D883" s="1202"/>
      <c r="E883" s="1164">
        <f t="shared" si="1295"/>
        <v>0</v>
      </c>
      <c r="F883" s="1164">
        <f t="shared" si="1295"/>
        <v>0</v>
      </c>
      <c r="G883" s="1165">
        <f t="shared" si="1296"/>
        <v>0</v>
      </c>
      <c r="H883" s="1166"/>
      <c r="I883" s="1167">
        <f t="shared" si="1303"/>
        <v>0</v>
      </c>
      <c r="J883" s="1167">
        <f t="shared" ref="J883:J946" si="1304">F883-AA883</f>
        <v>0</v>
      </c>
      <c r="K883" s="1167">
        <f t="shared" si="1288"/>
        <v>0</v>
      </c>
      <c r="L883" s="1128"/>
      <c r="M883" s="1169"/>
      <c r="N883" s="1177"/>
      <c r="O883" s="1169"/>
      <c r="P883" s="1169"/>
      <c r="Q883" s="1169">
        <f t="shared" si="1297"/>
        <v>0</v>
      </c>
      <c r="R883" s="1169"/>
      <c r="S883" s="1170"/>
      <c r="T883" s="1171"/>
      <c r="U883" s="1128"/>
      <c r="V883" s="1169"/>
      <c r="W883" s="1177"/>
      <c r="X883" s="1177"/>
      <c r="Y883" s="1169"/>
      <c r="Z883" s="1169">
        <f t="shared" si="1298"/>
        <v>0</v>
      </c>
      <c r="AA883" s="1169"/>
      <c r="AB883" s="1172">
        <f t="shared" si="1291"/>
        <v>0</v>
      </c>
      <c r="AC883" s="1171"/>
      <c r="AD883" s="1128"/>
      <c r="AE883" s="1169"/>
      <c r="AF883" s="1177"/>
      <c r="AG883" s="1177"/>
      <c r="AH883" s="1169"/>
      <c r="AI883" s="1169">
        <f t="shared" si="1299"/>
        <v>0</v>
      </c>
      <c r="AJ883" s="1169"/>
      <c r="AK883" s="1170"/>
      <c r="AL883" s="1171"/>
      <c r="AM883" s="1128"/>
      <c r="AN883" s="1170"/>
      <c r="AO883" s="1175"/>
      <c r="AP883" s="1175"/>
      <c r="AQ883" s="1170"/>
      <c r="AR883" s="1170">
        <f t="shared" si="1300"/>
        <v>0</v>
      </c>
      <c r="AS883" s="1170"/>
      <c r="AT883" s="1170"/>
      <c r="AU883" s="1174"/>
      <c r="AV883" s="1241"/>
      <c r="AW883" s="1169"/>
      <c r="AX883" s="1177"/>
      <c r="AY883" s="1177"/>
      <c r="AZ883" s="1169"/>
      <c r="BA883" s="1169">
        <f t="shared" si="1301"/>
        <v>0</v>
      </c>
      <c r="BB883" s="1169"/>
      <c r="BC883" s="1029"/>
      <c r="BD883" s="1027"/>
      <c r="BE883" s="1029"/>
      <c r="BF883" s="1029"/>
    </row>
    <row r="884" ht="18.75" customHeight="1">
      <c r="A884" s="999" t="str">
        <f t="shared" si="1287"/>
        <v xml:space="preserve">Радченко Т.А.</v>
      </c>
      <c r="B884" s="1202" t="s">
        <v>467</v>
      </c>
      <c r="C884" s="1202"/>
      <c r="D884" s="1202"/>
      <c r="E884" s="1164">
        <f t="shared" si="1295"/>
        <v>0</v>
      </c>
      <c r="F884" s="1164">
        <f>R884+AA884+AJ884+AS884+BB884</f>
        <v>0</v>
      </c>
      <c r="G884" s="1165">
        <f t="shared" si="1296"/>
        <v>0</v>
      </c>
      <c r="H884" s="1266" t="e">
        <f t="shared" ref="H847:H910" si="1305">G884/$G$299</f>
        <v>#DIV/0!</v>
      </c>
      <c r="I884" s="1167">
        <f t="shared" si="1303"/>
        <v>0</v>
      </c>
      <c r="J884" s="1167">
        <f t="shared" si="1304"/>
        <v>0</v>
      </c>
      <c r="K884" s="1167">
        <f t="shared" si="1288"/>
        <v>0</v>
      </c>
      <c r="L884" s="1128"/>
      <c r="M884" s="1169"/>
      <c r="N884" s="1177"/>
      <c r="O884" s="1169"/>
      <c r="P884" s="1169"/>
      <c r="Q884" s="1169">
        <f t="shared" si="1297"/>
        <v>0</v>
      </c>
      <c r="R884" s="1169"/>
      <c r="S884" s="1170"/>
      <c r="T884" s="1171"/>
      <c r="U884" s="1128"/>
      <c r="V884" s="1169"/>
      <c r="W884" s="1177"/>
      <c r="X884" s="1177"/>
      <c r="Y884" s="1169"/>
      <c r="Z884" s="1169">
        <f t="shared" si="1298"/>
        <v>0</v>
      </c>
      <c r="AA884" s="1169"/>
      <c r="AB884" s="1172">
        <f t="shared" si="1291"/>
        <v>0</v>
      </c>
      <c r="AC884" s="1171"/>
      <c r="AD884" s="1128"/>
      <c r="AE884" s="1169"/>
      <c r="AF884" s="1177"/>
      <c r="AG884" s="1177"/>
      <c r="AH884" s="1169"/>
      <c r="AI884" s="1169">
        <f t="shared" si="1299"/>
        <v>0</v>
      </c>
      <c r="AJ884" s="1169"/>
      <c r="AK884" s="1170"/>
      <c r="AL884" s="1171"/>
      <c r="AM884" s="1128"/>
      <c r="AN884" s="1170"/>
      <c r="AO884" s="1175"/>
      <c r="AP884" s="1175"/>
      <c r="AQ884" s="1170"/>
      <c r="AR884" s="1170">
        <f t="shared" si="1300"/>
        <v>0</v>
      </c>
      <c r="AS884" s="1170"/>
      <c r="AT884" s="1170"/>
      <c r="AU884" s="1174"/>
      <c r="AV884" s="1241"/>
      <c r="AW884" s="1169"/>
      <c r="AX884" s="1177"/>
      <c r="AY884" s="1177"/>
      <c r="AZ884" s="1169"/>
      <c r="BA884" s="1169">
        <f t="shared" si="1301"/>
        <v>0</v>
      </c>
      <c r="BB884" s="1169"/>
      <c r="BC884" s="1029"/>
      <c r="BD884" s="1027"/>
      <c r="BE884" s="1029"/>
      <c r="BF884" s="1029"/>
    </row>
    <row r="885">
      <c r="A885" s="999" t="str">
        <f t="shared" si="1287"/>
        <v xml:space="preserve">Старшие м.- АОКБ (кислород)</v>
      </c>
      <c r="B885" s="1202" t="s">
        <v>511</v>
      </c>
      <c r="C885" s="1202"/>
      <c r="D885" s="1202"/>
      <c r="E885" s="1164">
        <f t="shared" si="1295"/>
        <v>0</v>
      </c>
      <c r="F885" s="1164">
        <f t="shared" si="1295"/>
        <v>0</v>
      </c>
      <c r="G885" s="1165">
        <f t="shared" si="1296"/>
        <v>0</v>
      </c>
      <c r="H885" s="1166"/>
      <c r="I885" s="1167">
        <f t="shared" si="1303"/>
        <v>0</v>
      </c>
      <c r="J885" s="1167">
        <f t="shared" si="1304"/>
        <v>0</v>
      </c>
      <c r="K885" s="1167">
        <f t="shared" si="1288"/>
        <v>0</v>
      </c>
      <c r="L885" s="1128"/>
      <c r="M885" s="1169"/>
      <c r="N885" s="1177"/>
      <c r="O885" s="1169"/>
      <c r="P885" s="1169"/>
      <c r="Q885" s="1169">
        <f t="shared" si="1297"/>
        <v>0</v>
      </c>
      <c r="R885" s="1169"/>
      <c r="S885" s="1170"/>
      <c r="T885" s="1171"/>
      <c r="U885" s="1128"/>
      <c r="V885" s="1169"/>
      <c r="W885" s="1177"/>
      <c r="X885" s="1177"/>
      <c r="Y885" s="1169"/>
      <c r="Z885" s="1169">
        <f t="shared" si="1298"/>
        <v>0</v>
      </c>
      <c r="AA885" s="1169"/>
      <c r="AB885" s="1172">
        <f t="shared" si="1291"/>
        <v>0</v>
      </c>
      <c r="AC885" s="1171"/>
      <c r="AD885" s="1128"/>
      <c r="AE885" s="1169"/>
      <c r="AF885" s="1177"/>
      <c r="AG885" s="1177"/>
      <c r="AH885" s="1169"/>
      <c r="AI885" s="1169">
        <f t="shared" si="1299"/>
        <v>0</v>
      </c>
      <c r="AJ885" s="1169"/>
      <c r="AK885" s="1170"/>
      <c r="AL885" s="1171"/>
      <c r="AM885" s="1128"/>
      <c r="AN885" s="1170"/>
      <c r="AO885" s="1175"/>
      <c r="AP885" s="1175"/>
      <c r="AQ885" s="1170"/>
      <c r="AR885" s="1170">
        <f t="shared" si="1300"/>
        <v>0</v>
      </c>
      <c r="AS885" s="1170"/>
      <c r="AT885" s="1170"/>
      <c r="AU885" s="1174"/>
      <c r="AV885" s="1241"/>
      <c r="AW885" s="1169"/>
      <c r="AX885" s="1177"/>
      <c r="AY885" s="1177"/>
      <c r="AZ885" s="1169"/>
      <c r="BA885" s="1169">
        <f t="shared" si="1301"/>
        <v>0</v>
      </c>
      <c r="BB885" s="1169"/>
      <c r="BC885" s="1029"/>
      <c r="BD885" s="1027"/>
      <c r="BE885" s="1029"/>
      <c r="BF885" s="1029"/>
    </row>
    <row r="886" ht="22.5">
      <c r="B886" s="1205" t="s">
        <v>27</v>
      </c>
      <c r="C886" s="1205"/>
      <c r="D886" s="1205"/>
      <c r="E886" s="1183">
        <f>SUM(E860:E885)</f>
        <v>0</v>
      </c>
      <c r="F886" s="1183">
        <f>SUM(F860:F885)</f>
        <v>0</v>
      </c>
      <c r="G886" s="1184">
        <f>SUM(G860:G885)</f>
        <v>0</v>
      </c>
      <c r="H886" s="1185"/>
      <c r="I886" s="1186">
        <f t="shared" si="1303"/>
        <v>0</v>
      </c>
      <c r="J886" s="1186">
        <f t="shared" si="1304"/>
        <v>0</v>
      </c>
      <c r="K886" s="1186">
        <f t="shared" si="1288"/>
        <v>0</v>
      </c>
      <c r="L886" s="1210"/>
      <c r="M886" s="1213">
        <f t="shared" ref="M886:R886" si="1306">SUM(M860:M885)</f>
        <v>0</v>
      </c>
      <c r="N886" s="1213">
        <f t="shared" si="1306"/>
        <v>0</v>
      </c>
      <c r="O886" s="1213">
        <f t="shared" si="1306"/>
        <v>0</v>
      </c>
      <c r="P886" s="1213">
        <f t="shared" si="1306"/>
        <v>0</v>
      </c>
      <c r="Q886" s="1213">
        <f t="shared" si="1306"/>
        <v>0</v>
      </c>
      <c r="R886" s="1213">
        <f t="shared" si="1306"/>
        <v>0</v>
      </c>
      <c r="S886" s="1304"/>
      <c r="T886" s="1214"/>
      <c r="U886" s="1210">
        <f t="shared" ref="U886:AA886" si="1307">SUM(U860:U885)</f>
        <v>0</v>
      </c>
      <c r="V886" s="1209">
        <f t="shared" si="1307"/>
        <v>0</v>
      </c>
      <c r="W886" s="1209">
        <f t="shared" si="1307"/>
        <v>0</v>
      </c>
      <c r="X886" s="1209">
        <f t="shared" si="1307"/>
        <v>0</v>
      </c>
      <c r="Y886" s="1209">
        <f t="shared" si="1307"/>
        <v>0</v>
      </c>
      <c r="Z886" s="1209">
        <f t="shared" si="1307"/>
        <v>0</v>
      </c>
      <c r="AA886" s="1209">
        <f t="shared" si="1307"/>
        <v>0</v>
      </c>
      <c r="AB886" s="1172">
        <f t="shared" si="1291"/>
        <v>0</v>
      </c>
      <c r="AC886" s="1208"/>
      <c r="AD886" s="1210">
        <f t="shared" ref="AD886:AJ886" si="1308">SUM(AD860:AD885)</f>
        <v>0</v>
      </c>
      <c r="AE886" s="1209">
        <f t="shared" si="1308"/>
        <v>0</v>
      </c>
      <c r="AF886" s="1209">
        <f t="shared" si="1308"/>
        <v>0</v>
      </c>
      <c r="AG886" s="1209">
        <f t="shared" si="1308"/>
        <v>0</v>
      </c>
      <c r="AH886" s="1209">
        <f t="shared" si="1308"/>
        <v>0</v>
      </c>
      <c r="AI886" s="1209">
        <f t="shared" si="1308"/>
        <v>0</v>
      </c>
      <c r="AJ886" s="1209">
        <f t="shared" si="1308"/>
        <v>0</v>
      </c>
      <c r="AK886" s="1211"/>
      <c r="AL886" s="1208"/>
      <c r="AM886" s="1128"/>
      <c r="AN886" s="1190">
        <f t="shared" ref="AN886:AS886" si="1309">SUM(AN860:AN885)</f>
        <v>0</v>
      </c>
      <c r="AO886" s="1190">
        <f t="shared" si="1309"/>
        <v>0</v>
      </c>
      <c r="AP886" s="1190">
        <f t="shared" si="1309"/>
        <v>0</v>
      </c>
      <c r="AQ886" s="1190">
        <f t="shared" si="1309"/>
        <v>0</v>
      </c>
      <c r="AR886" s="1190">
        <f t="shared" si="1309"/>
        <v>0</v>
      </c>
      <c r="AS886" s="1190">
        <f t="shared" si="1309"/>
        <v>0</v>
      </c>
      <c r="AT886" s="1190"/>
      <c r="AU886" s="1191"/>
      <c r="AV886" s="1241"/>
      <c r="AW886" s="1096">
        <f t="shared" ref="AW886:BB886" si="1310">SUM(AW860:AW885)</f>
        <v>0</v>
      </c>
      <c r="AX886" s="1096">
        <f t="shared" si="1310"/>
        <v>0</v>
      </c>
      <c r="AY886" s="1096">
        <f t="shared" si="1310"/>
        <v>0</v>
      </c>
      <c r="AZ886" s="1096">
        <f t="shared" si="1310"/>
        <v>0</v>
      </c>
      <c r="BA886" s="1096">
        <f t="shared" si="1310"/>
        <v>0</v>
      </c>
      <c r="BB886" s="1096">
        <f t="shared" si="1310"/>
        <v>0</v>
      </c>
      <c r="BC886" s="1029"/>
      <c r="BD886" s="1027"/>
      <c r="BE886" s="1029"/>
      <c r="BF886" s="1029"/>
    </row>
    <row r="887" ht="22.5">
      <c r="B887" s="1205" t="s">
        <v>512</v>
      </c>
      <c r="C887" s="1205"/>
      <c r="D887" s="1205"/>
      <c r="E887" s="1302">
        <f>E886+E859+E845+E836</f>
        <v>0</v>
      </c>
      <c r="F887" s="1302">
        <f>F886+F859+F845+F836</f>
        <v>0</v>
      </c>
      <c r="G887" s="1220">
        <f>G886+G859+G845+G836</f>
        <v>0</v>
      </c>
      <c r="H887" s="1221"/>
      <c r="I887" s="1186">
        <f t="shared" si="1303"/>
        <v>0</v>
      </c>
      <c r="J887" s="1186">
        <f t="shared" si="1304"/>
        <v>0</v>
      </c>
      <c r="K887" s="1186">
        <f t="shared" si="1288"/>
        <v>0</v>
      </c>
      <c r="L887" s="1197">
        <f t="shared" ref="L887:R887" si="1311">L886+L859+L845+L836</f>
        <v>0</v>
      </c>
      <c r="M887" s="1096">
        <f>M886+M859+M845+M836</f>
        <v>0</v>
      </c>
      <c r="N887" s="1096">
        <f t="shared" si="1311"/>
        <v>0</v>
      </c>
      <c r="O887" s="1096">
        <f t="shared" si="1311"/>
        <v>0</v>
      </c>
      <c r="P887" s="1096">
        <f t="shared" si="1311"/>
        <v>0</v>
      </c>
      <c r="Q887" s="1096">
        <f t="shared" si="1311"/>
        <v>0</v>
      </c>
      <c r="R887" s="1096">
        <f t="shared" si="1311"/>
        <v>0</v>
      </c>
      <c r="S887" s="1190"/>
      <c r="T887" s="1189"/>
      <c r="U887" s="1190">
        <f t="shared" ref="U887:AA887" si="1312">U886+U859+U845+U836</f>
        <v>0</v>
      </c>
      <c r="V887" s="1096">
        <f t="shared" si="1312"/>
        <v>0</v>
      </c>
      <c r="W887" s="1096">
        <f t="shared" si="1312"/>
        <v>0</v>
      </c>
      <c r="X887" s="1096">
        <f t="shared" si="1312"/>
        <v>0</v>
      </c>
      <c r="Y887" s="1096">
        <f t="shared" si="1312"/>
        <v>0</v>
      </c>
      <c r="Z887" s="1096">
        <f t="shared" si="1312"/>
        <v>0</v>
      </c>
      <c r="AA887" s="1096">
        <f t="shared" si="1312"/>
        <v>0</v>
      </c>
      <c r="AB887" s="1172">
        <f t="shared" si="1291"/>
        <v>0</v>
      </c>
      <c r="AC887" s="1189"/>
      <c r="AD887" s="1197">
        <f t="shared" ref="AD887:AJ887" si="1313">AD886+AD859+AD845+AD836</f>
        <v>0</v>
      </c>
      <c r="AE887" s="1096">
        <f t="shared" si="1313"/>
        <v>0</v>
      </c>
      <c r="AF887" s="1096">
        <f t="shared" si="1313"/>
        <v>0</v>
      </c>
      <c r="AG887" s="1096">
        <f t="shared" si="1313"/>
        <v>0</v>
      </c>
      <c r="AH887" s="1096">
        <f t="shared" si="1313"/>
        <v>0</v>
      </c>
      <c r="AI887" s="1096">
        <f t="shared" si="1313"/>
        <v>0</v>
      </c>
      <c r="AJ887" s="1096">
        <f t="shared" si="1313"/>
        <v>0</v>
      </c>
      <c r="AK887" s="1190"/>
      <c r="AL887" s="1189"/>
      <c r="AM887" s="1197">
        <f t="shared" ref="AM887:AS887" si="1314">AM886+AM859+AM845+AM836</f>
        <v>0</v>
      </c>
      <c r="AN887" s="1190">
        <f t="shared" si="1314"/>
        <v>0</v>
      </c>
      <c r="AO887" s="1190">
        <f t="shared" si="1314"/>
        <v>0</v>
      </c>
      <c r="AP887" s="1190">
        <f t="shared" si="1314"/>
        <v>0</v>
      </c>
      <c r="AQ887" s="1190">
        <f t="shared" si="1314"/>
        <v>0</v>
      </c>
      <c r="AR887" s="1190">
        <f t="shared" si="1314"/>
        <v>0</v>
      </c>
      <c r="AS887" s="1190">
        <f t="shared" si="1314"/>
        <v>0</v>
      </c>
      <c r="AT887" s="1190"/>
      <c r="AU887" s="1191"/>
      <c r="AV887" s="1190">
        <f t="shared" ref="AV887:BB887" si="1315">AV886+AV859+AV845+AV836</f>
        <v>0</v>
      </c>
      <c r="AW887" s="1096">
        <f t="shared" si="1315"/>
        <v>0</v>
      </c>
      <c r="AX887" s="1096">
        <f t="shared" si="1315"/>
        <v>0</v>
      </c>
      <c r="AY887" s="1096">
        <f t="shared" si="1315"/>
        <v>0</v>
      </c>
      <c r="AZ887" s="1096">
        <f t="shared" si="1315"/>
        <v>0</v>
      </c>
      <c r="BA887" s="1096">
        <f t="shared" si="1315"/>
        <v>0</v>
      </c>
      <c r="BB887" s="1096">
        <f t="shared" si="1315"/>
        <v>0</v>
      </c>
      <c r="BC887" s="1029"/>
      <c r="BD887" s="1027"/>
      <c r="BE887" s="1029"/>
      <c r="BF887" s="1029"/>
    </row>
    <row r="888">
      <c r="B888" s="1133"/>
      <c r="C888" s="1133"/>
      <c r="D888" s="1133"/>
      <c r="E888" s="1225"/>
      <c r="F888" s="1225"/>
      <c r="G888" s="1226"/>
      <c r="H888" s="1227"/>
      <c r="I888" s="1228"/>
      <c r="J888" s="1228"/>
      <c r="L888" s="1024"/>
      <c r="M888" s="1230"/>
      <c r="N888" s="1229"/>
      <c r="O888" s="1230"/>
      <c r="P888" s="1230"/>
      <c r="Q888" s="1229"/>
      <c r="R888" s="1229"/>
      <c r="S888" s="1024"/>
      <c r="T888" s="1025"/>
      <c r="U888" s="1022"/>
      <c r="V888" s="1230"/>
      <c r="W888" s="1229"/>
      <c r="X888" s="1229"/>
      <c r="Y888" s="1230"/>
      <c r="Z888" s="1229"/>
      <c r="AA888" s="1024"/>
      <c r="AB888" s="1024"/>
      <c r="AC888" s="1025"/>
      <c r="AD888" s="1022"/>
      <c r="AE888" s="1023"/>
      <c r="AF888" s="1024"/>
      <c r="AG888" s="1024"/>
      <c r="AH888" s="1023"/>
      <c r="AI888" s="1024"/>
      <c r="AJ888" s="1024"/>
      <c r="AK888" s="1024"/>
      <c r="AL888" s="1025"/>
      <c r="AM888" s="1022"/>
      <c r="AN888" s="1023"/>
      <c r="AO888" s="1024"/>
      <c r="AP888" s="1024"/>
      <c r="AQ888" s="1023"/>
      <c r="AR888" s="1024"/>
      <c r="AS888" s="1024"/>
      <c r="AT888" s="1024"/>
      <c r="AU888" s="1027"/>
      <c r="AV888" s="1028"/>
      <c r="AW888" s="1230"/>
      <c r="AX888" s="1229"/>
      <c r="AY888" s="1229"/>
      <c r="AZ888" s="1230"/>
      <c r="BA888" s="1229"/>
      <c r="BB888" s="1229"/>
      <c r="BC888" s="1029"/>
      <c r="BD888" s="1027"/>
      <c r="BE888" s="1029"/>
      <c r="BF888" s="1029"/>
    </row>
    <row r="889">
      <c r="B889" s="1029"/>
      <c r="C889" s="1029"/>
      <c r="D889" s="1029"/>
      <c r="E889" s="1017"/>
      <c r="F889" s="1017"/>
      <c r="G889" s="1099"/>
      <c r="H889" s="1100"/>
      <c r="I889" s="1020"/>
      <c r="J889" s="1020"/>
      <c r="L889" s="1024"/>
      <c r="M889" s="1023"/>
      <c r="N889" s="1023"/>
      <c r="O889" s="1023"/>
      <c r="P889" s="1023"/>
      <c r="Q889" s="1023"/>
      <c r="R889" s="1023"/>
      <c r="S889" s="1024"/>
      <c r="T889" s="1025"/>
      <c r="U889" s="1022"/>
      <c r="V889" s="1023"/>
      <c r="W889" s="1023"/>
      <c r="X889" s="1023"/>
      <c r="Y889" s="1023"/>
      <c r="Z889" s="1023"/>
      <c r="AA889" s="1023"/>
      <c r="AB889" s="1024"/>
      <c r="AC889" s="1025"/>
      <c r="AD889" s="1022"/>
      <c r="AE889" s="1023"/>
      <c r="AF889" s="1023"/>
      <c r="AG889" s="1023"/>
      <c r="AH889" s="1023"/>
      <c r="AI889" s="1023"/>
      <c r="AJ889" s="1023"/>
      <c r="AK889" s="1024"/>
      <c r="AL889" s="1025"/>
      <c r="AM889" s="1022"/>
      <c r="AN889" s="1023"/>
      <c r="AO889" s="1024"/>
      <c r="AP889" s="1024"/>
      <c r="AQ889" s="1023"/>
      <c r="AR889" s="1024"/>
      <c r="AS889" s="1024"/>
      <c r="AT889" s="1024"/>
      <c r="AU889" s="1027"/>
      <c r="AV889" s="1028"/>
      <c r="AW889" s="1023"/>
      <c r="AX889" s="1023"/>
      <c r="AY889" s="1023"/>
      <c r="AZ889" s="1023"/>
      <c r="BA889" s="1023"/>
      <c r="BB889" s="1023"/>
      <c r="BC889" s="1029"/>
      <c r="BD889" s="1027"/>
      <c r="BE889" s="1029"/>
      <c r="BF889" s="1029"/>
    </row>
    <row r="890" ht="33.75" customHeight="1">
      <c r="B890" s="1264" t="s">
        <v>513</v>
      </c>
      <c r="C890" s="1312"/>
      <c r="D890" s="1312"/>
      <c r="E890" s="1113" t="s">
        <v>347</v>
      </c>
      <c r="F890" s="1114"/>
      <c r="G890" s="1114"/>
      <c r="H890" s="1115"/>
      <c r="I890" s="1235" t="s">
        <v>335</v>
      </c>
      <c r="J890" s="1236"/>
      <c r="K890" s="1237"/>
      <c r="L890" s="1119"/>
      <c r="M890" s="1120" t="s">
        <v>127</v>
      </c>
      <c r="N890" s="1121"/>
      <c r="O890" s="1121"/>
      <c r="P890" s="1121"/>
      <c r="Q890" s="1121"/>
      <c r="R890" s="1122"/>
      <c r="S890" s="1123"/>
      <c r="T890" s="1124"/>
      <c r="U890" s="1125"/>
      <c r="V890" s="1120" t="s">
        <v>325</v>
      </c>
      <c r="W890" s="1121"/>
      <c r="X890" s="1121"/>
      <c r="Y890" s="1121"/>
      <c r="Z890" s="1121"/>
      <c r="AA890" s="1122"/>
      <c r="AB890" s="1115"/>
      <c r="AC890" s="1126"/>
      <c r="AD890" s="1125"/>
      <c r="AE890" s="1120" t="s">
        <v>311</v>
      </c>
      <c r="AF890" s="1121"/>
      <c r="AG890" s="1121"/>
      <c r="AH890" s="1121"/>
      <c r="AI890" s="1121"/>
      <c r="AJ890" s="1122"/>
      <c r="AK890" s="1127"/>
      <c r="AL890" s="1126"/>
      <c r="AM890" s="1128"/>
      <c r="AN890" s="1043" t="s">
        <v>327</v>
      </c>
      <c r="AO890" s="1044"/>
      <c r="AP890" s="1044"/>
      <c r="AQ890" s="1044"/>
      <c r="AR890" s="1044"/>
      <c r="AS890" s="1045"/>
      <c r="AT890" s="1129"/>
      <c r="AU890" s="1130"/>
      <c r="AV890" s="1131"/>
      <c r="AW890" s="1043" t="s">
        <v>349</v>
      </c>
      <c r="AX890" s="1044"/>
      <c r="AY890" s="1044"/>
      <c r="AZ890" s="1044"/>
      <c r="BA890" s="1044"/>
      <c r="BB890" s="1045"/>
      <c r="BC890" s="1029"/>
      <c r="BD890" s="1027"/>
      <c r="BE890" s="1029"/>
      <c r="BF890" s="1029"/>
    </row>
    <row r="891" ht="18.75" customHeight="1">
      <c r="A891" s="1110"/>
      <c r="B891" s="1134" t="s">
        <v>350</v>
      </c>
      <c r="C891" s="1134"/>
      <c r="D891" s="1134"/>
      <c r="E891" s="1135" t="s">
        <v>332</v>
      </c>
      <c r="F891" s="1135" t="s">
        <v>333</v>
      </c>
      <c r="G891" s="1136" t="s">
        <v>334</v>
      </c>
      <c r="H891" s="1137" t="s">
        <v>341</v>
      </c>
      <c r="I891" s="1138"/>
      <c r="J891" s="1138"/>
      <c r="K891" s="1139"/>
      <c r="L891" s="1119"/>
      <c r="M891" s="1073" t="s">
        <v>336</v>
      </c>
      <c r="N891" s="1073" t="s">
        <v>337</v>
      </c>
      <c r="O891" s="1073" t="s">
        <v>338</v>
      </c>
      <c r="P891" s="1073" t="s">
        <v>344</v>
      </c>
      <c r="Q891" s="1073" t="s">
        <v>351</v>
      </c>
      <c r="R891" s="1140" t="s">
        <v>339</v>
      </c>
      <c r="S891" s="1141" t="s">
        <v>340</v>
      </c>
      <c r="T891" s="1142"/>
      <c r="U891" s="1128"/>
      <c r="V891" s="1073" t="s">
        <v>336</v>
      </c>
      <c r="W891" s="1073" t="s">
        <v>337</v>
      </c>
      <c r="X891" s="1073" t="s">
        <v>338</v>
      </c>
      <c r="Y891" s="1073" t="s">
        <v>344</v>
      </c>
      <c r="Z891" s="1073" t="s">
        <v>351</v>
      </c>
      <c r="AA891" s="1140" t="s">
        <v>339</v>
      </c>
      <c r="AB891" s="1143" t="str">
        <f>S891</f>
        <v xml:space="preserve">Итого (спирт+наркотики+растворы+перевязка)</v>
      </c>
      <c r="AC891" s="1142"/>
      <c r="AD891" s="1128"/>
      <c r="AE891" s="1073" t="s">
        <v>336</v>
      </c>
      <c r="AF891" s="1073" t="s">
        <v>337</v>
      </c>
      <c r="AG891" s="1073" t="s">
        <v>338</v>
      </c>
      <c r="AH891" s="1073" t="s">
        <v>344</v>
      </c>
      <c r="AI891" s="1073" t="s">
        <v>351</v>
      </c>
      <c r="AJ891" s="1140" t="s">
        <v>339</v>
      </c>
      <c r="AK891" s="1141" t="s">
        <v>340</v>
      </c>
      <c r="AL891" s="1142"/>
      <c r="AM891" s="1128"/>
      <c r="AN891" s="1144" t="s">
        <v>336</v>
      </c>
      <c r="AO891" s="1144" t="s">
        <v>337</v>
      </c>
      <c r="AP891" s="1144" t="s">
        <v>338</v>
      </c>
      <c r="AQ891" s="1073" t="s">
        <v>344</v>
      </c>
      <c r="AR891" s="1073" t="s">
        <v>351</v>
      </c>
      <c r="AS891" s="1140" t="s">
        <v>339</v>
      </c>
      <c r="AT891" s="1145"/>
      <c r="AU891" s="1146"/>
      <c r="AV891" s="1131"/>
      <c r="AW891" s="1144" t="s">
        <v>336</v>
      </c>
      <c r="AX891" s="1144" t="s">
        <v>337</v>
      </c>
      <c r="AY891" s="1144" t="s">
        <v>338</v>
      </c>
      <c r="AZ891" s="1073" t="s">
        <v>344</v>
      </c>
      <c r="BA891" s="1073" t="s">
        <v>351</v>
      </c>
      <c r="BB891" s="1140" t="s">
        <v>339</v>
      </c>
      <c r="BC891" s="1147"/>
      <c r="BD891" s="1132"/>
      <c r="BE891" s="1133"/>
      <c r="BF891" s="1133"/>
    </row>
    <row r="892" ht="39.75" customHeight="1">
      <c r="A892" s="1110"/>
      <c r="B892" s="1149"/>
      <c r="C892" s="1149"/>
      <c r="D892" s="1149"/>
      <c r="E892" s="1150"/>
      <c r="F892" s="1150"/>
      <c r="G892" s="1151"/>
      <c r="H892" s="1152"/>
      <c r="I892" s="1153" t="s">
        <v>342</v>
      </c>
      <c r="J892" s="1154" t="s">
        <v>339</v>
      </c>
      <c r="K892" s="1155" t="s">
        <v>335</v>
      </c>
      <c r="L892" s="1119"/>
      <c r="M892" s="1095"/>
      <c r="N892" s="1095"/>
      <c r="O892" s="1095"/>
      <c r="P892" s="1095"/>
      <c r="Q892" s="1095"/>
      <c r="R892" s="1123"/>
      <c r="S892" s="1156"/>
      <c r="T892" s="1124"/>
      <c r="U892" s="1128"/>
      <c r="V892" s="1095"/>
      <c r="W892" s="1095"/>
      <c r="X892" s="1095"/>
      <c r="Y892" s="1095"/>
      <c r="Z892" s="1095"/>
      <c r="AA892" s="1123"/>
      <c r="AB892" s="1157"/>
      <c r="AC892" s="1124"/>
      <c r="AD892" s="1128"/>
      <c r="AE892" s="1095"/>
      <c r="AF892" s="1095"/>
      <c r="AG892" s="1095"/>
      <c r="AH892" s="1095"/>
      <c r="AI892" s="1095"/>
      <c r="AJ892" s="1123"/>
      <c r="AK892" s="1156"/>
      <c r="AL892" s="1124"/>
      <c r="AM892" s="1128"/>
      <c r="AN892" s="1158"/>
      <c r="AO892" s="1158"/>
      <c r="AP892" s="1158"/>
      <c r="AQ892" s="1095"/>
      <c r="AR892" s="1095"/>
      <c r="AS892" s="1123"/>
      <c r="AT892" s="1159"/>
      <c r="AU892" s="1160"/>
      <c r="AV892" s="1131"/>
      <c r="AW892" s="1158"/>
      <c r="AX892" s="1158"/>
      <c r="AY892" s="1158"/>
      <c r="AZ892" s="1095"/>
      <c r="BA892" s="1095"/>
      <c r="BB892" s="1123"/>
      <c r="BC892" s="1161"/>
      <c r="BD892" s="1132"/>
      <c r="BE892" s="1133"/>
      <c r="BF892" s="1133"/>
    </row>
    <row r="893" ht="19.5" customHeight="1">
      <c r="A893" s="999" t="str">
        <f t="shared" ref="A893:A956" si="1316">A795</f>
        <v xml:space="preserve">Павельева Л.Г.</v>
      </c>
      <c r="B893" s="1162" t="s">
        <v>178</v>
      </c>
      <c r="C893" s="1162"/>
      <c r="D893" s="1162"/>
      <c r="E893" s="1164">
        <f t="shared" ref="E893:F900" si="1317">Q893+Z893+AI893+AR893+BA893</f>
        <v>0</v>
      </c>
      <c r="F893" s="1164">
        <f>R893+AA893+AJ893+AS893+BB893</f>
        <v>0</v>
      </c>
      <c r="G893" s="1165">
        <f t="shared" ref="G893:G900" si="1318">E893+F893</f>
        <v>0</v>
      </c>
      <c r="H893" s="1166"/>
      <c r="I893" s="1167">
        <f t="shared" si="1303"/>
        <v>0</v>
      </c>
      <c r="J893" s="1167">
        <f t="shared" si="1304"/>
        <v>0</v>
      </c>
      <c r="K893" s="1168">
        <f t="shared" ref="K893:K900" si="1319">I893+J893</f>
        <v>0</v>
      </c>
      <c r="L893" s="1119"/>
      <c r="M893" s="1169"/>
      <c r="N893" s="1169"/>
      <c r="O893" s="1169"/>
      <c r="P893" s="1169"/>
      <c r="Q893" s="1169">
        <f t="shared" ref="Q893:Q900" si="1320">SUM(M893:P893)</f>
        <v>0</v>
      </c>
      <c r="R893" s="1169"/>
      <c r="S893" s="1170"/>
      <c r="T893" s="1171"/>
      <c r="U893" s="1128"/>
      <c r="V893" s="1169"/>
      <c r="W893" s="1169"/>
      <c r="X893" s="1169"/>
      <c r="Y893" s="1169"/>
      <c r="Z893" s="1169">
        <f t="shared" ref="Z893:Z900" si="1321">SUM(V893:Y893)</f>
        <v>0</v>
      </c>
      <c r="AA893" s="1169"/>
      <c r="AB893" s="1172">
        <f t="shared" ref="AB893:AB956" si="1322">Z893+AA893</f>
        <v>0</v>
      </c>
      <c r="AC893" s="1171"/>
      <c r="AD893" s="1119"/>
      <c r="AE893" s="1169"/>
      <c r="AF893" s="1169"/>
      <c r="AG893" s="1169"/>
      <c r="AH893" s="1169"/>
      <c r="AI893" s="1169">
        <f t="shared" ref="AI893:AI900" si="1323">SUM(AE893:AH893)</f>
        <v>0</v>
      </c>
      <c r="AJ893" s="1169"/>
      <c r="AK893" s="1170"/>
      <c r="AL893" s="1171"/>
      <c r="AM893" s="1128"/>
      <c r="AN893" s="1170"/>
      <c r="AO893" s="1170"/>
      <c r="AP893" s="1170"/>
      <c r="AQ893" s="1170"/>
      <c r="AR893" s="1170">
        <f t="shared" ref="AR893:AR900" si="1324">SUM(AN893:AQ893)</f>
        <v>0</v>
      </c>
      <c r="AS893" s="1170"/>
      <c r="AT893" s="1170"/>
      <c r="AU893" s="1313"/>
      <c r="AV893" s="1131"/>
      <c r="AW893" s="1169"/>
      <c r="AX893" s="1169"/>
      <c r="AY893" s="1169"/>
      <c r="AZ893" s="1169"/>
      <c r="BA893" s="1169">
        <f t="shared" ref="BA893:BA900" si="1325">SUM(AW893:AZ893)</f>
        <v>0</v>
      </c>
      <c r="BB893" s="1169"/>
      <c r="BC893" s="1029"/>
      <c r="BD893" s="1027"/>
      <c r="BE893" s="1029"/>
      <c r="BF893" s="1029"/>
    </row>
    <row r="894" ht="19.5" customHeight="1">
      <c r="A894" s="999" t="str">
        <f t="shared" si="1316"/>
        <v xml:space="preserve">Губаренко О.Н.</v>
      </c>
      <c r="B894" s="1176" t="s">
        <v>354</v>
      </c>
      <c r="C894" s="1176"/>
      <c r="D894" s="1176"/>
      <c r="E894" s="1164">
        <f t="shared" si="1317"/>
        <v>0</v>
      </c>
      <c r="F894" s="1164">
        <f t="shared" si="1317"/>
        <v>0</v>
      </c>
      <c r="G894" s="1165">
        <f t="shared" si="1318"/>
        <v>0</v>
      </c>
      <c r="H894" s="1166"/>
      <c r="I894" s="1167">
        <f t="shared" si="1303"/>
        <v>0</v>
      </c>
      <c r="J894" s="1167">
        <f t="shared" si="1304"/>
        <v>0</v>
      </c>
      <c r="K894" s="1168">
        <f t="shared" si="1319"/>
        <v>0</v>
      </c>
      <c r="L894" s="1119"/>
      <c r="M894" s="1169"/>
      <c r="N894" s="1177"/>
      <c r="O894" s="1169"/>
      <c r="P894" s="1169"/>
      <c r="Q894" s="1169">
        <f t="shared" si="1320"/>
        <v>0</v>
      </c>
      <c r="R894" s="1169"/>
      <c r="S894" s="1170"/>
      <c r="T894" s="1171"/>
      <c r="U894" s="1128"/>
      <c r="V894" s="1169"/>
      <c r="W894" s="1177"/>
      <c r="X894" s="1177"/>
      <c r="Y894" s="1169"/>
      <c r="Z894" s="1169">
        <f t="shared" si="1321"/>
        <v>0</v>
      </c>
      <c r="AA894" s="1169"/>
      <c r="AB894" s="1172">
        <f t="shared" si="1322"/>
        <v>0</v>
      </c>
      <c r="AC894" s="1171"/>
      <c r="AD894" s="1119"/>
      <c r="AE894" s="1169"/>
      <c r="AF894" s="1177"/>
      <c r="AG894" s="1177"/>
      <c r="AH894" s="1169"/>
      <c r="AI894" s="1169">
        <f t="shared" si="1323"/>
        <v>0</v>
      </c>
      <c r="AJ894" s="1169"/>
      <c r="AK894" s="1170"/>
      <c r="AL894" s="1171"/>
      <c r="AM894" s="1128"/>
      <c r="AN894" s="1170"/>
      <c r="AO894" s="1175"/>
      <c r="AP894" s="1175"/>
      <c r="AQ894" s="1170"/>
      <c r="AR894" s="1170">
        <f t="shared" si="1324"/>
        <v>0</v>
      </c>
      <c r="AS894" s="1170"/>
      <c r="AT894" s="1170"/>
      <c r="AU894" s="1313"/>
      <c r="AV894" s="1131"/>
      <c r="AW894" s="1169"/>
      <c r="AX894" s="1177"/>
      <c r="AY894" s="1177"/>
      <c r="AZ894" s="1169"/>
      <c r="BA894" s="1169">
        <f t="shared" si="1325"/>
        <v>0</v>
      </c>
      <c r="BB894" s="1169"/>
      <c r="BC894" s="1029"/>
      <c r="BD894" s="1027"/>
      <c r="BE894" s="1029"/>
      <c r="BF894" s="1029"/>
    </row>
    <row r="895" ht="19.5" customHeight="1">
      <c r="A895" s="999" t="str">
        <f t="shared" si="1316"/>
        <v xml:space="preserve">Петрюк Е.В.</v>
      </c>
      <c r="B895" s="1176" t="s">
        <v>181</v>
      </c>
      <c r="C895" s="1176"/>
      <c r="D895" s="1176"/>
      <c r="E895" s="1164">
        <f t="shared" si="1317"/>
        <v>0</v>
      </c>
      <c r="F895" s="1164">
        <f>R895+AA895+AJ895+AS895+BB895</f>
        <v>0</v>
      </c>
      <c r="G895" s="1165">
        <f t="shared" si="1318"/>
        <v>0</v>
      </c>
      <c r="H895" s="1166"/>
      <c r="I895" s="1167">
        <f t="shared" si="1303"/>
        <v>0</v>
      </c>
      <c r="J895" s="1167">
        <f t="shared" si="1304"/>
        <v>0</v>
      </c>
      <c r="K895" s="1168">
        <f t="shared" si="1319"/>
        <v>0</v>
      </c>
      <c r="L895" s="1119"/>
      <c r="M895" s="1169"/>
      <c r="N895" s="1177"/>
      <c r="O895" s="1169"/>
      <c r="P895" s="1169"/>
      <c r="Q895" s="1169">
        <f t="shared" si="1320"/>
        <v>0</v>
      </c>
      <c r="R895" s="1169"/>
      <c r="S895" s="1170"/>
      <c r="T895" s="1171"/>
      <c r="U895" s="1128"/>
      <c r="V895" s="1169"/>
      <c r="W895" s="1177"/>
      <c r="X895" s="1177"/>
      <c r="Y895" s="1169"/>
      <c r="Z895" s="1169">
        <f t="shared" si="1321"/>
        <v>0</v>
      </c>
      <c r="AA895" s="1169"/>
      <c r="AB895" s="1172">
        <f t="shared" si="1322"/>
        <v>0</v>
      </c>
      <c r="AC895" s="1171"/>
      <c r="AD895" s="1119"/>
      <c r="AE895" s="1169"/>
      <c r="AF895" s="1177"/>
      <c r="AG895" s="1177"/>
      <c r="AH895" s="1169"/>
      <c r="AI895" s="1169">
        <f t="shared" si="1323"/>
        <v>0</v>
      </c>
      <c r="AJ895" s="1169"/>
      <c r="AK895" s="1170"/>
      <c r="AL895" s="1171"/>
      <c r="AM895" s="1128"/>
      <c r="AN895" s="1170"/>
      <c r="AO895" s="1175"/>
      <c r="AP895" s="1175"/>
      <c r="AQ895" s="1170"/>
      <c r="AR895" s="1170">
        <f t="shared" si="1324"/>
        <v>0</v>
      </c>
      <c r="AS895" s="1170"/>
      <c r="AT895" s="1170"/>
      <c r="AU895" s="1313"/>
      <c r="AV895" s="1131"/>
      <c r="AW895" s="1169"/>
      <c r="AX895" s="1177"/>
      <c r="AY895" s="1177"/>
      <c r="AZ895" s="1169"/>
      <c r="BA895" s="1169">
        <f t="shared" si="1325"/>
        <v>0</v>
      </c>
      <c r="BB895" s="1169"/>
      <c r="BC895" s="1029"/>
      <c r="BD895" s="1027"/>
      <c r="BE895" s="1029"/>
      <c r="BF895" s="1029"/>
    </row>
    <row r="896" ht="19.5" customHeight="1">
      <c r="A896" s="999" t="str">
        <f t="shared" si="1316"/>
        <v xml:space="preserve">Кутько И.Г.</v>
      </c>
      <c r="B896" s="1176" t="s">
        <v>357</v>
      </c>
      <c r="C896" s="1176"/>
      <c r="D896" s="1176"/>
      <c r="E896" s="1164">
        <f t="shared" si="1317"/>
        <v>0</v>
      </c>
      <c r="F896" s="1164">
        <f t="shared" si="1317"/>
        <v>0</v>
      </c>
      <c r="G896" s="1165">
        <f t="shared" si="1318"/>
        <v>0</v>
      </c>
      <c r="H896" s="1166"/>
      <c r="I896" s="1167">
        <f t="shared" si="1303"/>
        <v>0</v>
      </c>
      <c r="J896" s="1167">
        <f t="shared" si="1304"/>
        <v>0</v>
      </c>
      <c r="K896" s="1168">
        <f t="shared" si="1319"/>
        <v>0</v>
      </c>
      <c r="L896" s="1119"/>
      <c r="M896" s="1169"/>
      <c r="N896" s="1177"/>
      <c r="O896" s="1169"/>
      <c r="P896" s="1169"/>
      <c r="Q896" s="1169">
        <f t="shared" si="1320"/>
        <v>0</v>
      </c>
      <c r="R896" s="1169"/>
      <c r="S896" s="1170"/>
      <c r="T896" s="1171"/>
      <c r="U896" s="1128"/>
      <c r="V896" s="1169"/>
      <c r="W896" s="1177"/>
      <c r="X896" s="1177"/>
      <c r="Y896" s="1169"/>
      <c r="Z896" s="1169">
        <f t="shared" si="1321"/>
        <v>0</v>
      </c>
      <c r="AA896" s="1169"/>
      <c r="AB896" s="1172">
        <f t="shared" si="1322"/>
        <v>0</v>
      </c>
      <c r="AC896" s="1171"/>
      <c r="AD896" s="1119"/>
      <c r="AE896" s="1169"/>
      <c r="AF896" s="1177"/>
      <c r="AG896" s="1177"/>
      <c r="AH896" s="1169"/>
      <c r="AI896" s="1169">
        <f t="shared" si="1323"/>
        <v>0</v>
      </c>
      <c r="AJ896" s="1169"/>
      <c r="AK896" s="1170"/>
      <c r="AL896" s="1171"/>
      <c r="AM896" s="1128"/>
      <c r="AN896" s="1170"/>
      <c r="AO896" s="1175"/>
      <c r="AP896" s="1175"/>
      <c r="AQ896" s="1170"/>
      <c r="AR896" s="1170">
        <f t="shared" si="1324"/>
        <v>0</v>
      </c>
      <c r="AS896" s="1170"/>
      <c r="AT896" s="1170"/>
      <c r="AU896" s="1313"/>
      <c r="AV896" s="1131"/>
      <c r="AW896" s="1169"/>
      <c r="AX896" s="1177"/>
      <c r="AY896" s="1177"/>
      <c r="AZ896" s="1169"/>
      <c r="BA896" s="1169">
        <f t="shared" si="1325"/>
        <v>0</v>
      </c>
      <c r="BB896" s="1169"/>
      <c r="BC896" s="1029"/>
      <c r="BD896" s="1027"/>
      <c r="BE896" s="1029"/>
      <c r="BF896" s="1029"/>
    </row>
    <row r="897" ht="19.5" customHeight="1">
      <c r="A897" s="999" t="str">
        <f t="shared" si="1316"/>
        <v xml:space="preserve">Елина С.И.</v>
      </c>
      <c r="B897" s="1176" t="s">
        <v>183</v>
      </c>
      <c r="C897" s="1176"/>
      <c r="D897" s="1176"/>
      <c r="E897" s="1164">
        <f t="shared" si="1317"/>
        <v>0</v>
      </c>
      <c r="F897" s="1164">
        <f t="shared" si="1317"/>
        <v>0</v>
      </c>
      <c r="G897" s="1165">
        <f t="shared" si="1318"/>
        <v>0</v>
      </c>
      <c r="H897" s="1166"/>
      <c r="I897" s="1167">
        <f t="shared" si="1303"/>
        <v>0</v>
      </c>
      <c r="J897" s="1167">
        <f t="shared" si="1304"/>
        <v>0</v>
      </c>
      <c r="K897" s="1168">
        <f t="shared" si="1319"/>
        <v>0</v>
      </c>
      <c r="L897" s="1119"/>
      <c r="M897" s="1169"/>
      <c r="N897" s="1177"/>
      <c r="O897" s="1169"/>
      <c r="P897" s="1169"/>
      <c r="Q897" s="1169">
        <f t="shared" si="1320"/>
        <v>0</v>
      </c>
      <c r="R897" s="1169"/>
      <c r="S897" s="1170"/>
      <c r="T897" s="1171"/>
      <c r="U897" s="1128"/>
      <c r="V897" s="1169"/>
      <c r="W897" s="1177"/>
      <c r="X897" s="1177"/>
      <c r="Y897" s="1169"/>
      <c r="Z897" s="1169">
        <f t="shared" si="1321"/>
        <v>0</v>
      </c>
      <c r="AA897" s="1169"/>
      <c r="AB897" s="1172">
        <f t="shared" si="1322"/>
        <v>0</v>
      </c>
      <c r="AC897" s="1171"/>
      <c r="AD897" s="1119"/>
      <c r="AE897" s="1169"/>
      <c r="AF897" s="1177"/>
      <c r="AG897" s="1177"/>
      <c r="AH897" s="1169"/>
      <c r="AI897" s="1169">
        <f t="shared" si="1323"/>
        <v>0</v>
      </c>
      <c r="AJ897" s="1169"/>
      <c r="AK897" s="1170"/>
      <c r="AL897" s="1171"/>
      <c r="AM897" s="1128"/>
      <c r="AN897" s="1170"/>
      <c r="AO897" s="1175"/>
      <c r="AP897" s="1175"/>
      <c r="AQ897" s="1170"/>
      <c r="AR897" s="1170">
        <f t="shared" si="1324"/>
        <v>0</v>
      </c>
      <c r="AS897" s="1170"/>
      <c r="AT897" s="1170"/>
      <c r="AU897" s="1313"/>
      <c r="AV897" s="1131"/>
      <c r="AW897" s="1169"/>
      <c r="AX897" s="1177"/>
      <c r="AY897" s="1177"/>
      <c r="AZ897" s="1169"/>
      <c r="BA897" s="1169">
        <f t="shared" si="1325"/>
        <v>0</v>
      </c>
      <c r="BB897" s="1169"/>
      <c r="BC897" s="1029"/>
      <c r="BD897" s="1027"/>
      <c r="BE897" s="1029"/>
      <c r="BF897" s="1029"/>
    </row>
    <row r="898" ht="19.5" customHeight="1">
      <c r="A898" s="999" t="str">
        <f t="shared" si="1316"/>
        <v xml:space="preserve">Никитина О.Г.</v>
      </c>
      <c r="B898" s="1176" t="s">
        <v>184</v>
      </c>
      <c r="C898" s="1176"/>
      <c r="D898" s="1176"/>
      <c r="E898" s="1164">
        <f t="shared" si="1317"/>
        <v>0</v>
      </c>
      <c r="F898" s="1164">
        <f t="shared" si="1317"/>
        <v>0</v>
      </c>
      <c r="G898" s="1165">
        <f t="shared" si="1318"/>
        <v>0</v>
      </c>
      <c r="H898" s="1166"/>
      <c r="I898" s="1167">
        <f t="shared" si="1303"/>
        <v>0</v>
      </c>
      <c r="J898" s="1167">
        <f t="shared" si="1304"/>
        <v>0</v>
      </c>
      <c r="K898" s="1168">
        <f t="shared" si="1319"/>
        <v>0</v>
      </c>
      <c r="L898" s="1119"/>
      <c r="M898" s="1169"/>
      <c r="N898" s="1177"/>
      <c r="O898" s="1169"/>
      <c r="P898" s="1169"/>
      <c r="Q898" s="1169">
        <f t="shared" si="1320"/>
        <v>0</v>
      </c>
      <c r="R898" s="1169"/>
      <c r="S898" s="1170"/>
      <c r="T898" s="1171"/>
      <c r="U898" s="1128"/>
      <c r="V898" s="1169"/>
      <c r="W898" s="1177"/>
      <c r="X898" s="1177"/>
      <c r="Y898" s="1169"/>
      <c r="Z898" s="1169">
        <f t="shared" si="1321"/>
        <v>0</v>
      </c>
      <c r="AA898" s="1169"/>
      <c r="AB898" s="1172">
        <f t="shared" si="1322"/>
        <v>0</v>
      </c>
      <c r="AC898" s="1171"/>
      <c r="AD898" s="1119"/>
      <c r="AE898" s="1169"/>
      <c r="AF898" s="1177"/>
      <c r="AG898" s="1177"/>
      <c r="AH898" s="1169"/>
      <c r="AI898" s="1169">
        <f t="shared" si="1323"/>
        <v>0</v>
      </c>
      <c r="AJ898" s="1169"/>
      <c r="AK898" s="1170"/>
      <c r="AL898" s="1171"/>
      <c r="AM898" s="1128"/>
      <c r="AN898" s="1170"/>
      <c r="AO898" s="1175"/>
      <c r="AP898" s="1175"/>
      <c r="AQ898" s="1170"/>
      <c r="AR898" s="1170">
        <f t="shared" si="1324"/>
        <v>0</v>
      </c>
      <c r="AS898" s="1170"/>
      <c r="AT898" s="1170"/>
      <c r="AU898" s="1313"/>
      <c r="AV898" s="1131"/>
      <c r="AW898" s="1169"/>
      <c r="AX898" s="1177"/>
      <c r="AY898" s="1177"/>
      <c r="AZ898" s="1169"/>
      <c r="BA898" s="1169">
        <f t="shared" si="1325"/>
        <v>0</v>
      </c>
      <c r="BB898" s="1169"/>
      <c r="BC898" s="1029"/>
      <c r="BD898" s="1027"/>
      <c r="BE898" s="1029"/>
      <c r="BF898" s="1029"/>
    </row>
    <row r="899" ht="19.5" customHeight="1">
      <c r="A899" s="999" t="str">
        <f t="shared" si="1316"/>
        <v xml:space="preserve">Судакова Е.С.</v>
      </c>
      <c r="B899" s="1178" t="s">
        <v>361</v>
      </c>
      <c r="C899" s="1179"/>
      <c r="D899" s="1179"/>
      <c r="E899" s="1164">
        <f t="shared" si="1317"/>
        <v>0</v>
      </c>
      <c r="F899" s="1164">
        <f t="shared" si="1317"/>
        <v>0</v>
      </c>
      <c r="G899" s="1165">
        <f t="shared" si="1318"/>
        <v>0</v>
      </c>
      <c r="H899" s="1266"/>
      <c r="I899" s="1167">
        <f t="shared" si="1303"/>
        <v>0</v>
      </c>
      <c r="J899" s="1167">
        <f t="shared" si="1304"/>
        <v>0</v>
      </c>
      <c r="K899" s="1168">
        <f t="shared" si="1319"/>
        <v>0</v>
      </c>
      <c r="L899" s="1119"/>
      <c r="M899" s="1169"/>
      <c r="N899" s="1177"/>
      <c r="O899" s="1169"/>
      <c r="P899" s="1169"/>
      <c r="Q899" s="1169">
        <f t="shared" si="1320"/>
        <v>0</v>
      </c>
      <c r="R899" s="1169"/>
      <c r="S899" s="1170"/>
      <c r="T899" s="1171"/>
      <c r="U899" s="1128"/>
      <c r="V899" s="1169"/>
      <c r="W899" s="1177"/>
      <c r="X899" s="1177"/>
      <c r="Y899" s="1169"/>
      <c r="Z899" s="1169">
        <f t="shared" si="1321"/>
        <v>0</v>
      </c>
      <c r="AA899" s="1169"/>
      <c r="AB899" s="1172">
        <f t="shared" si="1322"/>
        <v>0</v>
      </c>
      <c r="AC899" s="1171"/>
      <c r="AD899" s="1119"/>
      <c r="AE899" s="1169"/>
      <c r="AF899" s="1177"/>
      <c r="AG899" s="1177"/>
      <c r="AH899" s="1169"/>
      <c r="AI899" s="1169">
        <f t="shared" si="1323"/>
        <v>0</v>
      </c>
      <c r="AJ899" s="1169"/>
      <c r="AK899" s="1170"/>
      <c r="AL899" s="1171"/>
      <c r="AM899" s="1128"/>
      <c r="AN899" s="1170"/>
      <c r="AO899" s="1175"/>
      <c r="AP899" s="1175"/>
      <c r="AQ899" s="1170"/>
      <c r="AR899" s="1170">
        <f t="shared" si="1324"/>
        <v>0</v>
      </c>
      <c r="AS899" s="1170"/>
      <c r="AT899" s="1170"/>
      <c r="AU899" s="1313"/>
      <c r="AV899" s="1131"/>
      <c r="AW899" s="1169"/>
      <c r="AX899" s="1177"/>
      <c r="AY899" s="1177"/>
      <c r="AZ899" s="1169"/>
      <c r="BA899" s="1169">
        <f t="shared" si="1325"/>
        <v>0</v>
      </c>
      <c r="BB899" s="1169"/>
      <c r="BC899" s="1029"/>
      <c r="BD899" s="1027"/>
      <c r="BE899" s="1029"/>
      <c r="BF899" s="1029"/>
    </row>
    <row r="900" ht="19.5" customHeight="1">
      <c r="A900" s="999" t="str">
        <f t="shared" si="1316"/>
        <v xml:space="preserve">Осипова А.А.</v>
      </c>
      <c r="B900" s="1176" t="s">
        <v>185</v>
      </c>
      <c r="C900" s="1176"/>
      <c r="D900" s="1176"/>
      <c r="E900" s="1164">
        <f t="shared" si="1317"/>
        <v>0</v>
      </c>
      <c r="F900" s="1164">
        <f t="shared" si="1317"/>
        <v>0</v>
      </c>
      <c r="G900" s="1165">
        <f t="shared" si="1318"/>
        <v>0</v>
      </c>
      <c r="H900" s="1166"/>
      <c r="I900" s="1167">
        <f t="shared" si="1303"/>
        <v>0</v>
      </c>
      <c r="J900" s="1167">
        <f t="shared" si="1304"/>
        <v>0</v>
      </c>
      <c r="K900" s="1168">
        <f t="shared" si="1319"/>
        <v>0</v>
      </c>
      <c r="L900" s="1119"/>
      <c r="M900" s="1169"/>
      <c r="N900" s="1177"/>
      <c r="O900" s="1169"/>
      <c r="P900" s="1169"/>
      <c r="Q900" s="1169">
        <f t="shared" si="1320"/>
        <v>0</v>
      </c>
      <c r="R900" s="1169"/>
      <c r="S900" s="1170"/>
      <c r="T900" s="1171"/>
      <c r="U900" s="1128"/>
      <c r="V900" s="1169"/>
      <c r="W900" s="1177"/>
      <c r="X900" s="1177"/>
      <c r="Y900" s="1169"/>
      <c r="Z900" s="1169">
        <f t="shared" si="1321"/>
        <v>0</v>
      </c>
      <c r="AA900" s="1169"/>
      <c r="AB900" s="1172">
        <f t="shared" si="1322"/>
        <v>0</v>
      </c>
      <c r="AC900" s="1171"/>
      <c r="AD900" s="1119"/>
      <c r="AE900" s="1169"/>
      <c r="AF900" s="1177"/>
      <c r="AG900" s="1177"/>
      <c r="AH900" s="1169"/>
      <c r="AI900" s="1169">
        <f t="shared" si="1323"/>
        <v>0</v>
      </c>
      <c r="AJ900" s="1169"/>
      <c r="AK900" s="1170"/>
      <c r="AL900" s="1171"/>
      <c r="AM900" s="1128"/>
      <c r="AN900" s="1170"/>
      <c r="AO900" s="1175"/>
      <c r="AP900" s="1175"/>
      <c r="AQ900" s="1170"/>
      <c r="AR900" s="1170">
        <f t="shared" si="1324"/>
        <v>0</v>
      </c>
      <c r="AS900" s="1170"/>
      <c r="AT900" s="1170"/>
      <c r="AU900" s="1313"/>
      <c r="AV900" s="1131"/>
      <c r="AW900" s="1169"/>
      <c r="AX900" s="1177"/>
      <c r="AY900" s="1177"/>
      <c r="AZ900" s="1169"/>
      <c r="BA900" s="1169">
        <f t="shared" si="1325"/>
        <v>0</v>
      </c>
      <c r="BB900" s="1169"/>
      <c r="BC900" s="1029"/>
      <c r="BD900" s="1027"/>
      <c r="BE900" s="1029"/>
      <c r="BF900" s="1029"/>
    </row>
    <row r="901" s="1180" customFormat="1" ht="19.5" customHeight="1">
      <c r="A901" s="999">
        <f t="shared" si="1316"/>
        <v>0</v>
      </c>
      <c r="B901" s="1182" t="s">
        <v>363</v>
      </c>
      <c r="C901" s="1182"/>
      <c r="D901" s="1182"/>
      <c r="E901" s="1183">
        <f>SUM(E893:E900)</f>
        <v>0</v>
      </c>
      <c r="F901" s="1183">
        <f>SUM(F893:F900)</f>
        <v>0</v>
      </c>
      <c r="G901" s="1184">
        <f>SUM(G893:G900)</f>
        <v>0</v>
      </c>
      <c r="H901" s="1185"/>
      <c r="I901" s="1167">
        <f t="shared" si="1303"/>
        <v>0</v>
      </c>
      <c r="J901" s="1167">
        <f t="shared" si="1304"/>
        <v>0</v>
      </c>
      <c r="K901" s="1187">
        <f>SUM(K893:K900)</f>
        <v>0</v>
      </c>
      <c r="L901" s="1188"/>
      <c r="M901" s="1096">
        <f t="shared" ref="M901:R901" si="1326">SUM(M893:M900)</f>
        <v>0</v>
      </c>
      <c r="N901" s="1096">
        <f t="shared" si="1326"/>
        <v>0</v>
      </c>
      <c r="O901" s="1096">
        <f t="shared" si="1326"/>
        <v>0</v>
      </c>
      <c r="P901" s="1096">
        <f t="shared" si="1326"/>
        <v>0</v>
      </c>
      <c r="Q901" s="1096">
        <f t="shared" si="1326"/>
        <v>0</v>
      </c>
      <c r="R901" s="1096">
        <f t="shared" si="1326"/>
        <v>0</v>
      </c>
      <c r="S901" s="1190"/>
      <c r="T901" s="1189"/>
      <c r="U901" s="1128"/>
      <c r="V901" s="1096">
        <f t="shared" ref="V901:AA901" si="1327">SUM(V893:V900)</f>
        <v>0</v>
      </c>
      <c r="W901" s="1096">
        <f t="shared" si="1327"/>
        <v>0</v>
      </c>
      <c r="X901" s="1096">
        <f t="shared" si="1327"/>
        <v>0</v>
      </c>
      <c r="Y901" s="1096">
        <f t="shared" si="1327"/>
        <v>0</v>
      </c>
      <c r="Z901" s="1096">
        <f t="shared" si="1327"/>
        <v>0</v>
      </c>
      <c r="AA901" s="1096">
        <f t="shared" si="1327"/>
        <v>0</v>
      </c>
      <c r="AB901" s="1172">
        <f t="shared" si="1322"/>
        <v>0</v>
      </c>
      <c r="AC901" s="1189"/>
      <c r="AD901" s="1244"/>
      <c r="AE901" s="1096">
        <f t="shared" ref="AE901:AJ901" si="1328">SUM(AE893:AE900)</f>
        <v>0</v>
      </c>
      <c r="AF901" s="1096">
        <f t="shared" si="1328"/>
        <v>0</v>
      </c>
      <c r="AG901" s="1096">
        <f t="shared" si="1328"/>
        <v>0</v>
      </c>
      <c r="AH901" s="1096">
        <f t="shared" si="1328"/>
        <v>0</v>
      </c>
      <c r="AI901" s="1096">
        <f t="shared" si="1328"/>
        <v>0</v>
      </c>
      <c r="AJ901" s="1096">
        <f t="shared" si="1328"/>
        <v>0</v>
      </c>
      <c r="AK901" s="1190"/>
      <c r="AL901" s="1189"/>
      <c r="AM901" s="1125"/>
      <c r="AN901" s="1190">
        <f t="shared" ref="AN901:AS901" si="1329">SUM(AN893:AN900)</f>
        <v>0</v>
      </c>
      <c r="AO901" s="1190">
        <f t="shared" si="1329"/>
        <v>0</v>
      </c>
      <c r="AP901" s="1190">
        <f t="shared" si="1329"/>
        <v>0</v>
      </c>
      <c r="AQ901" s="1190">
        <f t="shared" si="1329"/>
        <v>0</v>
      </c>
      <c r="AR901" s="1190">
        <f t="shared" si="1329"/>
        <v>0</v>
      </c>
      <c r="AS901" s="1190">
        <f t="shared" si="1329"/>
        <v>0</v>
      </c>
      <c r="AT901" s="1190"/>
      <c r="AU901" s="1314"/>
      <c r="AV901" s="1192"/>
      <c r="AW901" s="1096">
        <f t="shared" ref="AW901:BB901" si="1330">SUM(AW893:AW900)</f>
        <v>0</v>
      </c>
      <c r="AX901" s="1096">
        <f t="shared" si="1330"/>
        <v>0</v>
      </c>
      <c r="AY901" s="1096">
        <f t="shared" si="1330"/>
        <v>0</v>
      </c>
      <c r="AZ901" s="1096">
        <f t="shared" si="1330"/>
        <v>0</v>
      </c>
      <c r="BA901" s="1096">
        <f t="shared" si="1330"/>
        <v>0</v>
      </c>
      <c r="BB901" s="1096">
        <f t="shared" si="1330"/>
        <v>0</v>
      </c>
      <c r="BC901" s="1051"/>
      <c r="BD901" s="1052"/>
      <c r="BE901" s="1051"/>
      <c r="BF901" s="1051"/>
      <c r="BG901" s="1106"/>
      <c r="BH901" s="1106"/>
      <c r="BI901" s="1106"/>
      <c r="BJ901" s="1106"/>
      <c r="BK901" s="1106"/>
      <c r="BL901" s="1106"/>
      <c r="BM901" s="1106"/>
    </row>
    <row r="902" ht="19.5" customHeight="1">
      <c r="A902" s="999">
        <f t="shared" si="1316"/>
        <v>0</v>
      </c>
      <c r="B902" s="1176" t="s">
        <v>364</v>
      </c>
      <c r="C902" s="1176"/>
      <c r="D902" s="1176"/>
      <c r="E902" s="1164">
        <f t="shared" ref="E902:F914" si="1331">Q902+Z902+AI902+AR902+BA902</f>
        <v>0</v>
      </c>
      <c r="F902" s="1164">
        <f>R902+AA902+AJ902+AS902+BB902</f>
        <v>0</v>
      </c>
      <c r="G902" s="1165">
        <f t="shared" ref="G902:G914" si="1332">E902+F902</f>
        <v>0</v>
      </c>
      <c r="H902" s="1166"/>
      <c r="I902" s="1167">
        <f t="shared" si="1303"/>
        <v>0</v>
      </c>
      <c r="J902" s="1167">
        <f t="shared" si="1304"/>
        <v>0</v>
      </c>
      <c r="K902" s="1168">
        <f t="shared" ref="K902:K914" si="1333">I902+J902</f>
        <v>0</v>
      </c>
      <c r="L902" s="1119"/>
      <c r="M902" s="1169"/>
      <c r="N902" s="1177"/>
      <c r="O902" s="1169"/>
      <c r="P902" s="1169"/>
      <c r="Q902" s="1169">
        <f t="shared" ref="Q902:Q914" si="1334">SUM(M902:P902)</f>
        <v>0</v>
      </c>
      <c r="R902" s="1169"/>
      <c r="S902" s="1170"/>
      <c r="T902" s="1171"/>
      <c r="U902" s="1128"/>
      <c r="V902" s="1169"/>
      <c r="W902" s="1177"/>
      <c r="X902" s="1177"/>
      <c r="Y902" s="1169"/>
      <c r="Z902" s="1169">
        <f t="shared" ref="Z902:Z914" si="1335">SUM(V902:Y902)</f>
        <v>0</v>
      </c>
      <c r="AA902" s="1169"/>
      <c r="AB902" s="1172">
        <f t="shared" si="1322"/>
        <v>0</v>
      </c>
      <c r="AC902" s="1171"/>
      <c r="AD902" s="1119"/>
      <c r="AE902" s="1169"/>
      <c r="AF902" s="1177"/>
      <c r="AG902" s="1177"/>
      <c r="AH902" s="1169"/>
      <c r="AI902" s="1169">
        <f t="shared" ref="AI902:AI914" si="1336">SUM(AE902:AH902)</f>
        <v>0</v>
      </c>
      <c r="AJ902" s="1169"/>
      <c r="AK902" s="1170"/>
      <c r="AL902" s="1171"/>
      <c r="AM902" s="1128"/>
      <c r="AN902" s="1170"/>
      <c r="AO902" s="1175"/>
      <c r="AP902" s="1175"/>
      <c r="AQ902" s="1170"/>
      <c r="AR902" s="1170">
        <f t="shared" ref="AR902:AR914" si="1337">SUM(AN902:AQ902)</f>
        <v>0</v>
      </c>
      <c r="AS902" s="1170"/>
      <c r="AT902" s="1170"/>
      <c r="AU902" s="1313"/>
      <c r="AV902" s="1131"/>
      <c r="AW902" s="1169"/>
      <c r="AX902" s="1177"/>
      <c r="AY902" s="1177"/>
      <c r="AZ902" s="1169"/>
      <c r="BA902" s="1169">
        <f t="shared" ref="BA902:BA914" si="1338">SUM(AW902:AZ902)</f>
        <v>0</v>
      </c>
      <c r="BB902" s="1169"/>
      <c r="BC902" s="1029"/>
      <c r="BD902" s="1027"/>
      <c r="BE902" s="1029"/>
      <c r="BF902" s="1029"/>
    </row>
    <row r="903" ht="19.5" customHeight="1">
      <c r="A903" s="999" t="str">
        <f t="shared" si="1316"/>
        <v xml:space="preserve">Сметанина О.В.</v>
      </c>
      <c r="B903" s="1176" t="s">
        <v>195</v>
      </c>
      <c r="C903" s="1176"/>
      <c r="D903" s="1176"/>
      <c r="E903" s="1164">
        <f t="shared" si="1331"/>
        <v>0</v>
      </c>
      <c r="F903" s="1164">
        <f t="shared" si="1331"/>
        <v>0</v>
      </c>
      <c r="G903" s="1165">
        <f t="shared" si="1332"/>
        <v>0</v>
      </c>
      <c r="H903" s="1166"/>
      <c r="I903" s="1167">
        <f t="shared" si="1303"/>
        <v>0</v>
      </c>
      <c r="J903" s="1167">
        <f t="shared" si="1304"/>
        <v>0</v>
      </c>
      <c r="K903" s="1168">
        <f t="shared" si="1333"/>
        <v>0</v>
      </c>
      <c r="L903" s="1119"/>
      <c r="M903" s="1169"/>
      <c r="N903" s="1177"/>
      <c r="O903" s="1169"/>
      <c r="P903" s="1169"/>
      <c r="Q903" s="1169">
        <f t="shared" si="1334"/>
        <v>0</v>
      </c>
      <c r="R903" s="1169"/>
      <c r="S903" s="1170"/>
      <c r="T903" s="1171"/>
      <c r="U903" s="1128"/>
      <c r="V903" s="1169"/>
      <c r="W903" s="1177"/>
      <c r="X903" s="1177"/>
      <c r="Y903" s="1169"/>
      <c r="Z903" s="1169">
        <f t="shared" si="1335"/>
        <v>0</v>
      </c>
      <c r="AA903" s="1169"/>
      <c r="AB903" s="1172">
        <f t="shared" si="1322"/>
        <v>0</v>
      </c>
      <c r="AC903" s="1171"/>
      <c r="AD903" s="1119"/>
      <c r="AE903" s="1169"/>
      <c r="AF903" s="1177"/>
      <c r="AG903" s="1177"/>
      <c r="AH903" s="1169"/>
      <c r="AI903" s="1169">
        <f t="shared" si="1336"/>
        <v>0</v>
      </c>
      <c r="AJ903" s="1169"/>
      <c r="AK903" s="1170"/>
      <c r="AL903" s="1171"/>
      <c r="AM903" s="1128"/>
      <c r="AN903" s="1170"/>
      <c r="AO903" s="1175"/>
      <c r="AP903" s="1175"/>
      <c r="AQ903" s="1170"/>
      <c r="AR903" s="1170">
        <f t="shared" si="1337"/>
        <v>0</v>
      </c>
      <c r="AS903" s="1170"/>
      <c r="AT903" s="1170"/>
      <c r="AU903" s="1313"/>
      <c r="AV903" s="1131"/>
      <c r="AW903" s="1169"/>
      <c r="AX903" s="1177"/>
      <c r="AY903" s="1177"/>
      <c r="AZ903" s="1169"/>
      <c r="BA903" s="1169">
        <f t="shared" si="1338"/>
        <v>0</v>
      </c>
      <c r="BB903" s="1169"/>
      <c r="BC903" s="1029"/>
      <c r="BD903" s="1027"/>
      <c r="BE903" s="1029"/>
      <c r="BF903" s="1029"/>
    </row>
    <row r="904" ht="19.5" customHeight="1">
      <c r="A904" s="999" t="str">
        <f t="shared" si="1316"/>
        <v xml:space="preserve">Козенко С.С.</v>
      </c>
      <c r="B904" s="1176" t="s">
        <v>196</v>
      </c>
      <c r="C904" s="1176"/>
      <c r="D904" s="1176"/>
      <c r="E904" s="1164">
        <f t="shared" si="1331"/>
        <v>0</v>
      </c>
      <c r="F904" s="1164">
        <f t="shared" si="1331"/>
        <v>0</v>
      </c>
      <c r="G904" s="1165">
        <f t="shared" si="1332"/>
        <v>0</v>
      </c>
      <c r="H904" s="1166"/>
      <c r="I904" s="1167">
        <f t="shared" si="1303"/>
        <v>0</v>
      </c>
      <c r="J904" s="1167">
        <f t="shared" si="1304"/>
        <v>0</v>
      </c>
      <c r="K904" s="1168">
        <f t="shared" si="1333"/>
        <v>0</v>
      </c>
      <c r="L904" s="1119"/>
      <c r="M904" s="1169"/>
      <c r="N904" s="1177"/>
      <c r="O904" s="1169"/>
      <c r="P904" s="1169"/>
      <c r="Q904" s="1169">
        <f t="shared" si="1334"/>
        <v>0</v>
      </c>
      <c r="R904" s="1169"/>
      <c r="S904" s="1170"/>
      <c r="T904" s="1171"/>
      <c r="U904" s="1128"/>
      <c r="V904" s="1169"/>
      <c r="W904" s="1177"/>
      <c r="X904" s="1177"/>
      <c r="Y904" s="1169"/>
      <c r="Z904" s="1169">
        <f t="shared" si="1335"/>
        <v>0</v>
      </c>
      <c r="AA904" s="1169"/>
      <c r="AB904" s="1172">
        <f t="shared" si="1322"/>
        <v>0</v>
      </c>
      <c r="AC904" s="1171"/>
      <c r="AD904" s="1119"/>
      <c r="AE904" s="1169"/>
      <c r="AF904" s="1177"/>
      <c r="AG904" s="1177"/>
      <c r="AH904" s="1169"/>
      <c r="AI904" s="1169">
        <f t="shared" si="1336"/>
        <v>0</v>
      </c>
      <c r="AJ904" s="1169"/>
      <c r="AK904" s="1170"/>
      <c r="AL904" s="1171"/>
      <c r="AM904" s="1128"/>
      <c r="AN904" s="1170"/>
      <c r="AO904" s="1175"/>
      <c r="AP904" s="1175"/>
      <c r="AQ904" s="1170"/>
      <c r="AR904" s="1170">
        <f t="shared" si="1337"/>
        <v>0</v>
      </c>
      <c r="AS904" s="1170"/>
      <c r="AT904" s="1170"/>
      <c r="AU904" s="1313"/>
      <c r="AV904" s="1131"/>
      <c r="AW904" s="1169"/>
      <c r="AX904" s="1177"/>
      <c r="AY904" s="1177"/>
      <c r="AZ904" s="1169"/>
      <c r="BA904" s="1169">
        <f t="shared" si="1338"/>
        <v>0</v>
      </c>
      <c r="BB904" s="1169"/>
      <c r="BC904" s="1029"/>
      <c r="BD904" s="1027"/>
      <c r="BE904" s="1029"/>
      <c r="BF904" s="1029"/>
    </row>
    <row r="905" ht="19.5" customHeight="1">
      <c r="A905" s="999">
        <f t="shared" si="1316"/>
        <v>0</v>
      </c>
      <c r="B905" s="1193" t="s">
        <v>367</v>
      </c>
      <c r="C905" s="1193"/>
      <c r="D905" s="1193"/>
      <c r="E905" s="1164">
        <f t="shared" si="1331"/>
        <v>0</v>
      </c>
      <c r="F905" s="1164">
        <f t="shared" si="1331"/>
        <v>0</v>
      </c>
      <c r="G905" s="1165">
        <f t="shared" si="1332"/>
        <v>0</v>
      </c>
      <c r="H905" s="1166"/>
      <c r="I905" s="1167">
        <f t="shared" si="1303"/>
        <v>0</v>
      </c>
      <c r="J905" s="1167">
        <f t="shared" si="1304"/>
        <v>0</v>
      </c>
      <c r="K905" s="1168">
        <f t="shared" si="1333"/>
        <v>0</v>
      </c>
      <c r="L905" s="1119"/>
      <c r="M905" s="1169"/>
      <c r="N905" s="1177"/>
      <c r="O905" s="1169"/>
      <c r="P905" s="1169"/>
      <c r="Q905" s="1169">
        <f t="shared" si="1334"/>
        <v>0</v>
      </c>
      <c r="R905" s="1169"/>
      <c r="S905" s="1170"/>
      <c r="T905" s="1171"/>
      <c r="U905" s="1128"/>
      <c r="V905" s="1169"/>
      <c r="W905" s="1177"/>
      <c r="X905" s="1177"/>
      <c r="Y905" s="1169"/>
      <c r="Z905" s="1169">
        <f t="shared" si="1335"/>
        <v>0</v>
      </c>
      <c r="AA905" s="1169"/>
      <c r="AB905" s="1172">
        <f t="shared" si="1322"/>
        <v>0</v>
      </c>
      <c r="AC905" s="1171"/>
      <c r="AD905" s="1119"/>
      <c r="AE905" s="1169"/>
      <c r="AF905" s="1177"/>
      <c r="AG905" s="1177"/>
      <c r="AH905" s="1169"/>
      <c r="AI905" s="1169">
        <f t="shared" si="1336"/>
        <v>0</v>
      </c>
      <c r="AJ905" s="1169"/>
      <c r="AK905" s="1170"/>
      <c r="AL905" s="1171"/>
      <c r="AM905" s="1128"/>
      <c r="AN905" s="1170"/>
      <c r="AO905" s="1175"/>
      <c r="AP905" s="1175"/>
      <c r="AQ905" s="1170"/>
      <c r="AR905" s="1170">
        <f t="shared" si="1337"/>
        <v>0</v>
      </c>
      <c r="AS905" s="1170"/>
      <c r="AT905" s="1170"/>
      <c r="AU905" s="1313"/>
      <c r="AV905" s="1131"/>
      <c r="AW905" s="1169"/>
      <c r="AX905" s="1177"/>
      <c r="AY905" s="1177"/>
      <c r="AZ905" s="1169"/>
      <c r="BA905" s="1169">
        <f t="shared" si="1338"/>
        <v>0</v>
      </c>
      <c r="BB905" s="1169"/>
      <c r="BC905" s="1029"/>
      <c r="BD905" s="1027"/>
      <c r="BE905" s="1029"/>
      <c r="BF905" s="1029"/>
    </row>
    <row r="906" ht="19.5" customHeight="1">
      <c r="A906" s="999" t="str">
        <f t="shared" si="1316"/>
        <v xml:space="preserve">Разумец Е.Г.</v>
      </c>
      <c r="B906" s="1176" t="s">
        <v>201</v>
      </c>
      <c r="C906" s="1176"/>
      <c r="D906" s="1176"/>
      <c r="E906" s="1164">
        <f t="shared" si="1331"/>
        <v>0</v>
      </c>
      <c r="F906" s="1164">
        <f t="shared" si="1331"/>
        <v>0</v>
      </c>
      <c r="G906" s="1165">
        <f t="shared" si="1332"/>
        <v>0</v>
      </c>
      <c r="H906" s="1166"/>
      <c r="I906" s="1167">
        <f t="shared" si="1303"/>
        <v>0</v>
      </c>
      <c r="J906" s="1167">
        <f t="shared" si="1304"/>
        <v>0</v>
      </c>
      <c r="K906" s="1168">
        <f t="shared" si="1333"/>
        <v>0</v>
      </c>
      <c r="L906" s="1119"/>
      <c r="M906" s="1169"/>
      <c r="N906" s="1177"/>
      <c r="O906" s="1169"/>
      <c r="P906" s="1169"/>
      <c r="Q906" s="1169">
        <f t="shared" si="1334"/>
        <v>0</v>
      </c>
      <c r="R906" s="1169"/>
      <c r="S906" s="1170"/>
      <c r="T906" s="1171"/>
      <c r="U906" s="1128"/>
      <c r="V906" s="1169"/>
      <c r="W906" s="1177"/>
      <c r="X906" s="1177"/>
      <c r="Y906" s="1169"/>
      <c r="Z906" s="1169">
        <f t="shared" si="1335"/>
        <v>0</v>
      </c>
      <c r="AA906" s="1169"/>
      <c r="AB906" s="1172">
        <f t="shared" si="1322"/>
        <v>0</v>
      </c>
      <c r="AC906" s="1171"/>
      <c r="AD906" s="1119"/>
      <c r="AE906" s="1169"/>
      <c r="AF906" s="1177"/>
      <c r="AG906" s="1177"/>
      <c r="AH906" s="1169"/>
      <c r="AI906" s="1169">
        <f t="shared" si="1336"/>
        <v>0</v>
      </c>
      <c r="AJ906" s="1169"/>
      <c r="AK906" s="1170"/>
      <c r="AL906" s="1171"/>
      <c r="AM906" s="1128"/>
      <c r="AN906" s="1170"/>
      <c r="AO906" s="1175"/>
      <c r="AP906" s="1175"/>
      <c r="AQ906" s="1170"/>
      <c r="AR906" s="1170">
        <f t="shared" si="1337"/>
        <v>0</v>
      </c>
      <c r="AS906" s="1170"/>
      <c r="AT906" s="1170"/>
      <c r="AU906" s="1313"/>
      <c r="AV906" s="1131"/>
      <c r="AW906" s="1169"/>
      <c r="AX906" s="1177"/>
      <c r="AY906" s="1177"/>
      <c r="AZ906" s="1169"/>
      <c r="BA906" s="1169">
        <f t="shared" si="1338"/>
        <v>0</v>
      </c>
      <c r="BB906" s="1169"/>
      <c r="BC906" s="1029"/>
      <c r="BD906" s="1027"/>
      <c r="BE906" s="1029"/>
      <c r="BF906" s="1029"/>
    </row>
    <row r="907" ht="19.5" customHeight="1">
      <c r="A907" s="999" t="str">
        <f t="shared" si="1316"/>
        <v xml:space="preserve">Шарова Т.М.</v>
      </c>
      <c r="B907" s="1176" t="s">
        <v>203</v>
      </c>
      <c r="C907" s="1176"/>
      <c r="D907" s="1176"/>
      <c r="E907" s="1164">
        <f t="shared" si="1331"/>
        <v>0</v>
      </c>
      <c r="F907" s="1164">
        <f t="shared" si="1331"/>
        <v>0</v>
      </c>
      <c r="G907" s="1165">
        <f t="shared" si="1332"/>
        <v>0</v>
      </c>
      <c r="H907" s="1166"/>
      <c r="I907" s="1167">
        <f t="shared" si="1303"/>
        <v>0</v>
      </c>
      <c r="J907" s="1167">
        <f t="shared" si="1304"/>
        <v>0</v>
      </c>
      <c r="K907" s="1168">
        <f t="shared" si="1333"/>
        <v>0</v>
      </c>
      <c r="L907" s="1119"/>
      <c r="M907" s="1169"/>
      <c r="N907" s="1177"/>
      <c r="O907" s="1169"/>
      <c r="P907" s="1169"/>
      <c r="Q907" s="1169">
        <f t="shared" si="1334"/>
        <v>0</v>
      </c>
      <c r="R907" s="1169"/>
      <c r="S907" s="1170"/>
      <c r="T907" s="1171"/>
      <c r="U907" s="1128"/>
      <c r="V907" s="1169"/>
      <c r="W907" s="1177"/>
      <c r="X907" s="1177"/>
      <c r="Y907" s="1169"/>
      <c r="Z907" s="1169">
        <f t="shared" si="1335"/>
        <v>0</v>
      </c>
      <c r="AA907" s="1169"/>
      <c r="AB907" s="1172">
        <f t="shared" si="1322"/>
        <v>0</v>
      </c>
      <c r="AC907" s="1171"/>
      <c r="AD907" s="1119"/>
      <c r="AE907" s="1169"/>
      <c r="AF907" s="1177"/>
      <c r="AG907" s="1177"/>
      <c r="AH907" s="1169"/>
      <c r="AI907" s="1169">
        <f t="shared" si="1336"/>
        <v>0</v>
      </c>
      <c r="AJ907" s="1169"/>
      <c r="AK907" s="1170"/>
      <c r="AL907" s="1171"/>
      <c r="AM907" s="1128"/>
      <c r="AN907" s="1170"/>
      <c r="AO907" s="1175"/>
      <c r="AP907" s="1175"/>
      <c r="AQ907" s="1170"/>
      <c r="AR907" s="1170">
        <f t="shared" si="1337"/>
        <v>0</v>
      </c>
      <c r="AS907" s="1170"/>
      <c r="AT907" s="1170"/>
      <c r="AU907" s="1313"/>
      <c r="AV907" s="1131"/>
      <c r="AW907" s="1169"/>
      <c r="AX907" s="1177"/>
      <c r="AY907" s="1177"/>
      <c r="AZ907" s="1169"/>
      <c r="BA907" s="1169">
        <f t="shared" si="1338"/>
        <v>0</v>
      </c>
      <c r="BB907" s="1169"/>
      <c r="BC907" s="1029"/>
      <c r="BD907" s="1027"/>
      <c r="BE907" s="1029"/>
      <c r="BF907" s="1029"/>
    </row>
    <row r="908" ht="19.5" customHeight="1">
      <c r="A908" s="999" t="str">
        <f t="shared" si="1316"/>
        <v xml:space="preserve">Крошка С.С.</v>
      </c>
      <c r="B908" s="1176" t="s">
        <v>204</v>
      </c>
      <c r="C908" s="1194"/>
      <c r="D908" s="1194"/>
      <c r="E908" s="1164">
        <f t="shared" si="1331"/>
        <v>0</v>
      </c>
      <c r="F908" s="1164">
        <f t="shared" si="1331"/>
        <v>0</v>
      </c>
      <c r="G908" s="1165">
        <f t="shared" si="1332"/>
        <v>0</v>
      </c>
      <c r="H908" s="1166"/>
      <c r="I908" s="1167">
        <f t="shared" si="1303"/>
        <v>0</v>
      </c>
      <c r="J908" s="1167">
        <f t="shared" si="1304"/>
        <v>0</v>
      </c>
      <c r="K908" s="1168">
        <f t="shared" si="1333"/>
        <v>0</v>
      </c>
      <c r="L908" s="1119"/>
      <c r="M908" s="1169"/>
      <c r="N908" s="1177"/>
      <c r="O908" s="1169"/>
      <c r="P908" s="1169"/>
      <c r="Q908" s="1169">
        <f t="shared" si="1334"/>
        <v>0</v>
      </c>
      <c r="R908" s="1169"/>
      <c r="S908" s="1170"/>
      <c r="T908" s="1171"/>
      <c r="U908" s="1128"/>
      <c r="V908" s="1169"/>
      <c r="W908" s="1177"/>
      <c r="X908" s="1177"/>
      <c r="Y908" s="1169"/>
      <c r="Z908" s="1169">
        <f t="shared" si="1335"/>
        <v>0</v>
      </c>
      <c r="AA908" s="1169"/>
      <c r="AB908" s="1172">
        <f t="shared" si="1322"/>
        <v>0</v>
      </c>
      <c r="AC908" s="1171"/>
      <c r="AD908" s="1119"/>
      <c r="AE908" s="1169"/>
      <c r="AF908" s="1177"/>
      <c r="AG908" s="1177"/>
      <c r="AH908" s="1169"/>
      <c r="AI908" s="1169">
        <f t="shared" si="1336"/>
        <v>0</v>
      </c>
      <c r="AJ908" s="1169"/>
      <c r="AK908" s="1170"/>
      <c r="AL908" s="1171"/>
      <c r="AM908" s="1128"/>
      <c r="AN908" s="1170"/>
      <c r="AO908" s="1175"/>
      <c r="AP908" s="1175"/>
      <c r="AQ908" s="1170"/>
      <c r="AR908" s="1170">
        <f t="shared" si="1337"/>
        <v>0</v>
      </c>
      <c r="AS908" s="1170"/>
      <c r="AT908" s="1170"/>
      <c r="AU908" s="1313"/>
      <c r="AV908" s="1131"/>
      <c r="AW908" s="1169"/>
      <c r="AX908" s="1177"/>
      <c r="AY908" s="1177"/>
      <c r="AZ908" s="1169"/>
      <c r="BA908" s="1169">
        <f t="shared" si="1338"/>
        <v>0</v>
      </c>
      <c r="BB908" s="1169"/>
      <c r="BC908" s="1029"/>
      <c r="BD908" s="1027"/>
      <c r="BE908" s="1029"/>
      <c r="BF908" s="1029"/>
    </row>
    <row r="909" ht="19.5" customHeight="1">
      <c r="A909" s="999" t="str">
        <f t="shared" si="1316"/>
        <v xml:space="preserve">Козлитина Н.В.</v>
      </c>
      <c r="B909" s="1176" t="s">
        <v>205</v>
      </c>
      <c r="C909" s="1176"/>
      <c r="D909" s="1176"/>
      <c r="E909" s="1164">
        <f t="shared" si="1331"/>
        <v>0</v>
      </c>
      <c r="F909" s="1164">
        <f t="shared" si="1331"/>
        <v>0</v>
      </c>
      <c r="G909" s="1165">
        <f t="shared" si="1332"/>
        <v>0</v>
      </c>
      <c r="H909" s="1166"/>
      <c r="I909" s="1167">
        <f t="shared" si="1303"/>
        <v>0</v>
      </c>
      <c r="J909" s="1167">
        <f t="shared" si="1304"/>
        <v>0</v>
      </c>
      <c r="K909" s="1168">
        <f t="shared" si="1333"/>
        <v>0</v>
      </c>
      <c r="L909" s="1119"/>
      <c r="M909" s="1169"/>
      <c r="N909" s="1177"/>
      <c r="O909" s="1169"/>
      <c r="P909" s="1169"/>
      <c r="Q909" s="1169">
        <f t="shared" si="1334"/>
        <v>0</v>
      </c>
      <c r="R909" s="1169"/>
      <c r="S909" s="1170"/>
      <c r="T909" s="1171"/>
      <c r="U909" s="1128"/>
      <c r="V909" s="1169"/>
      <c r="W909" s="1177"/>
      <c r="X909" s="1177"/>
      <c r="Y909" s="1169"/>
      <c r="Z909" s="1169">
        <f t="shared" si="1335"/>
        <v>0</v>
      </c>
      <c r="AA909" s="1169"/>
      <c r="AB909" s="1172">
        <f t="shared" si="1322"/>
        <v>0</v>
      </c>
      <c r="AC909" s="1171"/>
      <c r="AD909" s="1119"/>
      <c r="AE909" s="1169"/>
      <c r="AF909" s="1177"/>
      <c r="AG909" s="1177"/>
      <c r="AH909" s="1169"/>
      <c r="AI909" s="1169">
        <f t="shared" si="1336"/>
        <v>0</v>
      </c>
      <c r="AJ909" s="1169"/>
      <c r="AK909" s="1170"/>
      <c r="AL909" s="1171"/>
      <c r="AM909" s="1128"/>
      <c r="AN909" s="1170"/>
      <c r="AO909" s="1175"/>
      <c r="AP909" s="1175"/>
      <c r="AQ909" s="1170"/>
      <c r="AR909" s="1170">
        <f t="shared" si="1337"/>
        <v>0</v>
      </c>
      <c r="AS909" s="1170"/>
      <c r="AT909" s="1170"/>
      <c r="AU909" s="1313"/>
      <c r="AV909" s="1131"/>
      <c r="AW909" s="1169"/>
      <c r="AX909" s="1177"/>
      <c r="AY909" s="1177"/>
      <c r="AZ909" s="1169"/>
      <c r="BA909" s="1169">
        <f t="shared" si="1338"/>
        <v>0</v>
      </c>
      <c r="BB909" s="1169"/>
      <c r="BC909" s="1029"/>
      <c r="BD909" s="1027"/>
      <c r="BE909" s="1029"/>
      <c r="BF909" s="1029"/>
    </row>
    <row r="910" ht="19.5" customHeight="1">
      <c r="A910" s="999" t="str">
        <f t="shared" si="1316"/>
        <v xml:space="preserve">Баженова И.В.</v>
      </c>
      <c r="B910" s="1176" t="s">
        <v>206</v>
      </c>
      <c r="C910" s="1176"/>
      <c r="D910" s="1176"/>
      <c r="E910" s="1164">
        <f t="shared" si="1331"/>
        <v>0</v>
      </c>
      <c r="F910" s="1164">
        <f t="shared" si="1331"/>
        <v>0</v>
      </c>
      <c r="G910" s="1165">
        <f t="shared" si="1332"/>
        <v>0</v>
      </c>
      <c r="H910" s="1166"/>
      <c r="I910" s="1167">
        <f t="shared" si="1303"/>
        <v>0</v>
      </c>
      <c r="J910" s="1167">
        <f t="shared" si="1304"/>
        <v>0</v>
      </c>
      <c r="K910" s="1168">
        <f t="shared" si="1333"/>
        <v>0</v>
      </c>
      <c r="L910" s="1119"/>
      <c r="M910" s="1169"/>
      <c r="N910" s="1177"/>
      <c r="O910" s="1169"/>
      <c r="P910" s="1169"/>
      <c r="Q910" s="1169">
        <f t="shared" si="1334"/>
        <v>0</v>
      </c>
      <c r="R910" s="1169"/>
      <c r="S910" s="1170"/>
      <c r="T910" s="1171"/>
      <c r="U910" s="1128"/>
      <c r="V910" s="1169"/>
      <c r="W910" s="1177"/>
      <c r="X910" s="1177"/>
      <c r="Y910" s="1169"/>
      <c r="Z910" s="1169">
        <f t="shared" si="1335"/>
        <v>0</v>
      </c>
      <c r="AA910" s="1169"/>
      <c r="AB910" s="1172">
        <f t="shared" si="1322"/>
        <v>0</v>
      </c>
      <c r="AC910" s="1171"/>
      <c r="AD910" s="1119"/>
      <c r="AE910" s="1169"/>
      <c r="AF910" s="1177"/>
      <c r="AG910" s="1177"/>
      <c r="AH910" s="1169"/>
      <c r="AI910" s="1169">
        <f t="shared" si="1336"/>
        <v>0</v>
      </c>
      <c r="AJ910" s="1169"/>
      <c r="AK910" s="1170"/>
      <c r="AL910" s="1171"/>
      <c r="AM910" s="1128"/>
      <c r="AN910" s="1170"/>
      <c r="AO910" s="1175"/>
      <c r="AP910" s="1175"/>
      <c r="AQ910" s="1170"/>
      <c r="AR910" s="1170">
        <f t="shared" si="1337"/>
        <v>0</v>
      </c>
      <c r="AS910" s="1170"/>
      <c r="AT910" s="1170"/>
      <c r="AU910" s="1313"/>
      <c r="AV910" s="1131"/>
      <c r="AW910" s="1169"/>
      <c r="AX910" s="1177"/>
      <c r="AY910" s="1177"/>
      <c r="AZ910" s="1169"/>
      <c r="BA910" s="1169">
        <f t="shared" si="1338"/>
        <v>0</v>
      </c>
      <c r="BB910" s="1169"/>
      <c r="BC910" s="1029"/>
      <c r="BD910" s="1027"/>
      <c r="BE910" s="1029"/>
      <c r="BF910" s="1029"/>
    </row>
    <row r="911" ht="19.5" customHeight="1">
      <c r="A911" s="999" t="str">
        <f t="shared" si="1316"/>
        <v xml:space="preserve">Герингер О.А.</v>
      </c>
      <c r="B911" s="1176" t="s">
        <v>207</v>
      </c>
      <c r="C911" s="1194"/>
      <c r="D911" s="1194"/>
      <c r="E911" s="1164">
        <f t="shared" si="1331"/>
        <v>0</v>
      </c>
      <c r="F911" s="1164">
        <f t="shared" si="1331"/>
        <v>0</v>
      </c>
      <c r="G911" s="1165">
        <f t="shared" si="1332"/>
        <v>0</v>
      </c>
      <c r="H911" s="1166"/>
      <c r="I911" s="1167">
        <f t="shared" si="1303"/>
        <v>0</v>
      </c>
      <c r="J911" s="1167">
        <f t="shared" si="1304"/>
        <v>0</v>
      </c>
      <c r="K911" s="1168">
        <f t="shared" si="1333"/>
        <v>0</v>
      </c>
      <c r="L911" s="1119"/>
      <c r="M911" s="1169"/>
      <c r="N911" s="1177"/>
      <c r="O911" s="1169"/>
      <c r="P911" s="1169"/>
      <c r="Q911" s="1169">
        <f t="shared" si="1334"/>
        <v>0</v>
      </c>
      <c r="R911" s="1169"/>
      <c r="S911" s="1170"/>
      <c r="T911" s="1171"/>
      <c r="U911" s="1128"/>
      <c r="V911" s="1169"/>
      <c r="W911" s="1177"/>
      <c r="X911" s="1177"/>
      <c r="Y911" s="1169"/>
      <c r="Z911" s="1169">
        <f t="shared" si="1335"/>
        <v>0</v>
      </c>
      <c r="AA911" s="1169"/>
      <c r="AB911" s="1172">
        <f t="shared" si="1322"/>
        <v>0</v>
      </c>
      <c r="AC911" s="1171"/>
      <c r="AD911" s="1119"/>
      <c r="AE911" s="1169"/>
      <c r="AF911" s="1177"/>
      <c r="AG911" s="1177"/>
      <c r="AH911" s="1169"/>
      <c r="AI911" s="1169">
        <f t="shared" si="1336"/>
        <v>0</v>
      </c>
      <c r="AJ911" s="1169"/>
      <c r="AK911" s="1170"/>
      <c r="AL911" s="1171"/>
      <c r="AM911" s="1128"/>
      <c r="AN911" s="1170"/>
      <c r="AO911" s="1175"/>
      <c r="AP911" s="1175"/>
      <c r="AQ911" s="1170"/>
      <c r="AR911" s="1170">
        <f t="shared" si="1337"/>
        <v>0</v>
      </c>
      <c r="AS911" s="1170"/>
      <c r="AT911" s="1170"/>
      <c r="AU911" s="1313"/>
      <c r="AV911" s="1131"/>
      <c r="AW911" s="1169"/>
      <c r="AX911" s="1177"/>
      <c r="AY911" s="1177"/>
      <c r="AZ911" s="1169"/>
      <c r="BA911" s="1169">
        <f t="shared" si="1338"/>
        <v>0</v>
      </c>
      <c r="BB911" s="1169"/>
      <c r="BC911" s="1029"/>
      <c r="BD911" s="1027"/>
      <c r="BE911" s="1029"/>
      <c r="BF911" s="1029"/>
    </row>
    <row r="912" ht="19.5" customHeight="1">
      <c r="A912" s="999" t="str">
        <f t="shared" si="1316"/>
        <v xml:space="preserve">Ничипуренко И.А.</v>
      </c>
      <c r="B912" s="1176" t="s">
        <v>375</v>
      </c>
      <c r="C912" s="1176"/>
      <c r="D912" s="1176"/>
      <c r="E912" s="1164">
        <f t="shared" si="1331"/>
        <v>0</v>
      </c>
      <c r="F912" s="1164">
        <f t="shared" si="1331"/>
        <v>0</v>
      </c>
      <c r="G912" s="1165">
        <f t="shared" si="1332"/>
        <v>0</v>
      </c>
      <c r="H912" s="1166"/>
      <c r="I912" s="1167">
        <f t="shared" si="1303"/>
        <v>0</v>
      </c>
      <c r="J912" s="1167">
        <f t="shared" si="1304"/>
        <v>0</v>
      </c>
      <c r="K912" s="1168">
        <f t="shared" si="1333"/>
        <v>0</v>
      </c>
      <c r="L912" s="1119"/>
      <c r="M912" s="1169"/>
      <c r="N912" s="1177"/>
      <c r="O912" s="1169"/>
      <c r="P912" s="1169"/>
      <c r="Q912" s="1169">
        <f t="shared" si="1334"/>
        <v>0</v>
      </c>
      <c r="R912" s="1169"/>
      <c r="S912" s="1170"/>
      <c r="T912" s="1171"/>
      <c r="U912" s="1128"/>
      <c r="V912" s="1169"/>
      <c r="W912" s="1177"/>
      <c r="X912" s="1177"/>
      <c r="Y912" s="1169"/>
      <c r="Z912" s="1169">
        <f t="shared" si="1335"/>
        <v>0</v>
      </c>
      <c r="AA912" s="1169"/>
      <c r="AB912" s="1172">
        <f t="shared" si="1322"/>
        <v>0</v>
      </c>
      <c r="AC912" s="1171"/>
      <c r="AD912" s="1119"/>
      <c r="AE912" s="1169"/>
      <c r="AF912" s="1177"/>
      <c r="AG912" s="1177"/>
      <c r="AH912" s="1169"/>
      <c r="AI912" s="1169">
        <f t="shared" si="1336"/>
        <v>0</v>
      </c>
      <c r="AJ912" s="1169"/>
      <c r="AK912" s="1170"/>
      <c r="AL912" s="1171"/>
      <c r="AM912" s="1128"/>
      <c r="AN912" s="1170"/>
      <c r="AO912" s="1175"/>
      <c r="AP912" s="1175"/>
      <c r="AQ912" s="1170"/>
      <c r="AR912" s="1170">
        <f t="shared" si="1337"/>
        <v>0</v>
      </c>
      <c r="AS912" s="1170"/>
      <c r="AT912" s="1170"/>
      <c r="AU912" s="1313"/>
      <c r="AV912" s="1131"/>
      <c r="AW912" s="1169"/>
      <c r="AX912" s="1177"/>
      <c r="AY912" s="1177"/>
      <c r="AZ912" s="1169"/>
      <c r="BA912" s="1169">
        <f t="shared" si="1338"/>
        <v>0</v>
      </c>
      <c r="BB912" s="1169"/>
      <c r="BC912" s="1029"/>
      <c r="BD912" s="1027"/>
      <c r="BE912" s="1029"/>
      <c r="BF912" s="1029"/>
    </row>
    <row r="913" ht="19.5" customHeight="1">
      <c r="A913" s="999" t="str">
        <f t="shared" si="1316"/>
        <v xml:space="preserve">Дылыкова А.А. Закусова О.А.  Фоменко Т.В.</v>
      </c>
      <c r="B913" s="1176" t="s">
        <v>210</v>
      </c>
      <c r="C913" s="1176"/>
      <c r="D913" s="1176"/>
      <c r="E913" s="1164">
        <f t="shared" si="1331"/>
        <v>0</v>
      </c>
      <c r="F913" s="1164">
        <f t="shared" si="1331"/>
        <v>0</v>
      </c>
      <c r="G913" s="1165">
        <f t="shared" si="1332"/>
        <v>0</v>
      </c>
      <c r="H913" s="1166"/>
      <c r="I913" s="1167">
        <f t="shared" si="1303"/>
        <v>0</v>
      </c>
      <c r="J913" s="1167">
        <f t="shared" si="1304"/>
        <v>0</v>
      </c>
      <c r="K913" s="1168">
        <f t="shared" si="1333"/>
        <v>0</v>
      </c>
      <c r="L913" s="1119"/>
      <c r="M913" s="1169"/>
      <c r="N913" s="1177"/>
      <c r="O913" s="1169"/>
      <c r="P913" s="1169"/>
      <c r="Q913" s="1169">
        <f t="shared" si="1334"/>
        <v>0</v>
      </c>
      <c r="R913" s="1169"/>
      <c r="S913" s="1170"/>
      <c r="T913" s="1171"/>
      <c r="U913" s="1128"/>
      <c r="V913" s="1169"/>
      <c r="W913" s="1177"/>
      <c r="X913" s="1177"/>
      <c r="Y913" s="1169"/>
      <c r="Z913" s="1169">
        <f t="shared" si="1335"/>
        <v>0</v>
      </c>
      <c r="AA913" s="1169"/>
      <c r="AB913" s="1172">
        <f t="shared" si="1322"/>
        <v>0</v>
      </c>
      <c r="AC913" s="1171"/>
      <c r="AD913" s="1119"/>
      <c r="AE913" s="1169"/>
      <c r="AF913" s="1177"/>
      <c r="AG913" s="1177"/>
      <c r="AH913" s="1169"/>
      <c r="AI913" s="1169">
        <f t="shared" si="1336"/>
        <v>0</v>
      </c>
      <c r="AJ913" s="1169"/>
      <c r="AK913" s="1170"/>
      <c r="AL913" s="1171"/>
      <c r="AM913" s="1128"/>
      <c r="AN913" s="1170"/>
      <c r="AO913" s="1175"/>
      <c r="AP913" s="1175"/>
      <c r="AQ913" s="1170"/>
      <c r="AR913" s="1170">
        <f t="shared" si="1337"/>
        <v>0</v>
      </c>
      <c r="AS913" s="1170"/>
      <c r="AT913" s="1170"/>
      <c r="AU913" s="1313"/>
      <c r="AV913" s="1131"/>
      <c r="AW913" s="1169"/>
      <c r="AX913" s="1177"/>
      <c r="AY913" s="1177"/>
      <c r="AZ913" s="1169"/>
      <c r="BA913" s="1169">
        <f t="shared" si="1338"/>
        <v>0</v>
      </c>
      <c r="BB913" s="1169"/>
      <c r="BC913" s="1029"/>
      <c r="BD913" s="1027"/>
      <c r="BE913" s="1029"/>
      <c r="BF913" s="1029"/>
    </row>
    <row r="914" ht="19.5" customHeight="1">
      <c r="A914" s="999" t="str">
        <f t="shared" si="1316"/>
        <v xml:space="preserve">Мазуренко А.Н.</v>
      </c>
      <c r="B914" s="1176" t="s">
        <v>211</v>
      </c>
      <c r="C914" s="1176"/>
      <c r="D914" s="1176"/>
      <c r="E914" s="1164">
        <f t="shared" si="1331"/>
        <v>0</v>
      </c>
      <c r="F914" s="1164">
        <f t="shared" si="1331"/>
        <v>0</v>
      </c>
      <c r="G914" s="1165">
        <f t="shared" si="1332"/>
        <v>0</v>
      </c>
      <c r="H914" s="1166"/>
      <c r="I914" s="1167">
        <f t="shared" si="1303"/>
        <v>0</v>
      </c>
      <c r="J914" s="1167">
        <f t="shared" si="1304"/>
        <v>0</v>
      </c>
      <c r="K914" s="1168">
        <f t="shared" si="1333"/>
        <v>0</v>
      </c>
      <c r="L914" s="1119"/>
      <c r="M914" s="1169"/>
      <c r="N914" s="1177"/>
      <c r="O914" s="1169"/>
      <c r="P914" s="1169"/>
      <c r="Q914" s="1169">
        <f t="shared" si="1334"/>
        <v>0</v>
      </c>
      <c r="R914" s="1169"/>
      <c r="S914" s="1170"/>
      <c r="T914" s="1171"/>
      <c r="U914" s="1128"/>
      <c r="V914" s="1169"/>
      <c r="W914" s="1177"/>
      <c r="X914" s="1177"/>
      <c r="Y914" s="1169"/>
      <c r="Z914" s="1169">
        <f t="shared" si="1335"/>
        <v>0</v>
      </c>
      <c r="AA914" s="1169"/>
      <c r="AB914" s="1172">
        <f t="shared" si="1322"/>
        <v>0</v>
      </c>
      <c r="AC914" s="1171"/>
      <c r="AD914" s="1119"/>
      <c r="AE914" s="1169"/>
      <c r="AF914" s="1177"/>
      <c r="AG914" s="1177"/>
      <c r="AH914" s="1169"/>
      <c r="AI914" s="1169">
        <f t="shared" si="1336"/>
        <v>0</v>
      </c>
      <c r="AJ914" s="1169"/>
      <c r="AK914" s="1170"/>
      <c r="AL914" s="1171"/>
      <c r="AM914" s="1128"/>
      <c r="AN914" s="1170"/>
      <c r="AO914" s="1175"/>
      <c r="AP914" s="1175"/>
      <c r="AQ914" s="1170"/>
      <c r="AR914" s="1170">
        <f t="shared" si="1337"/>
        <v>0</v>
      </c>
      <c r="AS914" s="1170"/>
      <c r="AT914" s="1170"/>
      <c r="AU914" s="1313"/>
      <c r="AV914" s="1131"/>
      <c r="AW914" s="1169"/>
      <c r="AX914" s="1177"/>
      <c r="AY914" s="1177"/>
      <c r="AZ914" s="1169"/>
      <c r="BA914" s="1169">
        <f t="shared" si="1338"/>
        <v>0</v>
      </c>
      <c r="BB914" s="1169"/>
      <c r="BC914" s="1029"/>
      <c r="BD914" s="1027"/>
      <c r="BE914" s="1029"/>
      <c r="BF914" s="1029"/>
    </row>
    <row r="915" s="1180" customFormat="1" ht="19.5" customHeight="1">
      <c r="A915" s="999">
        <f t="shared" si="1316"/>
        <v>0</v>
      </c>
      <c r="B915" s="1182" t="s">
        <v>363</v>
      </c>
      <c r="C915" s="1182"/>
      <c r="D915" s="1182"/>
      <c r="E915" s="1183">
        <f>SUM(E902:E914)</f>
        <v>0</v>
      </c>
      <c r="F915" s="1183">
        <f>SUM(F902:F914)</f>
        <v>0</v>
      </c>
      <c r="G915" s="1184">
        <f>SUM(G902:G914)</f>
        <v>0</v>
      </c>
      <c r="H915" s="1185"/>
      <c r="I915" s="1167">
        <f t="shared" si="1303"/>
        <v>0</v>
      </c>
      <c r="J915" s="1167">
        <f t="shared" si="1304"/>
        <v>0</v>
      </c>
      <c r="K915" s="1187">
        <f>SUM(K902:K914)</f>
        <v>0</v>
      </c>
      <c r="L915" s="1188"/>
      <c r="M915" s="1096">
        <f t="shared" ref="M915:R915" si="1339">SUM(M902:M914)</f>
        <v>0</v>
      </c>
      <c r="N915" s="1096">
        <f t="shared" si="1339"/>
        <v>0</v>
      </c>
      <c r="O915" s="1096">
        <f t="shared" si="1339"/>
        <v>0</v>
      </c>
      <c r="P915" s="1096">
        <f t="shared" si="1339"/>
        <v>0</v>
      </c>
      <c r="Q915" s="1096">
        <f t="shared" si="1339"/>
        <v>0</v>
      </c>
      <c r="R915" s="1096">
        <f t="shared" si="1339"/>
        <v>0</v>
      </c>
      <c r="S915" s="1190"/>
      <c r="T915" s="1189"/>
      <c r="U915" s="1128"/>
      <c r="V915" s="1096">
        <f t="shared" ref="V915:AA915" si="1340">SUM(V902:V914)</f>
        <v>0</v>
      </c>
      <c r="W915" s="1096">
        <f t="shared" si="1340"/>
        <v>0</v>
      </c>
      <c r="X915" s="1096">
        <f t="shared" si="1340"/>
        <v>0</v>
      </c>
      <c r="Y915" s="1096">
        <f t="shared" si="1340"/>
        <v>0</v>
      </c>
      <c r="Z915" s="1096">
        <f t="shared" si="1340"/>
        <v>0</v>
      </c>
      <c r="AA915" s="1096">
        <f t="shared" si="1340"/>
        <v>0</v>
      </c>
      <c r="AB915" s="1172">
        <f t="shared" si="1322"/>
        <v>0</v>
      </c>
      <c r="AC915" s="1189"/>
      <c r="AD915" s="1244"/>
      <c r="AE915" s="1096">
        <f t="shared" ref="AE915:AJ915" si="1341">SUM(AE902:AE914)</f>
        <v>0</v>
      </c>
      <c r="AF915" s="1096">
        <f t="shared" si="1341"/>
        <v>0</v>
      </c>
      <c r="AG915" s="1096">
        <f t="shared" si="1341"/>
        <v>0</v>
      </c>
      <c r="AH915" s="1096">
        <f t="shared" si="1341"/>
        <v>0</v>
      </c>
      <c r="AI915" s="1096">
        <f t="shared" si="1341"/>
        <v>0</v>
      </c>
      <c r="AJ915" s="1096">
        <f t="shared" si="1341"/>
        <v>0</v>
      </c>
      <c r="AK915" s="1190"/>
      <c r="AL915" s="1189"/>
      <c r="AM915" s="1125"/>
      <c r="AN915" s="1190">
        <f t="shared" ref="AN915:AS915" si="1342">SUM(AN902:AN914)</f>
        <v>0</v>
      </c>
      <c r="AO915" s="1190">
        <f t="shared" si="1342"/>
        <v>0</v>
      </c>
      <c r="AP915" s="1190">
        <f t="shared" si="1342"/>
        <v>0</v>
      </c>
      <c r="AQ915" s="1190">
        <f t="shared" si="1342"/>
        <v>0</v>
      </c>
      <c r="AR915" s="1190">
        <f t="shared" si="1342"/>
        <v>0</v>
      </c>
      <c r="AS915" s="1190">
        <f t="shared" si="1342"/>
        <v>0</v>
      </c>
      <c r="AT915" s="1190"/>
      <c r="AU915" s="1314"/>
      <c r="AV915" s="1192"/>
      <c r="AW915" s="1096">
        <f t="shared" ref="AW915:BB915" si="1343">SUM(AW902:AW914)</f>
        <v>0</v>
      </c>
      <c r="AX915" s="1096">
        <f t="shared" si="1343"/>
        <v>0</v>
      </c>
      <c r="AY915" s="1096">
        <f t="shared" si="1343"/>
        <v>0</v>
      </c>
      <c r="AZ915" s="1096">
        <f t="shared" si="1343"/>
        <v>0</v>
      </c>
      <c r="BA915" s="1096">
        <f t="shared" si="1343"/>
        <v>0</v>
      </c>
      <c r="BB915" s="1096">
        <f t="shared" si="1343"/>
        <v>0</v>
      </c>
      <c r="BC915" s="1051"/>
      <c r="BD915" s="1052"/>
      <c r="BE915" s="1051"/>
      <c r="BF915" s="1051"/>
      <c r="BG915" s="1106"/>
      <c r="BH915" s="1106"/>
      <c r="BI915" s="1106"/>
      <c r="BJ915" s="1106"/>
      <c r="BK915" s="1106"/>
      <c r="BL915" s="1106"/>
      <c r="BM915" s="1106"/>
    </row>
    <row r="916" ht="19.5" customHeight="1">
      <c r="A916" s="999" t="str">
        <f t="shared" si="1316"/>
        <v xml:space="preserve">Румак В.Н,  Стоянова Е.П.</v>
      </c>
      <c r="B916" s="1176" t="s">
        <v>379</v>
      </c>
      <c r="C916" s="1176"/>
      <c r="D916" s="1176"/>
      <c r="E916" s="1164">
        <f t="shared" ref="E916:F920" si="1344">Q916+Z916+AI916+AR916+BA916</f>
        <v>0</v>
      </c>
      <c r="F916" s="1164">
        <f t="shared" si="1344"/>
        <v>0</v>
      </c>
      <c r="G916" s="1165">
        <f t="shared" ref="G916:G920" si="1345">E916+F916</f>
        <v>0</v>
      </c>
      <c r="H916" s="1166"/>
      <c r="I916" s="1167">
        <f t="shared" si="1303"/>
        <v>0</v>
      </c>
      <c r="J916" s="1167">
        <f t="shared" si="1304"/>
        <v>0</v>
      </c>
      <c r="K916" s="1168">
        <f t="shared" ref="K916:K920" si="1346">I916+J916</f>
        <v>0</v>
      </c>
      <c r="L916" s="1119"/>
      <c r="M916" s="1169"/>
      <c r="N916" s="1177"/>
      <c r="O916" s="1169"/>
      <c r="P916" s="1169"/>
      <c r="Q916" s="1169">
        <f t="shared" ref="Q916:Q920" si="1347">SUM(M916:P916)</f>
        <v>0</v>
      </c>
      <c r="R916" s="1169"/>
      <c r="S916" s="1170"/>
      <c r="T916" s="1171"/>
      <c r="U916" s="1128"/>
      <c r="V916" s="1169"/>
      <c r="W916" s="1177"/>
      <c r="X916" s="1177"/>
      <c r="Y916" s="1169"/>
      <c r="Z916" s="1169">
        <f t="shared" ref="Z916:Z920" si="1348">SUM(V916:Y916)</f>
        <v>0</v>
      </c>
      <c r="AA916" s="1169"/>
      <c r="AB916" s="1172">
        <f t="shared" si="1322"/>
        <v>0</v>
      </c>
      <c r="AC916" s="1171"/>
      <c r="AD916" s="1119"/>
      <c r="AE916" s="1169"/>
      <c r="AF916" s="1177"/>
      <c r="AG916" s="1177"/>
      <c r="AH916" s="1169"/>
      <c r="AI916" s="1169">
        <f t="shared" ref="AI916:AI920" si="1349">SUM(AE916:AH916)</f>
        <v>0</v>
      </c>
      <c r="AJ916" s="1169"/>
      <c r="AK916" s="1170"/>
      <c r="AL916" s="1171"/>
      <c r="AM916" s="1128"/>
      <c r="AN916" s="1170"/>
      <c r="AO916" s="1175"/>
      <c r="AP916" s="1175"/>
      <c r="AQ916" s="1170"/>
      <c r="AR916" s="1170">
        <f t="shared" ref="AR916:AR920" si="1350">SUM(AN916:AQ916)</f>
        <v>0</v>
      </c>
      <c r="AS916" s="1170"/>
      <c r="AT916" s="1170"/>
      <c r="AU916" s="1313"/>
      <c r="AV916" s="1131"/>
      <c r="AW916" s="1169"/>
      <c r="AX916" s="1177"/>
      <c r="AY916" s="1177"/>
      <c r="AZ916" s="1169"/>
      <c r="BA916" s="1169">
        <f t="shared" ref="BA916:BA920" si="1351">SUM(AW916:AZ916)</f>
        <v>0</v>
      </c>
      <c r="BB916" s="1169"/>
      <c r="BC916" s="1029"/>
      <c r="BD916" s="1027"/>
      <c r="BE916" s="1029"/>
      <c r="BF916" s="1029"/>
    </row>
    <row r="917" s="1215" customFormat="1" ht="19.5" customHeight="1">
      <c r="A917" s="999" t="str">
        <f t="shared" si="1316"/>
        <v xml:space="preserve">Голубцова О.В.</v>
      </c>
      <c r="B917" s="1176" t="s">
        <v>381</v>
      </c>
      <c r="C917" s="1176"/>
      <c r="D917" s="1176"/>
      <c r="E917" s="1164">
        <f t="shared" si="1344"/>
        <v>0</v>
      </c>
      <c r="F917" s="1164">
        <f t="shared" si="1344"/>
        <v>0</v>
      </c>
      <c r="G917" s="1165">
        <f t="shared" si="1345"/>
        <v>0</v>
      </c>
      <c r="H917" s="1166"/>
      <c r="I917" s="1167">
        <f t="shared" si="1303"/>
        <v>0</v>
      </c>
      <c r="J917" s="1167">
        <f t="shared" si="1304"/>
        <v>0</v>
      </c>
      <c r="K917" s="1168">
        <f t="shared" si="1346"/>
        <v>0</v>
      </c>
      <c r="L917" s="1119"/>
      <c r="M917" s="1169"/>
      <c r="N917" s="1177"/>
      <c r="O917" s="1169"/>
      <c r="P917" s="1169"/>
      <c r="Q917" s="1169">
        <f t="shared" si="1347"/>
        <v>0</v>
      </c>
      <c r="R917" s="1169"/>
      <c r="S917" s="1170"/>
      <c r="T917" s="1171"/>
      <c r="U917" s="1128"/>
      <c r="V917" s="1169"/>
      <c r="W917" s="1177"/>
      <c r="X917" s="1177"/>
      <c r="Y917" s="1169"/>
      <c r="Z917" s="1169">
        <f t="shared" si="1348"/>
        <v>0</v>
      </c>
      <c r="AA917" s="1169"/>
      <c r="AB917" s="1172">
        <f t="shared" si="1322"/>
        <v>0</v>
      </c>
      <c r="AC917" s="1171"/>
      <c r="AD917" s="1119"/>
      <c r="AE917" s="1169"/>
      <c r="AF917" s="1177"/>
      <c r="AG917" s="1177"/>
      <c r="AH917" s="1169"/>
      <c r="AI917" s="1169">
        <f t="shared" si="1349"/>
        <v>0</v>
      </c>
      <c r="AJ917" s="1169"/>
      <c r="AK917" s="1170"/>
      <c r="AL917" s="1171"/>
      <c r="AM917" s="1128"/>
      <c r="AN917" s="1170"/>
      <c r="AO917" s="1175"/>
      <c r="AP917" s="1175"/>
      <c r="AQ917" s="1170"/>
      <c r="AR917" s="1170">
        <f t="shared" si="1350"/>
        <v>0</v>
      </c>
      <c r="AS917" s="1170"/>
      <c r="AT917" s="1170"/>
      <c r="AU917" s="1313"/>
      <c r="AV917" s="1131"/>
      <c r="AW917" s="1169"/>
      <c r="AX917" s="1177"/>
      <c r="AY917" s="1177"/>
      <c r="AZ917" s="1169"/>
      <c r="BA917" s="1169">
        <f t="shared" si="1351"/>
        <v>0</v>
      </c>
      <c r="BB917" s="1169"/>
      <c r="BC917" s="1024"/>
      <c r="BD917" s="1027"/>
      <c r="BE917" s="1024"/>
      <c r="BF917" s="1024"/>
      <c r="BG917" s="1008"/>
      <c r="BH917" s="1008"/>
      <c r="BI917" s="1008"/>
      <c r="BJ917" s="1008"/>
      <c r="BK917" s="1008"/>
      <c r="BL917" s="1008"/>
      <c r="BM917" s="1008"/>
    </row>
    <row r="918" ht="19.5" customHeight="1">
      <c r="A918" s="999" t="str">
        <f t="shared" si="1316"/>
        <v xml:space="preserve">Бородулина М.П.</v>
      </c>
      <c r="B918" s="1176" t="s">
        <v>383</v>
      </c>
      <c r="C918" s="1176"/>
      <c r="D918" s="1176"/>
      <c r="E918" s="1164">
        <f t="shared" si="1344"/>
        <v>0</v>
      </c>
      <c r="F918" s="1164">
        <f t="shared" si="1344"/>
        <v>0</v>
      </c>
      <c r="G918" s="1165">
        <f t="shared" si="1345"/>
        <v>0</v>
      </c>
      <c r="H918" s="1166"/>
      <c r="I918" s="1167">
        <f t="shared" si="1303"/>
        <v>0</v>
      </c>
      <c r="J918" s="1167">
        <f t="shared" si="1304"/>
        <v>0</v>
      </c>
      <c r="K918" s="1168">
        <f t="shared" si="1346"/>
        <v>0</v>
      </c>
      <c r="L918" s="1119"/>
      <c r="M918" s="1169"/>
      <c r="N918" s="1177"/>
      <c r="O918" s="1169"/>
      <c r="P918" s="1169"/>
      <c r="Q918" s="1169">
        <f t="shared" si="1347"/>
        <v>0</v>
      </c>
      <c r="R918" s="1169"/>
      <c r="S918" s="1170"/>
      <c r="T918" s="1171"/>
      <c r="U918" s="1128"/>
      <c r="V918" s="1169"/>
      <c r="W918" s="1177"/>
      <c r="X918" s="1177"/>
      <c r="Y918" s="1169"/>
      <c r="Z918" s="1169">
        <f t="shared" si="1348"/>
        <v>0</v>
      </c>
      <c r="AA918" s="1169"/>
      <c r="AB918" s="1172">
        <f t="shared" si="1322"/>
        <v>0</v>
      </c>
      <c r="AC918" s="1171"/>
      <c r="AD918" s="1119"/>
      <c r="AE918" s="1169"/>
      <c r="AF918" s="1177"/>
      <c r="AG918" s="1177"/>
      <c r="AH918" s="1169"/>
      <c r="AI918" s="1169">
        <f t="shared" si="1349"/>
        <v>0</v>
      </c>
      <c r="AJ918" s="1169"/>
      <c r="AK918" s="1170"/>
      <c r="AL918" s="1171"/>
      <c r="AM918" s="1128"/>
      <c r="AN918" s="1170"/>
      <c r="AO918" s="1175"/>
      <c r="AP918" s="1175"/>
      <c r="AQ918" s="1170"/>
      <c r="AR918" s="1170">
        <f t="shared" si="1350"/>
        <v>0</v>
      </c>
      <c r="AS918" s="1170"/>
      <c r="AT918" s="1170"/>
      <c r="AU918" s="1313"/>
      <c r="AV918" s="1131"/>
      <c r="AW918" s="1169"/>
      <c r="AX918" s="1177"/>
      <c r="AY918" s="1177"/>
      <c r="AZ918" s="1169"/>
      <c r="BA918" s="1169">
        <f t="shared" si="1351"/>
        <v>0</v>
      </c>
      <c r="BB918" s="1169"/>
      <c r="BC918" s="1029"/>
      <c r="BD918" s="1027"/>
      <c r="BE918" s="1029"/>
      <c r="BF918" s="1029"/>
    </row>
    <row r="919" ht="19.5" customHeight="1">
      <c r="A919" s="999" t="str">
        <f t="shared" si="1316"/>
        <v xml:space="preserve">Буханова Т.И. Мансурова А.Г.</v>
      </c>
      <c r="B919" s="1176" t="s">
        <v>385</v>
      </c>
      <c r="C919" s="1196"/>
      <c r="D919" s="1196"/>
      <c r="E919" s="1164">
        <f t="shared" si="1344"/>
        <v>0</v>
      </c>
      <c r="F919" s="1164">
        <f t="shared" si="1344"/>
        <v>0</v>
      </c>
      <c r="G919" s="1165">
        <f t="shared" si="1345"/>
        <v>0</v>
      </c>
      <c r="H919" s="1166"/>
      <c r="I919" s="1167">
        <f t="shared" si="1303"/>
        <v>0</v>
      </c>
      <c r="J919" s="1167">
        <f t="shared" si="1304"/>
        <v>0</v>
      </c>
      <c r="K919" s="1168">
        <f t="shared" si="1346"/>
        <v>0</v>
      </c>
      <c r="L919" s="1119"/>
      <c r="M919" s="1169"/>
      <c r="N919" s="1177"/>
      <c r="O919" s="1169"/>
      <c r="P919" s="1169"/>
      <c r="Q919" s="1169">
        <f t="shared" si="1347"/>
        <v>0</v>
      </c>
      <c r="R919" s="1169"/>
      <c r="S919" s="1170"/>
      <c r="T919" s="1171"/>
      <c r="U919" s="1128"/>
      <c r="V919" s="1169"/>
      <c r="W919" s="1177"/>
      <c r="X919" s="1177"/>
      <c r="Y919" s="1169"/>
      <c r="Z919" s="1169">
        <f t="shared" si="1348"/>
        <v>0</v>
      </c>
      <c r="AA919" s="1169"/>
      <c r="AB919" s="1172">
        <f t="shared" si="1322"/>
        <v>0</v>
      </c>
      <c r="AC919" s="1171"/>
      <c r="AD919" s="1119"/>
      <c r="AE919" s="1169"/>
      <c r="AF919" s="1177"/>
      <c r="AG919" s="1177"/>
      <c r="AH919" s="1169"/>
      <c r="AI919" s="1169">
        <f t="shared" si="1349"/>
        <v>0</v>
      </c>
      <c r="AJ919" s="1169"/>
      <c r="AK919" s="1170"/>
      <c r="AL919" s="1171"/>
      <c r="AM919" s="1128"/>
      <c r="AN919" s="1170"/>
      <c r="AO919" s="1175"/>
      <c r="AP919" s="1175"/>
      <c r="AQ919" s="1170"/>
      <c r="AR919" s="1170">
        <f t="shared" si="1350"/>
        <v>0</v>
      </c>
      <c r="AS919" s="1170"/>
      <c r="AT919" s="1170"/>
      <c r="AU919" s="1313"/>
      <c r="AV919" s="1131"/>
      <c r="AW919" s="1169"/>
      <c r="AX919" s="1177"/>
      <c r="AY919" s="1177"/>
      <c r="AZ919" s="1169"/>
      <c r="BA919" s="1169">
        <f t="shared" si="1351"/>
        <v>0</v>
      </c>
      <c r="BB919" s="1169"/>
      <c r="BC919" s="1029"/>
      <c r="BD919" s="1027"/>
      <c r="BE919" s="1029"/>
      <c r="BF919" s="1029"/>
    </row>
    <row r="920" ht="19.5" customHeight="1">
      <c r="A920" s="999" t="str">
        <f t="shared" si="1316"/>
        <v xml:space="preserve">Мирошник Е.В.</v>
      </c>
      <c r="B920" s="1176" t="s">
        <v>387</v>
      </c>
      <c r="C920" s="1176"/>
      <c r="D920" s="1176"/>
      <c r="E920" s="1164">
        <f t="shared" si="1344"/>
        <v>0</v>
      </c>
      <c r="F920" s="1164">
        <f t="shared" si="1344"/>
        <v>0</v>
      </c>
      <c r="G920" s="1165">
        <f t="shared" si="1345"/>
        <v>0</v>
      </c>
      <c r="H920" s="1166"/>
      <c r="I920" s="1167">
        <f t="shared" si="1303"/>
        <v>0</v>
      </c>
      <c r="J920" s="1167">
        <f t="shared" si="1304"/>
        <v>0</v>
      </c>
      <c r="K920" s="1168">
        <f t="shared" si="1346"/>
        <v>0</v>
      </c>
      <c r="L920" s="1119"/>
      <c r="M920" s="1169"/>
      <c r="N920" s="1177"/>
      <c r="O920" s="1169"/>
      <c r="P920" s="1169"/>
      <c r="Q920" s="1169">
        <f t="shared" si="1347"/>
        <v>0</v>
      </c>
      <c r="R920" s="1169"/>
      <c r="S920" s="1170"/>
      <c r="T920" s="1171"/>
      <c r="U920" s="1128"/>
      <c r="V920" s="1169"/>
      <c r="W920" s="1177"/>
      <c r="X920" s="1177"/>
      <c r="Y920" s="1169"/>
      <c r="Z920" s="1169">
        <f t="shared" si="1348"/>
        <v>0</v>
      </c>
      <c r="AA920" s="1169"/>
      <c r="AB920" s="1172">
        <f t="shared" si="1322"/>
        <v>0</v>
      </c>
      <c r="AC920" s="1171"/>
      <c r="AD920" s="1119"/>
      <c r="AE920" s="1169"/>
      <c r="AF920" s="1177"/>
      <c r="AG920" s="1177"/>
      <c r="AH920" s="1169"/>
      <c r="AI920" s="1169">
        <f t="shared" si="1349"/>
        <v>0</v>
      </c>
      <c r="AJ920" s="1169"/>
      <c r="AK920" s="1170"/>
      <c r="AL920" s="1171"/>
      <c r="AM920" s="1128"/>
      <c r="AN920" s="1170"/>
      <c r="AO920" s="1175"/>
      <c r="AP920" s="1175"/>
      <c r="AQ920" s="1170"/>
      <c r="AR920" s="1170">
        <f t="shared" si="1350"/>
        <v>0</v>
      </c>
      <c r="AS920" s="1170"/>
      <c r="AT920" s="1170"/>
      <c r="AU920" s="1313"/>
      <c r="AV920" s="1131"/>
      <c r="AW920" s="1169"/>
      <c r="AX920" s="1177"/>
      <c r="AY920" s="1177"/>
      <c r="AZ920" s="1169"/>
      <c r="BA920" s="1169">
        <f t="shared" si="1351"/>
        <v>0</v>
      </c>
      <c r="BB920" s="1169"/>
      <c r="BC920" s="1029"/>
      <c r="BD920" s="1027"/>
      <c r="BE920" s="1029"/>
      <c r="BF920" s="1029"/>
    </row>
    <row r="921" s="1180" customFormat="1" ht="19.5" customHeight="1">
      <c r="A921" s="999">
        <f t="shared" si="1316"/>
        <v>0</v>
      </c>
      <c r="B921" s="1182" t="s">
        <v>388</v>
      </c>
      <c r="C921" s="1182"/>
      <c r="D921" s="1182"/>
      <c r="E921" s="1183">
        <f>SUM(E916:E920)</f>
        <v>0</v>
      </c>
      <c r="F921" s="1183">
        <f>SUM(F916:F920)</f>
        <v>0</v>
      </c>
      <c r="G921" s="1184">
        <f>SUM(G916:G920)</f>
        <v>0</v>
      </c>
      <c r="H921" s="1185"/>
      <c r="I921" s="1167">
        <f t="shared" si="1303"/>
        <v>0</v>
      </c>
      <c r="J921" s="1167">
        <f t="shared" si="1304"/>
        <v>0</v>
      </c>
      <c r="K921" s="1187">
        <f>SUM(K916:K920)</f>
        <v>0</v>
      </c>
      <c r="L921" s="1188"/>
      <c r="M921" s="1096">
        <f t="shared" ref="M921:R921" si="1352">SUM(M916:M920)</f>
        <v>0</v>
      </c>
      <c r="N921" s="1096">
        <f t="shared" si="1352"/>
        <v>0</v>
      </c>
      <c r="O921" s="1096">
        <f t="shared" si="1352"/>
        <v>0</v>
      </c>
      <c r="P921" s="1096">
        <f t="shared" si="1352"/>
        <v>0</v>
      </c>
      <c r="Q921" s="1096">
        <f t="shared" si="1352"/>
        <v>0</v>
      </c>
      <c r="R921" s="1096">
        <f t="shared" si="1352"/>
        <v>0</v>
      </c>
      <c r="S921" s="1190"/>
      <c r="T921" s="1189"/>
      <c r="U921" s="1197"/>
      <c r="V921" s="1096">
        <f t="shared" ref="V921:AA921" si="1353">SUM(V916:V920)</f>
        <v>0</v>
      </c>
      <c r="W921" s="1096">
        <f t="shared" si="1353"/>
        <v>0</v>
      </c>
      <c r="X921" s="1096">
        <f t="shared" si="1353"/>
        <v>0</v>
      </c>
      <c r="Y921" s="1096">
        <f t="shared" si="1353"/>
        <v>0</v>
      </c>
      <c r="Z921" s="1096">
        <f t="shared" si="1353"/>
        <v>0</v>
      </c>
      <c r="AA921" s="1096">
        <f t="shared" si="1353"/>
        <v>0</v>
      </c>
      <c r="AB921" s="1172">
        <f t="shared" si="1322"/>
        <v>0</v>
      </c>
      <c r="AC921" s="1189"/>
      <c r="AD921" s="1188"/>
      <c r="AE921" s="1096">
        <f t="shared" ref="AE921:AJ921" si="1354">SUM(AE916:AE920)</f>
        <v>0</v>
      </c>
      <c r="AF921" s="1096">
        <f t="shared" si="1354"/>
        <v>0</v>
      </c>
      <c r="AG921" s="1096">
        <f t="shared" si="1354"/>
        <v>0</v>
      </c>
      <c r="AH921" s="1096">
        <f t="shared" si="1354"/>
        <v>0</v>
      </c>
      <c r="AI921" s="1096">
        <f t="shared" si="1354"/>
        <v>0</v>
      </c>
      <c r="AJ921" s="1096">
        <f t="shared" si="1354"/>
        <v>0</v>
      </c>
      <c r="AK921" s="1190"/>
      <c r="AL921" s="1189"/>
      <c r="AM921" s="1197"/>
      <c r="AN921" s="1190">
        <f t="shared" ref="AN921:AS921" si="1355">SUM(AN916:AN920)</f>
        <v>0</v>
      </c>
      <c r="AO921" s="1190">
        <f t="shared" si="1355"/>
        <v>0</v>
      </c>
      <c r="AP921" s="1190">
        <f t="shared" si="1355"/>
        <v>0</v>
      </c>
      <c r="AQ921" s="1190">
        <f t="shared" si="1355"/>
        <v>0</v>
      </c>
      <c r="AR921" s="1190">
        <f t="shared" si="1355"/>
        <v>0</v>
      </c>
      <c r="AS921" s="1190">
        <f t="shared" si="1355"/>
        <v>0</v>
      </c>
      <c r="AT921" s="1190"/>
      <c r="AU921" s="1314"/>
      <c r="AV921" s="1188">
        <f t="shared" ref="AV921:BB921" si="1356">SUM(AV916:AV920)</f>
        <v>0</v>
      </c>
      <c r="AW921" s="1096">
        <f t="shared" si="1356"/>
        <v>0</v>
      </c>
      <c r="AX921" s="1096">
        <f t="shared" si="1356"/>
        <v>0</v>
      </c>
      <c r="AY921" s="1096">
        <f t="shared" si="1356"/>
        <v>0</v>
      </c>
      <c r="AZ921" s="1096">
        <f t="shared" si="1356"/>
        <v>0</v>
      </c>
      <c r="BA921" s="1096">
        <f t="shared" si="1356"/>
        <v>0</v>
      </c>
      <c r="BB921" s="1096">
        <f t="shared" si="1356"/>
        <v>0</v>
      </c>
      <c r="BC921" s="1051"/>
      <c r="BD921" s="1052"/>
      <c r="BE921" s="1051"/>
      <c r="BF921" s="1051"/>
      <c r="BG921" s="1106"/>
      <c r="BH921" s="1106"/>
      <c r="BI921" s="1106"/>
      <c r="BJ921" s="1106"/>
      <c r="BK921" s="1106"/>
      <c r="BL921" s="1106"/>
      <c r="BM921" s="1106"/>
    </row>
    <row r="922" ht="19.5" customHeight="1">
      <c r="A922" s="999" t="str">
        <f t="shared" si="1316"/>
        <v xml:space="preserve">Зиненко Ю.А. Шаповалова Т.Ю.</v>
      </c>
      <c r="B922" s="1176" t="s">
        <v>390</v>
      </c>
      <c r="C922" s="1198"/>
      <c r="D922" s="1198"/>
      <c r="E922" s="1164">
        <f t="shared" ref="E922:F924" si="1357">Q922+Z922+AI922+AR922+BA922</f>
        <v>0</v>
      </c>
      <c r="F922" s="1164">
        <f t="shared" si="1357"/>
        <v>0</v>
      </c>
      <c r="G922" s="1165">
        <f t="shared" ref="G922:G924" si="1358">E922+F922</f>
        <v>0</v>
      </c>
      <c r="H922" s="1166"/>
      <c r="I922" s="1167">
        <f t="shared" si="1303"/>
        <v>0</v>
      </c>
      <c r="J922" s="1167">
        <f t="shared" si="1304"/>
        <v>0</v>
      </c>
      <c r="K922" s="1168">
        <f t="shared" ref="K922:K924" si="1359">I922+J922</f>
        <v>0</v>
      </c>
      <c r="L922" s="1188"/>
      <c r="M922" s="1169"/>
      <c r="N922" s="1199"/>
      <c r="O922" s="1169"/>
      <c r="P922" s="1169"/>
      <c r="Q922" s="1169">
        <f t="shared" ref="Q922:Q924" si="1360">SUM(M922:P922)</f>
        <v>0</v>
      </c>
      <c r="R922" s="1169"/>
      <c r="S922" s="1170"/>
      <c r="T922" s="1171"/>
      <c r="U922" s="1128"/>
      <c r="V922" s="1169"/>
      <c r="W922" s="1199"/>
      <c r="X922" s="1199"/>
      <c r="Y922" s="1169"/>
      <c r="Z922" s="1169">
        <f t="shared" ref="Z922:Z924" si="1361">SUM(V922:Y922)</f>
        <v>0</v>
      </c>
      <c r="AA922" s="1169"/>
      <c r="AB922" s="1172">
        <f t="shared" si="1322"/>
        <v>0</v>
      </c>
      <c r="AC922" s="1171"/>
      <c r="AD922" s="1119"/>
      <c r="AE922" s="1169"/>
      <c r="AF922" s="1199"/>
      <c r="AG922" s="1199"/>
      <c r="AH922" s="1169"/>
      <c r="AI922" s="1169">
        <f t="shared" ref="AI922:AI924" si="1362">SUM(AE922:AH922)</f>
        <v>0</v>
      </c>
      <c r="AJ922" s="1169"/>
      <c r="AK922" s="1170"/>
      <c r="AL922" s="1171"/>
      <c r="AM922" s="1128"/>
      <c r="AN922" s="1170"/>
      <c r="AO922" s="1200"/>
      <c r="AP922" s="1200"/>
      <c r="AQ922" s="1170"/>
      <c r="AR922" s="1170">
        <f t="shared" ref="AR922:AR924" si="1363">SUM(AN922:AQ922)</f>
        <v>0</v>
      </c>
      <c r="AS922" s="1170"/>
      <c r="AT922" s="1170"/>
      <c r="AU922" s="1313"/>
      <c r="AV922" s="1131"/>
      <c r="AW922" s="1169"/>
      <c r="AX922" s="1199"/>
      <c r="AY922" s="1199"/>
      <c r="AZ922" s="1169"/>
      <c r="BA922" s="1169">
        <f t="shared" ref="BA922:BA924" si="1364">SUM(AW922:AZ922)</f>
        <v>0</v>
      </c>
      <c r="BB922" s="1169"/>
      <c r="BC922" s="1029"/>
      <c r="BD922" s="1027"/>
      <c r="BE922" s="1029"/>
      <c r="BF922" s="1029"/>
    </row>
    <row r="923" ht="19.5" customHeight="1">
      <c r="A923" s="999" t="str">
        <f t="shared" si="1316"/>
        <v xml:space="preserve">Майорова И.В.</v>
      </c>
      <c r="B923" s="1176" t="s">
        <v>392</v>
      </c>
      <c r="C923" s="1198"/>
      <c r="D923" s="1198"/>
      <c r="E923" s="1164">
        <f t="shared" si="1357"/>
        <v>0</v>
      </c>
      <c r="F923" s="1164">
        <f t="shared" si="1357"/>
        <v>0</v>
      </c>
      <c r="G923" s="1165">
        <f t="shared" si="1358"/>
        <v>0</v>
      </c>
      <c r="H923" s="1166"/>
      <c r="I923" s="1167">
        <f t="shared" si="1303"/>
        <v>0</v>
      </c>
      <c r="J923" s="1167">
        <f t="shared" si="1304"/>
        <v>0</v>
      </c>
      <c r="K923" s="1168">
        <f t="shared" si="1359"/>
        <v>0</v>
      </c>
      <c r="L923" s="1188"/>
      <c r="M923" s="1169"/>
      <c r="N923" s="1177"/>
      <c r="O923" s="1169"/>
      <c r="P923" s="1169"/>
      <c r="Q923" s="1169">
        <f t="shared" si="1360"/>
        <v>0</v>
      </c>
      <c r="R923" s="1169"/>
      <c r="S923" s="1170"/>
      <c r="T923" s="1171"/>
      <c r="U923" s="1128"/>
      <c r="V923" s="1169"/>
      <c r="W923" s="1177"/>
      <c r="X923" s="1177"/>
      <c r="Y923" s="1169"/>
      <c r="Z923" s="1169">
        <f t="shared" si="1361"/>
        <v>0</v>
      </c>
      <c r="AA923" s="1169"/>
      <c r="AB923" s="1172">
        <f t="shared" si="1322"/>
        <v>0</v>
      </c>
      <c r="AC923" s="1171"/>
      <c r="AD923" s="1119"/>
      <c r="AE923" s="1169"/>
      <c r="AF923" s="1177"/>
      <c r="AG923" s="1177"/>
      <c r="AH923" s="1169"/>
      <c r="AI923" s="1169">
        <f t="shared" si="1362"/>
        <v>0</v>
      </c>
      <c r="AJ923" s="1169"/>
      <c r="AK923" s="1170"/>
      <c r="AL923" s="1171"/>
      <c r="AM923" s="1128"/>
      <c r="AN923" s="1170"/>
      <c r="AO923" s="1175"/>
      <c r="AP923" s="1175"/>
      <c r="AQ923" s="1170"/>
      <c r="AR923" s="1170">
        <f t="shared" si="1363"/>
        <v>0</v>
      </c>
      <c r="AS923" s="1170"/>
      <c r="AT923" s="1170"/>
      <c r="AU923" s="1313"/>
      <c r="AV923" s="1131"/>
      <c r="AW923" s="1169"/>
      <c r="AX923" s="1177"/>
      <c r="AY923" s="1177"/>
      <c r="AZ923" s="1169"/>
      <c r="BA923" s="1169">
        <f t="shared" si="1364"/>
        <v>0</v>
      </c>
      <c r="BB923" s="1169"/>
      <c r="BC923" s="1029"/>
      <c r="BD923" s="1027"/>
      <c r="BE923" s="1029"/>
      <c r="BF923" s="1029"/>
    </row>
    <row r="924" ht="19.5" customHeight="1">
      <c r="A924" s="999" t="str">
        <f t="shared" si="1316"/>
        <v xml:space="preserve">Гребенюк Ю.С.,  Молчанова Н.М.</v>
      </c>
      <c r="B924" s="1176" t="s">
        <v>265</v>
      </c>
      <c r="C924" s="1176"/>
      <c r="D924" s="1176"/>
      <c r="E924" s="1164">
        <f t="shared" si="1357"/>
        <v>0</v>
      </c>
      <c r="F924" s="1164">
        <f t="shared" si="1357"/>
        <v>0</v>
      </c>
      <c r="G924" s="1165">
        <f t="shared" si="1358"/>
        <v>0</v>
      </c>
      <c r="H924" s="1166"/>
      <c r="I924" s="1167">
        <f t="shared" si="1303"/>
        <v>0</v>
      </c>
      <c r="J924" s="1167">
        <f t="shared" si="1304"/>
        <v>0</v>
      </c>
      <c r="K924" s="1168">
        <f t="shared" si="1359"/>
        <v>0</v>
      </c>
      <c r="L924" s="1119"/>
      <c r="M924" s="1169"/>
      <c r="N924" s="1177"/>
      <c r="O924" s="1169"/>
      <c r="P924" s="1169"/>
      <c r="Q924" s="1169">
        <f t="shared" si="1360"/>
        <v>0</v>
      </c>
      <c r="R924" s="1169"/>
      <c r="S924" s="1170"/>
      <c r="T924" s="1171"/>
      <c r="U924" s="1128"/>
      <c r="V924" s="1169"/>
      <c r="W924" s="1177"/>
      <c r="X924" s="1177"/>
      <c r="Y924" s="1169"/>
      <c r="Z924" s="1169">
        <f t="shared" si="1361"/>
        <v>0</v>
      </c>
      <c r="AA924" s="1169"/>
      <c r="AB924" s="1172">
        <f t="shared" si="1322"/>
        <v>0</v>
      </c>
      <c r="AC924" s="1171"/>
      <c r="AD924" s="1119"/>
      <c r="AE924" s="1169"/>
      <c r="AF924" s="1177"/>
      <c r="AG924" s="1177"/>
      <c r="AH924" s="1169"/>
      <c r="AI924" s="1169">
        <f t="shared" si="1362"/>
        <v>0</v>
      </c>
      <c r="AJ924" s="1169"/>
      <c r="AK924" s="1170"/>
      <c r="AL924" s="1171"/>
      <c r="AM924" s="1128"/>
      <c r="AN924" s="1170"/>
      <c r="AO924" s="1175"/>
      <c r="AP924" s="1175"/>
      <c r="AQ924" s="1170"/>
      <c r="AR924" s="1170">
        <f t="shared" si="1363"/>
        <v>0</v>
      </c>
      <c r="AS924" s="1170"/>
      <c r="AT924" s="1170"/>
      <c r="AU924" s="1313"/>
      <c r="AV924" s="1131"/>
      <c r="AW924" s="1169"/>
      <c r="AX924" s="1177"/>
      <c r="AY924" s="1177"/>
      <c r="AZ924" s="1169"/>
      <c r="BA924" s="1169">
        <f t="shared" si="1364"/>
        <v>0</v>
      </c>
      <c r="BB924" s="1169"/>
      <c r="BC924" s="1029"/>
      <c r="BD924" s="1027"/>
      <c r="BE924" s="1029"/>
      <c r="BF924" s="1029"/>
    </row>
    <row r="925" s="1180" customFormat="1" ht="19.5" customHeight="1">
      <c r="A925" s="999">
        <f t="shared" si="1316"/>
        <v>0</v>
      </c>
      <c r="B925" s="1182" t="s">
        <v>394</v>
      </c>
      <c r="C925" s="1182"/>
      <c r="D925" s="1182"/>
      <c r="E925" s="1183">
        <f>SUM(E922:E924)</f>
        <v>0</v>
      </c>
      <c r="F925" s="1183">
        <f>SUM(F922:F924)</f>
        <v>0</v>
      </c>
      <c r="G925" s="1184">
        <f>SUM(G922:G924)</f>
        <v>0</v>
      </c>
      <c r="H925" s="1185"/>
      <c r="I925" s="1167">
        <f t="shared" si="1303"/>
        <v>0</v>
      </c>
      <c r="J925" s="1167">
        <f t="shared" si="1304"/>
        <v>0</v>
      </c>
      <c r="K925" s="1187">
        <f>SUM(K922:K924)</f>
        <v>0</v>
      </c>
      <c r="L925" s="1188"/>
      <c r="M925" s="1096">
        <f t="shared" ref="M925:R929" si="1365">SUM(M922:M924)</f>
        <v>0</v>
      </c>
      <c r="N925" s="1096">
        <f t="shared" si="1365"/>
        <v>0</v>
      </c>
      <c r="O925" s="1096">
        <f t="shared" si="1365"/>
        <v>0</v>
      </c>
      <c r="P925" s="1096">
        <f t="shared" si="1365"/>
        <v>0</v>
      </c>
      <c r="Q925" s="1096">
        <f t="shared" si="1365"/>
        <v>0</v>
      </c>
      <c r="R925" s="1096">
        <f t="shared" si="1365"/>
        <v>0</v>
      </c>
      <c r="S925" s="1190"/>
      <c r="T925" s="1189"/>
      <c r="U925" s="1128"/>
      <c r="V925" s="1096">
        <f t="shared" ref="V925:AA929" si="1366">SUM(V922:V924)</f>
        <v>0</v>
      </c>
      <c r="W925" s="1096">
        <f t="shared" si="1366"/>
        <v>0</v>
      </c>
      <c r="X925" s="1096">
        <f>SUM(X922:X924)</f>
        <v>0</v>
      </c>
      <c r="Y925" s="1096">
        <f>SUM(Y922:Y924)</f>
        <v>0</v>
      </c>
      <c r="Z925" s="1096">
        <f t="shared" si="1366"/>
        <v>0</v>
      </c>
      <c r="AA925" s="1096">
        <f t="shared" si="1366"/>
        <v>0</v>
      </c>
      <c r="AB925" s="1172">
        <f t="shared" si="1322"/>
        <v>0</v>
      </c>
      <c r="AC925" s="1189"/>
      <c r="AD925" s="1244"/>
      <c r="AE925" s="1096">
        <f t="shared" ref="AE925:AJ929" si="1367">SUM(AE922:AE924)</f>
        <v>0</v>
      </c>
      <c r="AF925" s="1096">
        <f t="shared" si="1367"/>
        <v>0</v>
      </c>
      <c r="AG925" s="1096">
        <f t="shared" si="1367"/>
        <v>0</v>
      </c>
      <c r="AH925" s="1096">
        <f t="shared" si="1367"/>
        <v>0</v>
      </c>
      <c r="AI925" s="1096">
        <f t="shared" si="1367"/>
        <v>0</v>
      </c>
      <c r="AJ925" s="1096">
        <f t="shared" si="1367"/>
        <v>0</v>
      </c>
      <c r="AK925" s="1190"/>
      <c r="AL925" s="1189"/>
      <c r="AM925" s="1125"/>
      <c r="AN925" s="1190">
        <f t="shared" ref="AN925:AS929" si="1368">SUM(AN922:AN924)</f>
        <v>0</v>
      </c>
      <c r="AO925" s="1190">
        <f t="shared" si="1368"/>
        <v>0</v>
      </c>
      <c r="AP925" s="1190">
        <f t="shared" si="1368"/>
        <v>0</v>
      </c>
      <c r="AQ925" s="1190">
        <f t="shared" si="1368"/>
        <v>0</v>
      </c>
      <c r="AR925" s="1190">
        <f t="shared" si="1368"/>
        <v>0</v>
      </c>
      <c r="AS925" s="1190">
        <f t="shared" si="1368"/>
        <v>0</v>
      </c>
      <c r="AT925" s="1190"/>
      <c r="AU925" s="1314"/>
      <c r="AV925" s="1192"/>
      <c r="AW925" s="1096">
        <f t="shared" ref="AW925:BB929" si="1369">SUM(AW922:AW924)</f>
        <v>0</v>
      </c>
      <c r="AX925" s="1096">
        <f t="shared" si="1369"/>
        <v>0</v>
      </c>
      <c r="AY925" s="1096">
        <f t="shared" si="1369"/>
        <v>0</v>
      </c>
      <c r="AZ925" s="1096">
        <f t="shared" si="1369"/>
        <v>0</v>
      </c>
      <c r="BA925" s="1096">
        <f t="shared" si="1369"/>
        <v>0</v>
      </c>
      <c r="BB925" s="1096">
        <f t="shared" si="1369"/>
        <v>0</v>
      </c>
      <c r="BC925" s="1051"/>
      <c r="BD925" s="1052"/>
      <c r="BE925" s="1051"/>
      <c r="BF925" s="1051"/>
      <c r="BG925" s="1106"/>
      <c r="BH925" s="1106"/>
      <c r="BI925" s="1106"/>
      <c r="BJ925" s="1106"/>
      <c r="BK925" s="1106"/>
      <c r="BL925" s="1106"/>
      <c r="BM925" s="1106"/>
    </row>
    <row r="926" ht="19.5" customHeight="1">
      <c r="A926" s="999" t="str">
        <f t="shared" si="1316"/>
        <v xml:space="preserve">Шевченко ЕА, Мацак ЕН,  Ворокова ВЕ</v>
      </c>
      <c r="B926" s="1202" t="s">
        <v>50</v>
      </c>
      <c r="C926" s="1202"/>
      <c r="D926" s="1202"/>
      <c r="E926" s="1164">
        <f t="shared" ref="E926:F928" si="1370">Q926+Z926+AI926+AR926+BA926</f>
        <v>0</v>
      </c>
      <c r="F926" s="1164">
        <f t="shared" si="1370"/>
        <v>0</v>
      </c>
      <c r="G926" s="1165">
        <f t="shared" ref="G926:G928" si="1371">E926+F926</f>
        <v>0</v>
      </c>
      <c r="H926" s="1166"/>
      <c r="I926" s="1167">
        <f t="shared" si="1303"/>
        <v>0</v>
      </c>
      <c r="J926" s="1167">
        <f t="shared" si="1304"/>
        <v>0</v>
      </c>
      <c r="K926" s="1168">
        <f t="shared" ref="K926:K928" si="1372">I926+J926</f>
        <v>0</v>
      </c>
      <c r="L926" s="1119"/>
      <c r="M926" s="1169"/>
      <c r="N926" s="1177"/>
      <c r="O926" s="1169"/>
      <c r="P926" s="1169"/>
      <c r="Q926" s="1169">
        <f t="shared" ref="Q926:Q928" si="1373">SUM(M926:P926)</f>
        <v>0</v>
      </c>
      <c r="R926" s="1169"/>
      <c r="S926" s="1170"/>
      <c r="T926" s="1171"/>
      <c r="U926" s="1128"/>
      <c r="V926" s="1169"/>
      <c r="W926" s="1177"/>
      <c r="X926" s="1177"/>
      <c r="Y926" s="1169"/>
      <c r="Z926" s="1169">
        <f t="shared" ref="Z926:Z928" si="1374">SUM(V926:Y926)</f>
        <v>0</v>
      </c>
      <c r="AA926" s="1169"/>
      <c r="AB926" s="1172">
        <f t="shared" si="1322"/>
        <v>0</v>
      </c>
      <c r="AC926" s="1171"/>
      <c r="AD926" s="1119"/>
      <c r="AE926" s="1169"/>
      <c r="AF926" s="1177"/>
      <c r="AG926" s="1177"/>
      <c r="AH926" s="1169"/>
      <c r="AI926" s="1169">
        <f t="shared" ref="AI926:AI928" si="1375">SUM(AE926:AH926)</f>
        <v>0</v>
      </c>
      <c r="AJ926" s="1169"/>
      <c r="AK926" s="1170"/>
      <c r="AL926" s="1171"/>
      <c r="AM926" s="1128"/>
      <c r="AN926" s="1170"/>
      <c r="AO926" s="1175"/>
      <c r="AP926" s="1175"/>
      <c r="AQ926" s="1170"/>
      <c r="AR926" s="1170">
        <f t="shared" ref="AR926:AR928" si="1376">SUM(AN926:AQ926)</f>
        <v>0</v>
      </c>
      <c r="AS926" s="1170"/>
      <c r="AT926" s="1170"/>
      <c r="AU926" s="1313"/>
      <c r="AV926" s="1131"/>
      <c r="AW926" s="1169"/>
      <c r="AX926" s="1177"/>
      <c r="AY926" s="1177"/>
      <c r="AZ926" s="1169"/>
      <c r="BA926" s="1169">
        <f t="shared" ref="BA926:BA928" si="1377">SUM(AW926:AZ926)</f>
        <v>0</v>
      </c>
      <c r="BB926" s="1169"/>
      <c r="BC926" s="1029"/>
      <c r="BD926" s="1027"/>
      <c r="BE926" s="1029"/>
      <c r="BF926" s="1029"/>
    </row>
    <row r="927" ht="19.5" customHeight="1">
      <c r="A927" s="999" t="str">
        <f t="shared" si="1316"/>
        <v xml:space="preserve">Лещенко О.А.</v>
      </c>
      <c r="B927" s="1202" t="s">
        <v>397</v>
      </c>
      <c r="C927" s="1202"/>
      <c r="D927" s="1202"/>
      <c r="E927" s="1164">
        <f t="shared" si="1370"/>
        <v>0</v>
      </c>
      <c r="F927" s="1164">
        <f t="shared" si="1370"/>
        <v>0</v>
      </c>
      <c r="G927" s="1165">
        <f t="shared" si="1371"/>
        <v>0</v>
      </c>
      <c r="H927" s="1166"/>
      <c r="I927" s="1167">
        <f t="shared" si="1303"/>
        <v>0</v>
      </c>
      <c r="J927" s="1167">
        <f t="shared" si="1304"/>
        <v>0</v>
      </c>
      <c r="K927" s="1168">
        <f t="shared" si="1372"/>
        <v>0</v>
      </c>
      <c r="L927" s="1119"/>
      <c r="M927" s="1169"/>
      <c r="N927" s="1177"/>
      <c r="O927" s="1169"/>
      <c r="P927" s="1169"/>
      <c r="Q927" s="1169">
        <f t="shared" si="1373"/>
        <v>0</v>
      </c>
      <c r="R927" s="1169"/>
      <c r="S927" s="1170"/>
      <c r="T927" s="1171"/>
      <c r="U927" s="1128"/>
      <c r="V927" s="1169"/>
      <c r="W927" s="1177"/>
      <c r="X927" s="1177"/>
      <c r="Y927" s="1169"/>
      <c r="Z927" s="1169">
        <f t="shared" si="1374"/>
        <v>0</v>
      </c>
      <c r="AA927" s="1169"/>
      <c r="AB927" s="1172">
        <f t="shared" si="1322"/>
        <v>0</v>
      </c>
      <c r="AC927" s="1171"/>
      <c r="AD927" s="1119"/>
      <c r="AE927" s="1169"/>
      <c r="AF927" s="1177"/>
      <c r="AG927" s="1177"/>
      <c r="AH927" s="1169"/>
      <c r="AI927" s="1169">
        <f t="shared" si="1375"/>
        <v>0</v>
      </c>
      <c r="AJ927" s="1169"/>
      <c r="AK927" s="1170"/>
      <c r="AL927" s="1171"/>
      <c r="AM927" s="1128"/>
      <c r="AN927" s="1170"/>
      <c r="AO927" s="1175"/>
      <c r="AP927" s="1175"/>
      <c r="AQ927" s="1170"/>
      <c r="AR927" s="1170">
        <f t="shared" si="1376"/>
        <v>0</v>
      </c>
      <c r="AS927" s="1170"/>
      <c r="AT927" s="1170"/>
      <c r="AU927" s="1313"/>
      <c r="AV927" s="1131"/>
      <c r="AW927" s="1169"/>
      <c r="AX927" s="1177"/>
      <c r="AY927" s="1177"/>
      <c r="AZ927" s="1169"/>
      <c r="BA927" s="1169">
        <f t="shared" si="1377"/>
        <v>0</v>
      </c>
      <c r="BB927" s="1169"/>
      <c r="BC927" s="1029"/>
      <c r="BD927" s="1027"/>
      <c r="BE927" s="1029"/>
      <c r="BF927" s="1029"/>
    </row>
    <row r="928" ht="19.5" customHeight="1">
      <c r="A928" s="999" t="str">
        <f t="shared" si="1316"/>
        <v xml:space="preserve">Павленко И.В.</v>
      </c>
      <c r="B928" s="1202" t="s">
        <v>399</v>
      </c>
      <c r="C928" s="1202"/>
      <c r="D928" s="1202"/>
      <c r="E928" s="1164">
        <f t="shared" si="1370"/>
        <v>0</v>
      </c>
      <c r="F928" s="1164">
        <f t="shared" si="1370"/>
        <v>0</v>
      </c>
      <c r="G928" s="1165">
        <f t="shared" si="1371"/>
        <v>0</v>
      </c>
      <c r="H928" s="1166"/>
      <c r="I928" s="1167">
        <f t="shared" si="1303"/>
        <v>0</v>
      </c>
      <c r="J928" s="1167">
        <f t="shared" si="1304"/>
        <v>0</v>
      </c>
      <c r="K928" s="1168">
        <f t="shared" si="1372"/>
        <v>0</v>
      </c>
      <c r="L928" s="1119"/>
      <c r="M928" s="1169"/>
      <c r="N928" s="1177"/>
      <c r="O928" s="1169"/>
      <c r="P928" s="1169"/>
      <c r="Q928" s="1169">
        <f t="shared" si="1373"/>
        <v>0</v>
      </c>
      <c r="R928" s="1169"/>
      <c r="S928" s="1170"/>
      <c r="T928" s="1171"/>
      <c r="U928" s="1128"/>
      <c r="V928" s="1169"/>
      <c r="W928" s="1177"/>
      <c r="X928" s="1177"/>
      <c r="Y928" s="1169"/>
      <c r="Z928" s="1169">
        <f t="shared" si="1374"/>
        <v>0</v>
      </c>
      <c r="AA928" s="1169"/>
      <c r="AB928" s="1172">
        <f t="shared" si="1322"/>
        <v>0</v>
      </c>
      <c r="AC928" s="1171"/>
      <c r="AD928" s="1119"/>
      <c r="AE928" s="1169"/>
      <c r="AF928" s="1177"/>
      <c r="AG928" s="1177"/>
      <c r="AH928" s="1169"/>
      <c r="AI928" s="1169">
        <f t="shared" si="1375"/>
        <v>0</v>
      </c>
      <c r="AJ928" s="1169"/>
      <c r="AK928" s="1170"/>
      <c r="AL928" s="1171"/>
      <c r="AM928" s="1128"/>
      <c r="AN928" s="1170"/>
      <c r="AO928" s="1175"/>
      <c r="AP928" s="1175"/>
      <c r="AQ928" s="1170"/>
      <c r="AR928" s="1170">
        <f t="shared" si="1376"/>
        <v>0</v>
      </c>
      <c r="AS928" s="1170"/>
      <c r="AT928" s="1170"/>
      <c r="AU928" s="1313"/>
      <c r="AV928" s="1131"/>
      <c r="AW928" s="1169"/>
      <c r="AX928" s="1177"/>
      <c r="AY928" s="1177"/>
      <c r="AZ928" s="1169"/>
      <c r="BA928" s="1169">
        <f t="shared" si="1377"/>
        <v>0</v>
      </c>
      <c r="BB928" s="1169"/>
      <c r="BC928" s="1029"/>
      <c r="BD928" s="1027"/>
      <c r="BE928" s="1029"/>
      <c r="BF928" s="1029"/>
    </row>
    <row r="929" s="1180" customFormat="1" ht="19.5" customHeight="1">
      <c r="A929" s="999">
        <f t="shared" si="1316"/>
        <v>0</v>
      </c>
      <c r="B929" s="1205" t="s">
        <v>363</v>
      </c>
      <c r="C929" s="1205"/>
      <c r="D929" s="1205"/>
      <c r="E929" s="1183">
        <f>SUM(E926:E928)</f>
        <v>0</v>
      </c>
      <c r="F929" s="1183">
        <f>SUM(F926:F928)</f>
        <v>0</v>
      </c>
      <c r="G929" s="1184">
        <f>SUM(G926:G928)</f>
        <v>0</v>
      </c>
      <c r="H929" s="1185"/>
      <c r="I929" s="1167">
        <f t="shared" si="1303"/>
        <v>0</v>
      </c>
      <c r="J929" s="1167">
        <f t="shared" si="1304"/>
        <v>0</v>
      </c>
      <c r="K929" s="1187">
        <f>SUM(K926:K928)</f>
        <v>0</v>
      </c>
      <c r="L929" s="1188"/>
      <c r="M929" s="1096">
        <f t="shared" si="1365"/>
        <v>0</v>
      </c>
      <c r="N929" s="1096">
        <f t="shared" si="1365"/>
        <v>0</v>
      </c>
      <c r="O929" s="1096">
        <f t="shared" si="1365"/>
        <v>0</v>
      </c>
      <c r="P929" s="1096">
        <f t="shared" si="1365"/>
        <v>0</v>
      </c>
      <c r="Q929" s="1096">
        <f t="shared" si="1365"/>
        <v>0</v>
      </c>
      <c r="R929" s="1096">
        <f t="shared" si="1365"/>
        <v>0</v>
      </c>
      <c r="S929" s="1190"/>
      <c r="T929" s="1189"/>
      <c r="U929" s="1128"/>
      <c r="V929" s="1096">
        <f t="shared" si="1366"/>
        <v>0</v>
      </c>
      <c r="W929" s="1096">
        <f t="shared" si="1366"/>
        <v>0</v>
      </c>
      <c r="X929" s="1096">
        <f t="shared" si="1366"/>
        <v>0</v>
      </c>
      <c r="Y929" s="1096">
        <f t="shared" si="1366"/>
        <v>0</v>
      </c>
      <c r="Z929" s="1096">
        <f t="shared" si="1366"/>
        <v>0</v>
      </c>
      <c r="AA929" s="1096">
        <f t="shared" si="1366"/>
        <v>0</v>
      </c>
      <c r="AB929" s="1172">
        <f t="shared" si="1322"/>
        <v>0</v>
      </c>
      <c r="AC929" s="1189"/>
      <c r="AD929" s="1244"/>
      <c r="AE929" s="1096">
        <f t="shared" si="1367"/>
        <v>0</v>
      </c>
      <c r="AF929" s="1096">
        <f t="shared" si="1367"/>
        <v>0</v>
      </c>
      <c r="AG929" s="1096">
        <f t="shared" si="1367"/>
        <v>0</v>
      </c>
      <c r="AH929" s="1096">
        <f t="shared" si="1367"/>
        <v>0</v>
      </c>
      <c r="AI929" s="1096">
        <f t="shared" si="1367"/>
        <v>0</v>
      </c>
      <c r="AJ929" s="1096">
        <f t="shared" si="1367"/>
        <v>0</v>
      </c>
      <c r="AK929" s="1190"/>
      <c r="AL929" s="1189"/>
      <c r="AM929" s="1125"/>
      <c r="AN929" s="1190">
        <f t="shared" si="1368"/>
        <v>0</v>
      </c>
      <c r="AO929" s="1190">
        <f t="shared" si="1368"/>
        <v>0</v>
      </c>
      <c r="AP929" s="1190">
        <f t="shared" si="1368"/>
        <v>0</v>
      </c>
      <c r="AQ929" s="1190">
        <f t="shared" si="1368"/>
        <v>0</v>
      </c>
      <c r="AR929" s="1190">
        <f t="shared" si="1368"/>
        <v>0</v>
      </c>
      <c r="AS929" s="1190">
        <f t="shared" si="1368"/>
        <v>0</v>
      </c>
      <c r="AT929" s="1190"/>
      <c r="AU929" s="1314"/>
      <c r="AV929" s="1192"/>
      <c r="AW929" s="1096">
        <f t="shared" si="1369"/>
        <v>0</v>
      </c>
      <c r="AX929" s="1096">
        <f t="shared" si="1369"/>
        <v>0</v>
      </c>
      <c r="AY929" s="1096">
        <f t="shared" si="1369"/>
        <v>0</v>
      </c>
      <c r="AZ929" s="1096">
        <f t="shared" si="1369"/>
        <v>0</v>
      </c>
      <c r="BA929" s="1096">
        <f t="shared" si="1369"/>
        <v>0</v>
      </c>
      <c r="BB929" s="1096">
        <f t="shared" si="1369"/>
        <v>0</v>
      </c>
      <c r="BC929" s="1051"/>
      <c r="BD929" s="1052"/>
      <c r="BE929" s="1051"/>
      <c r="BF929" s="1051"/>
      <c r="BG929" s="1106"/>
      <c r="BH929" s="1106"/>
      <c r="BI929" s="1106"/>
      <c r="BJ929" s="1106"/>
      <c r="BK929" s="1106"/>
      <c r="BL929" s="1106"/>
      <c r="BM929" s="1106"/>
    </row>
    <row r="930" s="1180" customFormat="1" ht="19.5" customHeight="1">
      <c r="A930" s="999">
        <f t="shared" si="1316"/>
        <v>0</v>
      </c>
      <c r="B930" s="1205" t="s">
        <v>400</v>
      </c>
      <c r="C930" s="1205"/>
      <c r="D930" s="1205"/>
      <c r="E930" s="1183">
        <f>E929+E925+E921+E915+E901</f>
        <v>0</v>
      </c>
      <c r="F930" s="1183">
        <f>F929+F925+F921+F915+F901</f>
        <v>0</v>
      </c>
      <c r="G930" s="1184">
        <f>G929+G925+G921+G915+G901</f>
        <v>0</v>
      </c>
      <c r="H930" s="1185"/>
      <c r="I930" s="1167">
        <f t="shared" si="1303"/>
        <v>0</v>
      </c>
      <c r="J930" s="1167">
        <f t="shared" si="1304"/>
        <v>0</v>
      </c>
      <c r="K930" s="1187">
        <f>K929+K925+K921+K915+K901</f>
        <v>0</v>
      </c>
      <c r="L930" s="1206">
        <f t="shared" ref="L930:R930" si="1378">L929+L925+L921+L915+L901</f>
        <v>0</v>
      </c>
      <c r="M930" s="1209">
        <f t="shared" si="1378"/>
        <v>0</v>
      </c>
      <c r="N930" s="1209">
        <f t="shared" si="1378"/>
        <v>0</v>
      </c>
      <c r="O930" s="1209">
        <f t="shared" si="1378"/>
        <v>0</v>
      </c>
      <c r="P930" s="1209">
        <f t="shared" si="1378"/>
        <v>0</v>
      </c>
      <c r="Q930" s="1209">
        <f t="shared" si="1378"/>
        <v>0</v>
      </c>
      <c r="R930" s="1209">
        <f t="shared" si="1378"/>
        <v>0</v>
      </c>
      <c r="S930" s="1211"/>
      <c r="T930" s="1208"/>
      <c r="U930" s="1211">
        <f t="shared" ref="U930:AA930" si="1379">U929+U925+U921+U915+U901</f>
        <v>0</v>
      </c>
      <c r="V930" s="1209">
        <f t="shared" si="1379"/>
        <v>0</v>
      </c>
      <c r="W930" s="1209">
        <f t="shared" si="1379"/>
        <v>0</v>
      </c>
      <c r="X930" s="1209">
        <f t="shared" si="1379"/>
        <v>0</v>
      </c>
      <c r="Y930" s="1209">
        <f t="shared" si="1379"/>
        <v>0</v>
      </c>
      <c r="Z930" s="1209">
        <f t="shared" si="1379"/>
        <v>0</v>
      </c>
      <c r="AA930" s="1209">
        <f t="shared" si="1379"/>
        <v>0</v>
      </c>
      <c r="AB930" s="1172">
        <f t="shared" si="1322"/>
        <v>0</v>
      </c>
      <c r="AC930" s="1208"/>
      <c r="AD930" s="1206">
        <f t="shared" ref="AD930:AJ930" si="1380">AD929+AD925+AD921+AD915+AD901</f>
        <v>0</v>
      </c>
      <c r="AE930" s="1209">
        <f t="shared" si="1380"/>
        <v>0</v>
      </c>
      <c r="AF930" s="1209">
        <f t="shared" si="1380"/>
        <v>0</v>
      </c>
      <c r="AG930" s="1209">
        <f t="shared" si="1380"/>
        <v>0</v>
      </c>
      <c r="AH930" s="1209">
        <f t="shared" si="1380"/>
        <v>0</v>
      </c>
      <c r="AI930" s="1209">
        <f t="shared" si="1380"/>
        <v>0</v>
      </c>
      <c r="AJ930" s="1209">
        <f t="shared" si="1380"/>
        <v>0</v>
      </c>
      <c r="AK930" s="1211"/>
      <c r="AL930" s="1208"/>
      <c r="AM930" s="1210">
        <f t="shared" ref="AM930:AS930" si="1381">AM929+AM925+AM921+AM915+AM901</f>
        <v>0</v>
      </c>
      <c r="AN930" s="1211">
        <f t="shared" si="1381"/>
        <v>0</v>
      </c>
      <c r="AO930" s="1211">
        <f t="shared" si="1381"/>
        <v>0</v>
      </c>
      <c r="AP930" s="1211">
        <f t="shared" si="1381"/>
        <v>0</v>
      </c>
      <c r="AQ930" s="1211">
        <f t="shared" si="1381"/>
        <v>0</v>
      </c>
      <c r="AR930" s="1211">
        <f t="shared" si="1381"/>
        <v>0</v>
      </c>
      <c r="AS930" s="1211">
        <f t="shared" si="1381"/>
        <v>0</v>
      </c>
      <c r="AT930" s="1211"/>
      <c r="AU930" s="1315"/>
      <c r="AV930" s="1209">
        <f t="shared" ref="AV930:BB930" si="1382">AV929+AV925+AV921+AV915+AV901</f>
        <v>0</v>
      </c>
      <c r="AW930" s="1209">
        <f t="shared" si="1382"/>
        <v>0</v>
      </c>
      <c r="AX930" s="1209">
        <f t="shared" si="1382"/>
        <v>0</v>
      </c>
      <c r="AY930" s="1209">
        <f t="shared" si="1382"/>
        <v>0</v>
      </c>
      <c r="AZ930" s="1209">
        <f t="shared" si="1382"/>
        <v>0</v>
      </c>
      <c r="BA930" s="1209">
        <f t="shared" si="1382"/>
        <v>0</v>
      </c>
      <c r="BB930" s="1209">
        <f t="shared" si="1382"/>
        <v>0</v>
      </c>
      <c r="BC930" s="1051"/>
      <c r="BD930" s="1052"/>
      <c r="BE930" s="1051"/>
      <c r="BF930" s="1051"/>
      <c r="BG930" s="1106"/>
      <c r="BH930" s="1106"/>
      <c r="BI930" s="1106"/>
      <c r="BJ930" s="1106"/>
      <c r="BK930" s="1106"/>
      <c r="BL930" s="1106"/>
      <c r="BM930" s="1106"/>
    </row>
    <row r="931" ht="19.5" customHeight="1">
      <c r="A931" s="999" t="str">
        <f t="shared" si="1316"/>
        <v xml:space="preserve">Куприянова А.В.</v>
      </c>
      <c r="B931" s="1202" t="s">
        <v>402</v>
      </c>
      <c r="C931" s="1202"/>
      <c r="D931" s="1202"/>
      <c r="E931" s="1164">
        <f t="shared" ref="E931:E932" si="1383">Q931+Z931+AI931+AR931+BA931</f>
        <v>0</v>
      </c>
      <c r="F931" s="1164">
        <f t="shared" ref="F931:F932" si="1384">R931+AA931+AJ931+AS931+BB931</f>
        <v>0</v>
      </c>
      <c r="G931" s="1165">
        <f t="shared" ref="G931:G932" si="1385">E931+F931</f>
        <v>0</v>
      </c>
      <c r="H931" s="1166"/>
      <c r="I931" s="1167">
        <f t="shared" si="1303"/>
        <v>0</v>
      </c>
      <c r="J931" s="1167">
        <f t="shared" si="1304"/>
        <v>0</v>
      </c>
      <c r="K931" s="1168">
        <f t="shared" ref="K931:K932" si="1386">I931+J931</f>
        <v>0</v>
      </c>
      <c r="L931" s="1119"/>
      <c r="M931" s="1169"/>
      <c r="N931" s="1177"/>
      <c r="O931" s="1169"/>
      <c r="P931" s="1169"/>
      <c r="Q931" s="1169">
        <f t="shared" ref="Q931:Q932" si="1387">SUM(M931:P931)</f>
        <v>0</v>
      </c>
      <c r="R931" s="1169"/>
      <c r="S931" s="1170"/>
      <c r="T931" s="1171"/>
      <c r="U931" s="1128"/>
      <c r="V931" s="1169"/>
      <c r="W931" s="1177"/>
      <c r="X931" s="1177"/>
      <c r="Y931" s="1169"/>
      <c r="Z931" s="1169">
        <f t="shared" ref="Z931:Z932" si="1388">SUM(V931:Y931)</f>
        <v>0</v>
      </c>
      <c r="AA931" s="1169"/>
      <c r="AB931" s="1172">
        <f t="shared" si="1322"/>
        <v>0</v>
      </c>
      <c r="AC931" s="1171"/>
      <c r="AD931" s="1119"/>
      <c r="AE931" s="1169"/>
      <c r="AF931" s="1177"/>
      <c r="AG931" s="1177"/>
      <c r="AH931" s="1169"/>
      <c r="AI931" s="1169">
        <f t="shared" ref="AI931:AI932" si="1389">SUM(AE931:AH931)</f>
        <v>0</v>
      </c>
      <c r="AJ931" s="1169"/>
      <c r="AK931" s="1170"/>
      <c r="AL931" s="1171"/>
      <c r="AM931" s="1128"/>
      <c r="AN931" s="1170"/>
      <c r="AO931" s="1175"/>
      <c r="AP931" s="1175"/>
      <c r="AQ931" s="1170"/>
      <c r="AR931" s="1170">
        <f t="shared" ref="AR931:AR932" si="1390">SUM(AN931:AQ931)</f>
        <v>0</v>
      </c>
      <c r="AS931" s="1170"/>
      <c r="AT931" s="1170"/>
      <c r="AU931" s="1313"/>
      <c r="AV931" s="1131"/>
      <c r="AW931" s="1169"/>
      <c r="AX931" s="1177"/>
      <c r="AY931" s="1177"/>
      <c r="AZ931" s="1169"/>
      <c r="BA931" s="1169">
        <f t="shared" ref="BA931:BA932" si="1391">SUM(AW931:AZ931)</f>
        <v>0</v>
      </c>
      <c r="BB931" s="1169"/>
      <c r="BC931" s="1029"/>
      <c r="BD931" s="1027"/>
      <c r="BE931" s="1029"/>
      <c r="BF931" s="1029"/>
    </row>
    <row r="932" ht="19.5" customHeight="1">
      <c r="A932" s="999" t="str">
        <f t="shared" si="1316"/>
        <v xml:space="preserve">Попова И.Ю.</v>
      </c>
      <c r="B932" s="1202" t="s">
        <v>404</v>
      </c>
      <c r="C932" s="1202"/>
      <c r="D932" s="1202"/>
      <c r="E932" s="1164">
        <f t="shared" si="1383"/>
        <v>0</v>
      </c>
      <c r="F932" s="1164">
        <f t="shared" si="1384"/>
        <v>0</v>
      </c>
      <c r="G932" s="1165">
        <f t="shared" si="1385"/>
        <v>0</v>
      </c>
      <c r="H932" s="1166"/>
      <c r="I932" s="1167">
        <f t="shared" si="1303"/>
        <v>0</v>
      </c>
      <c r="J932" s="1167">
        <f t="shared" si="1304"/>
        <v>0</v>
      </c>
      <c r="K932" s="1168">
        <f t="shared" si="1386"/>
        <v>0</v>
      </c>
      <c r="L932" s="1119"/>
      <c r="M932" s="1169"/>
      <c r="N932" s="1177"/>
      <c r="O932" s="1169"/>
      <c r="P932" s="1169"/>
      <c r="Q932" s="1169">
        <f t="shared" si="1387"/>
        <v>0</v>
      </c>
      <c r="R932" s="1169"/>
      <c r="S932" s="1170"/>
      <c r="T932" s="1171"/>
      <c r="U932" s="1128"/>
      <c r="V932" s="1169"/>
      <c r="W932" s="1177"/>
      <c r="X932" s="1177"/>
      <c r="Y932" s="1169"/>
      <c r="Z932" s="1169">
        <f t="shared" si="1388"/>
        <v>0</v>
      </c>
      <c r="AA932" s="1169"/>
      <c r="AB932" s="1172">
        <f t="shared" si="1322"/>
        <v>0</v>
      </c>
      <c r="AC932" s="1171"/>
      <c r="AD932" s="1119"/>
      <c r="AE932" s="1169"/>
      <c r="AF932" s="1177"/>
      <c r="AG932" s="1177"/>
      <c r="AH932" s="1169"/>
      <c r="AI932" s="1169">
        <f t="shared" si="1389"/>
        <v>0</v>
      </c>
      <c r="AJ932" s="1169"/>
      <c r="AK932" s="1170"/>
      <c r="AL932" s="1171"/>
      <c r="AM932" s="1128"/>
      <c r="AN932" s="1170"/>
      <c r="AO932" s="1175"/>
      <c r="AP932" s="1175"/>
      <c r="AQ932" s="1170"/>
      <c r="AR932" s="1170">
        <f t="shared" si="1390"/>
        <v>0</v>
      </c>
      <c r="AS932" s="1170"/>
      <c r="AT932" s="1170"/>
      <c r="AU932" s="1313"/>
      <c r="AV932" s="1131"/>
      <c r="AW932" s="1169"/>
      <c r="AX932" s="1177"/>
      <c r="AY932" s="1177"/>
      <c r="AZ932" s="1169"/>
      <c r="BA932" s="1169">
        <f t="shared" si="1391"/>
        <v>0</v>
      </c>
      <c r="BB932" s="1169"/>
      <c r="BC932" s="1029"/>
      <c r="BD932" s="1027"/>
      <c r="BE932" s="1029"/>
      <c r="BF932" s="1029"/>
    </row>
    <row r="933" s="1180" customFormat="1" ht="19.5" customHeight="1">
      <c r="A933" s="999">
        <f t="shared" si="1316"/>
        <v>0</v>
      </c>
      <c r="B933" s="1205" t="s">
        <v>405</v>
      </c>
      <c r="C933" s="1205"/>
      <c r="D933" s="1205"/>
      <c r="E933" s="1183">
        <f>E931+E932</f>
        <v>0</v>
      </c>
      <c r="F933" s="1183">
        <f>F931+F932</f>
        <v>0</v>
      </c>
      <c r="G933" s="1184">
        <f>G931+G932</f>
        <v>0</v>
      </c>
      <c r="H933" s="1185"/>
      <c r="I933" s="1167">
        <f t="shared" si="1303"/>
        <v>0</v>
      </c>
      <c r="J933" s="1167">
        <f t="shared" si="1304"/>
        <v>0</v>
      </c>
      <c r="K933" s="1187">
        <f>K931+K932</f>
        <v>0</v>
      </c>
      <c r="L933" s="1206"/>
      <c r="M933" s="1213">
        <f t="shared" ref="M933:R933" si="1392">M931+M932</f>
        <v>0</v>
      </c>
      <c r="N933" s="1213">
        <f t="shared" si="1392"/>
        <v>0</v>
      </c>
      <c r="O933" s="1213">
        <f t="shared" si="1392"/>
        <v>0</v>
      </c>
      <c r="P933" s="1213">
        <f t="shared" si="1392"/>
        <v>0</v>
      </c>
      <c r="Q933" s="1213">
        <f t="shared" si="1392"/>
        <v>0</v>
      </c>
      <c r="R933" s="1213">
        <f t="shared" si="1392"/>
        <v>0</v>
      </c>
      <c r="S933" s="1304"/>
      <c r="T933" s="1214"/>
      <c r="U933" s="1210"/>
      <c r="V933" s="1209">
        <f t="shared" ref="V933:AA933" si="1393">V931+V932</f>
        <v>0</v>
      </c>
      <c r="W933" s="1209">
        <f t="shared" si="1393"/>
        <v>0</v>
      </c>
      <c r="X933" s="1209">
        <f t="shared" si="1393"/>
        <v>0</v>
      </c>
      <c r="Y933" s="1209">
        <f t="shared" si="1393"/>
        <v>0</v>
      </c>
      <c r="Z933" s="1209">
        <f t="shared" si="1393"/>
        <v>0</v>
      </c>
      <c r="AA933" s="1209">
        <f t="shared" si="1393"/>
        <v>0</v>
      </c>
      <c r="AB933" s="1172">
        <f t="shared" si="1322"/>
        <v>0</v>
      </c>
      <c r="AC933" s="1208"/>
      <c r="AD933" s="1206"/>
      <c r="AE933" s="1209">
        <f t="shared" ref="AE933:AJ933" si="1394">AE931+AE932</f>
        <v>0</v>
      </c>
      <c r="AF933" s="1209">
        <f t="shared" si="1394"/>
        <v>0</v>
      </c>
      <c r="AG933" s="1209">
        <f t="shared" si="1394"/>
        <v>0</v>
      </c>
      <c r="AH933" s="1209">
        <f t="shared" si="1394"/>
        <v>0</v>
      </c>
      <c r="AI933" s="1209">
        <f t="shared" si="1394"/>
        <v>0</v>
      </c>
      <c r="AJ933" s="1209">
        <f t="shared" si="1394"/>
        <v>0</v>
      </c>
      <c r="AK933" s="1211"/>
      <c r="AL933" s="1208"/>
      <c r="AM933" s="1210"/>
      <c r="AN933" s="1211">
        <f t="shared" ref="AN933:AS933" si="1395">AN931+AN932</f>
        <v>0</v>
      </c>
      <c r="AO933" s="1211">
        <f t="shared" si="1395"/>
        <v>0</v>
      </c>
      <c r="AP933" s="1211">
        <f t="shared" si="1395"/>
        <v>0</v>
      </c>
      <c r="AQ933" s="1211">
        <f t="shared" si="1395"/>
        <v>0</v>
      </c>
      <c r="AR933" s="1211">
        <f t="shared" si="1395"/>
        <v>0</v>
      </c>
      <c r="AS933" s="1211">
        <f t="shared" si="1395"/>
        <v>0</v>
      </c>
      <c r="AT933" s="1211"/>
      <c r="AU933" s="1315"/>
      <c r="AV933" s="1206">
        <f t="shared" ref="AV933:BB933" si="1396">AV931+AV932</f>
        <v>0</v>
      </c>
      <c r="AW933" s="1209">
        <f t="shared" si="1396"/>
        <v>0</v>
      </c>
      <c r="AX933" s="1209">
        <f t="shared" si="1396"/>
        <v>0</v>
      </c>
      <c r="AY933" s="1209">
        <f t="shared" si="1396"/>
        <v>0</v>
      </c>
      <c r="AZ933" s="1209">
        <f t="shared" si="1396"/>
        <v>0</v>
      </c>
      <c r="BA933" s="1209">
        <f t="shared" si="1396"/>
        <v>0</v>
      </c>
      <c r="BB933" s="1209">
        <f t="shared" si="1396"/>
        <v>0</v>
      </c>
      <c r="BC933" s="1051"/>
      <c r="BD933" s="1052"/>
      <c r="BE933" s="1051"/>
      <c r="BF933" s="1051"/>
      <c r="BG933" s="1106"/>
      <c r="BH933" s="1106"/>
      <c r="BI933" s="1106"/>
      <c r="BJ933" s="1106"/>
      <c r="BK933" s="1106"/>
      <c r="BL933" s="1106"/>
      <c r="BM933" s="1106"/>
    </row>
    <row r="934" s="1180" customFormat="1" ht="19.5" customHeight="1">
      <c r="A934" s="999">
        <f t="shared" si="1316"/>
        <v>0</v>
      </c>
      <c r="B934" s="1205" t="s">
        <v>406</v>
      </c>
      <c r="C934" s="1205"/>
      <c r="D934" s="1205"/>
      <c r="E934" s="1183">
        <f>E930+E933</f>
        <v>0</v>
      </c>
      <c r="F934" s="1183">
        <f>F930+F933</f>
        <v>0</v>
      </c>
      <c r="G934" s="1184">
        <f>G930+G933</f>
        <v>0</v>
      </c>
      <c r="H934" s="1185"/>
      <c r="I934" s="1167">
        <f t="shared" si="1303"/>
        <v>0</v>
      </c>
      <c r="J934" s="1167">
        <f t="shared" si="1304"/>
        <v>0</v>
      </c>
      <c r="K934" s="1187">
        <f>K930+K933</f>
        <v>0</v>
      </c>
      <c r="L934" s="1206">
        <f t="shared" ref="L934:R934" si="1397">L930+L933</f>
        <v>0</v>
      </c>
      <c r="M934" s="1209">
        <f t="shared" si="1397"/>
        <v>0</v>
      </c>
      <c r="N934" s="1209">
        <f t="shared" si="1397"/>
        <v>0</v>
      </c>
      <c r="O934" s="1209">
        <f t="shared" si="1397"/>
        <v>0</v>
      </c>
      <c r="P934" s="1209">
        <f t="shared" si="1397"/>
        <v>0</v>
      </c>
      <c r="Q934" s="1209">
        <f t="shared" si="1397"/>
        <v>0</v>
      </c>
      <c r="R934" s="1209">
        <f t="shared" si="1397"/>
        <v>0</v>
      </c>
      <c r="S934" s="1211"/>
      <c r="T934" s="1208"/>
      <c r="U934" s="1211">
        <f t="shared" ref="U934:AA934" si="1398">U930+U933</f>
        <v>0</v>
      </c>
      <c r="V934" s="1209">
        <f t="shared" si="1398"/>
        <v>0</v>
      </c>
      <c r="W934" s="1209">
        <f t="shared" si="1398"/>
        <v>0</v>
      </c>
      <c r="X934" s="1209">
        <f t="shared" si="1398"/>
        <v>0</v>
      </c>
      <c r="Y934" s="1209">
        <f t="shared" si="1398"/>
        <v>0</v>
      </c>
      <c r="Z934" s="1209">
        <f t="shared" si="1398"/>
        <v>0</v>
      </c>
      <c r="AA934" s="1209">
        <f t="shared" si="1398"/>
        <v>0</v>
      </c>
      <c r="AB934" s="1172">
        <f t="shared" si="1322"/>
        <v>0</v>
      </c>
      <c r="AC934" s="1208"/>
      <c r="AD934" s="1206">
        <f t="shared" ref="AD934:AJ934" si="1399">AD930+AD933</f>
        <v>0</v>
      </c>
      <c r="AE934" s="1209">
        <f t="shared" si="1399"/>
        <v>0</v>
      </c>
      <c r="AF934" s="1209">
        <f t="shared" si="1399"/>
        <v>0</v>
      </c>
      <c r="AG934" s="1209">
        <f t="shared" si="1399"/>
        <v>0</v>
      </c>
      <c r="AH934" s="1209">
        <f t="shared" si="1399"/>
        <v>0</v>
      </c>
      <c r="AI934" s="1209">
        <f t="shared" si="1399"/>
        <v>0</v>
      </c>
      <c r="AJ934" s="1209">
        <f t="shared" si="1399"/>
        <v>0</v>
      </c>
      <c r="AK934" s="1211"/>
      <c r="AL934" s="1208"/>
      <c r="AM934" s="1210">
        <f t="shared" ref="AM934:AS934" si="1400">AM930+AM933</f>
        <v>0</v>
      </c>
      <c r="AN934" s="1211">
        <f t="shared" si="1400"/>
        <v>0</v>
      </c>
      <c r="AO934" s="1211">
        <f t="shared" si="1400"/>
        <v>0</v>
      </c>
      <c r="AP934" s="1211">
        <f t="shared" si="1400"/>
        <v>0</v>
      </c>
      <c r="AQ934" s="1211">
        <f t="shared" si="1400"/>
        <v>0</v>
      </c>
      <c r="AR934" s="1211">
        <f t="shared" si="1400"/>
        <v>0</v>
      </c>
      <c r="AS934" s="1211">
        <f t="shared" si="1400"/>
        <v>0</v>
      </c>
      <c r="AT934" s="1211"/>
      <c r="AU934" s="1315"/>
      <c r="AV934" s="1209">
        <f t="shared" ref="AV934:BB934" si="1401">AV930+AV933</f>
        <v>0</v>
      </c>
      <c r="AW934" s="1209">
        <f t="shared" si="1401"/>
        <v>0</v>
      </c>
      <c r="AX934" s="1209">
        <f t="shared" si="1401"/>
        <v>0</v>
      </c>
      <c r="AY934" s="1209">
        <f t="shared" si="1401"/>
        <v>0</v>
      </c>
      <c r="AZ934" s="1209">
        <f t="shared" si="1401"/>
        <v>0</v>
      </c>
      <c r="BA934" s="1209">
        <f t="shared" si="1401"/>
        <v>0</v>
      </c>
      <c r="BB934" s="1209">
        <f t="shared" si="1401"/>
        <v>0</v>
      </c>
      <c r="BC934" s="1051"/>
      <c r="BD934" s="1052"/>
      <c r="BE934" s="1051"/>
      <c r="BF934" s="1051"/>
      <c r="BG934" s="1106"/>
      <c r="BH934" s="1106"/>
      <c r="BI934" s="1106"/>
      <c r="BJ934" s="1106"/>
      <c r="BK934" s="1106"/>
      <c r="BL934" s="1106"/>
      <c r="BM934" s="1106"/>
    </row>
    <row r="935" ht="19.5" customHeight="1">
      <c r="A935" s="999">
        <f t="shared" si="1316"/>
        <v>0</v>
      </c>
      <c r="B935" s="1202" t="s">
        <v>407</v>
      </c>
      <c r="C935" s="1202"/>
      <c r="D935" s="1202"/>
      <c r="E935" s="1164">
        <f t="shared" ref="E935:F942" si="1402">Q935+Z935+AI935+AR935+BA935</f>
        <v>0</v>
      </c>
      <c r="F935" s="1164">
        <f t="shared" si="1402"/>
        <v>0</v>
      </c>
      <c r="G935" s="1165">
        <f t="shared" ref="G935:G942" si="1403">E935+F935</f>
        <v>0</v>
      </c>
      <c r="H935" s="1166"/>
      <c r="I935" s="1167">
        <f t="shared" si="1303"/>
        <v>0</v>
      </c>
      <c r="J935" s="1167">
        <f t="shared" si="1304"/>
        <v>0</v>
      </c>
      <c r="K935" s="1168">
        <f t="shared" ref="K935:K942" si="1404">I935+J935</f>
        <v>0</v>
      </c>
      <c r="L935" s="1119"/>
      <c r="M935" s="1169"/>
      <c r="N935" s="1177"/>
      <c r="O935" s="1169"/>
      <c r="P935" s="1169"/>
      <c r="Q935" s="1169">
        <f t="shared" ref="Q935:Q942" si="1405">SUM(M935:P935)</f>
        <v>0</v>
      </c>
      <c r="R935" s="1169"/>
      <c r="S935" s="1170"/>
      <c r="T935" s="1171"/>
      <c r="U935" s="1128"/>
      <c r="V935" s="1169"/>
      <c r="W935" s="1177"/>
      <c r="X935" s="1177"/>
      <c r="Y935" s="1169"/>
      <c r="Z935" s="1169">
        <f t="shared" ref="Z935:Z942" si="1406">SUM(V935:Y935)</f>
        <v>0</v>
      </c>
      <c r="AA935" s="1169"/>
      <c r="AB935" s="1172">
        <f t="shared" si="1322"/>
        <v>0</v>
      </c>
      <c r="AC935" s="1171"/>
      <c r="AD935" s="1119"/>
      <c r="AE935" s="1169"/>
      <c r="AF935" s="1177"/>
      <c r="AG935" s="1177"/>
      <c r="AH935" s="1169"/>
      <c r="AI935" s="1169">
        <f t="shared" ref="AI935:AI942" si="1407">SUM(AE935:AH935)</f>
        <v>0</v>
      </c>
      <c r="AJ935" s="1169"/>
      <c r="AK935" s="1170"/>
      <c r="AL935" s="1171"/>
      <c r="AM935" s="1128"/>
      <c r="AN935" s="1170"/>
      <c r="AO935" s="1175"/>
      <c r="AP935" s="1175"/>
      <c r="AQ935" s="1170"/>
      <c r="AR935" s="1170">
        <f t="shared" ref="AR935:AR942" si="1408">SUM(AN935:AQ935)</f>
        <v>0</v>
      </c>
      <c r="AS935" s="1170"/>
      <c r="AT935" s="1170"/>
      <c r="AU935" s="1313"/>
      <c r="AV935" s="1131"/>
      <c r="AW935" s="1169"/>
      <c r="AX935" s="1177"/>
      <c r="AY935" s="1177"/>
      <c r="AZ935" s="1169"/>
      <c r="BA935" s="1169">
        <f t="shared" ref="BA935:BA942" si="1409">SUM(AW935:AZ935)</f>
        <v>0</v>
      </c>
      <c r="BB935" s="1169"/>
      <c r="BC935" s="1029"/>
      <c r="BD935" s="1027"/>
      <c r="BE935" s="1029"/>
      <c r="BF935" s="1029"/>
    </row>
    <row r="936" ht="19.5" customHeight="1">
      <c r="A936" s="999" t="str">
        <f t="shared" si="1316"/>
        <v xml:space="preserve">Леоненко Г.Н</v>
      </c>
      <c r="B936" s="1202" t="s">
        <v>409</v>
      </c>
      <c r="C936" s="1202"/>
      <c r="D936" s="1202"/>
      <c r="E936" s="1164">
        <f t="shared" si="1402"/>
        <v>0</v>
      </c>
      <c r="F936" s="1164">
        <f t="shared" si="1402"/>
        <v>0</v>
      </c>
      <c r="G936" s="1165">
        <f t="shared" si="1403"/>
        <v>0</v>
      </c>
      <c r="H936" s="1166"/>
      <c r="I936" s="1167">
        <f t="shared" si="1303"/>
        <v>0</v>
      </c>
      <c r="J936" s="1167">
        <f t="shared" si="1304"/>
        <v>0</v>
      </c>
      <c r="K936" s="1168">
        <f t="shared" si="1404"/>
        <v>0</v>
      </c>
      <c r="L936" s="1119"/>
      <c r="M936" s="1169"/>
      <c r="N936" s="1177"/>
      <c r="O936" s="1169"/>
      <c r="P936" s="1169"/>
      <c r="Q936" s="1169">
        <f t="shared" si="1405"/>
        <v>0</v>
      </c>
      <c r="R936" s="1169"/>
      <c r="S936" s="1170"/>
      <c r="T936" s="1171"/>
      <c r="U936" s="1128"/>
      <c r="V936" s="1169"/>
      <c r="W936" s="1177"/>
      <c r="X936" s="1177"/>
      <c r="Y936" s="1169"/>
      <c r="Z936" s="1169">
        <f t="shared" si="1406"/>
        <v>0</v>
      </c>
      <c r="AA936" s="1169"/>
      <c r="AB936" s="1172">
        <f t="shared" si="1322"/>
        <v>0</v>
      </c>
      <c r="AC936" s="1171"/>
      <c r="AD936" s="1119"/>
      <c r="AE936" s="1169"/>
      <c r="AF936" s="1177"/>
      <c r="AG936" s="1177"/>
      <c r="AH936" s="1169"/>
      <c r="AI936" s="1169">
        <f t="shared" si="1407"/>
        <v>0</v>
      </c>
      <c r="AJ936" s="1169"/>
      <c r="AK936" s="1170"/>
      <c r="AL936" s="1171"/>
      <c r="AM936" s="1128"/>
      <c r="AN936" s="1170"/>
      <c r="AO936" s="1175"/>
      <c r="AP936" s="1175"/>
      <c r="AQ936" s="1170"/>
      <c r="AR936" s="1170">
        <f t="shared" si="1408"/>
        <v>0</v>
      </c>
      <c r="AS936" s="1170"/>
      <c r="AT936" s="1170"/>
      <c r="AU936" s="1313"/>
      <c r="AV936" s="1131"/>
      <c r="AW936" s="1169"/>
      <c r="AX936" s="1177"/>
      <c r="AY936" s="1177"/>
      <c r="AZ936" s="1169"/>
      <c r="BA936" s="1169">
        <f t="shared" si="1409"/>
        <v>0</v>
      </c>
      <c r="BB936" s="1169"/>
      <c r="BC936" s="1029"/>
      <c r="BD936" s="1027"/>
      <c r="BE936" s="1029"/>
      <c r="BF936" s="1029"/>
    </row>
    <row r="937" s="1215" customFormat="1" ht="19.5" customHeight="1">
      <c r="A937" s="999" t="str">
        <f t="shared" si="1316"/>
        <v xml:space="preserve">Саяпина О.А.</v>
      </c>
      <c r="B937" s="1202" t="s">
        <v>411</v>
      </c>
      <c r="C937" s="1217"/>
      <c r="D937" s="1217"/>
      <c r="E937" s="1164">
        <f t="shared" si="1402"/>
        <v>0</v>
      </c>
      <c r="F937" s="1164">
        <f t="shared" si="1402"/>
        <v>0</v>
      </c>
      <c r="G937" s="1165">
        <f t="shared" si="1403"/>
        <v>0</v>
      </c>
      <c r="H937" s="1166"/>
      <c r="I937" s="1167">
        <f t="shared" si="1303"/>
        <v>0</v>
      </c>
      <c r="J937" s="1167">
        <f t="shared" si="1304"/>
        <v>0</v>
      </c>
      <c r="K937" s="1168">
        <f t="shared" si="1404"/>
        <v>0</v>
      </c>
      <c r="L937" s="1119"/>
      <c r="M937" s="1169"/>
      <c r="N937" s="1177"/>
      <c r="O937" s="1169"/>
      <c r="P937" s="1169"/>
      <c r="Q937" s="1169">
        <f t="shared" si="1405"/>
        <v>0</v>
      </c>
      <c r="R937" s="1169"/>
      <c r="S937" s="1170"/>
      <c r="T937" s="1171"/>
      <c r="U937" s="1128"/>
      <c r="V937" s="1169"/>
      <c r="W937" s="1177"/>
      <c r="X937" s="1177"/>
      <c r="Y937" s="1169"/>
      <c r="Z937" s="1169">
        <f t="shared" si="1406"/>
        <v>0</v>
      </c>
      <c r="AA937" s="1169"/>
      <c r="AB937" s="1172">
        <f t="shared" si="1322"/>
        <v>0</v>
      </c>
      <c r="AC937" s="1171"/>
      <c r="AD937" s="1119"/>
      <c r="AE937" s="1169"/>
      <c r="AF937" s="1177"/>
      <c r="AG937" s="1177"/>
      <c r="AH937" s="1169"/>
      <c r="AI937" s="1169">
        <f t="shared" si="1407"/>
        <v>0</v>
      </c>
      <c r="AJ937" s="1169"/>
      <c r="AK937" s="1170"/>
      <c r="AL937" s="1171"/>
      <c r="AM937" s="1128"/>
      <c r="AN937" s="1170"/>
      <c r="AO937" s="1175"/>
      <c r="AP937" s="1175"/>
      <c r="AQ937" s="1170"/>
      <c r="AR937" s="1170">
        <f t="shared" si="1408"/>
        <v>0</v>
      </c>
      <c r="AS937" s="1170"/>
      <c r="AT937" s="1170"/>
      <c r="AU937" s="1313"/>
      <c r="AV937" s="1119"/>
      <c r="AW937" s="1169"/>
      <c r="AX937" s="1177"/>
      <c r="AY937" s="1177"/>
      <c r="AZ937" s="1169"/>
      <c r="BA937" s="1169">
        <f t="shared" si="1409"/>
        <v>0</v>
      </c>
      <c r="BB937" s="1169"/>
      <c r="BC937" s="1024"/>
      <c r="BD937" s="1027"/>
      <c r="BE937" s="1024"/>
      <c r="BF937" s="1024"/>
      <c r="BG937" s="1008"/>
      <c r="BH937" s="1008"/>
      <c r="BI937" s="1008"/>
      <c r="BJ937" s="1008"/>
      <c r="BK937" s="1008"/>
      <c r="BL937" s="1008"/>
      <c r="BM937" s="1008"/>
    </row>
    <row r="938" s="1215" customFormat="1" ht="19.5" customHeight="1">
      <c r="A938" s="999" t="str">
        <f t="shared" si="1316"/>
        <v xml:space="preserve">Дегтярева Е.И. Акилова С.В.</v>
      </c>
      <c r="B938" s="1202" t="s">
        <v>413</v>
      </c>
      <c r="C938" s="1217"/>
      <c r="D938" s="1217"/>
      <c r="E938" s="1164">
        <f t="shared" si="1402"/>
        <v>0</v>
      </c>
      <c r="F938" s="1164">
        <f t="shared" si="1402"/>
        <v>0</v>
      </c>
      <c r="G938" s="1165">
        <f t="shared" si="1403"/>
        <v>0</v>
      </c>
      <c r="H938" s="1166"/>
      <c r="I938" s="1167">
        <f t="shared" si="1303"/>
        <v>0</v>
      </c>
      <c r="J938" s="1167">
        <f t="shared" si="1304"/>
        <v>0</v>
      </c>
      <c r="K938" s="1168">
        <f t="shared" si="1404"/>
        <v>0</v>
      </c>
      <c r="L938" s="1119"/>
      <c r="M938" s="1169"/>
      <c r="N938" s="1177"/>
      <c r="O938" s="1169"/>
      <c r="P938" s="1169"/>
      <c r="Q938" s="1169">
        <f t="shared" si="1405"/>
        <v>0</v>
      </c>
      <c r="R938" s="1169"/>
      <c r="S938" s="1170"/>
      <c r="T938" s="1171"/>
      <c r="U938" s="1128"/>
      <c r="V938" s="1169"/>
      <c r="W938" s="1177"/>
      <c r="X938" s="1177"/>
      <c r="Y938" s="1169"/>
      <c r="Z938" s="1169">
        <f t="shared" si="1406"/>
        <v>0</v>
      </c>
      <c r="AA938" s="1169"/>
      <c r="AB938" s="1172">
        <f t="shared" si="1322"/>
        <v>0</v>
      </c>
      <c r="AC938" s="1171"/>
      <c r="AD938" s="1119"/>
      <c r="AE938" s="1169"/>
      <c r="AF938" s="1177"/>
      <c r="AG938" s="1177"/>
      <c r="AH938" s="1169"/>
      <c r="AI938" s="1169">
        <f t="shared" si="1407"/>
        <v>0</v>
      </c>
      <c r="AJ938" s="1169"/>
      <c r="AK938" s="1170"/>
      <c r="AL938" s="1171"/>
      <c r="AM938" s="1128"/>
      <c r="AN938" s="1170"/>
      <c r="AO938" s="1175"/>
      <c r="AP938" s="1175"/>
      <c r="AQ938" s="1170"/>
      <c r="AR938" s="1170">
        <f t="shared" si="1408"/>
        <v>0</v>
      </c>
      <c r="AS938" s="1170"/>
      <c r="AT938" s="1170"/>
      <c r="AU938" s="1313"/>
      <c r="AV938" s="1119"/>
      <c r="AW938" s="1169"/>
      <c r="AX938" s="1177"/>
      <c r="AY938" s="1177"/>
      <c r="AZ938" s="1169"/>
      <c r="BA938" s="1169">
        <f t="shared" si="1409"/>
        <v>0</v>
      </c>
      <c r="BB938" s="1169"/>
      <c r="BC938" s="1024"/>
      <c r="BD938" s="1027"/>
      <c r="BE938" s="1024"/>
      <c r="BF938" s="1024"/>
      <c r="BG938" s="1008"/>
      <c r="BH938" s="1008"/>
      <c r="BI938" s="1008"/>
      <c r="BJ938" s="1008"/>
      <c r="BK938" s="1008"/>
      <c r="BL938" s="1008"/>
      <c r="BM938" s="1008"/>
    </row>
    <row r="939" s="1215" customFormat="1" ht="19.5" customHeight="1">
      <c r="A939" s="999">
        <f t="shared" si="1316"/>
        <v>0</v>
      </c>
      <c r="B939" s="1202" t="s">
        <v>504</v>
      </c>
      <c r="C939" s="1202"/>
      <c r="D939" s="1202"/>
      <c r="E939" s="1164"/>
      <c r="F939" s="1164"/>
      <c r="G939" s="1165"/>
      <c r="H939" s="1166"/>
      <c r="I939" s="1167">
        <f t="shared" si="1303"/>
        <v>0</v>
      </c>
      <c r="J939" s="1167">
        <f t="shared" si="1304"/>
        <v>0</v>
      </c>
      <c r="K939" s="1168"/>
      <c r="L939" s="1119"/>
      <c r="M939" s="1169"/>
      <c r="N939" s="1177"/>
      <c r="O939" s="1169"/>
      <c r="P939" s="1169"/>
      <c r="Q939" s="1169">
        <f t="shared" si="1405"/>
        <v>0</v>
      </c>
      <c r="R939" s="1169"/>
      <c r="S939" s="1170"/>
      <c r="T939" s="1171"/>
      <c r="U939" s="1128"/>
      <c r="V939" s="1169"/>
      <c r="W939" s="1177"/>
      <c r="X939" s="1177"/>
      <c r="Y939" s="1169"/>
      <c r="Z939" s="1169">
        <f t="shared" si="1406"/>
        <v>0</v>
      </c>
      <c r="AA939" s="1169"/>
      <c r="AB939" s="1172">
        <f t="shared" si="1322"/>
        <v>0</v>
      </c>
      <c r="AC939" s="1171"/>
      <c r="AD939" s="1119"/>
      <c r="AE939" s="1169"/>
      <c r="AF939" s="1177"/>
      <c r="AG939" s="1177"/>
      <c r="AH939" s="1169"/>
      <c r="AI939" s="1169">
        <f t="shared" si="1407"/>
        <v>0</v>
      </c>
      <c r="AJ939" s="1169"/>
      <c r="AK939" s="1170"/>
      <c r="AL939" s="1171"/>
      <c r="AM939" s="1128"/>
      <c r="AN939" s="1170"/>
      <c r="AO939" s="1175"/>
      <c r="AP939" s="1175"/>
      <c r="AQ939" s="1170"/>
      <c r="AR939" s="1170">
        <f t="shared" si="1408"/>
        <v>0</v>
      </c>
      <c r="AS939" s="1170"/>
      <c r="AT939" s="1170"/>
      <c r="AU939" s="1313"/>
      <c r="AV939" s="1119"/>
      <c r="AW939" s="1169"/>
      <c r="AX939" s="1177"/>
      <c r="AY939" s="1177"/>
      <c r="AZ939" s="1169"/>
      <c r="BA939" s="1169">
        <f t="shared" si="1409"/>
        <v>0</v>
      </c>
      <c r="BB939" s="1169"/>
      <c r="BC939" s="1024"/>
      <c r="BD939" s="1027"/>
      <c r="BE939" s="1024"/>
      <c r="BF939" s="1024"/>
      <c r="BG939" s="1008"/>
      <c r="BH939" s="1008"/>
      <c r="BI939" s="1008"/>
      <c r="BJ939" s="1008"/>
      <c r="BK939" s="1008"/>
      <c r="BL939" s="1008"/>
      <c r="BM939" s="1008"/>
    </row>
    <row r="940" s="1215" customFormat="1" ht="19.5" customHeight="1">
      <c r="A940" s="999" t="str">
        <f t="shared" si="1316"/>
        <v xml:space="preserve">Ковалевская ОА,  Горнухина НЕ</v>
      </c>
      <c r="B940" s="1202" t="s">
        <v>416</v>
      </c>
      <c r="C940" s="1202"/>
      <c r="D940" s="1202"/>
      <c r="E940" s="1164">
        <f t="shared" si="1402"/>
        <v>0</v>
      </c>
      <c r="F940" s="1164">
        <f t="shared" si="1402"/>
        <v>0</v>
      </c>
      <c r="G940" s="1165">
        <f t="shared" si="1403"/>
        <v>0</v>
      </c>
      <c r="H940" s="1166"/>
      <c r="I940" s="1167">
        <f t="shared" si="1303"/>
        <v>0</v>
      </c>
      <c r="J940" s="1167">
        <f t="shared" si="1304"/>
        <v>0</v>
      </c>
      <c r="K940" s="1168">
        <f t="shared" si="1404"/>
        <v>0</v>
      </c>
      <c r="L940" s="1119"/>
      <c r="M940" s="1169"/>
      <c r="N940" s="1177"/>
      <c r="O940" s="1169"/>
      <c r="P940" s="1169"/>
      <c r="Q940" s="1169">
        <f t="shared" si="1405"/>
        <v>0</v>
      </c>
      <c r="R940" s="1169"/>
      <c r="S940" s="1170"/>
      <c r="T940" s="1171"/>
      <c r="U940" s="1128"/>
      <c r="V940" s="1169"/>
      <c r="W940" s="1177"/>
      <c r="X940" s="1177"/>
      <c r="Y940" s="1169"/>
      <c r="Z940" s="1169">
        <f t="shared" si="1406"/>
        <v>0</v>
      </c>
      <c r="AA940" s="1169"/>
      <c r="AB940" s="1172">
        <f t="shared" si="1322"/>
        <v>0</v>
      </c>
      <c r="AC940" s="1171"/>
      <c r="AD940" s="1119"/>
      <c r="AE940" s="1169"/>
      <c r="AF940" s="1177"/>
      <c r="AG940" s="1177"/>
      <c r="AH940" s="1169"/>
      <c r="AI940" s="1169">
        <f t="shared" si="1407"/>
        <v>0</v>
      </c>
      <c r="AJ940" s="1169"/>
      <c r="AK940" s="1170"/>
      <c r="AL940" s="1171"/>
      <c r="AM940" s="1128"/>
      <c r="AN940" s="1170"/>
      <c r="AO940" s="1175"/>
      <c r="AP940" s="1175"/>
      <c r="AQ940" s="1170"/>
      <c r="AR940" s="1170">
        <f t="shared" si="1408"/>
        <v>0</v>
      </c>
      <c r="AS940" s="1170"/>
      <c r="AT940" s="1170"/>
      <c r="AU940" s="1313"/>
      <c r="AV940" s="1119"/>
      <c r="AW940" s="1169"/>
      <c r="AX940" s="1177"/>
      <c r="AY940" s="1177"/>
      <c r="AZ940" s="1169"/>
      <c r="BA940" s="1169">
        <f t="shared" si="1409"/>
        <v>0</v>
      </c>
      <c r="BB940" s="1169"/>
      <c r="BC940" s="1024"/>
      <c r="BD940" s="1027"/>
      <c r="BE940" s="1024"/>
      <c r="BF940" s="1024"/>
      <c r="BG940" s="1008"/>
      <c r="BH940" s="1008"/>
      <c r="BI940" s="1008"/>
      <c r="BJ940" s="1008"/>
      <c r="BK940" s="1008"/>
      <c r="BL940" s="1008"/>
      <c r="BM940" s="1008"/>
    </row>
    <row r="941" s="1215" customFormat="1" ht="19.5" customHeight="1">
      <c r="A941" s="999" t="str">
        <f t="shared" si="1316"/>
        <v xml:space="preserve">Никонова-Цыганова Н.А. Столберова МИ</v>
      </c>
      <c r="B941" s="1202" t="s">
        <v>80</v>
      </c>
      <c r="C941" s="1217"/>
      <c r="D941" s="1217"/>
      <c r="E941" s="1164">
        <f t="shared" si="1402"/>
        <v>0</v>
      </c>
      <c r="F941" s="1164">
        <f t="shared" si="1402"/>
        <v>0</v>
      </c>
      <c r="G941" s="1165">
        <f t="shared" si="1403"/>
        <v>0</v>
      </c>
      <c r="H941" s="1166"/>
      <c r="I941" s="1167">
        <f t="shared" ref="I941:J1004" si="1410">E941-Z941</f>
        <v>0</v>
      </c>
      <c r="J941" s="1167">
        <f t="shared" si="1304"/>
        <v>0</v>
      </c>
      <c r="K941" s="1168">
        <f t="shared" si="1404"/>
        <v>0</v>
      </c>
      <c r="L941" s="1119"/>
      <c r="M941" s="1169"/>
      <c r="N941" s="1199"/>
      <c r="O941" s="1169"/>
      <c r="P941" s="1169"/>
      <c r="Q941" s="1169">
        <f t="shared" si="1405"/>
        <v>0</v>
      </c>
      <c r="R941" s="1169"/>
      <c r="S941" s="1170"/>
      <c r="T941" s="1171"/>
      <c r="U941" s="1128"/>
      <c r="V941" s="1169"/>
      <c r="W941" s="1199"/>
      <c r="X941" s="1177"/>
      <c r="Y941" s="1169"/>
      <c r="Z941" s="1169">
        <f t="shared" si="1406"/>
        <v>0</v>
      </c>
      <c r="AA941" s="1169"/>
      <c r="AB941" s="1172">
        <f t="shared" si="1322"/>
        <v>0</v>
      </c>
      <c r="AC941" s="1171"/>
      <c r="AD941" s="1119"/>
      <c r="AE941" s="1169"/>
      <c r="AF941" s="1199"/>
      <c r="AG941" s="1177"/>
      <c r="AH941" s="1169"/>
      <c r="AI941" s="1169">
        <f t="shared" si="1407"/>
        <v>0</v>
      </c>
      <c r="AJ941" s="1169"/>
      <c r="AK941" s="1170"/>
      <c r="AL941" s="1171"/>
      <c r="AM941" s="1128"/>
      <c r="AN941" s="1170"/>
      <c r="AO941" s="1200"/>
      <c r="AP941" s="1175"/>
      <c r="AQ941" s="1170"/>
      <c r="AR941" s="1170">
        <f t="shared" si="1408"/>
        <v>0</v>
      </c>
      <c r="AS941" s="1170"/>
      <c r="AT941" s="1170"/>
      <c r="AU941" s="1313"/>
      <c r="AV941" s="1119"/>
      <c r="AW941" s="1169"/>
      <c r="AX941" s="1199"/>
      <c r="AY941" s="1177"/>
      <c r="AZ941" s="1169"/>
      <c r="BA941" s="1169">
        <f t="shared" si="1409"/>
        <v>0</v>
      </c>
      <c r="BB941" s="1169"/>
      <c r="BC941" s="1024"/>
      <c r="BD941" s="1027"/>
      <c r="BE941" s="1024"/>
      <c r="BF941" s="1024"/>
      <c r="BG941" s="1008"/>
      <c r="BH941" s="1008"/>
      <c r="BI941" s="1008"/>
      <c r="BJ941" s="1008"/>
      <c r="BK941" s="1008"/>
      <c r="BL941" s="1008"/>
      <c r="BM941" s="1008"/>
    </row>
    <row r="942" s="1215" customFormat="1" ht="19.5" customHeight="1">
      <c r="A942" s="999" t="str">
        <f t="shared" si="1316"/>
        <v xml:space="preserve">Шевкунова С.А.</v>
      </c>
      <c r="B942" s="1202" t="s">
        <v>419</v>
      </c>
      <c r="C942" s="1202"/>
      <c r="D942" s="1202"/>
      <c r="E942" s="1164">
        <f t="shared" si="1402"/>
        <v>0</v>
      </c>
      <c r="F942" s="1164">
        <f t="shared" si="1402"/>
        <v>0</v>
      </c>
      <c r="G942" s="1165">
        <f t="shared" si="1403"/>
        <v>0</v>
      </c>
      <c r="H942" s="1166"/>
      <c r="I942" s="1167">
        <f t="shared" si="1410"/>
        <v>0</v>
      </c>
      <c r="J942" s="1167">
        <f t="shared" si="1304"/>
        <v>0</v>
      </c>
      <c r="K942" s="1168">
        <f t="shared" si="1404"/>
        <v>0</v>
      </c>
      <c r="L942" s="1119"/>
      <c r="M942" s="1169"/>
      <c r="N942" s="1177"/>
      <c r="O942" s="1169"/>
      <c r="P942" s="1169"/>
      <c r="Q942" s="1169">
        <f t="shared" si="1405"/>
        <v>0</v>
      </c>
      <c r="R942" s="1169"/>
      <c r="S942" s="1170"/>
      <c r="T942" s="1171"/>
      <c r="U942" s="1128"/>
      <c r="V942" s="1169"/>
      <c r="W942" s="1177"/>
      <c r="X942" s="1177"/>
      <c r="Y942" s="1169"/>
      <c r="Z942" s="1169">
        <f t="shared" si="1406"/>
        <v>0</v>
      </c>
      <c r="AA942" s="1169"/>
      <c r="AB942" s="1172">
        <f t="shared" si="1322"/>
        <v>0</v>
      </c>
      <c r="AC942" s="1171"/>
      <c r="AD942" s="1119"/>
      <c r="AE942" s="1169"/>
      <c r="AF942" s="1177"/>
      <c r="AG942" s="1177"/>
      <c r="AH942" s="1169"/>
      <c r="AI942" s="1169">
        <f t="shared" si="1407"/>
        <v>0</v>
      </c>
      <c r="AJ942" s="1169"/>
      <c r="AK942" s="1170"/>
      <c r="AL942" s="1171"/>
      <c r="AM942" s="1128"/>
      <c r="AN942" s="1170"/>
      <c r="AO942" s="1175"/>
      <c r="AP942" s="1175"/>
      <c r="AQ942" s="1170"/>
      <c r="AR942" s="1170">
        <f t="shared" si="1408"/>
        <v>0</v>
      </c>
      <c r="AS942" s="1170"/>
      <c r="AT942" s="1170"/>
      <c r="AU942" s="1313"/>
      <c r="AV942" s="1119"/>
      <c r="AW942" s="1169"/>
      <c r="AX942" s="1177"/>
      <c r="AY942" s="1177"/>
      <c r="AZ942" s="1169"/>
      <c r="BA942" s="1169">
        <f t="shared" si="1409"/>
        <v>0</v>
      </c>
      <c r="BB942" s="1169"/>
      <c r="BC942" s="1024"/>
      <c r="BD942" s="1027"/>
      <c r="BE942" s="1024"/>
      <c r="BF942" s="1024"/>
      <c r="BG942" s="1008"/>
      <c r="BH942" s="1008"/>
      <c r="BI942" s="1008"/>
      <c r="BJ942" s="1008"/>
      <c r="BK942" s="1008"/>
      <c r="BL942" s="1008"/>
      <c r="BM942" s="1008"/>
    </row>
    <row r="943" s="1215" customFormat="1" ht="19.5" customHeight="1">
      <c r="A943" s="999" t="str">
        <f t="shared" si="1316"/>
        <v xml:space="preserve">Никонова-Цыганова Н.А. Столберова МИ</v>
      </c>
      <c r="B943" s="1205" t="s">
        <v>363</v>
      </c>
      <c r="C943" s="1205"/>
      <c r="D943" s="1205"/>
      <c r="E943" s="1302">
        <f>SUM(E935:E942)</f>
        <v>0</v>
      </c>
      <c r="F943" s="1302">
        <f>SUM(F935:F942)</f>
        <v>0</v>
      </c>
      <c r="G943" s="1220">
        <f>SUM(G935:G942)</f>
        <v>0</v>
      </c>
      <c r="H943" s="1221"/>
      <c r="I943" s="1167">
        <f t="shared" si="1410"/>
        <v>0</v>
      </c>
      <c r="J943" s="1167">
        <f t="shared" si="1304"/>
        <v>0</v>
      </c>
      <c r="K943" s="1222">
        <f>SUM(K935:K942)</f>
        <v>0</v>
      </c>
      <c r="L943" s="1188"/>
      <c r="M943" s="1096">
        <f t="shared" ref="M943:R943" si="1411">SUM(M935:M942)</f>
        <v>0</v>
      </c>
      <c r="N943" s="1096">
        <f t="shared" si="1411"/>
        <v>0</v>
      </c>
      <c r="O943" s="1096">
        <f t="shared" si="1411"/>
        <v>0</v>
      </c>
      <c r="P943" s="1096">
        <f t="shared" si="1411"/>
        <v>0</v>
      </c>
      <c r="Q943" s="1096">
        <f t="shared" si="1411"/>
        <v>0</v>
      </c>
      <c r="R943" s="1096">
        <f t="shared" si="1411"/>
        <v>0</v>
      </c>
      <c r="S943" s="1190"/>
      <c r="T943" s="1189"/>
      <c r="U943" s="1197"/>
      <c r="V943" s="1096">
        <f t="shared" ref="V943:AA943" si="1412">SUM(V935:V942)</f>
        <v>0</v>
      </c>
      <c r="W943" s="1096">
        <f t="shared" si="1412"/>
        <v>0</v>
      </c>
      <c r="X943" s="1096">
        <f t="shared" si="1412"/>
        <v>0</v>
      </c>
      <c r="Y943" s="1096">
        <f t="shared" si="1412"/>
        <v>0</v>
      </c>
      <c r="Z943" s="1096">
        <f t="shared" si="1412"/>
        <v>0</v>
      </c>
      <c r="AA943" s="1096">
        <f t="shared" si="1412"/>
        <v>0</v>
      </c>
      <c r="AB943" s="1172">
        <f t="shared" si="1322"/>
        <v>0</v>
      </c>
      <c r="AC943" s="1189"/>
      <c r="AD943" s="1188"/>
      <c r="AE943" s="1096">
        <f t="shared" ref="AE943:AJ943" si="1413">SUM(AE935:AE942)</f>
        <v>0</v>
      </c>
      <c r="AF943" s="1096">
        <f t="shared" si="1413"/>
        <v>0</v>
      </c>
      <c r="AG943" s="1096">
        <f t="shared" si="1413"/>
        <v>0</v>
      </c>
      <c r="AH943" s="1096">
        <f t="shared" si="1413"/>
        <v>0</v>
      </c>
      <c r="AI943" s="1096">
        <f t="shared" si="1413"/>
        <v>0</v>
      </c>
      <c r="AJ943" s="1096">
        <f t="shared" si="1413"/>
        <v>0</v>
      </c>
      <c r="AK943" s="1190"/>
      <c r="AL943" s="1189"/>
      <c r="AM943" s="1197"/>
      <c r="AN943" s="1190">
        <f t="shared" ref="AN943:AS943" si="1414">SUM(AN935:AN942)</f>
        <v>0</v>
      </c>
      <c r="AO943" s="1190">
        <f t="shared" si="1414"/>
        <v>0</v>
      </c>
      <c r="AP943" s="1190">
        <f t="shared" si="1414"/>
        <v>0</v>
      </c>
      <c r="AQ943" s="1190">
        <f t="shared" si="1414"/>
        <v>0</v>
      </c>
      <c r="AR943" s="1190">
        <f t="shared" si="1414"/>
        <v>0</v>
      </c>
      <c r="AS943" s="1190">
        <f t="shared" si="1414"/>
        <v>0</v>
      </c>
      <c r="AT943" s="1190"/>
      <c r="AU943" s="1314"/>
      <c r="AV943" s="1188">
        <f t="shared" ref="AV943:BB943" si="1415">SUM(AV935:AV942)</f>
        <v>0</v>
      </c>
      <c r="AW943" s="1096">
        <f t="shared" si="1415"/>
        <v>0</v>
      </c>
      <c r="AX943" s="1096">
        <f t="shared" si="1415"/>
        <v>0</v>
      </c>
      <c r="AY943" s="1096">
        <f t="shared" si="1415"/>
        <v>0</v>
      </c>
      <c r="AZ943" s="1096">
        <f t="shared" si="1415"/>
        <v>0</v>
      </c>
      <c r="BA943" s="1096">
        <f t="shared" si="1415"/>
        <v>0</v>
      </c>
      <c r="BB943" s="1096">
        <f t="shared" si="1415"/>
        <v>0</v>
      </c>
      <c r="BC943" s="1024"/>
      <c r="BD943" s="1027"/>
      <c r="BE943" s="1024"/>
      <c r="BF943" s="1024"/>
      <c r="BG943" s="1008"/>
      <c r="BH943" s="1008"/>
      <c r="BI943" s="1008"/>
      <c r="BJ943" s="1008"/>
      <c r="BK943" s="1008"/>
      <c r="BL943" s="1008"/>
      <c r="BM943" s="1008"/>
    </row>
    <row r="944" s="1215" customFormat="1" ht="19.5" customHeight="1">
      <c r="A944" s="999" t="str">
        <f t="shared" si="1316"/>
        <v xml:space="preserve">Шеламкова Н.В.</v>
      </c>
      <c r="B944" s="1202" t="s">
        <v>421</v>
      </c>
      <c r="C944" s="1202"/>
      <c r="D944" s="1202"/>
      <c r="E944" s="1164">
        <f t="shared" ref="E944:F956" si="1416">Q944+Z944+AI944+AR944+BA944</f>
        <v>0</v>
      </c>
      <c r="F944" s="1164">
        <f t="shared" si="1416"/>
        <v>0</v>
      </c>
      <c r="G944" s="1165">
        <f t="shared" ref="G944:G956" si="1417">E944+F944</f>
        <v>0</v>
      </c>
      <c r="H944" s="1166"/>
      <c r="I944" s="1167">
        <f t="shared" si="1410"/>
        <v>0</v>
      </c>
      <c r="J944" s="1167">
        <f t="shared" si="1304"/>
        <v>0</v>
      </c>
      <c r="K944" s="1168">
        <f t="shared" ref="K944:K956" si="1418">I944+J944</f>
        <v>0</v>
      </c>
      <c r="L944" s="1119"/>
      <c r="M944" s="1169"/>
      <c r="N944" s="1177"/>
      <c r="O944" s="1169"/>
      <c r="P944" s="1169"/>
      <c r="Q944" s="1169">
        <f t="shared" ref="Q944:Q956" si="1419">SUM(M944:P944)</f>
        <v>0</v>
      </c>
      <c r="R944" s="1169"/>
      <c r="S944" s="1170"/>
      <c r="T944" s="1171"/>
      <c r="U944" s="1128"/>
      <c r="V944" s="1169"/>
      <c r="W944" s="1177"/>
      <c r="X944" s="1177"/>
      <c r="Y944" s="1169"/>
      <c r="Z944" s="1169">
        <f t="shared" ref="Z944:Z956" si="1420">SUM(V944:Y944)</f>
        <v>0</v>
      </c>
      <c r="AA944" s="1169"/>
      <c r="AB944" s="1172">
        <f t="shared" si="1322"/>
        <v>0</v>
      </c>
      <c r="AC944" s="1171"/>
      <c r="AD944" s="1119"/>
      <c r="AE944" s="1169"/>
      <c r="AF944" s="1177"/>
      <c r="AG944" s="1177"/>
      <c r="AH944" s="1169"/>
      <c r="AI944" s="1169">
        <f t="shared" ref="AI944:AI956" si="1421">SUM(AE944:AH944)</f>
        <v>0</v>
      </c>
      <c r="AJ944" s="1169"/>
      <c r="AK944" s="1170"/>
      <c r="AL944" s="1171"/>
      <c r="AM944" s="1128"/>
      <c r="AN944" s="1170"/>
      <c r="AO944" s="1175"/>
      <c r="AP944" s="1175"/>
      <c r="AQ944" s="1170"/>
      <c r="AR944" s="1170">
        <f t="shared" ref="AR944:AR956" si="1422">SUM(AN944:AQ944)</f>
        <v>0</v>
      </c>
      <c r="AS944" s="1170"/>
      <c r="AT944" s="1170"/>
      <c r="AU944" s="1313"/>
      <c r="AV944" s="1119"/>
      <c r="AW944" s="1169"/>
      <c r="AX944" s="1177"/>
      <c r="AY944" s="1177"/>
      <c r="AZ944" s="1169"/>
      <c r="BA944" s="1169">
        <f t="shared" ref="BA944:BA956" si="1423">SUM(AW944:AZ944)</f>
        <v>0</v>
      </c>
      <c r="BB944" s="1169"/>
      <c r="BC944" s="1024"/>
      <c r="BD944" s="1027"/>
      <c r="BE944" s="1024"/>
      <c r="BF944" s="1024"/>
      <c r="BG944" s="1008"/>
      <c r="BH944" s="1008"/>
      <c r="BI944" s="1008"/>
      <c r="BJ944" s="1008"/>
      <c r="BK944" s="1008"/>
      <c r="BL944" s="1008"/>
      <c r="BM944" s="1008"/>
    </row>
    <row r="945" s="1215" customFormat="1" ht="19.5" customHeight="1">
      <c r="A945" s="999" t="str">
        <f t="shared" si="1316"/>
        <v xml:space="preserve">Буланова О.Н. Сычева Ю.В.</v>
      </c>
      <c r="B945" s="1202" t="s">
        <v>68</v>
      </c>
      <c r="C945" s="1202"/>
      <c r="D945" s="1202"/>
      <c r="E945" s="1164">
        <f t="shared" si="1416"/>
        <v>0</v>
      </c>
      <c r="F945" s="1164">
        <f t="shared" si="1416"/>
        <v>0</v>
      </c>
      <c r="G945" s="1165">
        <f t="shared" si="1417"/>
        <v>0</v>
      </c>
      <c r="H945" s="1166"/>
      <c r="I945" s="1167">
        <f t="shared" si="1410"/>
        <v>0</v>
      </c>
      <c r="J945" s="1167">
        <f t="shared" si="1304"/>
        <v>0</v>
      </c>
      <c r="K945" s="1168">
        <f t="shared" si="1418"/>
        <v>0</v>
      </c>
      <c r="L945" s="1119"/>
      <c r="M945" s="1169"/>
      <c r="N945" s="1177"/>
      <c r="O945" s="1169"/>
      <c r="P945" s="1169"/>
      <c r="Q945" s="1169">
        <f t="shared" si="1419"/>
        <v>0</v>
      </c>
      <c r="R945" s="1169"/>
      <c r="S945" s="1170"/>
      <c r="T945" s="1171"/>
      <c r="U945" s="1128"/>
      <c r="V945" s="1169"/>
      <c r="W945" s="1177"/>
      <c r="X945" s="1177"/>
      <c r="Y945" s="1169"/>
      <c r="Z945" s="1169">
        <f t="shared" si="1420"/>
        <v>0</v>
      </c>
      <c r="AA945" s="1169"/>
      <c r="AB945" s="1172">
        <f t="shared" si="1322"/>
        <v>0</v>
      </c>
      <c r="AC945" s="1171"/>
      <c r="AD945" s="1119"/>
      <c r="AE945" s="1169"/>
      <c r="AF945" s="1177"/>
      <c r="AG945" s="1177"/>
      <c r="AH945" s="1169"/>
      <c r="AI945" s="1169">
        <f t="shared" si="1421"/>
        <v>0</v>
      </c>
      <c r="AJ945" s="1169"/>
      <c r="AK945" s="1170"/>
      <c r="AL945" s="1171"/>
      <c r="AM945" s="1128"/>
      <c r="AN945" s="1170"/>
      <c r="AO945" s="1175"/>
      <c r="AP945" s="1175"/>
      <c r="AQ945" s="1170"/>
      <c r="AR945" s="1170">
        <f t="shared" si="1422"/>
        <v>0</v>
      </c>
      <c r="AS945" s="1170"/>
      <c r="AT945" s="1170"/>
      <c r="AU945" s="1313"/>
      <c r="AV945" s="1119"/>
      <c r="AW945" s="1169"/>
      <c r="AX945" s="1177"/>
      <c r="AY945" s="1177"/>
      <c r="AZ945" s="1169"/>
      <c r="BA945" s="1169">
        <f t="shared" si="1423"/>
        <v>0</v>
      </c>
      <c r="BB945" s="1169"/>
      <c r="BC945" s="1024"/>
      <c r="BD945" s="1027"/>
      <c r="BE945" s="1024"/>
      <c r="BF945" s="1024"/>
      <c r="BG945" s="1008"/>
      <c r="BH945" s="1008"/>
      <c r="BI945" s="1008"/>
      <c r="BJ945" s="1008"/>
      <c r="BK945" s="1008"/>
      <c r="BL945" s="1008"/>
      <c r="BM945" s="1008"/>
    </row>
    <row r="946" s="1215" customFormat="1" ht="19.5" customHeight="1">
      <c r="A946" s="999" t="str">
        <f t="shared" si="1316"/>
        <v xml:space="preserve">Бояринцева Н.А.</v>
      </c>
      <c r="B946" s="1202" t="s">
        <v>289</v>
      </c>
      <c r="C946" s="1202"/>
      <c r="D946" s="1202"/>
      <c r="E946" s="1164">
        <f t="shared" si="1416"/>
        <v>0</v>
      </c>
      <c r="F946" s="1164">
        <f t="shared" si="1416"/>
        <v>0</v>
      </c>
      <c r="G946" s="1165">
        <f t="shared" si="1417"/>
        <v>0</v>
      </c>
      <c r="H946" s="1166"/>
      <c r="I946" s="1167">
        <f t="shared" si="1410"/>
        <v>0</v>
      </c>
      <c r="J946" s="1167">
        <f t="shared" si="1304"/>
        <v>0</v>
      </c>
      <c r="K946" s="1168">
        <f t="shared" si="1418"/>
        <v>0</v>
      </c>
      <c r="L946" s="1119"/>
      <c r="M946" s="1169"/>
      <c r="N946" s="1177"/>
      <c r="O946" s="1169"/>
      <c r="P946" s="1169"/>
      <c r="Q946" s="1169">
        <f t="shared" si="1419"/>
        <v>0</v>
      </c>
      <c r="R946" s="1169"/>
      <c r="S946" s="1170"/>
      <c r="T946" s="1171"/>
      <c r="U946" s="1128"/>
      <c r="V946" s="1169"/>
      <c r="W946" s="1177"/>
      <c r="X946" s="1177"/>
      <c r="Y946" s="1169"/>
      <c r="Z946" s="1169">
        <f t="shared" si="1420"/>
        <v>0</v>
      </c>
      <c r="AA946" s="1169"/>
      <c r="AB946" s="1172">
        <f t="shared" si="1322"/>
        <v>0</v>
      </c>
      <c r="AC946" s="1171"/>
      <c r="AD946" s="1119"/>
      <c r="AE946" s="1169"/>
      <c r="AF946" s="1177"/>
      <c r="AG946" s="1177"/>
      <c r="AH946" s="1169"/>
      <c r="AI946" s="1169">
        <f t="shared" si="1421"/>
        <v>0</v>
      </c>
      <c r="AJ946" s="1169"/>
      <c r="AK946" s="1170"/>
      <c r="AL946" s="1171"/>
      <c r="AM946" s="1128"/>
      <c r="AN946" s="1170"/>
      <c r="AO946" s="1175"/>
      <c r="AP946" s="1175"/>
      <c r="AQ946" s="1170"/>
      <c r="AR946" s="1170">
        <f t="shared" si="1422"/>
        <v>0</v>
      </c>
      <c r="AS946" s="1170"/>
      <c r="AT946" s="1170"/>
      <c r="AU946" s="1313"/>
      <c r="AV946" s="1119"/>
      <c r="AW946" s="1169"/>
      <c r="AX946" s="1177"/>
      <c r="AY946" s="1177"/>
      <c r="AZ946" s="1169"/>
      <c r="BA946" s="1169">
        <f t="shared" si="1423"/>
        <v>0</v>
      </c>
      <c r="BB946" s="1169"/>
      <c r="BC946" s="1024"/>
      <c r="BD946" s="1027"/>
      <c r="BE946" s="1024"/>
      <c r="BF946" s="1024"/>
      <c r="BG946" s="1008"/>
      <c r="BH946" s="1008"/>
      <c r="BI946" s="1008"/>
      <c r="BJ946" s="1008"/>
      <c r="BK946" s="1008"/>
      <c r="BL946" s="1008"/>
      <c r="BM946" s="1008"/>
    </row>
    <row r="947" s="1215" customFormat="1" ht="19.5" customHeight="1">
      <c r="A947" s="999">
        <f t="shared" si="1316"/>
        <v>0</v>
      </c>
      <c r="B947" s="1202" t="s">
        <v>424</v>
      </c>
      <c r="C947" s="1202"/>
      <c r="D947" s="1202"/>
      <c r="E947" s="1164">
        <f t="shared" si="1416"/>
        <v>0</v>
      </c>
      <c r="F947" s="1164">
        <f t="shared" si="1416"/>
        <v>0</v>
      </c>
      <c r="G947" s="1165">
        <f t="shared" si="1417"/>
        <v>0</v>
      </c>
      <c r="H947" s="1166"/>
      <c r="I947" s="1167">
        <f t="shared" si="1410"/>
        <v>0</v>
      </c>
      <c r="J947" s="1167">
        <f t="shared" ref="J947:J991" si="1424">F947-AA947</f>
        <v>0</v>
      </c>
      <c r="K947" s="1168">
        <f t="shared" si="1418"/>
        <v>0</v>
      </c>
      <c r="L947" s="1119"/>
      <c r="M947" s="1169"/>
      <c r="N947" s="1177"/>
      <c r="O947" s="1169"/>
      <c r="P947" s="1169"/>
      <c r="Q947" s="1169">
        <f t="shared" si="1419"/>
        <v>0</v>
      </c>
      <c r="R947" s="1169"/>
      <c r="S947" s="1170"/>
      <c r="T947" s="1171"/>
      <c r="U947" s="1128"/>
      <c r="V947" s="1169"/>
      <c r="W947" s="1177"/>
      <c r="X947" s="1177"/>
      <c r="Y947" s="1169"/>
      <c r="Z947" s="1169">
        <f t="shared" si="1420"/>
        <v>0</v>
      </c>
      <c r="AA947" s="1169"/>
      <c r="AB947" s="1172">
        <f t="shared" si="1322"/>
        <v>0</v>
      </c>
      <c r="AC947" s="1171"/>
      <c r="AD947" s="1119"/>
      <c r="AE947" s="1169"/>
      <c r="AF947" s="1177"/>
      <c r="AG947" s="1177"/>
      <c r="AH947" s="1169"/>
      <c r="AI947" s="1169">
        <f t="shared" si="1421"/>
        <v>0</v>
      </c>
      <c r="AJ947" s="1169"/>
      <c r="AK947" s="1170"/>
      <c r="AL947" s="1171"/>
      <c r="AM947" s="1128"/>
      <c r="AN947" s="1170"/>
      <c r="AO947" s="1175"/>
      <c r="AP947" s="1175"/>
      <c r="AQ947" s="1170"/>
      <c r="AR947" s="1170">
        <f t="shared" si="1422"/>
        <v>0</v>
      </c>
      <c r="AS947" s="1170"/>
      <c r="AT947" s="1170"/>
      <c r="AU947" s="1313"/>
      <c r="AV947" s="1119"/>
      <c r="AW947" s="1169"/>
      <c r="AX947" s="1177"/>
      <c r="AY947" s="1177"/>
      <c r="AZ947" s="1169"/>
      <c r="BA947" s="1169">
        <f t="shared" si="1423"/>
        <v>0</v>
      </c>
      <c r="BB947" s="1169"/>
      <c r="BC947" s="1024"/>
      <c r="BD947" s="1027"/>
      <c r="BE947" s="1024"/>
      <c r="BF947" s="1024"/>
      <c r="BG947" s="1008"/>
      <c r="BH947" s="1008"/>
      <c r="BI947" s="1008"/>
      <c r="BJ947" s="1008"/>
      <c r="BK947" s="1008"/>
      <c r="BL947" s="1008"/>
      <c r="BM947" s="1008"/>
    </row>
    <row r="948" s="1215" customFormat="1" ht="19.5" customHeight="1">
      <c r="A948" s="999" t="str">
        <f t="shared" si="1316"/>
        <v xml:space="preserve">Соболева Т.Ю.</v>
      </c>
      <c r="B948" s="1202" t="s">
        <v>426</v>
      </c>
      <c r="C948" s="1202"/>
      <c r="D948" s="1202"/>
      <c r="E948" s="1164">
        <f t="shared" si="1416"/>
        <v>0</v>
      </c>
      <c r="F948" s="1164">
        <f t="shared" si="1416"/>
        <v>0</v>
      </c>
      <c r="G948" s="1165">
        <f t="shared" si="1417"/>
        <v>0</v>
      </c>
      <c r="H948" s="1166"/>
      <c r="I948" s="1167">
        <f t="shared" si="1410"/>
        <v>0</v>
      </c>
      <c r="J948" s="1167">
        <f t="shared" si="1424"/>
        <v>0</v>
      </c>
      <c r="K948" s="1168">
        <f t="shared" si="1418"/>
        <v>0</v>
      </c>
      <c r="L948" s="1119"/>
      <c r="M948" s="1169"/>
      <c r="N948" s="1177"/>
      <c r="O948" s="1169"/>
      <c r="P948" s="1169"/>
      <c r="Q948" s="1169">
        <f t="shared" si="1419"/>
        <v>0</v>
      </c>
      <c r="R948" s="1169"/>
      <c r="S948" s="1170"/>
      <c r="T948" s="1171"/>
      <c r="U948" s="1128"/>
      <c r="V948" s="1169"/>
      <c r="W948" s="1177"/>
      <c r="X948" s="1177"/>
      <c r="Y948" s="1169"/>
      <c r="Z948" s="1169">
        <f t="shared" si="1420"/>
        <v>0</v>
      </c>
      <c r="AA948" s="1169"/>
      <c r="AB948" s="1172">
        <f t="shared" si="1322"/>
        <v>0</v>
      </c>
      <c r="AC948" s="1171"/>
      <c r="AD948" s="1119"/>
      <c r="AE948" s="1169"/>
      <c r="AF948" s="1177"/>
      <c r="AG948" s="1177"/>
      <c r="AH948" s="1169"/>
      <c r="AI948" s="1169">
        <f t="shared" si="1421"/>
        <v>0</v>
      </c>
      <c r="AJ948" s="1169"/>
      <c r="AK948" s="1170"/>
      <c r="AL948" s="1171"/>
      <c r="AM948" s="1128"/>
      <c r="AN948" s="1170"/>
      <c r="AO948" s="1175"/>
      <c r="AP948" s="1175"/>
      <c r="AQ948" s="1170"/>
      <c r="AR948" s="1170">
        <f t="shared" si="1422"/>
        <v>0</v>
      </c>
      <c r="AS948" s="1170"/>
      <c r="AT948" s="1170"/>
      <c r="AU948" s="1313"/>
      <c r="AV948" s="1119"/>
      <c r="AW948" s="1169"/>
      <c r="AX948" s="1177"/>
      <c r="AY948" s="1177"/>
      <c r="AZ948" s="1169"/>
      <c r="BA948" s="1169">
        <f t="shared" si="1423"/>
        <v>0</v>
      </c>
      <c r="BB948" s="1169"/>
      <c r="BC948" s="1024"/>
      <c r="BD948" s="1027"/>
      <c r="BE948" s="1024"/>
      <c r="BF948" s="1024"/>
      <c r="BG948" s="1008"/>
      <c r="BH948" s="1008"/>
      <c r="BI948" s="1008"/>
      <c r="BJ948" s="1008"/>
      <c r="BK948" s="1008"/>
      <c r="BL948" s="1008"/>
      <c r="BM948" s="1008"/>
    </row>
    <row r="949" s="1215" customFormat="1" ht="19.5" customHeight="1">
      <c r="A949" s="999">
        <f t="shared" si="1316"/>
        <v>0</v>
      </c>
      <c r="B949" s="1202" t="s">
        <v>427</v>
      </c>
      <c r="C949" s="1202"/>
      <c r="D949" s="1202"/>
      <c r="E949" s="1164">
        <f t="shared" si="1416"/>
        <v>0</v>
      </c>
      <c r="F949" s="1164">
        <f t="shared" si="1416"/>
        <v>0</v>
      </c>
      <c r="G949" s="1165">
        <f t="shared" si="1417"/>
        <v>0</v>
      </c>
      <c r="H949" s="1166"/>
      <c r="I949" s="1167">
        <f t="shared" si="1410"/>
        <v>0</v>
      </c>
      <c r="J949" s="1167">
        <f t="shared" si="1424"/>
        <v>0</v>
      </c>
      <c r="K949" s="1168">
        <f t="shared" si="1418"/>
        <v>0</v>
      </c>
      <c r="L949" s="1119"/>
      <c r="M949" s="1169"/>
      <c r="N949" s="1177"/>
      <c r="O949" s="1169"/>
      <c r="P949" s="1169"/>
      <c r="Q949" s="1169">
        <f t="shared" si="1419"/>
        <v>0</v>
      </c>
      <c r="R949" s="1169"/>
      <c r="S949" s="1170"/>
      <c r="T949" s="1171"/>
      <c r="U949" s="1128"/>
      <c r="V949" s="1169"/>
      <c r="W949" s="1177"/>
      <c r="X949" s="1177"/>
      <c r="Y949" s="1169"/>
      <c r="Z949" s="1169">
        <f t="shared" si="1420"/>
        <v>0</v>
      </c>
      <c r="AA949" s="1169"/>
      <c r="AB949" s="1172">
        <f t="shared" si="1322"/>
        <v>0</v>
      </c>
      <c r="AC949" s="1171"/>
      <c r="AD949" s="1119"/>
      <c r="AE949" s="1169"/>
      <c r="AF949" s="1177"/>
      <c r="AG949" s="1177"/>
      <c r="AH949" s="1169"/>
      <c r="AI949" s="1169">
        <f t="shared" si="1421"/>
        <v>0</v>
      </c>
      <c r="AJ949" s="1169"/>
      <c r="AK949" s="1170"/>
      <c r="AL949" s="1171"/>
      <c r="AM949" s="1128"/>
      <c r="AN949" s="1170"/>
      <c r="AO949" s="1175"/>
      <c r="AP949" s="1175"/>
      <c r="AQ949" s="1170"/>
      <c r="AR949" s="1170">
        <f t="shared" si="1422"/>
        <v>0</v>
      </c>
      <c r="AS949" s="1170"/>
      <c r="AT949" s="1170"/>
      <c r="AU949" s="1313"/>
      <c r="AV949" s="1119"/>
      <c r="AW949" s="1169"/>
      <c r="AX949" s="1177"/>
      <c r="AY949" s="1177"/>
      <c r="AZ949" s="1169"/>
      <c r="BA949" s="1169">
        <f t="shared" si="1423"/>
        <v>0</v>
      </c>
      <c r="BB949" s="1169"/>
      <c r="BC949" s="1024"/>
      <c r="BD949" s="1027"/>
      <c r="BE949" s="1024"/>
      <c r="BF949" s="1024"/>
      <c r="BG949" s="1008"/>
      <c r="BH949" s="1008"/>
      <c r="BI949" s="1008"/>
      <c r="BJ949" s="1008"/>
      <c r="BK949" s="1008"/>
      <c r="BL949" s="1008"/>
      <c r="BM949" s="1008"/>
    </row>
    <row r="950" s="1215" customFormat="1" ht="19.5" customHeight="1">
      <c r="A950" s="999" t="str">
        <f t="shared" si="1316"/>
        <v xml:space="preserve">Астапова С.А.</v>
      </c>
      <c r="B950" s="1202" t="s">
        <v>73</v>
      </c>
      <c r="C950" s="1202"/>
      <c r="D950" s="1202"/>
      <c r="E950" s="1164">
        <f t="shared" si="1416"/>
        <v>0</v>
      </c>
      <c r="F950" s="1164">
        <f t="shared" si="1416"/>
        <v>0</v>
      </c>
      <c r="G950" s="1165">
        <f t="shared" si="1417"/>
        <v>0</v>
      </c>
      <c r="H950" s="1166"/>
      <c r="I950" s="1167">
        <f t="shared" si="1410"/>
        <v>0</v>
      </c>
      <c r="J950" s="1167">
        <f t="shared" si="1424"/>
        <v>0</v>
      </c>
      <c r="K950" s="1168">
        <f t="shared" si="1418"/>
        <v>0</v>
      </c>
      <c r="L950" s="1119"/>
      <c r="M950" s="1169"/>
      <c r="N950" s="1177"/>
      <c r="O950" s="1169"/>
      <c r="P950" s="1169"/>
      <c r="Q950" s="1169">
        <f t="shared" si="1419"/>
        <v>0</v>
      </c>
      <c r="R950" s="1169"/>
      <c r="S950" s="1170"/>
      <c r="T950" s="1171"/>
      <c r="U950" s="1128"/>
      <c r="V950" s="1169"/>
      <c r="W950" s="1177"/>
      <c r="X950" s="1177"/>
      <c r="Y950" s="1169"/>
      <c r="Z950" s="1169">
        <f t="shared" si="1420"/>
        <v>0</v>
      </c>
      <c r="AA950" s="1169"/>
      <c r="AB950" s="1172">
        <f t="shared" si="1322"/>
        <v>0</v>
      </c>
      <c r="AC950" s="1171"/>
      <c r="AD950" s="1119"/>
      <c r="AE950" s="1169"/>
      <c r="AF950" s="1177"/>
      <c r="AG950" s="1177"/>
      <c r="AH950" s="1169"/>
      <c r="AI950" s="1169">
        <f t="shared" si="1421"/>
        <v>0</v>
      </c>
      <c r="AJ950" s="1169"/>
      <c r="AK950" s="1170"/>
      <c r="AL950" s="1171"/>
      <c r="AM950" s="1128"/>
      <c r="AN950" s="1170"/>
      <c r="AO950" s="1175"/>
      <c r="AP950" s="1175"/>
      <c r="AQ950" s="1170"/>
      <c r="AR950" s="1170">
        <f t="shared" si="1422"/>
        <v>0</v>
      </c>
      <c r="AS950" s="1170"/>
      <c r="AT950" s="1170"/>
      <c r="AU950" s="1313"/>
      <c r="AV950" s="1119"/>
      <c r="AW950" s="1169"/>
      <c r="AX950" s="1177"/>
      <c r="AY950" s="1177"/>
      <c r="AZ950" s="1169"/>
      <c r="BA950" s="1169">
        <f t="shared" si="1423"/>
        <v>0</v>
      </c>
      <c r="BB950" s="1169"/>
      <c r="BC950" s="1024"/>
      <c r="BD950" s="1027"/>
      <c r="BE950" s="1024"/>
      <c r="BF950" s="1024"/>
      <c r="BG950" s="1008"/>
      <c r="BH950" s="1008"/>
      <c r="BI950" s="1008"/>
      <c r="BJ950" s="1008"/>
      <c r="BK950" s="1008"/>
      <c r="BL950" s="1008"/>
      <c r="BM950" s="1008"/>
    </row>
    <row r="951" s="1215" customFormat="1" ht="19.5" customHeight="1">
      <c r="A951" s="999" t="str">
        <f t="shared" si="1316"/>
        <v xml:space="preserve">Кирпа Е.Д.</v>
      </c>
      <c r="B951" s="1202" t="s">
        <v>75</v>
      </c>
      <c r="C951" s="1202"/>
      <c r="D951" s="1202"/>
      <c r="E951" s="1164">
        <f t="shared" si="1416"/>
        <v>0</v>
      </c>
      <c r="F951" s="1164">
        <f t="shared" si="1416"/>
        <v>0</v>
      </c>
      <c r="G951" s="1165">
        <f t="shared" si="1417"/>
        <v>0</v>
      </c>
      <c r="H951" s="1166"/>
      <c r="I951" s="1167">
        <f t="shared" si="1410"/>
        <v>0</v>
      </c>
      <c r="J951" s="1167">
        <f t="shared" si="1424"/>
        <v>0</v>
      </c>
      <c r="K951" s="1168">
        <f t="shared" si="1418"/>
        <v>0</v>
      </c>
      <c r="L951" s="1119"/>
      <c r="M951" s="1169"/>
      <c r="N951" s="1177"/>
      <c r="O951" s="1169"/>
      <c r="P951" s="1169"/>
      <c r="Q951" s="1169">
        <f t="shared" si="1419"/>
        <v>0</v>
      </c>
      <c r="R951" s="1169"/>
      <c r="S951" s="1170"/>
      <c r="T951" s="1171"/>
      <c r="U951" s="1128"/>
      <c r="V951" s="1169"/>
      <c r="W951" s="1177"/>
      <c r="X951" s="1177"/>
      <c r="Y951" s="1169"/>
      <c r="Z951" s="1169">
        <f t="shared" si="1420"/>
        <v>0</v>
      </c>
      <c r="AA951" s="1169"/>
      <c r="AB951" s="1172">
        <f t="shared" si="1322"/>
        <v>0</v>
      </c>
      <c r="AC951" s="1171"/>
      <c r="AD951" s="1119"/>
      <c r="AE951" s="1169"/>
      <c r="AF951" s="1177"/>
      <c r="AG951" s="1177"/>
      <c r="AH951" s="1169"/>
      <c r="AI951" s="1169">
        <f t="shared" si="1421"/>
        <v>0</v>
      </c>
      <c r="AJ951" s="1169"/>
      <c r="AK951" s="1170"/>
      <c r="AL951" s="1171"/>
      <c r="AM951" s="1128"/>
      <c r="AN951" s="1170"/>
      <c r="AO951" s="1175"/>
      <c r="AP951" s="1175"/>
      <c r="AQ951" s="1170"/>
      <c r="AR951" s="1170">
        <f t="shared" si="1422"/>
        <v>0</v>
      </c>
      <c r="AS951" s="1170"/>
      <c r="AT951" s="1170"/>
      <c r="AU951" s="1313"/>
      <c r="AV951" s="1119"/>
      <c r="AW951" s="1169"/>
      <c r="AX951" s="1177"/>
      <c r="AY951" s="1177"/>
      <c r="AZ951" s="1169"/>
      <c r="BA951" s="1169">
        <f t="shared" si="1423"/>
        <v>0</v>
      </c>
      <c r="BB951" s="1169"/>
      <c r="BC951" s="1024"/>
      <c r="BD951" s="1027"/>
      <c r="BE951" s="1024"/>
      <c r="BF951" s="1024"/>
      <c r="BG951" s="1008"/>
      <c r="BH951" s="1008"/>
      <c r="BI951" s="1008"/>
      <c r="BJ951" s="1008"/>
      <c r="BK951" s="1008"/>
      <c r="BL951" s="1008"/>
      <c r="BM951" s="1008"/>
    </row>
    <row r="952" s="1215" customFormat="1" ht="19.5" customHeight="1">
      <c r="A952" s="999" t="str">
        <f t="shared" si="1316"/>
        <v xml:space="preserve">Трофимкина Н.В.</v>
      </c>
      <c r="B952" s="1202" t="s">
        <v>431</v>
      </c>
      <c r="C952" s="1202"/>
      <c r="D952" s="1202"/>
      <c r="E952" s="1164">
        <f t="shared" si="1416"/>
        <v>0</v>
      </c>
      <c r="F952" s="1164">
        <f t="shared" si="1416"/>
        <v>0</v>
      </c>
      <c r="G952" s="1165">
        <f t="shared" si="1417"/>
        <v>0</v>
      </c>
      <c r="H952" s="1166"/>
      <c r="I952" s="1167">
        <f t="shared" si="1410"/>
        <v>0</v>
      </c>
      <c r="J952" s="1167">
        <f t="shared" si="1424"/>
        <v>0</v>
      </c>
      <c r="K952" s="1168">
        <f t="shared" si="1418"/>
        <v>0</v>
      </c>
      <c r="L952" s="1119"/>
      <c r="M952" s="1169"/>
      <c r="N952" s="1177"/>
      <c r="O952" s="1169"/>
      <c r="P952" s="1169"/>
      <c r="Q952" s="1169">
        <f t="shared" si="1419"/>
        <v>0</v>
      </c>
      <c r="R952" s="1169"/>
      <c r="S952" s="1170"/>
      <c r="T952" s="1171"/>
      <c r="U952" s="1128"/>
      <c r="V952" s="1169"/>
      <c r="W952" s="1177"/>
      <c r="X952" s="1177"/>
      <c r="Y952" s="1169"/>
      <c r="Z952" s="1169">
        <f t="shared" si="1420"/>
        <v>0</v>
      </c>
      <c r="AA952" s="1169"/>
      <c r="AB952" s="1172">
        <f t="shared" si="1322"/>
        <v>0</v>
      </c>
      <c r="AC952" s="1171"/>
      <c r="AD952" s="1119"/>
      <c r="AE952" s="1169"/>
      <c r="AF952" s="1177"/>
      <c r="AG952" s="1177"/>
      <c r="AH952" s="1169"/>
      <c r="AI952" s="1169">
        <f t="shared" si="1421"/>
        <v>0</v>
      </c>
      <c r="AJ952" s="1169"/>
      <c r="AK952" s="1170"/>
      <c r="AL952" s="1171"/>
      <c r="AM952" s="1128"/>
      <c r="AN952" s="1170"/>
      <c r="AO952" s="1175"/>
      <c r="AP952" s="1175"/>
      <c r="AQ952" s="1170"/>
      <c r="AR952" s="1170">
        <f t="shared" si="1422"/>
        <v>0</v>
      </c>
      <c r="AS952" s="1170"/>
      <c r="AT952" s="1170"/>
      <c r="AU952" s="1313"/>
      <c r="AV952" s="1119"/>
      <c r="AW952" s="1169"/>
      <c r="AX952" s="1177"/>
      <c r="AY952" s="1177"/>
      <c r="AZ952" s="1169"/>
      <c r="BA952" s="1169">
        <f t="shared" si="1423"/>
        <v>0</v>
      </c>
      <c r="BB952" s="1169"/>
      <c r="BC952" s="1024"/>
      <c r="BD952" s="1027"/>
      <c r="BE952" s="1024"/>
      <c r="BF952" s="1024"/>
      <c r="BG952" s="1008"/>
      <c r="BH952" s="1008"/>
      <c r="BI952" s="1008"/>
      <c r="BJ952" s="1008"/>
      <c r="BK952" s="1008"/>
      <c r="BL952" s="1008"/>
      <c r="BM952" s="1008"/>
    </row>
    <row r="953" s="1215" customFormat="1" ht="19.5" customHeight="1">
      <c r="A953" s="999" t="str">
        <f t="shared" si="1316"/>
        <v xml:space="preserve">Жилкина В.В.</v>
      </c>
      <c r="B953" s="1202" t="s">
        <v>433</v>
      </c>
      <c r="C953" s="1217"/>
      <c r="D953" s="1217"/>
      <c r="E953" s="1164">
        <f t="shared" si="1416"/>
        <v>0</v>
      </c>
      <c r="F953" s="1164">
        <f t="shared" si="1416"/>
        <v>0</v>
      </c>
      <c r="G953" s="1165">
        <f t="shared" si="1417"/>
        <v>0</v>
      </c>
      <c r="H953" s="1166"/>
      <c r="I953" s="1167">
        <f t="shared" si="1410"/>
        <v>0</v>
      </c>
      <c r="J953" s="1167">
        <f t="shared" si="1424"/>
        <v>0</v>
      </c>
      <c r="K953" s="1168">
        <f t="shared" si="1418"/>
        <v>0</v>
      </c>
      <c r="L953" s="1119"/>
      <c r="M953" s="1169"/>
      <c r="N953" s="1177"/>
      <c r="O953" s="1169"/>
      <c r="P953" s="1169"/>
      <c r="Q953" s="1169">
        <f t="shared" si="1419"/>
        <v>0</v>
      </c>
      <c r="R953" s="1169"/>
      <c r="S953" s="1170"/>
      <c r="T953" s="1171"/>
      <c r="U953" s="1128"/>
      <c r="V953" s="1169"/>
      <c r="W953" s="1177"/>
      <c r="X953" s="1177"/>
      <c r="Y953" s="1169"/>
      <c r="Z953" s="1169">
        <f t="shared" si="1420"/>
        <v>0</v>
      </c>
      <c r="AA953" s="1169"/>
      <c r="AB953" s="1172">
        <f t="shared" si="1322"/>
        <v>0</v>
      </c>
      <c r="AC953" s="1171"/>
      <c r="AD953" s="1119"/>
      <c r="AE953" s="1169"/>
      <c r="AF953" s="1177"/>
      <c r="AG953" s="1177"/>
      <c r="AH953" s="1169"/>
      <c r="AI953" s="1169">
        <f t="shared" si="1421"/>
        <v>0</v>
      </c>
      <c r="AJ953" s="1169"/>
      <c r="AK953" s="1170"/>
      <c r="AL953" s="1171"/>
      <c r="AM953" s="1128"/>
      <c r="AN953" s="1170"/>
      <c r="AO953" s="1175"/>
      <c r="AP953" s="1175"/>
      <c r="AQ953" s="1170"/>
      <c r="AR953" s="1170">
        <f t="shared" si="1422"/>
        <v>0</v>
      </c>
      <c r="AS953" s="1170"/>
      <c r="AT953" s="1170"/>
      <c r="AU953" s="1313"/>
      <c r="AV953" s="1119"/>
      <c r="AW953" s="1169"/>
      <c r="AX953" s="1177"/>
      <c r="AY953" s="1177"/>
      <c r="AZ953" s="1169"/>
      <c r="BA953" s="1169">
        <f t="shared" si="1423"/>
        <v>0</v>
      </c>
      <c r="BB953" s="1169"/>
      <c r="BC953" s="1024"/>
      <c r="BD953" s="1027"/>
      <c r="BE953" s="1024"/>
      <c r="BF953" s="1024"/>
      <c r="BG953" s="1008"/>
      <c r="BH953" s="1008"/>
      <c r="BI953" s="1008"/>
      <c r="BJ953" s="1008"/>
      <c r="BK953" s="1008"/>
      <c r="BL953" s="1008"/>
      <c r="BM953" s="1008"/>
    </row>
    <row r="954" s="1215" customFormat="1" ht="19.5" customHeight="1">
      <c r="A954" s="999" t="str">
        <f t="shared" si="1316"/>
        <v xml:space="preserve">Марушенко В.Н. Донцова Н.Г.</v>
      </c>
      <c r="B954" s="1202" t="s">
        <v>435</v>
      </c>
      <c r="C954" s="1202"/>
      <c r="D954" s="1202"/>
      <c r="E954" s="1164">
        <f t="shared" si="1416"/>
        <v>0</v>
      </c>
      <c r="F954" s="1164">
        <f t="shared" si="1416"/>
        <v>0</v>
      </c>
      <c r="G954" s="1165">
        <f t="shared" si="1417"/>
        <v>0</v>
      </c>
      <c r="H954" s="1166"/>
      <c r="I954" s="1167">
        <f t="shared" si="1410"/>
        <v>0</v>
      </c>
      <c r="J954" s="1167">
        <f t="shared" si="1424"/>
        <v>0</v>
      </c>
      <c r="K954" s="1168">
        <f t="shared" si="1418"/>
        <v>0</v>
      </c>
      <c r="L954" s="1119"/>
      <c r="M954" s="1169"/>
      <c r="N954" s="1177"/>
      <c r="O954" s="1169"/>
      <c r="P954" s="1169"/>
      <c r="Q954" s="1169">
        <f t="shared" si="1419"/>
        <v>0</v>
      </c>
      <c r="R954" s="1169"/>
      <c r="S954" s="1170"/>
      <c r="T954" s="1171"/>
      <c r="U954" s="1128"/>
      <c r="V954" s="1169"/>
      <c r="W954" s="1177"/>
      <c r="X954" s="1177"/>
      <c r="Y954" s="1169"/>
      <c r="Z954" s="1169">
        <f t="shared" si="1420"/>
        <v>0</v>
      </c>
      <c r="AA954" s="1169"/>
      <c r="AB954" s="1172">
        <f t="shared" si="1322"/>
        <v>0</v>
      </c>
      <c r="AC954" s="1171"/>
      <c r="AD954" s="1119"/>
      <c r="AE954" s="1169"/>
      <c r="AF954" s="1177"/>
      <c r="AG954" s="1177"/>
      <c r="AH954" s="1169"/>
      <c r="AI954" s="1169">
        <f t="shared" si="1421"/>
        <v>0</v>
      </c>
      <c r="AJ954" s="1169"/>
      <c r="AK954" s="1170"/>
      <c r="AL954" s="1171"/>
      <c r="AM954" s="1128"/>
      <c r="AN954" s="1170"/>
      <c r="AO954" s="1175"/>
      <c r="AP954" s="1175"/>
      <c r="AQ954" s="1170"/>
      <c r="AR954" s="1170">
        <f t="shared" si="1422"/>
        <v>0</v>
      </c>
      <c r="AS954" s="1170"/>
      <c r="AT954" s="1170"/>
      <c r="AU954" s="1313"/>
      <c r="AV954" s="1119"/>
      <c r="AW954" s="1169"/>
      <c r="AX954" s="1177"/>
      <c r="AY954" s="1177"/>
      <c r="AZ954" s="1169"/>
      <c r="BA954" s="1169">
        <f t="shared" si="1423"/>
        <v>0</v>
      </c>
      <c r="BB954" s="1169"/>
      <c r="BC954" s="1024"/>
      <c r="BD954" s="1027"/>
      <c r="BE954" s="1024"/>
      <c r="BF954" s="1024"/>
      <c r="BG954" s="1008"/>
      <c r="BH954" s="1008"/>
      <c r="BI954" s="1008"/>
      <c r="BJ954" s="1008"/>
      <c r="BK954" s="1008"/>
      <c r="BL954" s="1008"/>
      <c r="BM954" s="1008"/>
    </row>
    <row r="955" s="1215" customFormat="1" ht="19.5" customHeight="1">
      <c r="A955" s="999">
        <f t="shared" si="1316"/>
        <v>0</v>
      </c>
      <c r="B955" s="1202" t="s">
        <v>436</v>
      </c>
      <c r="C955" s="1202"/>
      <c r="D955" s="1202"/>
      <c r="E955" s="1164">
        <f t="shared" si="1416"/>
        <v>0</v>
      </c>
      <c r="F955" s="1164">
        <f t="shared" si="1416"/>
        <v>0</v>
      </c>
      <c r="G955" s="1165">
        <f t="shared" si="1417"/>
        <v>0</v>
      </c>
      <c r="H955" s="1166"/>
      <c r="I955" s="1167">
        <f t="shared" si="1410"/>
        <v>0</v>
      </c>
      <c r="J955" s="1167">
        <f t="shared" si="1424"/>
        <v>0</v>
      </c>
      <c r="K955" s="1168">
        <f t="shared" si="1418"/>
        <v>0</v>
      </c>
      <c r="L955" s="1119"/>
      <c r="M955" s="1169"/>
      <c r="N955" s="1177"/>
      <c r="O955" s="1169"/>
      <c r="P955" s="1169"/>
      <c r="Q955" s="1169">
        <f t="shared" si="1419"/>
        <v>0</v>
      </c>
      <c r="R955" s="1169"/>
      <c r="S955" s="1170"/>
      <c r="T955" s="1171"/>
      <c r="U955" s="1128"/>
      <c r="V955" s="1169"/>
      <c r="W955" s="1177"/>
      <c r="X955" s="1177"/>
      <c r="Y955" s="1169"/>
      <c r="Z955" s="1169">
        <f t="shared" si="1420"/>
        <v>0</v>
      </c>
      <c r="AA955" s="1169"/>
      <c r="AB955" s="1172">
        <f t="shared" si="1322"/>
        <v>0</v>
      </c>
      <c r="AC955" s="1171"/>
      <c r="AD955" s="1119"/>
      <c r="AE955" s="1169"/>
      <c r="AF955" s="1177"/>
      <c r="AG955" s="1177"/>
      <c r="AH955" s="1169"/>
      <c r="AI955" s="1169">
        <f t="shared" si="1421"/>
        <v>0</v>
      </c>
      <c r="AJ955" s="1169"/>
      <c r="AK955" s="1170"/>
      <c r="AL955" s="1171"/>
      <c r="AM955" s="1128"/>
      <c r="AN955" s="1170"/>
      <c r="AO955" s="1175"/>
      <c r="AP955" s="1175"/>
      <c r="AQ955" s="1170"/>
      <c r="AR955" s="1170">
        <f t="shared" si="1422"/>
        <v>0</v>
      </c>
      <c r="AS955" s="1170"/>
      <c r="AT955" s="1170"/>
      <c r="AU955" s="1313"/>
      <c r="AV955" s="1119"/>
      <c r="AW955" s="1169"/>
      <c r="AX955" s="1177"/>
      <c r="AY955" s="1177"/>
      <c r="AZ955" s="1169"/>
      <c r="BA955" s="1169">
        <f t="shared" si="1423"/>
        <v>0</v>
      </c>
      <c r="BB955" s="1169"/>
      <c r="BC955" s="1024"/>
      <c r="BD955" s="1027"/>
      <c r="BE955" s="1024"/>
      <c r="BF955" s="1024"/>
      <c r="BG955" s="1008"/>
      <c r="BH955" s="1008"/>
      <c r="BI955" s="1008"/>
      <c r="BJ955" s="1008"/>
      <c r="BK955" s="1008"/>
      <c r="BL955" s="1008"/>
      <c r="BM955" s="1008"/>
    </row>
    <row r="956" s="1215" customFormat="1" ht="19.5" customHeight="1">
      <c r="A956" s="999" t="str">
        <f t="shared" si="1316"/>
        <v xml:space="preserve">Кузнецова Е.В.</v>
      </c>
      <c r="B956" s="1202" t="s">
        <v>78</v>
      </c>
      <c r="C956" s="1000"/>
      <c r="D956" s="1000"/>
      <c r="E956" s="1164">
        <f t="shared" si="1416"/>
        <v>0</v>
      </c>
      <c r="F956" s="1164">
        <f t="shared" si="1416"/>
        <v>0</v>
      </c>
      <c r="G956" s="1165">
        <f t="shared" si="1417"/>
        <v>0</v>
      </c>
      <c r="H956" s="1166"/>
      <c r="I956" s="1167">
        <f t="shared" si="1410"/>
        <v>0</v>
      </c>
      <c r="J956" s="1167">
        <f t="shared" si="1424"/>
        <v>0</v>
      </c>
      <c r="K956" s="1168">
        <f t="shared" si="1418"/>
        <v>0</v>
      </c>
      <c r="L956" s="1119"/>
      <c r="M956" s="1169"/>
      <c r="N956" s="1177"/>
      <c r="O956" s="1169"/>
      <c r="P956" s="1169"/>
      <c r="Q956" s="1169">
        <f t="shared" si="1419"/>
        <v>0</v>
      </c>
      <c r="R956" s="1169"/>
      <c r="S956" s="1170"/>
      <c r="T956" s="1171"/>
      <c r="U956" s="1128"/>
      <c r="V956" s="1169"/>
      <c r="W956" s="1177"/>
      <c r="X956" s="1177"/>
      <c r="Y956" s="1169"/>
      <c r="Z956" s="1169">
        <f t="shared" si="1420"/>
        <v>0</v>
      </c>
      <c r="AA956" s="1169"/>
      <c r="AB956" s="1172">
        <f t="shared" si="1322"/>
        <v>0</v>
      </c>
      <c r="AC956" s="1171"/>
      <c r="AD956" s="1119"/>
      <c r="AE956" s="1169"/>
      <c r="AF956" s="1177"/>
      <c r="AG956" s="1177"/>
      <c r="AH956" s="1169"/>
      <c r="AI956" s="1169">
        <f t="shared" si="1421"/>
        <v>0</v>
      </c>
      <c r="AJ956" s="1169"/>
      <c r="AK956" s="1170"/>
      <c r="AL956" s="1171"/>
      <c r="AM956" s="1128"/>
      <c r="AN956" s="1170"/>
      <c r="AO956" s="1175"/>
      <c r="AP956" s="1175"/>
      <c r="AQ956" s="1170"/>
      <c r="AR956" s="1170">
        <f t="shared" si="1422"/>
        <v>0</v>
      </c>
      <c r="AS956" s="1170"/>
      <c r="AT956" s="1170"/>
      <c r="AU956" s="1313"/>
      <c r="AV956" s="1119"/>
      <c r="AW956" s="1169"/>
      <c r="AX956" s="1177"/>
      <c r="AY956" s="1177"/>
      <c r="AZ956" s="1169"/>
      <c r="BA956" s="1169">
        <f t="shared" si="1423"/>
        <v>0</v>
      </c>
      <c r="BB956" s="1169"/>
      <c r="BC956" s="1024"/>
      <c r="BD956" s="1027"/>
      <c r="BE956" s="1024"/>
      <c r="BF956" s="1024"/>
      <c r="BG956" s="1008"/>
      <c r="BH956" s="1008"/>
      <c r="BI956" s="1008"/>
      <c r="BJ956" s="1008"/>
      <c r="BK956" s="1008"/>
      <c r="BL956" s="1008"/>
      <c r="BM956" s="1008"/>
    </row>
    <row r="957" s="1215" customFormat="1" ht="19.5" customHeight="1">
      <c r="A957" s="999">
        <f t="shared" ref="A957:A1020" si="1425">A859</f>
        <v>0</v>
      </c>
      <c r="B957" s="1205" t="s">
        <v>22</v>
      </c>
      <c r="C957" s="1205"/>
      <c r="D957" s="1205"/>
      <c r="E957" s="1183">
        <f>SUM(E944:E956)</f>
        <v>0</v>
      </c>
      <c r="F957" s="1183">
        <f>SUM(F944:F956)</f>
        <v>0</v>
      </c>
      <c r="G957" s="1184">
        <f>SUM(G944:G956)</f>
        <v>0</v>
      </c>
      <c r="H957" s="1185"/>
      <c r="I957" s="1167">
        <f t="shared" si="1410"/>
        <v>0</v>
      </c>
      <c r="J957" s="1167">
        <f t="shared" si="1424"/>
        <v>0</v>
      </c>
      <c r="K957" s="1187">
        <f>SUM(K944:K956)</f>
        <v>0</v>
      </c>
      <c r="L957" s="1119"/>
      <c r="M957" s="1096">
        <f t="shared" ref="M957:R957" si="1426">SUM(M944:M956)</f>
        <v>0</v>
      </c>
      <c r="N957" s="1096">
        <f t="shared" si="1426"/>
        <v>0</v>
      </c>
      <c r="O957" s="1096">
        <f t="shared" si="1426"/>
        <v>0</v>
      </c>
      <c r="P957" s="1096">
        <f t="shared" si="1426"/>
        <v>0</v>
      </c>
      <c r="Q957" s="1096">
        <f t="shared" si="1426"/>
        <v>0</v>
      </c>
      <c r="R957" s="1096">
        <f t="shared" si="1426"/>
        <v>0</v>
      </c>
      <c r="S957" s="1190"/>
      <c r="T957" s="1189"/>
      <c r="U957" s="1128"/>
      <c r="V957" s="1096">
        <f t="shared" ref="V957:AA957" si="1427">SUM(V944:V956)</f>
        <v>0</v>
      </c>
      <c r="W957" s="1096">
        <f t="shared" si="1427"/>
        <v>0</v>
      </c>
      <c r="X957" s="1096">
        <f t="shared" si="1427"/>
        <v>0</v>
      </c>
      <c r="Y957" s="1096">
        <f t="shared" si="1427"/>
        <v>0</v>
      </c>
      <c r="Z957" s="1096">
        <f t="shared" si="1427"/>
        <v>0</v>
      </c>
      <c r="AA957" s="1096">
        <f t="shared" si="1427"/>
        <v>0</v>
      </c>
      <c r="AB957" s="1172">
        <f t="shared" ref="AB957:AB985" si="1428">Z957+AA957</f>
        <v>0</v>
      </c>
      <c r="AC957" s="1189"/>
      <c r="AD957" s="1119"/>
      <c r="AE957" s="1096">
        <f t="shared" ref="AE957:AJ957" si="1429">SUM(AE944:AE956)</f>
        <v>0</v>
      </c>
      <c r="AF957" s="1096">
        <f t="shared" si="1429"/>
        <v>0</v>
      </c>
      <c r="AG957" s="1096">
        <f t="shared" si="1429"/>
        <v>0</v>
      </c>
      <c r="AH957" s="1096">
        <f t="shared" si="1429"/>
        <v>0</v>
      </c>
      <c r="AI957" s="1096">
        <f t="shared" si="1429"/>
        <v>0</v>
      </c>
      <c r="AJ957" s="1096">
        <f t="shared" si="1429"/>
        <v>0</v>
      </c>
      <c r="AK957" s="1190"/>
      <c r="AL957" s="1189"/>
      <c r="AM957" s="1128"/>
      <c r="AN957" s="1190">
        <f t="shared" ref="AN957:AS957" si="1430">SUM(AN944:AN956)</f>
        <v>0</v>
      </c>
      <c r="AO957" s="1190">
        <f t="shared" si="1430"/>
        <v>0</v>
      </c>
      <c r="AP957" s="1190">
        <f t="shared" si="1430"/>
        <v>0</v>
      </c>
      <c r="AQ957" s="1190">
        <f t="shared" si="1430"/>
        <v>0</v>
      </c>
      <c r="AR957" s="1190">
        <f t="shared" si="1430"/>
        <v>0</v>
      </c>
      <c r="AS957" s="1190">
        <f t="shared" si="1430"/>
        <v>0</v>
      </c>
      <c r="AT957" s="1190"/>
      <c r="AU957" s="1314"/>
      <c r="AV957" s="1119"/>
      <c r="AW957" s="1096">
        <f t="shared" ref="AW957:BB957" si="1431">SUM(AW944:AW956)</f>
        <v>0</v>
      </c>
      <c r="AX957" s="1096">
        <f t="shared" si="1431"/>
        <v>0</v>
      </c>
      <c r="AY957" s="1096">
        <f t="shared" si="1431"/>
        <v>0</v>
      </c>
      <c r="AZ957" s="1096">
        <f t="shared" si="1431"/>
        <v>0</v>
      </c>
      <c r="BA957" s="1096">
        <f t="shared" si="1431"/>
        <v>0</v>
      </c>
      <c r="BB957" s="1096">
        <f t="shared" si="1431"/>
        <v>0</v>
      </c>
      <c r="BC957" s="1024"/>
      <c r="BD957" s="1027"/>
      <c r="BE957" s="1024"/>
      <c r="BF957" s="1024"/>
      <c r="BG957" s="1008"/>
      <c r="BH957" s="1008"/>
      <c r="BI957" s="1008"/>
      <c r="BJ957" s="1008"/>
      <c r="BK957" s="1008"/>
      <c r="BL957" s="1008"/>
      <c r="BM957" s="1008"/>
    </row>
    <row r="958" s="1215" customFormat="1" ht="19.5" customHeight="1">
      <c r="A958" s="999" t="str">
        <f t="shared" si="1425"/>
        <v xml:space="preserve">Титякова Т.А.</v>
      </c>
      <c r="B958" s="1202" t="s">
        <v>26</v>
      </c>
      <c r="C958" s="1202"/>
      <c r="D958" s="1202"/>
      <c r="E958" s="1164">
        <f t="shared" ref="E958:F983" si="1432">Q958+Z958+AI958+AR958+BA958</f>
        <v>0</v>
      </c>
      <c r="F958" s="1164">
        <f t="shared" si="1432"/>
        <v>0</v>
      </c>
      <c r="G958" s="1165">
        <f t="shared" ref="G958:G983" si="1433">E958+F958</f>
        <v>0</v>
      </c>
      <c r="H958" s="1166"/>
      <c r="I958" s="1167">
        <f t="shared" si="1410"/>
        <v>0</v>
      </c>
      <c r="J958" s="1167">
        <f t="shared" si="1424"/>
        <v>0</v>
      </c>
      <c r="K958" s="1168">
        <f t="shared" ref="K958:K983" si="1434">I958+J958</f>
        <v>0</v>
      </c>
      <c r="L958" s="1119"/>
      <c r="M958" s="1169"/>
      <c r="N958" s="1177"/>
      <c r="O958" s="1169"/>
      <c r="P958" s="1169"/>
      <c r="Q958" s="1169">
        <f t="shared" ref="Q958:Q983" si="1435">SUM(M958:P958)</f>
        <v>0</v>
      </c>
      <c r="R958" s="1169"/>
      <c r="S958" s="1170"/>
      <c r="T958" s="1171"/>
      <c r="U958" s="1128"/>
      <c r="V958" s="1169"/>
      <c r="W958" s="1177"/>
      <c r="X958" s="1177"/>
      <c r="Y958" s="1169"/>
      <c r="Z958" s="1169">
        <f t="shared" ref="Z958:Z983" si="1436">SUM(V958:Y958)</f>
        <v>0</v>
      </c>
      <c r="AA958" s="1169"/>
      <c r="AB958" s="1172">
        <f t="shared" si="1428"/>
        <v>0</v>
      </c>
      <c r="AC958" s="1171"/>
      <c r="AD958" s="1119"/>
      <c r="AE958" s="1169"/>
      <c r="AF958" s="1177"/>
      <c r="AG958" s="1177"/>
      <c r="AH958" s="1169"/>
      <c r="AI958" s="1169">
        <f t="shared" ref="AI958:AI983" si="1437">SUM(AE958:AH958)</f>
        <v>0</v>
      </c>
      <c r="AJ958" s="1169"/>
      <c r="AK958" s="1170"/>
      <c r="AL958" s="1171"/>
      <c r="AM958" s="1128"/>
      <c r="AN958" s="1170"/>
      <c r="AO958" s="1175"/>
      <c r="AP958" s="1175"/>
      <c r="AQ958" s="1170"/>
      <c r="AR958" s="1170">
        <f t="shared" ref="AR958:AR983" si="1438">SUM(AN958:AQ958)</f>
        <v>0</v>
      </c>
      <c r="AS958" s="1170"/>
      <c r="AT958" s="1170"/>
      <c r="AU958" s="1313"/>
      <c r="AV958" s="1119"/>
      <c r="AW958" s="1169"/>
      <c r="AX958" s="1177"/>
      <c r="AY958" s="1177"/>
      <c r="AZ958" s="1169"/>
      <c r="BA958" s="1169">
        <f t="shared" ref="BA958:BA983" si="1439">SUM(AW958:AZ958)</f>
        <v>0</v>
      </c>
      <c r="BB958" s="1169"/>
      <c r="BC958" s="1024"/>
      <c r="BD958" s="1027"/>
      <c r="BE958" s="1024"/>
      <c r="BF958" s="1024"/>
      <c r="BG958" s="1008"/>
      <c r="BH958" s="1008"/>
      <c r="BI958" s="1008"/>
      <c r="BJ958" s="1008"/>
      <c r="BK958" s="1008"/>
      <c r="BL958" s="1008"/>
      <c r="BM958" s="1008"/>
    </row>
    <row r="959" s="1215" customFormat="1" ht="19.5" customHeight="1">
      <c r="A959" s="999">
        <f t="shared" si="1425"/>
        <v>0</v>
      </c>
      <c r="B959" s="1202" t="s">
        <v>439</v>
      </c>
      <c r="C959" s="1202"/>
      <c r="D959" s="1202"/>
      <c r="E959" s="1164">
        <f t="shared" si="1432"/>
        <v>0</v>
      </c>
      <c r="F959" s="1164">
        <f t="shared" si="1432"/>
        <v>0</v>
      </c>
      <c r="G959" s="1165">
        <f t="shared" si="1433"/>
        <v>0</v>
      </c>
      <c r="H959" s="1166"/>
      <c r="I959" s="1167">
        <f t="shared" si="1410"/>
        <v>0</v>
      </c>
      <c r="J959" s="1167">
        <f t="shared" si="1424"/>
        <v>0</v>
      </c>
      <c r="K959" s="1168">
        <f t="shared" si="1434"/>
        <v>0</v>
      </c>
      <c r="L959" s="1119"/>
      <c r="M959" s="1169"/>
      <c r="N959" s="1177"/>
      <c r="O959" s="1169"/>
      <c r="P959" s="1169"/>
      <c r="Q959" s="1169">
        <f t="shared" si="1435"/>
        <v>0</v>
      </c>
      <c r="R959" s="1169"/>
      <c r="S959" s="1170"/>
      <c r="T959" s="1171"/>
      <c r="U959" s="1128"/>
      <c r="V959" s="1169"/>
      <c r="W959" s="1177"/>
      <c r="X959" s="1177"/>
      <c r="Y959" s="1169"/>
      <c r="Z959" s="1169">
        <f t="shared" si="1436"/>
        <v>0</v>
      </c>
      <c r="AA959" s="1169"/>
      <c r="AB959" s="1172">
        <f t="shared" si="1428"/>
        <v>0</v>
      </c>
      <c r="AC959" s="1171"/>
      <c r="AD959" s="1119"/>
      <c r="AE959" s="1169"/>
      <c r="AF959" s="1177"/>
      <c r="AG959" s="1177"/>
      <c r="AH959" s="1169"/>
      <c r="AI959" s="1169">
        <f t="shared" si="1437"/>
        <v>0</v>
      </c>
      <c r="AJ959" s="1169"/>
      <c r="AK959" s="1170"/>
      <c r="AL959" s="1171"/>
      <c r="AM959" s="1128"/>
      <c r="AN959" s="1170"/>
      <c r="AO959" s="1175"/>
      <c r="AP959" s="1175"/>
      <c r="AQ959" s="1170"/>
      <c r="AR959" s="1170">
        <f t="shared" si="1438"/>
        <v>0</v>
      </c>
      <c r="AS959" s="1170"/>
      <c r="AT959" s="1170"/>
      <c r="AU959" s="1313"/>
      <c r="AV959" s="1119"/>
      <c r="AW959" s="1169"/>
      <c r="AX959" s="1177"/>
      <c r="AY959" s="1177"/>
      <c r="AZ959" s="1169"/>
      <c r="BA959" s="1169">
        <f t="shared" si="1439"/>
        <v>0</v>
      </c>
      <c r="BB959" s="1169"/>
      <c r="BC959" s="1024"/>
      <c r="BD959" s="1027"/>
      <c r="BE959" s="1024"/>
      <c r="BF959" s="1024"/>
      <c r="BG959" s="1008"/>
      <c r="BH959" s="1008"/>
      <c r="BI959" s="1008"/>
      <c r="BJ959" s="1008"/>
      <c r="BK959" s="1008"/>
      <c r="BL959" s="1008"/>
      <c r="BM959" s="1008"/>
    </row>
    <row r="960" s="1215" customFormat="1" ht="19.5" customHeight="1">
      <c r="A960" s="999" t="str">
        <f t="shared" si="1425"/>
        <v xml:space="preserve">Стрельникова А.Г.,  Липатова С.Н.</v>
      </c>
      <c r="B960" s="1202" t="s">
        <v>441</v>
      </c>
      <c r="C960" s="1202"/>
      <c r="D960" s="1202"/>
      <c r="E960" s="1164">
        <f t="shared" si="1432"/>
        <v>0</v>
      </c>
      <c r="F960" s="1164">
        <f t="shared" si="1432"/>
        <v>0</v>
      </c>
      <c r="G960" s="1165">
        <f t="shared" si="1433"/>
        <v>0</v>
      </c>
      <c r="H960" s="1166"/>
      <c r="I960" s="1167">
        <f t="shared" si="1410"/>
        <v>0</v>
      </c>
      <c r="J960" s="1167">
        <f t="shared" si="1424"/>
        <v>0</v>
      </c>
      <c r="K960" s="1168">
        <f t="shared" si="1434"/>
        <v>0</v>
      </c>
      <c r="L960" s="1119"/>
      <c r="M960" s="1169"/>
      <c r="N960" s="1177"/>
      <c r="O960" s="1169"/>
      <c r="P960" s="1169"/>
      <c r="Q960" s="1169">
        <f t="shared" si="1435"/>
        <v>0</v>
      </c>
      <c r="R960" s="1169"/>
      <c r="S960" s="1170"/>
      <c r="T960" s="1171"/>
      <c r="U960" s="1128"/>
      <c r="V960" s="1169"/>
      <c r="W960" s="1177"/>
      <c r="X960" s="1177"/>
      <c r="Y960" s="1169"/>
      <c r="Z960" s="1169">
        <f t="shared" si="1436"/>
        <v>0</v>
      </c>
      <c r="AA960" s="1169"/>
      <c r="AB960" s="1172">
        <f t="shared" si="1428"/>
        <v>0</v>
      </c>
      <c r="AC960" s="1171"/>
      <c r="AD960" s="1119"/>
      <c r="AE960" s="1169"/>
      <c r="AF960" s="1177"/>
      <c r="AG960" s="1177"/>
      <c r="AH960" s="1169"/>
      <c r="AI960" s="1169">
        <f t="shared" si="1437"/>
        <v>0</v>
      </c>
      <c r="AJ960" s="1169"/>
      <c r="AK960" s="1170"/>
      <c r="AL960" s="1171"/>
      <c r="AM960" s="1128"/>
      <c r="AN960" s="1170"/>
      <c r="AO960" s="1175"/>
      <c r="AP960" s="1175"/>
      <c r="AQ960" s="1170"/>
      <c r="AR960" s="1170">
        <f t="shared" si="1438"/>
        <v>0</v>
      </c>
      <c r="AS960" s="1170"/>
      <c r="AT960" s="1170"/>
      <c r="AU960" s="1313"/>
      <c r="AV960" s="1119"/>
      <c r="AW960" s="1169"/>
      <c r="AX960" s="1177"/>
      <c r="AY960" s="1177"/>
      <c r="AZ960" s="1169"/>
      <c r="BA960" s="1169">
        <f t="shared" si="1439"/>
        <v>0</v>
      </c>
      <c r="BB960" s="1169"/>
      <c r="BC960" s="1024"/>
      <c r="BD960" s="1027"/>
      <c r="BE960" s="1024"/>
      <c r="BF960" s="1024"/>
      <c r="BG960" s="1008"/>
      <c r="BH960" s="1008"/>
      <c r="BI960" s="1008"/>
      <c r="BJ960" s="1008"/>
      <c r="BK960" s="1008"/>
      <c r="BL960" s="1008"/>
      <c r="BM960" s="1008"/>
    </row>
    <row r="961" s="1215" customFormat="1" ht="19.5" customHeight="1">
      <c r="A961" s="999" t="str">
        <f t="shared" si="1425"/>
        <v xml:space="preserve">Куликова А.Г.</v>
      </c>
      <c r="B961" s="1202" t="s">
        <v>84</v>
      </c>
      <c r="C961" s="1202"/>
      <c r="D961" s="1202"/>
      <c r="E961" s="1164">
        <f t="shared" si="1432"/>
        <v>0</v>
      </c>
      <c r="F961" s="1164">
        <f t="shared" si="1432"/>
        <v>0</v>
      </c>
      <c r="G961" s="1165">
        <f t="shared" si="1433"/>
        <v>0</v>
      </c>
      <c r="H961" s="1166"/>
      <c r="I961" s="1167">
        <f t="shared" si="1410"/>
        <v>0</v>
      </c>
      <c r="J961" s="1167">
        <f t="shared" si="1424"/>
        <v>0</v>
      </c>
      <c r="K961" s="1168">
        <f t="shared" si="1434"/>
        <v>0</v>
      </c>
      <c r="L961" s="1119"/>
      <c r="M961" s="1169"/>
      <c r="N961" s="1177"/>
      <c r="O961" s="1169"/>
      <c r="P961" s="1169"/>
      <c r="Q961" s="1169">
        <f t="shared" si="1435"/>
        <v>0</v>
      </c>
      <c r="R961" s="1169"/>
      <c r="S961" s="1170"/>
      <c r="T961" s="1171"/>
      <c r="U961" s="1128"/>
      <c r="V961" s="1169"/>
      <c r="W961" s="1177"/>
      <c r="X961" s="1177"/>
      <c r="Y961" s="1169"/>
      <c r="Z961" s="1169">
        <f t="shared" si="1436"/>
        <v>0</v>
      </c>
      <c r="AA961" s="1169"/>
      <c r="AB961" s="1172">
        <f t="shared" si="1428"/>
        <v>0</v>
      </c>
      <c r="AC961" s="1171"/>
      <c r="AD961" s="1119"/>
      <c r="AE961" s="1169"/>
      <c r="AF961" s="1177"/>
      <c r="AG961" s="1177"/>
      <c r="AH961" s="1169"/>
      <c r="AI961" s="1169">
        <f t="shared" si="1437"/>
        <v>0</v>
      </c>
      <c r="AJ961" s="1169"/>
      <c r="AK961" s="1170"/>
      <c r="AL961" s="1171"/>
      <c r="AM961" s="1128"/>
      <c r="AN961" s="1170"/>
      <c r="AO961" s="1175"/>
      <c r="AP961" s="1175"/>
      <c r="AQ961" s="1170"/>
      <c r="AR961" s="1170">
        <f t="shared" si="1438"/>
        <v>0</v>
      </c>
      <c r="AS961" s="1170"/>
      <c r="AT961" s="1170"/>
      <c r="AU961" s="1313"/>
      <c r="AV961" s="1119"/>
      <c r="AW961" s="1169"/>
      <c r="AX961" s="1177"/>
      <c r="AY961" s="1177"/>
      <c r="AZ961" s="1169"/>
      <c r="BA961" s="1169">
        <f t="shared" si="1439"/>
        <v>0</v>
      </c>
      <c r="BB961" s="1169"/>
      <c r="BC961" s="1024"/>
      <c r="BD961" s="1027"/>
      <c r="BE961" s="1024"/>
      <c r="BF961" s="1024"/>
      <c r="BG961" s="1008"/>
      <c r="BH961" s="1008"/>
      <c r="BI961" s="1008"/>
      <c r="BJ961" s="1008"/>
      <c r="BK961" s="1008"/>
      <c r="BL961" s="1008"/>
      <c r="BM961" s="1008"/>
    </row>
    <row r="962" s="1215" customFormat="1" ht="19.5" customHeight="1">
      <c r="A962" s="999" t="s">
        <v>514</v>
      </c>
      <c r="B962" s="1202" t="s">
        <v>288</v>
      </c>
      <c r="C962" s="1202"/>
      <c r="D962" s="1202"/>
      <c r="E962" s="1164">
        <f t="shared" si="1432"/>
        <v>0</v>
      </c>
      <c r="F962" s="1164">
        <f t="shared" si="1432"/>
        <v>0</v>
      </c>
      <c r="G962" s="1165">
        <f t="shared" si="1433"/>
        <v>0</v>
      </c>
      <c r="H962" s="1166"/>
      <c r="I962" s="1167">
        <f t="shared" si="1410"/>
        <v>0</v>
      </c>
      <c r="J962" s="1167">
        <f t="shared" si="1424"/>
        <v>0</v>
      </c>
      <c r="K962" s="1168">
        <f t="shared" si="1434"/>
        <v>0</v>
      </c>
      <c r="L962" s="1119"/>
      <c r="M962" s="1169"/>
      <c r="N962" s="1177"/>
      <c r="O962" s="1169"/>
      <c r="P962" s="1169"/>
      <c r="Q962" s="1169">
        <f t="shared" si="1435"/>
        <v>0</v>
      </c>
      <c r="R962" s="1169"/>
      <c r="S962" s="1170"/>
      <c r="T962" s="1171"/>
      <c r="U962" s="1128"/>
      <c r="V962" s="1169"/>
      <c r="W962" s="1177"/>
      <c r="X962" s="1177"/>
      <c r="Y962" s="1169"/>
      <c r="Z962" s="1169">
        <f t="shared" si="1436"/>
        <v>0</v>
      </c>
      <c r="AA962" s="1169"/>
      <c r="AB962" s="1172">
        <f t="shared" si="1428"/>
        <v>0</v>
      </c>
      <c r="AC962" s="1171"/>
      <c r="AD962" s="1119"/>
      <c r="AE962" s="1169"/>
      <c r="AF962" s="1177"/>
      <c r="AG962" s="1177"/>
      <c r="AH962" s="1169"/>
      <c r="AI962" s="1169">
        <f t="shared" si="1437"/>
        <v>0</v>
      </c>
      <c r="AJ962" s="1169"/>
      <c r="AK962" s="1170"/>
      <c r="AL962" s="1171"/>
      <c r="AM962" s="1128"/>
      <c r="AN962" s="1170"/>
      <c r="AO962" s="1175"/>
      <c r="AP962" s="1175"/>
      <c r="AQ962" s="1170"/>
      <c r="AR962" s="1170">
        <f t="shared" si="1438"/>
        <v>0</v>
      </c>
      <c r="AS962" s="1170"/>
      <c r="AT962" s="1170"/>
      <c r="AU962" s="1313"/>
      <c r="AV962" s="1119"/>
      <c r="AW962" s="1169"/>
      <c r="AX962" s="1177"/>
      <c r="AY962" s="1177"/>
      <c r="AZ962" s="1169"/>
      <c r="BA962" s="1169">
        <f t="shared" si="1439"/>
        <v>0</v>
      </c>
      <c r="BB962" s="1169"/>
      <c r="BC962" s="1024"/>
      <c r="BD962" s="1027"/>
      <c r="BE962" s="1024"/>
      <c r="BF962" s="1024"/>
      <c r="BG962" s="1008"/>
      <c r="BH962" s="1008"/>
      <c r="BI962" s="1008"/>
      <c r="BJ962" s="1008"/>
      <c r="BK962" s="1008"/>
      <c r="BL962" s="1008"/>
      <c r="BM962" s="1008"/>
    </row>
    <row r="963" s="1215" customFormat="1" ht="19.5" customHeight="1">
      <c r="A963" s="999" t="str">
        <f t="shared" si="1425"/>
        <v xml:space="preserve">Бояркина Л.Е. Кондратьева АА</v>
      </c>
      <c r="B963" s="1176" t="s">
        <v>445</v>
      </c>
      <c r="C963" s="1176"/>
      <c r="D963" s="1176"/>
      <c r="E963" s="1164">
        <f t="shared" si="1432"/>
        <v>0</v>
      </c>
      <c r="F963" s="1164">
        <f t="shared" si="1432"/>
        <v>0</v>
      </c>
      <c r="G963" s="1165">
        <f t="shared" si="1433"/>
        <v>0</v>
      </c>
      <c r="H963" s="1166"/>
      <c r="I963" s="1167">
        <f t="shared" si="1410"/>
        <v>0</v>
      </c>
      <c r="J963" s="1167">
        <f t="shared" si="1424"/>
        <v>0</v>
      </c>
      <c r="K963" s="1168">
        <f t="shared" si="1434"/>
        <v>0</v>
      </c>
      <c r="L963" s="1119"/>
      <c r="M963" s="1169"/>
      <c r="N963" s="1177"/>
      <c r="O963" s="1169"/>
      <c r="P963" s="1169"/>
      <c r="Q963" s="1169">
        <f t="shared" si="1435"/>
        <v>0</v>
      </c>
      <c r="R963" s="1169"/>
      <c r="S963" s="1170"/>
      <c r="T963" s="1171"/>
      <c r="U963" s="1128"/>
      <c r="V963" s="1169"/>
      <c r="W963" s="1177"/>
      <c r="X963" s="1177"/>
      <c r="Y963" s="1169"/>
      <c r="Z963" s="1169">
        <f t="shared" si="1436"/>
        <v>0</v>
      </c>
      <c r="AA963" s="1169"/>
      <c r="AB963" s="1172">
        <f t="shared" si="1428"/>
        <v>0</v>
      </c>
      <c r="AC963" s="1171"/>
      <c r="AD963" s="1119"/>
      <c r="AE963" s="1169"/>
      <c r="AF963" s="1177"/>
      <c r="AG963" s="1177"/>
      <c r="AH963" s="1169"/>
      <c r="AI963" s="1169">
        <f t="shared" si="1437"/>
        <v>0</v>
      </c>
      <c r="AJ963" s="1169"/>
      <c r="AK963" s="1170"/>
      <c r="AL963" s="1171"/>
      <c r="AM963" s="1128"/>
      <c r="AN963" s="1170"/>
      <c r="AO963" s="1175"/>
      <c r="AP963" s="1175"/>
      <c r="AQ963" s="1170"/>
      <c r="AR963" s="1170">
        <f t="shared" si="1438"/>
        <v>0</v>
      </c>
      <c r="AS963" s="1170"/>
      <c r="AT963" s="1170"/>
      <c r="AU963" s="1313"/>
      <c r="AV963" s="1119"/>
      <c r="AW963" s="1169"/>
      <c r="AX963" s="1177"/>
      <c r="AY963" s="1177"/>
      <c r="AZ963" s="1169"/>
      <c r="BA963" s="1169">
        <f t="shared" si="1439"/>
        <v>0</v>
      </c>
      <c r="BB963" s="1169"/>
      <c r="BC963" s="1024"/>
      <c r="BD963" s="1027"/>
      <c r="BE963" s="1024"/>
      <c r="BF963" s="1024"/>
      <c r="BG963" s="1008"/>
      <c r="BH963" s="1008"/>
      <c r="BI963" s="1008"/>
      <c r="BJ963" s="1008"/>
      <c r="BK963" s="1008"/>
      <c r="BL963" s="1008"/>
      <c r="BM963" s="1008"/>
    </row>
    <row r="964" s="1215" customFormat="1" ht="19.5" customHeight="1">
      <c r="A964" s="999" t="str">
        <f t="shared" si="1425"/>
        <v xml:space="preserve">Трофимчук О.Е., Радченко Т.А.   Куция НЛ  Красносельская (усть-Ивановка)</v>
      </c>
      <c r="B964" s="1176" t="s">
        <v>447</v>
      </c>
      <c r="C964" s="1176"/>
      <c r="D964" s="1176"/>
      <c r="E964" s="1164">
        <f t="shared" si="1432"/>
        <v>0</v>
      </c>
      <c r="F964" s="1164">
        <f t="shared" si="1432"/>
        <v>0</v>
      </c>
      <c r="G964" s="1165">
        <f t="shared" si="1433"/>
        <v>0</v>
      </c>
      <c r="H964" s="1166"/>
      <c r="I964" s="1167">
        <f t="shared" si="1410"/>
        <v>0</v>
      </c>
      <c r="J964" s="1167">
        <f t="shared" si="1424"/>
        <v>0</v>
      </c>
      <c r="K964" s="1168">
        <f t="shared" si="1434"/>
        <v>0</v>
      </c>
      <c r="L964" s="1119"/>
      <c r="M964" s="1169"/>
      <c r="N964" s="1177"/>
      <c r="O964" s="1169"/>
      <c r="P964" s="1169"/>
      <c r="Q964" s="1169">
        <f t="shared" si="1435"/>
        <v>0</v>
      </c>
      <c r="R964" s="1169"/>
      <c r="S964" s="1170"/>
      <c r="T964" s="1171"/>
      <c r="U964" s="1128"/>
      <c r="V964" s="1169"/>
      <c r="W964" s="1177"/>
      <c r="X964" s="1177"/>
      <c r="Y964" s="1169"/>
      <c r="Z964" s="1169">
        <f t="shared" si="1436"/>
        <v>0</v>
      </c>
      <c r="AA964" s="1169"/>
      <c r="AB964" s="1172">
        <f t="shared" si="1428"/>
        <v>0</v>
      </c>
      <c r="AC964" s="1171"/>
      <c r="AD964" s="1119"/>
      <c r="AE964" s="1169"/>
      <c r="AF964" s="1177"/>
      <c r="AG964" s="1177"/>
      <c r="AH964" s="1169"/>
      <c r="AI964" s="1169">
        <f t="shared" si="1437"/>
        <v>0</v>
      </c>
      <c r="AJ964" s="1169"/>
      <c r="AK964" s="1170"/>
      <c r="AL964" s="1171"/>
      <c r="AM964" s="1128"/>
      <c r="AN964" s="1170"/>
      <c r="AO964" s="1175"/>
      <c r="AP964" s="1175"/>
      <c r="AQ964" s="1170"/>
      <c r="AR964" s="1170">
        <f t="shared" si="1438"/>
        <v>0</v>
      </c>
      <c r="AS964" s="1170"/>
      <c r="AT964" s="1170"/>
      <c r="AU964" s="1313"/>
      <c r="AV964" s="1119"/>
      <c r="AW964" s="1169"/>
      <c r="AX964" s="1177"/>
      <c r="AY964" s="1177"/>
      <c r="AZ964" s="1169"/>
      <c r="BA964" s="1169">
        <f t="shared" si="1439"/>
        <v>0</v>
      </c>
      <c r="BB964" s="1169"/>
      <c r="BC964" s="1024"/>
      <c r="BD964" s="1027"/>
      <c r="BE964" s="1024"/>
      <c r="BF964" s="1024"/>
      <c r="BG964" s="1008"/>
      <c r="BH964" s="1008"/>
      <c r="BI964" s="1008"/>
      <c r="BJ964" s="1008"/>
      <c r="BK964" s="1008"/>
      <c r="BL964" s="1008"/>
      <c r="BM964" s="1008"/>
    </row>
    <row r="965" s="1215" customFormat="1" ht="19.5" customHeight="1">
      <c r="A965" s="999" t="str">
        <f t="shared" si="1425"/>
        <v xml:space="preserve">Третьяк О.М.</v>
      </c>
      <c r="B965" s="1176" t="s">
        <v>449</v>
      </c>
      <c r="C965" s="1176"/>
      <c r="D965" s="1176"/>
      <c r="E965" s="1164">
        <f t="shared" si="1432"/>
        <v>0</v>
      </c>
      <c r="F965" s="1164">
        <f t="shared" si="1432"/>
        <v>0</v>
      </c>
      <c r="G965" s="1165">
        <f t="shared" si="1433"/>
        <v>0</v>
      </c>
      <c r="H965" s="1166"/>
      <c r="I965" s="1167">
        <f t="shared" si="1410"/>
        <v>0</v>
      </c>
      <c r="J965" s="1167">
        <f t="shared" si="1424"/>
        <v>0</v>
      </c>
      <c r="K965" s="1168">
        <f t="shared" si="1434"/>
        <v>0</v>
      </c>
      <c r="L965" s="1119"/>
      <c r="M965" s="1169"/>
      <c r="N965" s="1177"/>
      <c r="O965" s="1169"/>
      <c r="P965" s="1169"/>
      <c r="Q965" s="1169">
        <f t="shared" si="1435"/>
        <v>0</v>
      </c>
      <c r="R965" s="1169"/>
      <c r="S965" s="1170"/>
      <c r="T965" s="1171"/>
      <c r="U965" s="1128"/>
      <c r="V965" s="1169"/>
      <c r="W965" s="1177"/>
      <c r="X965" s="1177"/>
      <c r="Y965" s="1169"/>
      <c r="Z965" s="1169">
        <f t="shared" si="1436"/>
        <v>0</v>
      </c>
      <c r="AA965" s="1169"/>
      <c r="AB965" s="1172">
        <f t="shared" si="1428"/>
        <v>0</v>
      </c>
      <c r="AC965" s="1171"/>
      <c r="AD965" s="1119"/>
      <c r="AE965" s="1169"/>
      <c r="AF965" s="1177"/>
      <c r="AG965" s="1177"/>
      <c r="AH965" s="1169"/>
      <c r="AI965" s="1169">
        <f t="shared" si="1437"/>
        <v>0</v>
      </c>
      <c r="AJ965" s="1169"/>
      <c r="AK965" s="1170"/>
      <c r="AL965" s="1171"/>
      <c r="AM965" s="1128"/>
      <c r="AN965" s="1170"/>
      <c r="AO965" s="1175"/>
      <c r="AP965" s="1175"/>
      <c r="AQ965" s="1170"/>
      <c r="AR965" s="1170">
        <f t="shared" si="1438"/>
        <v>0</v>
      </c>
      <c r="AS965" s="1170"/>
      <c r="AT965" s="1170"/>
      <c r="AU965" s="1313"/>
      <c r="AV965" s="1119"/>
      <c r="AW965" s="1169"/>
      <c r="AX965" s="1177"/>
      <c r="AY965" s="1177"/>
      <c r="AZ965" s="1169"/>
      <c r="BA965" s="1169">
        <f t="shared" si="1439"/>
        <v>0</v>
      </c>
      <c r="BB965" s="1169"/>
      <c r="BC965" s="1024"/>
      <c r="BD965" s="1027"/>
      <c r="BE965" s="1024"/>
      <c r="BF965" s="1024"/>
      <c r="BG965" s="1008"/>
      <c r="BH965" s="1008"/>
      <c r="BI965" s="1008"/>
      <c r="BJ965" s="1008"/>
      <c r="BK965" s="1008"/>
      <c r="BL965" s="1008"/>
      <c r="BM965" s="1008"/>
    </row>
    <row r="966" s="1215" customFormat="1" ht="19.5" customHeight="1">
      <c r="A966" s="999">
        <f t="shared" si="1425"/>
        <v>0</v>
      </c>
      <c r="B966" s="1176" t="s">
        <v>450</v>
      </c>
      <c r="C966" s="1176"/>
      <c r="D966" s="1176"/>
      <c r="E966" s="1164">
        <f t="shared" si="1432"/>
        <v>0</v>
      </c>
      <c r="F966" s="1164">
        <f t="shared" si="1432"/>
        <v>0</v>
      </c>
      <c r="G966" s="1165">
        <f t="shared" si="1433"/>
        <v>0</v>
      </c>
      <c r="H966" s="1166"/>
      <c r="I966" s="1167">
        <f t="shared" si="1410"/>
        <v>0</v>
      </c>
      <c r="J966" s="1167">
        <f t="shared" si="1424"/>
        <v>0</v>
      </c>
      <c r="K966" s="1168">
        <f t="shared" si="1434"/>
        <v>0</v>
      </c>
      <c r="L966" s="1119"/>
      <c r="M966" s="1169"/>
      <c r="N966" s="1177"/>
      <c r="O966" s="1169"/>
      <c r="P966" s="1169"/>
      <c r="Q966" s="1169">
        <f t="shared" si="1435"/>
        <v>0</v>
      </c>
      <c r="R966" s="1169"/>
      <c r="S966" s="1170"/>
      <c r="T966" s="1171"/>
      <c r="U966" s="1128"/>
      <c r="V966" s="1169"/>
      <c r="W966" s="1177"/>
      <c r="X966" s="1177"/>
      <c r="Y966" s="1169"/>
      <c r="Z966" s="1169">
        <f t="shared" si="1436"/>
        <v>0</v>
      </c>
      <c r="AA966" s="1169"/>
      <c r="AB966" s="1172">
        <f t="shared" si="1428"/>
        <v>0</v>
      </c>
      <c r="AC966" s="1171"/>
      <c r="AD966" s="1119"/>
      <c r="AE966" s="1169"/>
      <c r="AF966" s="1177"/>
      <c r="AG966" s="1177"/>
      <c r="AH966" s="1169"/>
      <c r="AI966" s="1169">
        <f t="shared" si="1437"/>
        <v>0</v>
      </c>
      <c r="AJ966" s="1169"/>
      <c r="AK966" s="1170"/>
      <c r="AL966" s="1171"/>
      <c r="AM966" s="1128"/>
      <c r="AN966" s="1170"/>
      <c r="AO966" s="1175"/>
      <c r="AP966" s="1175"/>
      <c r="AQ966" s="1170"/>
      <c r="AR966" s="1170">
        <f t="shared" si="1438"/>
        <v>0</v>
      </c>
      <c r="AS966" s="1170"/>
      <c r="AT966" s="1170"/>
      <c r="AU966" s="1313"/>
      <c r="AV966" s="1119"/>
      <c r="AW966" s="1169"/>
      <c r="AX966" s="1177"/>
      <c r="AY966" s="1177"/>
      <c r="AZ966" s="1169"/>
      <c r="BA966" s="1169">
        <f t="shared" si="1439"/>
        <v>0</v>
      </c>
      <c r="BB966" s="1169"/>
      <c r="BC966" s="1024"/>
      <c r="BD966" s="1027"/>
      <c r="BE966" s="1024"/>
      <c r="BF966" s="1024"/>
      <c r="BG966" s="1008"/>
      <c r="BH966" s="1008"/>
      <c r="BI966" s="1008"/>
      <c r="BJ966" s="1008"/>
      <c r="BK966" s="1008"/>
      <c r="BL966" s="1008"/>
      <c r="BM966" s="1008"/>
    </row>
    <row r="967" s="1215" customFormat="1" ht="19.5" customHeight="1">
      <c r="A967" s="999" t="str">
        <f t="shared" si="1425"/>
        <v xml:space="preserve">Бедина и Позднякова</v>
      </c>
      <c r="B967" s="1202" t="s">
        <v>452</v>
      </c>
      <c r="C967" s="1202"/>
      <c r="D967" s="1202"/>
      <c r="E967" s="1164">
        <f t="shared" si="1432"/>
        <v>0</v>
      </c>
      <c r="F967" s="1164">
        <f t="shared" si="1432"/>
        <v>0</v>
      </c>
      <c r="G967" s="1165">
        <f t="shared" si="1433"/>
        <v>0</v>
      </c>
      <c r="H967" s="1166"/>
      <c r="I967" s="1167">
        <f t="shared" si="1410"/>
        <v>0</v>
      </c>
      <c r="J967" s="1167">
        <f t="shared" si="1424"/>
        <v>0</v>
      </c>
      <c r="K967" s="1168">
        <f t="shared" si="1434"/>
        <v>0</v>
      </c>
      <c r="L967" s="1119"/>
      <c r="M967" s="1169"/>
      <c r="N967" s="1177"/>
      <c r="O967" s="1169"/>
      <c r="P967" s="1169"/>
      <c r="Q967" s="1169">
        <f t="shared" si="1435"/>
        <v>0</v>
      </c>
      <c r="R967" s="1169"/>
      <c r="S967" s="1170"/>
      <c r="T967" s="1171"/>
      <c r="U967" s="1128"/>
      <c r="V967" s="1169"/>
      <c r="W967" s="1177"/>
      <c r="X967" s="1177"/>
      <c r="Y967" s="1169"/>
      <c r="Z967" s="1169">
        <f t="shared" si="1436"/>
        <v>0</v>
      </c>
      <c r="AA967" s="1169"/>
      <c r="AB967" s="1172">
        <f t="shared" si="1428"/>
        <v>0</v>
      </c>
      <c r="AC967" s="1171"/>
      <c r="AD967" s="1119"/>
      <c r="AE967" s="1169"/>
      <c r="AF967" s="1177"/>
      <c r="AG967" s="1177"/>
      <c r="AH967" s="1169"/>
      <c r="AI967" s="1169">
        <f t="shared" si="1437"/>
        <v>0</v>
      </c>
      <c r="AJ967" s="1169"/>
      <c r="AK967" s="1170"/>
      <c r="AL967" s="1171"/>
      <c r="AM967" s="1128"/>
      <c r="AN967" s="1170"/>
      <c r="AO967" s="1175"/>
      <c r="AP967" s="1175"/>
      <c r="AQ967" s="1170"/>
      <c r="AR967" s="1170">
        <f t="shared" si="1438"/>
        <v>0</v>
      </c>
      <c r="AS967" s="1170"/>
      <c r="AT967" s="1170"/>
      <c r="AU967" s="1313"/>
      <c r="AV967" s="1119"/>
      <c r="AW967" s="1169"/>
      <c r="AX967" s="1177"/>
      <c r="AY967" s="1177"/>
      <c r="AZ967" s="1169"/>
      <c r="BA967" s="1169">
        <f t="shared" si="1439"/>
        <v>0</v>
      </c>
      <c r="BB967" s="1169"/>
      <c r="BC967" s="1024"/>
      <c r="BD967" s="1027"/>
      <c r="BE967" s="1024"/>
      <c r="BF967" s="1024"/>
      <c r="BG967" s="1008"/>
      <c r="BH967" s="1008"/>
      <c r="BI967" s="1008"/>
      <c r="BJ967" s="1008"/>
      <c r="BK967" s="1008"/>
      <c r="BL967" s="1008"/>
      <c r="BM967" s="1008"/>
    </row>
    <row r="968" s="1215" customFormat="1" ht="19.5" customHeight="1">
      <c r="A968" s="999" t="str">
        <f t="shared" si="1425"/>
        <v xml:space="preserve">Макарова Е.В.</v>
      </c>
      <c r="B968" s="1202" t="s">
        <v>454</v>
      </c>
      <c r="C968" s="1202"/>
      <c r="D968" s="1202"/>
      <c r="E968" s="1164">
        <f t="shared" si="1432"/>
        <v>0</v>
      </c>
      <c r="F968" s="1164">
        <f t="shared" si="1432"/>
        <v>0</v>
      </c>
      <c r="G968" s="1165">
        <f t="shared" si="1433"/>
        <v>0</v>
      </c>
      <c r="H968" s="1166"/>
      <c r="I968" s="1167">
        <f t="shared" si="1410"/>
        <v>0</v>
      </c>
      <c r="J968" s="1167">
        <f t="shared" si="1424"/>
        <v>0</v>
      </c>
      <c r="K968" s="1168">
        <f t="shared" si="1434"/>
        <v>0</v>
      </c>
      <c r="L968" s="1119"/>
      <c r="M968" s="1169"/>
      <c r="N968" s="1177"/>
      <c r="O968" s="1169"/>
      <c r="P968" s="1169"/>
      <c r="Q968" s="1169">
        <f t="shared" si="1435"/>
        <v>0</v>
      </c>
      <c r="R968" s="1169"/>
      <c r="S968" s="1170"/>
      <c r="T968" s="1171"/>
      <c r="U968" s="1128"/>
      <c r="V968" s="1169"/>
      <c r="W968" s="1177"/>
      <c r="X968" s="1177"/>
      <c r="Y968" s="1169"/>
      <c r="Z968" s="1169">
        <f t="shared" si="1436"/>
        <v>0</v>
      </c>
      <c r="AA968" s="1169"/>
      <c r="AB968" s="1172">
        <f t="shared" si="1428"/>
        <v>0</v>
      </c>
      <c r="AC968" s="1171"/>
      <c r="AD968" s="1119"/>
      <c r="AE968" s="1169"/>
      <c r="AF968" s="1177"/>
      <c r="AG968" s="1177"/>
      <c r="AH968" s="1169"/>
      <c r="AI968" s="1169">
        <f t="shared" si="1437"/>
        <v>0</v>
      </c>
      <c r="AJ968" s="1169"/>
      <c r="AK968" s="1170"/>
      <c r="AL968" s="1171"/>
      <c r="AM968" s="1128"/>
      <c r="AN968" s="1170"/>
      <c r="AO968" s="1175"/>
      <c r="AP968" s="1175"/>
      <c r="AQ968" s="1170"/>
      <c r="AR968" s="1170">
        <f t="shared" si="1438"/>
        <v>0</v>
      </c>
      <c r="AS968" s="1170"/>
      <c r="AT968" s="1170"/>
      <c r="AU968" s="1313"/>
      <c r="AV968" s="1119"/>
      <c r="AW968" s="1169"/>
      <c r="AX968" s="1177"/>
      <c r="AY968" s="1177"/>
      <c r="AZ968" s="1169"/>
      <c r="BA968" s="1169">
        <f t="shared" si="1439"/>
        <v>0</v>
      </c>
      <c r="BB968" s="1169"/>
      <c r="BC968" s="1024"/>
      <c r="BD968" s="1027"/>
      <c r="BE968" s="1024"/>
      <c r="BF968" s="1024"/>
      <c r="BG968" s="1008"/>
      <c r="BH968" s="1008"/>
      <c r="BI968" s="1008"/>
      <c r="BJ968" s="1008"/>
      <c r="BK968" s="1008"/>
      <c r="BL968" s="1008"/>
      <c r="BM968" s="1008"/>
    </row>
    <row r="969" s="1215" customFormat="1" ht="19.5" customHeight="1">
      <c r="A969" s="999" t="str">
        <f t="shared" si="1425"/>
        <v xml:space="preserve">Юшкова Н.Г.</v>
      </c>
      <c r="B969" s="1202" t="s">
        <v>311</v>
      </c>
      <c r="C969" s="1202"/>
      <c r="D969" s="1202"/>
      <c r="E969" s="1164">
        <f t="shared" si="1432"/>
        <v>0</v>
      </c>
      <c r="F969" s="1164">
        <f t="shared" si="1432"/>
        <v>0</v>
      </c>
      <c r="G969" s="1165">
        <f t="shared" si="1433"/>
        <v>0</v>
      </c>
      <c r="H969" s="1166"/>
      <c r="I969" s="1167">
        <f t="shared" si="1410"/>
        <v>0</v>
      </c>
      <c r="J969" s="1167">
        <f t="shared" si="1424"/>
        <v>0</v>
      </c>
      <c r="K969" s="1168">
        <f t="shared" si="1434"/>
        <v>0</v>
      </c>
      <c r="L969" s="1119"/>
      <c r="M969" s="1169"/>
      <c r="N969" s="1177"/>
      <c r="O969" s="1169"/>
      <c r="P969" s="1169"/>
      <c r="Q969" s="1169">
        <f t="shared" si="1435"/>
        <v>0</v>
      </c>
      <c r="R969" s="1169"/>
      <c r="S969" s="1170"/>
      <c r="T969" s="1171"/>
      <c r="U969" s="1128"/>
      <c r="V969" s="1169"/>
      <c r="W969" s="1177"/>
      <c r="X969" s="1177"/>
      <c r="Y969" s="1169"/>
      <c r="Z969" s="1169">
        <f t="shared" si="1436"/>
        <v>0</v>
      </c>
      <c r="AA969" s="1169"/>
      <c r="AB969" s="1172">
        <f t="shared" si="1428"/>
        <v>0</v>
      </c>
      <c r="AC969" s="1171"/>
      <c r="AD969" s="1119"/>
      <c r="AE969" s="1169"/>
      <c r="AF969" s="1177"/>
      <c r="AG969" s="1177"/>
      <c r="AH969" s="1169"/>
      <c r="AI969" s="1169">
        <f t="shared" si="1437"/>
        <v>0</v>
      </c>
      <c r="AJ969" s="1169"/>
      <c r="AK969" s="1170"/>
      <c r="AL969" s="1171"/>
      <c r="AM969" s="1128"/>
      <c r="AN969" s="1170"/>
      <c r="AO969" s="1175"/>
      <c r="AP969" s="1175"/>
      <c r="AQ969" s="1170"/>
      <c r="AR969" s="1170">
        <f t="shared" si="1438"/>
        <v>0</v>
      </c>
      <c r="AS969" s="1170"/>
      <c r="AT969" s="1170"/>
      <c r="AU969" s="1313"/>
      <c r="AV969" s="1119"/>
      <c r="AW969" s="1169"/>
      <c r="AX969" s="1177"/>
      <c r="AY969" s="1177"/>
      <c r="AZ969" s="1169"/>
      <c r="BA969" s="1169">
        <f t="shared" si="1439"/>
        <v>0</v>
      </c>
      <c r="BB969" s="1169"/>
      <c r="BC969" s="1024"/>
      <c r="BD969" s="1027"/>
      <c r="BE969" s="1024"/>
      <c r="BF969" s="1024"/>
      <c r="BG969" s="1008"/>
      <c r="BH969" s="1008"/>
      <c r="BI969" s="1008"/>
      <c r="BJ969" s="1008"/>
      <c r="BK969" s="1008"/>
      <c r="BL969" s="1008"/>
      <c r="BM969" s="1008"/>
    </row>
    <row r="970" s="1215" customFormat="1" ht="19.5" customHeight="1">
      <c r="A970" s="999">
        <f t="shared" si="1425"/>
        <v>0</v>
      </c>
      <c r="B970" s="1202" t="s">
        <v>456</v>
      </c>
      <c r="C970" s="1202"/>
      <c r="D970" s="1202"/>
      <c r="E970" s="1164">
        <f t="shared" si="1432"/>
        <v>0</v>
      </c>
      <c r="F970" s="1164">
        <f t="shared" si="1432"/>
        <v>0</v>
      </c>
      <c r="G970" s="1165">
        <f t="shared" si="1433"/>
        <v>0</v>
      </c>
      <c r="H970" s="1166"/>
      <c r="I970" s="1167">
        <f t="shared" si="1410"/>
        <v>0</v>
      </c>
      <c r="J970" s="1167">
        <f t="shared" si="1424"/>
        <v>0</v>
      </c>
      <c r="K970" s="1168">
        <f t="shared" si="1434"/>
        <v>0</v>
      </c>
      <c r="L970" s="1119"/>
      <c r="M970" s="1169"/>
      <c r="N970" s="1177"/>
      <c r="O970" s="1169"/>
      <c r="P970" s="1169"/>
      <c r="Q970" s="1169">
        <f t="shared" si="1435"/>
        <v>0</v>
      </c>
      <c r="R970" s="1169"/>
      <c r="S970" s="1170"/>
      <c r="T970" s="1171"/>
      <c r="U970" s="1128"/>
      <c r="V970" s="1169"/>
      <c r="W970" s="1177"/>
      <c r="X970" s="1177"/>
      <c r="Y970" s="1169"/>
      <c r="Z970" s="1169">
        <f t="shared" si="1436"/>
        <v>0</v>
      </c>
      <c r="AA970" s="1169"/>
      <c r="AB970" s="1172">
        <f t="shared" si="1428"/>
        <v>0</v>
      </c>
      <c r="AC970" s="1171"/>
      <c r="AD970" s="1119"/>
      <c r="AE970" s="1169"/>
      <c r="AF970" s="1177"/>
      <c r="AG970" s="1177"/>
      <c r="AH970" s="1169"/>
      <c r="AI970" s="1169">
        <f t="shared" si="1437"/>
        <v>0</v>
      </c>
      <c r="AJ970" s="1169"/>
      <c r="AK970" s="1170"/>
      <c r="AL970" s="1171"/>
      <c r="AM970" s="1128"/>
      <c r="AN970" s="1170"/>
      <c r="AO970" s="1175"/>
      <c r="AP970" s="1175"/>
      <c r="AQ970" s="1170"/>
      <c r="AR970" s="1170">
        <f t="shared" si="1438"/>
        <v>0</v>
      </c>
      <c r="AS970" s="1170"/>
      <c r="AT970" s="1170"/>
      <c r="AU970" s="1313"/>
      <c r="AV970" s="1119"/>
      <c r="AW970" s="1169"/>
      <c r="AX970" s="1177"/>
      <c r="AY970" s="1177"/>
      <c r="AZ970" s="1169"/>
      <c r="BA970" s="1169">
        <f t="shared" si="1439"/>
        <v>0</v>
      </c>
      <c r="BB970" s="1169"/>
      <c r="BC970" s="1024"/>
      <c r="BD970" s="1027"/>
      <c r="BE970" s="1024"/>
      <c r="BF970" s="1024"/>
      <c r="BG970" s="1008"/>
      <c r="BH970" s="1008"/>
      <c r="BI970" s="1008"/>
      <c r="BJ970" s="1008"/>
      <c r="BK970" s="1008"/>
      <c r="BL970" s="1008"/>
      <c r="BM970" s="1008"/>
    </row>
    <row r="971" s="1215" customFormat="1" ht="19.5" customHeight="1">
      <c r="A971" s="999">
        <f t="shared" si="1425"/>
        <v>0</v>
      </c>
      <c r="B971" s="1202" t="s">
        <v>457</v>
      </c>
      <c r="C971" s="1202"/>
      <c r="D971" s="1202"/>
      <c r="E971" s="1164">
        <f t="shared" si="1432"/>
        <v>0</v>
      </c>
      <c r="F971" s="1164">
        <f t="shared" ref="F971:F972" si="1440">R971+AA971+AJ971+AS971+BB971</f>
        <v>0</v>
      </c>
      <c r="G971" s="1165">
        <f t="shared" si="1433"/>
        <v>0</v>
      </c>
      <c r="H971" s="1166"/>
      <c r="I971" s="1167">
        <f t="shared" si="1410"/>
        <v>0</v>
      </c>
      <c r="J971" s="1167">
        <f t="shared" si="1424"/>
        <v>0</v>
      </c>
      <c r="K971" s="1168">
        <f t="shared" si="1434"/>
        <v>0</v>
      </c>
      <c r="L971" s="1119"/>
      <c r="M971" s="1169"/>
      <c r="N971" s="1177"/>
      <c r="O971" s="1169"/>
      <c r="P971" s="1169"/>
      <c r="Q971" s="1169">
        <f t="shared" si="1435"/>
        <v>0</v>
      </c>
      <c r="R971" s="1169"/>
      <c r="S971" s="1170"/>
      <c r="T971" s="1171"/>
      <c r="U971" s="1128"/>
      <c r="V971" s="1169"/>
      <c r="W971" s="1177"/>
      <c r="X971" s="1177"/>
      <c r="Y971" s="1169"/>
      <c r="Z971" s="1169">
        <f t="shared" si="1436"/>
        <v>0</v>
      </c>
      <c r="AA971" s="1169"/>
      <c r="AB971" s="1172">
        <f t="shared" si="1428"/>
        <v>0</v>
      </c>
      <c r="AC971" s="1171"/>
      <c r="AD971" s="1119"/>
      <c r="AE971" s="1169"/>
      <c r="AF971" s="1177"/>
      <c r="AG971" s="1177"/>
      <c r="AH971" s="1169"/>
      <c r="AI971" s="1169">
        <f t="shared" si="1437"/>
        <v>0</v>
      </c>
      <c r="AJ971" s="1169"/>
      <c r="AK971" s="1170"/>
      <c r="AL971" s="1171"/>
      <c r="AM971" s="1128"/>
      <c r="AN971" s="1170"/>
      <c r="AO971" s="1175"/>
      <c r="AP971" s="1175"/>
      <c r="AQ971" s="1170"/>
      <c r="AR971" s="1170">
        <f t="shared" si="1438"/>
        <v>0</v>
      </c>
      <c r="AS971" s="1170"/>
      <c r="AT971" s="1170"/>
      <c r="AU971" s="1313"/>
      <c r="AV971" s="1119"/>
      <c r="AW971" s="1169"/>
      <c r="AX971" s="1177"/>
      <c r="AY971" s="1177"/>
      <c r="AZ971" s="1169"/>
      <c r="BA971" s="1169">
        <f t="shared" si="1439"/>
        <v>0</v>
      </c>
      <c r="BB971" s="1169"/>
      <c r="BC971" s="1024"/>
      <c r="BD971" s="1027"/>
      <c r="BE971" s="1024"/>
      <c r="BF971" s="1024"/>
      <c r="BG971" s="1008"/>
      <c r="BH971" s="1008"/>
      <c r="BI971" s="1008"/>
      <c r="BJ971" s="1008"/>
      <c r="BK971" s="1008"/>
      <c r="BL971" s="1008"/>
      <c r="BM971" s="1008"/>
    </row>
    <row r="972" s="1215" customFormat="1" ht="19.5" customHeight="1">
      <c r="A972" s="999">
        <f t="shared" si="1425"/>
        <v>0</v>
      </c>
      <c r="B972" s="1202" t="s">
        <v>458</v>
      </c>
      <c r="C972" s="1202"/>
      <c r="D972" s="1202"/>
      <c r="E972" s="1164">
        <f t="shared" si="1432"/>
        <v>0</v>
      </c>
      <c r="F972" s="1164">
        <f t="shared" si="1440"/>
        <v>0</v>
      </c>
      <c r="G972" s="1165">
        <f t="shared" si="1433"/>
        <v>0</v>
      </c>
      <c r="H972" s="1166"/>
      <c r="I972" s="1167">
        <f t="shared" si="1410"/>
        <v>0</v>
      </c>
      <c r="J972" s="1167">
        <f t="shared" si="1424"/>
        <v>0</v>
      </c>
      <c r="K972" s="1168">
        <f t="shared" si="1434"/>
        <v>0</v>
      </c>
      <c r="L972" s="1119"/>
      <c r="M972" s="1169"/>
      <c r="N972" s="1177"/>
      <c r="O972" s="1169"/>
      <c r="P972" s="1169"/>
      <c r="Q972" s="1169">
        <f t="shared" si="1435"/>
        <v>0</v>
      </c>
      <c r="R972" s="1169"/>
      <c r="S972" s="1170"/>
      <c r="T972" s="1171"/>
      <c r="U972" s="1128"/>
      <c r="V972" s="1169"/>
      <c r="W972" s="1177"/>
      <c r="X972" s="1177"/>
      <c r="Y972" s="1169"/>
      <c r="Z972" s="1169">
        <f t="shared" si="1436"/>
        <v>0</v>
      </c>
      <c r="AA972" s="1169"/>
      <c r="AB972" s="1172">
        <f t="shared" si="1428"/>
        <v>0</v>
      </c>
      <c r="AC972" s="1171"/>
      <c r="AD972" s="1119"/>
      <c r="AE972" s="1169"/>
      <c r="AF972" s="1177"/>
      <c r="AG972" s="1177"/>
      <c r="AH972" s="1169"/>
      <c r="AI972" s="1169">
        <f t="shared" si="1437"/>
        <v>0</v>
      </c>
      <c r="AJ972" s="1169"/>
      <c r="AK972" s="1170"/>
      <c r="AL972" s="1171"/>
      <c r="AM972" s="1128"/>
      <c r="AN972" s="1170"/>
      <c r="AO972" s="1175"/>
      <c r="AP972" s="1175"/>
      <c r="AQ972" s="1170"/>
      <c r="AR972" s="1170">
        <f t="shared" si="1438"/>
        <v>0</v>
      </c>
      <c r="AS972" s="1170"/>
      <c r="AT972" s="1170"/>
      <c r="AU972" s="1313"/>
      <c r="AV972" s="1119"/>
      <c r="AW972" s="1169"/>
      <c r="AX972" s="1177"/>
      <c r="AY972" s="1177"/>
      <c r="AZ972" s="1169"/>
      <c r="BA972" s="1169">
        <f t="shared" si="1439"/>
        <v>0</v>
      </c>
      <c r="BB972" s="1169"/>
      <c r="BC972" s="1024"/>
      <c r="BD972" s="1027"/>
      <c r="BE972" s="1024"/>
      <c r="BF972" s="1024"/>
      <c r="BG972" s="1008"/>
      <c r="BH972" s="1008"/>
      <c r="BI972" s="1008"/>
      <c r="BJ972" s="1008"/>
      <c r="BK972" s="1008"/>
      <c r="BL972" s="1008"/>
      <c r="BM972" s="1008"/>
    </row>
    <row r="973" s="1215" customFormat="1" ht="19.5" customHeight="1">
      <c r="A973" s="999">
        <f t="shared" si="1425"/>
        <v>0</v>
      </c>
      <c r="B973" s="1202" t="s">
        <v>459</v>
      </c>
      <c r="C973" s="1202"/>
      <c r="D973" s="1202"/>
      <c r="E973" s="1164">
        <f t="shared" si="1432"/>
        <v>0</v>
      </c>
      <c r="F973" s="1164">
        <f t="shared" si="1432"/>
        <v>0</v>
      </c>
      <c r="G973" s="1165">
        <f t="shared" si="1433"/>
        <v>0</v>
      </c>
      <c r="H973" s="1166"/>
      <c r="I973" s="1167">
        <f t="shared" si="1410"/>
        <v>0</v>
      </c>
      <c r="J973" s="1167">
        <f t="shared" si="1424"/>
        <v>0</v>
      </c>
      <c r="K973" s="1168">
        <f t="shared" si="1434"/>
        <v>0</v>
      </c>
      <c r="L973" s="1119"/>
      <c r="M973" s="1169"/>
      <c r="N973" s="1177"/>
      <c r="O973" s="1169"/>
      <c r="P973" s="1169"/>
      <c r="Q973" s="1169">
        <f t="shared" si="1435"/>
        <v>0</v>
      </c>
      <c r="R973" s="1169"/>
      <c r="S973" s="1170"/>
      <c r="T973" s="1171"/>
      <c r="U973" s="1128"/>
      <c r="V973" s="1169"/>
      <c r="W973" s="1177"/>
      <c r="X973" s="1177"/>
      <c r="Y973" s="1169"/>
      <c r="Z973" s="1169">
        <f t="shared" si="1436"/>
        <v>0</v>
      </c>
      <c r="AA973" s="1169"/>
      <c r="AB973" s="1172">
        <f t="shared" si="1428"/>
        <v>0</v>
      </c>
      <c r="AC973" s="1171"/>
      <c r="AD973" s="1119"/>
      <c r="AE973" s="1169"/>
      <c r="AF973" s="1177"/>
      <c r="AG973" s="1177"/>
      <c r="AH973" s="1169"/>
      <c r="AI973" s="1169">
        <f t="shared" si="1437"/>
        <v>0</v>
      </c>
      <c r="AJ973" s="1169"/>
      <c r="AK973" s="1170"/>
      <c r="AL973" s="1171"/>
      <c r="AM973" s="1128"/>
      <c r="AN973" s="1170"/>
      <c r="AO973" s="1175"/>
      <c r="AP973" s="1175"/>
      <c r="AQ973" s="1170"/>
      <c r="AR973" s="1170">
        <f t="shared" si="1438"/>
        <v>0</v>
      </c>
      <c r="AS973" s="1170"/>
      <c r="AT973" s="1170"/>
      <c r="AU973" s="1313"/>
      <c r="AV973" s="1119"/>
      <c r="AW973" s="1169"/>
      <c r="AX973" s="1177"/>
      <c r="AY973" s="1177"/>
      <c r="AZ973" s="1169"/>
      <c r="BA973" s="1169">
        <f t="shared" si="1439"/>
        <v>0</v>
      </c>
      <c r="BB973" s="1169"/>
      <c r="BC973" s="1024"/>
      <c r="BD973" s="1027"/>
      <c r="BE973" s="1024"/>
      <c r="BF973" s="1024"/>
      <c r="BG973" s="1008"/>
      <c r="BH973" s="1008"/>
      <c r="BI973" s="1008"/>
      <c r="BJ973" s="1008"/>
      <c r="BK973" s="1008"/>
      <c r="BL973" s="1008"/>
      <c r="BM973" s="1008"/>
    </row>
    <row r="974" s="1215" customFormat="1" ht="19.5" customHeight="1">
      <c r="A974" s="999">
        <f t="shared" si="1425"/>
        <v>0</v>
      </c>
      <c r="B974" s="1202" t="s">
        <v>460</v>
      </c>
      <c r="C974" s="1202"/>
      <c r="D974" s="1202"/>
      <c r="E974" s="1164">
        <f t="shared" si="1432"/>
        <v>0</v>
      </c>
      <c r="F974" s="1164">
        <f t="shared" si="1432"/>
        <v>0</v>
      </c>
      <c r="G974" s="1165">
        <f t="shared" si="1433"/>
        <v>0</v>
      </c>
      <c r="H974" s="1166"/>
      <c r="I974" s="1167">
        <f t="shared" si="1410"/>
        <v>0</v>
      </c>
      <c r="J974" s="1167">
        <f t="shared" si="1424"/>
        <v>0</v>
      </c>
      <c r="K974" s="1168">
        <f t="shared" si="1434"/>
        <v>0</v>
      </c>
      <c r="L974" s="1119"/>
      <c r="M974" s="1169"/>
      <c r="N974" s="1177"/>
      <c r="O974" s="1169"/>
      <c r="P974" s="1169"/>
      <c r="Q974" s="1169">
        <f t="shared" si="1435"/>
        <v>0</v>
      </c>
      <c r="R974" s="1169"/>
      <c r="S974" s="1170"/>
      <c r="T974" s="1171"/>
      <c r="U974" s="1128"/>
      <c r="V974" s="1169"/>
      <c r="W974" s="1177"/>
      <c r="X974" s="1177"/>
      <c r="Y974" s="1169"/>
      <c r="Z974" s="1169">
        <f t="shared" si="1436"/>
        <v>0</v>
      </c>
      <c r="AA974" s="1169"/>
      <c r="AB974" s="1172">
        <f t="shared" si="1428"/>
        <v>0</v>
      </c>
      <c r="AC974" s="1171"/>
      <c r="AD974" s="1119"/>
      <c r="AE974" s="1169"/>
      <c r="AF974" s="1177"/>
      <c r="AG974" s="1177"/>
      <c r="AH974" s="1169"/>
      <c r="AI974" s="1169">
        <f t="shared" si="1437"/>
        <v>0</v>
      </c>
      <c r="AJ974" s="1169"/>
      <c r="AK974" s="1170"/>
      <c r="AL974" s="1171"/>
      <c r="AM974" s="1128"/>
      <c r="AN974" s="1170"/>
      <c r="AO974" s="1175"/>
      <c r="AP974" s="1175"/>
      <c r="AQ974" s="1170"/>
      <c r="AR974" s="1170">
        <f t="shared" si="1438"/>
        <v>0</v>
      </c>
      <c r="AS974" s="1170"/>
      <c r="AT974" s="1170"/>
      <c r="AU974" s="1313"/>
      <c r="AV974" s="1119"/>
      <c r="AW974" s="1169"/>
      <c r="AX974" s="1177"/>
      <c r="AY974" s="1177"/>
      <c r="AZ974" s="1169"/>
      <c r="BA974" s="1169">
        <f t="shared" si="1439"/>
        <v>0</v>
      </c>
      <c r="BB974" s="1169"/>
      <c r="BC974" s="1024"/>
      <c r="BD974" s="1027"/>
      <c r="BE974" s="1024"/>
      <c r="BF974" s="1024"/>
      <c r="BG974" s="1008"/>
      <c r="BH974" s="1008"/>
      <c r="BI974" s="1008"/>
      <c r="BJ974" s="1008"/>
      <c r="BK974" s="1008"/>
      <c r="BL974" s="1008"/>
      <c r="BM974" s="1008"/>
    </row>
    <row r="975" ht="19.5" customHeight="1">
      <c r="A975" s="999" t="str">
        <f t="shared" si="1425"/>
        <v xml:space="preserve">Белова СА</v>
      </c>
      <c r="B975" s="1202" t="s">
        <v>461</v>
      </c>
      <c r="C975" s="1202"/>
      <c r="D975" s="1202"/>
      <c r="E975" s="1164">
        <f t="shared" si="1432"/>
        <v>0</v>
      </c>
      <c r="F975" s="1164">
        <f t="shared" si="1432"/>
        <v>0</v>
      </c>
      <c r="G975" s="1165">
        <f t="shared" si="1433"/>
        <v>0</v>
      </c>
      <c r="H975" s="1166"/>
      <c r="I975" s="1167">
        <f t="shared" si="1410"/>
        <v>0</v>
      </c>
      <c r="J975" s="1167">
        <f t="shared" si="1424"/>
        <v>0</v>
      </c>
      <c r="K975" s="1168">
        <f t="shared" si="1434"/>
        <v>0</v>
      </c>
      <c r="L975" s="1119"/>
      <c r="M975" s="1169"/>
      <c r="N975" s="1177"/>
      <c r="O975" s="1169"/>
      <c r="P975" s="1169"/>
      <c r="Q975" s="1169">
        <f t="shared" si="1435"/>
        <v>0</v>
      </c>
      <c r="R975" s="1169"/>
      <c r="S975" s="1170"/>
      <c r="T975" s="1171"/>
      <c r="U975" s="1128"/>
      <c r="V975" s="1169"/>
      <c r="W975" s="1177"/>
      <c r="X975" s="1177"/>
      <c r="Y975" s="1169"/>
      <c r="Z975" s="1169">
        <f t="shared" si="1436"/>
        <v>0</v>
      </c>
      <c r="AA975" s="1169"/>
      <c r="AB975" s="1172">
        <f t="shared" si="1428"/>
        <v>0</v>
      </c>
      <c r="AC975" s="1171"/>
      <c r="AD975" s="1119"/>
      <c r="AE975" s="1169"/>
      <c r="AF975" s="1177"/>
      <c r="AG975" s="1177"/>
      <c r="AH975" s="1169"/>
      <c r="AI975" s="1169">
        <f t="shared" si="1437"/>
        <v>0</v>
      </c>
      <c r="AJ975" s="1169"/>
      <c r="AK975" s="1170"/>
      <c r="AL975" s="1171"/>
      <c r="AM975" s="1128"/>
      <c r="AN975" s="1170"/>
      <c r="AO975" s="1175"/>
      <c r="AP975" s="1175"/>
      <c r="AQ975" s="1170"/>
      <c r="AR975" s="1170">
        <f t="shared" si="1438"/>
        <v>0</v>
      </c>
      <c r="AS975" s="1170"/>
      <c r="AT975" s="1170"/>
      <c r="AU975" s="1313"/>
      <c r="AV975" s="1119"/>
      <c r="AW975" s="1169"/>
      <c r="AX975" s="1177"/>
      <c r="AY975" s="1177"/>
      <c r="AZ975" s="1169"/>
      <c r="BA975" s="1169">
        <f t="shared" si="1439"/>
        <v>0</v>
      </c>
      <c r="BB975" s="1169"/>
      <c r="BC975" s="1029"/>
      <c r="BD975" s="1027"/>
      <c r="BE975" s="1029"/>
      <c r="BF975" s="1029"/>
    </row>
    <row r="976" ht="19.5" customHeight="1">
      <c r="A976" s="999">
        <f t="shared" si="1425"/>
        <v>0</v>
      </c>
      <c r="B976" s="1202" t="s">
        <v>462</v>
      </c>
      <c r="C976" s="1202"/>
      <c r="D976" s="1202"/>
      <c r="E976" s="1164">
        <f t="shared" si="1432"/>
        <v>0</v>
      </c>
      <c r="F976" s="1164">
        <f t="shared" si="1432"/>
        <v>0</v>
      </c>
      <c r="G976" s="1165">
        <f t="shared" si="1433"/>
        <v>0</v>
      </c>
      <c r="H976" s="1166"/>
      <c r="I976" s="1167">
        <f t="shared" si="1410"/>
        <v>0</v>
      </c>
      <c r="J976" s="1167">
        <f t="shared" si="1424"/>
        <v>0</v>
      </c>
      <c r="K976" s="1168">
        <f t="shared" si="1434"/>
        <v>0</v>
      </c>
      <c r="L976" s="1119"/>
      <c r="M976" s="1169"/>
      <c r="N976" s="1177"/>
      <c r="O976" s="1169"/>
      <c r="P976" s="1169"/>
      <c r="Q976" s="1169">
        <f t="shared" si="1435"/>
        <v>0</v>
      </c>
      <c r="R976" s="1169"/>
      <c r="S976" s="1170"/>
      <c r="T976" s="1171"/>
      <c r="U976" s="1128"/>
      <c r="V976" s="1169"/>
      <c r="W976" s="1177"/>
      <c r="X976" s="1177"/>
      <c r="Y976" s="1169"/>
      <c r="Z976" s="1169">
        <f t="shared" si="1436"/>
        <v>0</v>
      </c>
      <c r="AA976" s="1169"/>
      <c r="AB976" s="1172">
        <f t="shared" si="1428"/>
        <v>0</v>
      </c>
      <c r="AC976" s="1171"/>
      <c r="AD976" s="1119"/>
      <c r="AE976" s="1169"/>
      <c r="AF976" s="1177"/>
      <c r="AG976" s="1177"/>
      <c r="AH976" s="1169"/>
      <c r="AI976" s="1169">
        <f t="shared" si="1437"/>
        <v>0</v>
      </c>
      <c r="AJ976" s="1169"/>
      <c r="AK976" s="1170"/>
      <c r="AL976" s="1171"/>
      <c r="AM976" s="1128"/>
      <c r="AN976" s="1170"/>
      <c r="AO976" s="1175"/>
      <c r="AP976" s="1175"/>
      <c r="AQ976" s="1170"/>
      <c r="AR976" s="1170">
        <f t="shared" si="1438"/>
        <v>0</v>
      </c>
      <c r="AS976" s="1170"/>
      <c r="AT976" s="1170"/>
      <c r="AU976" s="1313"/>
      <c r="AV976" s="1119"/>
      <c r="AW976" s="1169"/>
      <c r="AX976" s="1177"/>
      <c r="AY976" s="1177"/>
      <c r="AZ976" s="1169"/>
      <c r="BA976" s="1169">
        <f t="shared" si="1439"/>
        <v>0</v>
      </c>
      <c r="BB976" s="1169"/>
      <c r="BC976" s="1029"/>
      <c r="BD976" s="1027"/>
      <c r="BE976" s="1029"/>
      <c r="BF976" s="1029"/>
    </row>
    <row r="977" ht="19.5" customHeight="1">
      <c r="A977" s="999">
        <f t="shared" si="1425"/>
        <v>0</v>
      </c>
      <c r="B977" s="1202" t="s">
        <v>463</v>
      </c>
      <c r="C977" s="1202"/>
      <c r="D977" s="1202"/>
      <c r="E977" s="1164">
        <f t="shared" si="1432"/>
        <v>0</v>
      </c>
      <c r="F977" s="1164">
        <f t="shared" si="1432"/>
        <v>0</v>
      </c>
      <c r="G977" s="1165">
        <f t="shared" si="1433"/>
        <v>0</v>
      </c>
      <c r="H977" s="1166"/>
      <c r="I977" s="1167">
        <f t="shared" si="1410"/>
        <v>0</v>
      </c>
      <c r="J977" s="1167">
        <f t="shared" si="1424"/>
        <v>0</v>
      </c>
      <c r="K977" s="1168">
        <f t="shared" si="1434"/>
        <v>0</v>
      </c>
      <c r="L977" s="1119"/>
      <c r="M977" s="1169"/>
      <c r="N977" s="1177"/>
      <c r="O977" s="1169"/>
      <c r="P977" s="1169"/>
      <c r="Q977" s="1169">
        <f t="shared" si="1435"/>
        <v>0</v>
      </c>
      <c r="R977" s="1169"/>
      <c r="S977" s="1170"/>
      <c r="T977" s="1171"/>
      <c r="U977" s="1128"/>
      <c r="V977" s="1169"/>
      <c r="W977" s="1177"/>
      <c r="X977" s="1177"/>
      <c r="Y977" s="1169"/>
      <c r="Z977" s="1169">
        <f t="shared" si="1436"/>
        <v>0</v>
      </c>
      <c r="AA977" s="1169"/>
      <c r="AB977" s="1172">
        <f t="shared" si="1428"/>
        <v>0</v>
      </c>
      <c r="AC977" s="1171"/>
      <c r="AD977" s="1119"/>
      <c r="AE977" s="1169"/>
      <c r="AF977" s="1177"/>
      <c r="AG977" s="1177"/>
      <c r="AH977" s="1169"/>
      <c r="AI977" s="1169">
        <f t="shared" si="1437"/>
        <v>0</v>
      </c>
      <c r="AJ977" s="1169"/>
      <c r="AK977" s="1170"/>
      <c r="AL977" s="1171"/>
      <c r="AM977" s="1128"/>
      <c r="AN977" s="1170"/>
      <c r="AO977" s="1175"/>
      <c r="AP977" s="1175"/>
      <c r="AQ977" s="1170"/>
      <c r="AR977" s="1170">
        <f t="shared" si="1438"/>
        <v>0</v>
      </c>
      <c r="AS977" s="1170"/>
      <c r="AT977" s="1170"/>
      <c r="AU977" s="1313"/>
      <c r="AV977" s="1119"/>
      <c r="AW977" s="1169"/>
      <c r="AX977" s="1177"/>
      <c r="AY977" s="1177"/>
      <c r="AZ977" s="1169"/>
      <c r="BA977" s="1169">
        <f t="shared" si="1439"/>
        <v>0</v>
      </c>
      <c r="BB977" s="1169"/>
      <c r="BC977" s="1029"/>
      <c r="BD977" s="1027"/>
      <c r="BE977" s="1029"/>
      <c r="BF977" s="1029"/>
    </row>
    <row r="978" ht="19.5" customHeight="1">
      <c r="A978" s="999">
        <f t="shared" si="1425"/>
        <v>0</v>
      </c>
      <c r="B978" s="1202" t="s">
        <v>464</v>
      </c>
      <c r="C978" s="1202"/>
      <c r="D978" s="1202"/>
      <c r="E978" s="1164">
        <f t="shared" si="1432"/>
        <v>0</v>
      </c>
      <c r="F978" s="1164">
        <f t="shared" si="1432"/>
        <v>0</v>
      </c>
      <c r="G978" s="1165">
        <f t="shared" si="1433"/>
        <v>0</v>
      </c>
      <c r="H978" s="1166"/>
      <c r="I978" s="1167">
        <f t="shared" si="1410"/>
        <v>0</v>
      </c>
      <c r="J978" s="1167">
        <f t="shared" si="1424"/>
        <v>0</v>
      </c>
      <c r="K978" s="1168">
        <f t="shared" si="1434"/>
        <v>0</v>
      </c>
      <c r="L978" s="1119"/>
      <c r="M978" s="1169"/>
      <c r="N978" s="1177"/>
      <c r="O978" s="1169"/>
      <c r="P978" s="1169"/>
      <c r="Q978" s="1169">
        <f t="shared" si="1435"/>
        <v>0</v>
      </c>
      <c r="R978" s="1169"/>
      <c r="S978" s="1170"/>
      <c r="T978" s="1171"/>
      <c r="U978" s="1128"/>
      <c r="V978" s="1169"/>
      <c r="W978" s="1177"/>
      <c r="X978" s="1177"/>
      <c r="Y978" s="1169"/>
      <c r="Z978" s="1169">
        <f t="shared" si="1436"/>
        <v>0</v>
      </c>
      <c r="AA978" s="1169"/>
      <c r="AB978" s="1172">
        <f t="shared" si="1428"/>
        <v>0</v>
      </c>
      <c r="AC978" s="1171"/>
      <c r="AD978" s="1119"/>
      <c r="AE978" s="1169"/>
      <c r="AF978" s="1177"/>
      <c r="AG978" s="1177"/>
      <c r="AH978" s="1169"/>
      <c r="AI978" s="1169">
        <f t="shared" si="1437"/>
        <v>0</v>
      </c>
      <c r="AJ978" s="1169"/>
      <c r="AK978" s="1170"/>
      <c r="AL978" s="1171"/>
      <c r="AM978" s="1128"/>
      <c r="AN978" s="1170"/>
      <c r="AO978" s="1175"/>
      <c r="AP978" s="1175"/>
      <c r="AQ978" s="1170"/>
      <c r="AR978" s="1170">
        <f t="shared" si="1438"/>
        <v>0</v>
      </c>
      <c r="AS978" s="1170"/>
      <c r="AT978" s="1170"/>
      <c r="AU978" s="1313"/>
      <c r="AV978" s="1131"/>
      <c r="AW978" s="1169"/>
      <c r="AX978" s="1177"/>
      <c r="AY978" s="1177"/>
      <c r="AZ978" s="1169"/>
      <c r="BA978" s="1169">
        <f t="shared" si="1439"/>
        <v>0</v>
      </c>
      <c r="BB978" s="1169"/>
      <c r="BC978" s="1029"/>
      <c r="BD978" s="1027"/>
      <c r="BE978" s="1029"/>
      <c r="BF978" s="1029"/>
    </row>
    <row r="979" ht="19.5" customHeight="1">
      <c r="A979" s="999">
        <f t="shared" si="1425"/>
        <v>0</v>
      </c>
      <c r="B979" s="1202" t="s">
        <v>465</v>
      </c>
      <c r="C979" s="1202"/>
      <c r="D979" s="1202"/>
      <c r="E979" s="1164">
        <f t="shared" si="1432"/>
        <v>0</v>
      </c>
      <c r="F979" s="1164">
        <f t="shared" si="1432"/>
        <v>0</v>
      </c>
      <c r="G979" s="1165">
        <f t="shared" si="1433"/>
        <v>0</v>
      </c>
      <c r="H979" s="1166"/>
      <c r="I979" s="1167">
        <f t="shared" si="1410"/>
        <v>0</v>
      </c>
      <c r="J979" s="1167">
        <f t="shared" si="1424"/>
        <v>0</v>
      </c>
      <c r="K979" s="1168">
        <f t="shared" si="1434"/>
        <v>0</v>
      </c>
      <c r="L979" s="1119"/>
      <c r="M979" s="1169"/>
      <c r="N979" s="1177"/>
      <c r="O979" s="1169"/>
      <c r="P979" s="1169"/>
      <c r="Q979" s="1169">
        <f t="shared" si="1435"/>
        <v>0</v>
      </c>
      <c r="R979" s="1169"/>
      <c r="S979" s="1170"/>
      <c r="T979" s="1171"/>
      <c r="U979" s="1128"/>
      <c r="V979" s="1169"/>
      <c r="W979" s="1177"/>
      <c r="X979" s="1177"/>
      <c r="Y979" s="1169"/>
      <c r="Z979" s="1169">
        <f t="shared" si="1436"/>
        <v>0</v>
      </c>
      <c r="AA979" s="1169"/>
      <c r="AB979" s="1172">
        <f t="shared" si="1428"/>
        <v>0</v>
      </c>
      <c r="AC979" s="1171"/>
      <c r="AD979" s="1119"/>
      <c r="AE979" s="1169"/>
      <c r="AF979" s="1177"/>
      <c r="AG979" s="1177"/>
      <c r="AH979" s="1169"/>
      <c r="AI979" s="1169">
        <f t="shared" si="1437"/>
        <v>0</v>
      </c>
      <c r="AJ979" s="1169"/>
      <c r="AK979" s="1170"/>
      <c r="AL979" s="1171"/>
      <c r="AM979" s="1128"/>
      <c r="AN979" s="1170"/>
      <c r="AO979" s="1175"/>
      <c r="AP979" s="1175"/>
      <c r="AQ979" s="1170"/>
      <c r="AR979" s="1170">
        <f t="shared" si="1438"/>
        <v>0</v>
      </c>
      <c r="AS979" s="1170"/>
      <c r="AT979" s="1170"/>
      <c r="AU979" s="1313"/>
      <c r="AV979" s="1131"/>
      <c r="AW979" s="1169"/>
      <c r="AX979" s="1177"/>
      <c r="AY979" s="1177"/>
      <c r="AZ979" s="1169"/>
      <c r="BA979" s="1169">
        <f t="shared" si="1439"/>
        <v>0</v>
      </c>
      <c r="BB979" s="1169"/>
      <c r="BC979" s="1029"/>
      <c r="BD979" s="1027"/>
      <c r="BE979" s="1029"/>
      <c r="BF979" s="1029"/>
    </row>
    <row r="980">
      <c r="A980" s="999">
        <f t="shared" si="1425"/>
        <v>0</v>
      </c>
      <c r="B980" s="1202" t="s">
        <v>303</v>
      </c>
      <c r="C980" s="1202"/>
      <c r="D980" s="1202"/>
      <c r="E980" s="1164">
        <f t="shared" si="1432"/>
        <v>0</v>
      </c>
      <c r="F980" s="1164">
        <f t="shared" si="1432"/>
        <v>0</v>
      </c>
      <c r="G980" s="1165">
        <f t="shared" si="1433"/>
        <v>0</v>
      </c>
      <c r="H980" s="1166"/>
      <c r="I980" s="1167">
        <f t="shared" si="1410"/>
        <v>0</v>
      </c>
      <c r="J980" s="1167">
        <f t="shared" si="1424"/>
        <v>0</v>
      </c>
      <c r="K980" s="1168">
        <f t="shared" si="1434"/>
        <v>0</v>
      </c>
      <c r="L980" s="1119"/>
      <c r="M980" s="1169"/>
      <c r="N980" s="1177"/>
      <c r="O980" s="1169"/>
      <c r="P980" s="1169"/>
      <c r="Q980" s="1169">
        <f t="shared" si="1435"/>
        <v>0</v>
      </c>
      <c r="R980" s="1169"/>
      <c r="S980" s="1170"/>
      <c r="T980" s="1171"/>
      <c r="U980" s="1128"/>
      <c r="V980" s="1169"/>
      <c r="W980" s="1177"/>
      <c r="X980" s="1177"/>
      <c r="Y980" s="1169"/>
      <c r="Z980" s="1169">
        <f t="shared" si="1436"/>
        <v>0</v>
      </c>
      <c r="AA980" s="1169"/>
      <c r="AB980" s="1172">
        <f t="shared" si="1428"/>
        <v>0</v>
      </c>
      <c r="AC980" s="1171"/>
      <c r="AD980" s="1119"/>
      <c r="AE980" s="1169"/>
      <c r="AF980" s="1177"/>
      <c r="AG980" s="1177"/>
      <c r="AH980" s="1169"/>
      <c r="AI980" s="1169">
        <f t="shared" si="1437"/>
        <v>0</v>
      </c>
      <c r="AJ980" s="1169"/>
      <c r="AK980" s="1170"/>
      <c r="AL980" s="1171"/>
      <c r="AM980" s="1128"/>
      <c r="AN980" s="1170"/>
      <c r="AO980" s="1175"/>
      <c r="AP980" s="1175"/>
      <c r="AQ980" s="1170"/>
      <c r="AR980" s="1170">
        <f t="shared" si="1438"/>
        <v>0</v>
      </c>
      <c r="AS980" s="1170"/>
      <c r="AT980" s="1170"/>
      <c r="AU980" s="1313"/>
      <c r="AV980" s="1131"/>
      <c r="AW980" s="1169"/>
      <c r="AX980" s="1177"/>
      <c r="AY980" s="1177"/>
      <c r="AZ980" s="1169"/>
      <c r="BA980" s="1169">
        <f t="shared" si="1439"/>
        <v>0</v>
      </c>
      <c r="BB980" s="1169"/>
      <c r="BC980" s="1029"/>
      <c r="BD980" s="1027"/>
      <c r="BE980" s="1029"/>
      <c r="BF980" s="1029"/>
    </row>
    <row r="981">
      <c r="A981" s="999">
        <f t="shared" si="1425"/>
        <v>0</v>
      </c>
      <c r="B981" s="1202" t="s">
        <v>304</v>
      </c>
      <c r="C981" s="1202"/>
      <c r="D981" s="1202"/>
      <c r="E981" s="1164">
        <f t="shared" si="1432"/>
        <v>0</v>
      </c>
      <c r="F981" s="1164">
        <f t="shared" si="1432"/>
        <v>0</v>
      </c>
      <c r="G981" s="1165">
        <f t="shared" si="1433"/>
        <v>0</v>
      </c>
      <c r="H981" s="1166"/>
      <c r="I981" s="1167">
        <f t="shared" si="1410"/>
        <v>0</v>
      </c>
      <c r="J981" s="1167">
        <f t="shared" si="1424"/>
        <v>0</v>
      </c>
      <c r="K981" s="1168">
        <f t="shared" si="1434"/>
        <v>0</v>
      </c>
      <c r="L981" s="1119"/>
      <c r="M981" s="1169"/>
      <c r="N981" s="1177"/>
      <c r="O981" s="1169"/>
      <c r="P981" s="1169"/>
      <c r="Q981" s="1169">
        <f t="shared" si="1435"/>
        <v>0</v>
      </c>
      <c r="R981" s="1169"/>
      <c r="S981" s="1170"/>
      <c r="T981" s="1171"/>
      <c r="U981" s="1128"/>
      <c r="V981" s="1169"/>
      <c r="W981" s="1177"/>
      <c r="X981" s="1177"/>
      <c r="Y981" s="1169"/>
      <c r="Z981" s="1169">
        <f t="shared" si="1436"/>
        <v>0</v>
      </c>
      <c r="AA981" s="1169"/>
      <c r="AB981" s="1172">
        <f t="shared" si="1428"/>
        <v>0</v>
      </c>
      <c r="AC981" s="1171"/>
      <c r="AD981" s="1119"/>
      <c r="AE981" s="1169"/>
      <c r="AF981" s="1177"/>
      <c r="AG981" s="1177"/>
      <c r="AH981" s="1169"/>
      <c r="AI981" s="1169">
        <f t="shared" si="1437"/>
        <v>0</v>
      </c>
      <c r="AJ981" s="1169"/>
      <c r="AK981" s="1170"/>
      <c r="AL981" s="1171"/>
      <c r="AM981" s="1128"/>
      <c r="AN981" s="1170"/>
      <c r="AO981" s="1175"/>
      <c r="AP981" s="1175"/>
      <c r="AQ981" s="1170"/>
      <c r="AR981" s="1170">
        <f t="shared" si="1438"/>
        <v>0</v>
      </c>
      <c r="AS981" s="1170"/>
      <c r="AT981" s="1170"/>
      <c r="AU981" s="1313"/>
      <c r="AV981" s="1131"/>
      <c r="AW981" s="1169"/>
      <c r="AX981" s="1177"/>
      <c r="AY981" s="1177"/>
      <c r="AZ981" s="1169"/>
      <c r="BA981" s="1169">
        <f t="shared" si="1439"/>
        <v>0</v>
      </c>
      <c r="BB981" s="1169"/>
      <c r="BC981" s="1029"/>
      <c r="BD981" s="1027"/>
      <c r="BE981" s="1029"/>
      <c r="BF981" s="1029"/>
    </row>
    <row r="982" ht="18.75" customHeight="1">
      <c r="A982" s="999" t="str">
        <f t="shared" si="1425"/>
        <v xml:space="preserve">Радченко Т.А.</v>
      </c>
      <c r="B982" s="1202" t="s">
        <v>467</v>
      </c>
      <c r="C982" s="1202"/>
      <c r="D982" s="1202"/>
      <c r="E982" s="1164">
        <f t="shared" si="1432"/>
        <v>0</v>
      </c>
      <c r="F982" s="1164">
        <f>R982+AA982+AJ982+AS982+BB982</f>
        <v>0</v>
      </c>
      <c r="G982" s="1165">
        <f t="shared" si="1433"/>
        <v>0</v>
      </c>
      <c r="H982" s="1266" t="e">
        <f t="shared" ref="H975:H982" si="1441">G982/$G$299</f>
        <v>#DIV/0!</v>
      </c>
      <c r="I982" s="1167">
        <f t="shared" si="1410"/>
        <v>0</v>
      </c>
      <c r="J982" s="1167">
        <f t="shared" si="1424"/>
        <v>0</v>
      </c>
      <c r="K982" s="1168">
        <f t="shared" si="1434"/>
        <v>0</v>
      </c>
      <c r="L982" s="1119"/>
      <c r="M982" s="1169"/>
      <c r="N982" s="1177"/>
      <c r="O982" s="1169"/>
      <c r="P982" s="1169"/>
      <c r="Q982" s="1169">
        <f t="shared" si="1435"/>
        <v>0</v>
      </c>
      <c r="R982" s="1169"/>
      <c r="S982" s="1170"/>
      <c r="T982" s="1171"/>
      <c r="U982" s="1128"/>
      <c r="V982" s="1169"/>
      <c r="W982" s="1177"/>
      <c r="X982" s="1177"/>
      <c r="Y982" s="1169"/>
      <c r="Z982" s="1169">
        <f t="shared" si="1436"/>
        <v>0</v>
      </c>
      <c r="AA982" s="1169"/>
      <c r="AB982" s="1172">
        <f t="shared" si="1428"/>
        <v>0</v>
      </c>
      <c r="AC982" s="1171"/>
      <c r="AD982" s="1119"/>
      <c r="AE982" s="1169"/>
      <c r="AF982" s="1177"/>
      <c r="AG982" s="1177"/>
      <c r="AH982" s="1169"/>
      <c r="AI982" s="1169">
        <f t="shared" si="1437"/>
        <v>0</v>
      </c>
      <c r="AJ982" s="1169"/>
      <c r="AK982" s="1170"/>
      <c r="AL982" s="1171"/>
      <c r="AM982" s="1128"/>
      <c r="AN982" s="1170"/>
      <c r="AO982" s="1175"/>
      <c r="AP982" s="1175"/>
      <c r="AQ982" s="1170"/>
      <c r="AR982" s="1170">
        <f t="shared" si="1438"/>
        <v>0</v>
      </c>
      <c r="AS982" s="1170"/>
      <c r="AT982" s="1170"/>
      <c r="AU982" s="1313"/>
      <c r="AV982" s="1131"/>
      <c r="AW982" s="1169"/>
      <c r="AX982" s="1177"/>
      <c r="AY982" s="1177"/>
      <c r="AZ982" s="1169"/>
      <c r="BA982" s="1169">
        <f t="shared" si="1439"/>
        <v>0</v>
      </c>
      <c r="BB982" s="1169"/>
      <c r="BC982" s="1029"/>
      <c r="BD982" s="1027"/>
      <c r="BE982" s="1029"/>
      <c r="BF982" s="1029"/>
    </row>
    <row r="983" s="1249" customFormat="1">
      <c r="A983" s="999" t="str">
        <f t="shared" si="1425"/>
        <v xml:space="preserve">Старшие м.- АОКБ (кислород)</v>
      </c>
      <c r="B983" s="1202" t="s">
        <v>511</v>
      </c>
      <c r="C983" s="1202"/>
      <c r="D983" s="1202"/>
      <c r="E983" s="1164">
        <f t="shared" si="1432"/>
        <v>0</v>
      </c>
      <c r="F983" s="1164">
        <f t="shared" si="1432"/>
        <v>0</v>
      </c>
      <c r="G983" s="1165">
        <f t="shared" si="1433"/>
        <v>0</v>
      </c>
      <c r="H983" s="1166"/>
      <c r="I983" s="1167">
        <f t="shared" si="1410"/>
        <v>0</v>
      </c>
      <c r="J983" s="1167">
        <f t="shared" si="1424"/>
        <v>0</v>
      </c>
      <c r="K983" s="1168">
        <f t="shared" si="1434"/>
        <v>0</v>
      </c>
      <c r="L983" s="1119"/>
      <c r="M983" s="1169"/>
      <c r="N983" s="1177"/>
      <c r="O983" s="1169"/>
      <c r="P983" s="1169"/>
      <c r="Q983" s="1169">
        <f t="shared" si="1435"/>
        <v>0</v>
      </c>
      <c r="R983" s="1169"/>
      <c r="S983" s="1170"/>
      <c r="T983" s="1171"/>
      <c r="U983" s="1128"/>
      <c r="V983" s="1169"/>
      <c r="W983" s="1177"/>
      <c r="X983" s="1177"/>
      <c r="Y983" s="1169"/>
      <c r="Z983" s="1169">
        <f t="shared" si="1436"/>
        <v>0</v>
      </c>
      <c r="AA983" s="1169"/>
      <c r="AB983" s="1172">
        <f t="shared" si="1428"/>
        <v>0</v>
      </c>
      <c r="AC983" s="1171"/>
      <c r="AD983" s="1119"/>
      <c r="AE983" s="1169"/>
      <c r="AF983" s="1177"/>
      <c r="AG983" s="1177"/>
      <c r="AH983" s="1169"/>
      <c r="AI983" s="1169">
        <f t="shared" si="1437"/>
        <v>0</v>
      </c>
      <c r="AJ983" s="1169"/>
      <c r="AK983" s="1170"/>
      <c r="AL983" s="1171"/>
      <c r="AM983" s="1128"/>
      <c r="AN983" s="1170"/>
      <c r="AO983" s="1175"/>
      <c r="AP983" s="1175"/>
      <c r="AQ983" s="1170"/>
      <c r="AR983" s="1170">
        <f t="shared" si="1438"/>
        <v>0</v>
      </c>
      <c r="AS983" s="1170"/>
      <c r="AT983" s="1170"/>
      <c r="AU983" s="1313"/>
      <c r="AV983" s="1131"/>
      <c r="AW983" s="1169"/>
      <c r="AX983" s="1177"/>
      <c r="AY983" s="1177"/>
      <c r="AZ983" s="1169"/>
      <c r="BA983" s="1169">
        <f t="shared" si="1439"/>
        <v>0</v>
      </c>
      <c r="BB983" s="1169"/>
      <c r="BC983" s="1251"/>
      <c r="BD983" s="1250"/>
      <c r="BE983" s="1251"/>
      <c r="BF983" s="1251"/>
      <c r="BG983" s="1252"/>
      <c r="BH983" s="1252"/>
      <c r="BI983" s="1252"/>
      <c r="BJ983" s="1252"/>
      <c r="BK983" s="1252"/>
      <c r="BL983" s="1252"/>
      <c r="BM983" s="1252"/>
    </row>
    <row r="984" s="1249" customFormat="1">
      <c r="A984" s="999"/>
      <c r="B984" s="1205" t="s">
        <v>27</v>
      </c>
      <c r="C984" s="1205"/>
      <c r="D984" s="1205"/>
      <c r="E984" s="1183">
        <f>SUM(E958:E983)</f>
        <v>0</v>
      </c>
      <c r="F984" s="1183">
        <f>SUM(F958:F983)</f>
        <v>0</v>
      </c>
      <c r="G984" s="1184">
        <f>SUM(G958:G983)</f>
        <v>0</v>
      </c>
      <c r="H984" s="1185"/>
      <c r="I984" s="1167">
        <f t="shared" si="1410"/>
        <v>0</v>
      </c>
      <c r="J984" s="1167">
        <f t="shared" si="1424"/>
        <v>0</v>
      </c>
      <c r="K984" s="1187">
        <f>SUM(K958:K983)</f>
        <v>0</v>
      </c>
      <c r="L984" s="1206"/>
      <c r="M984" s="1213">
        <f t="shared" ref="M984:R984" si="1442">SUM(M958:M983)</f>
        <v>0</v>
      </c>
      <c r="N984" s="1213">
        <f t="shared" si="1442"/>
        <v>0</v>
      </c>
      <c r="O984" s="1213">
        <f t="shared" si="1442"/>
        <v>0</v>
      </c>
      <c r="P984" s="1213">
        <f t="shared" si="1442"/>
        <v>0</v>
      </c>
      <c r="Q984" s="1213">
        <f t="shared" si="1442"/>
        <v>0</v>
      </c>
      <c r="R984" s="1213">
        <f t="shared" si="1442"/>
        <v>0</v>
      </c>
      <c r="S984" s="1304"/>
      <c r="T984" s="1214"/>
      <c r="U984" s="1210">
        <f t="shared" ref="U984:AA984" si="1443">SUM(U958:U983)</f>
        <v>0</v>
      </c>
      <c r="V984" s="1209">
        <f t="shared" si="1443"/>
        <v>0</v>
      </c>
      <c r="W984" s="1209">
        <f t="shared" si="1443"/>
        <v>0</v>
      </c>
      <c r="X984" s="1209">
        <f t="shared" si="1443"/>
        <v>0</v>
      </c>
      <c r="Y984" s="1209">
        <f t="shared" si="1443"/>
        <v>0</v>
      </c>
      <c r="Z984" s="1209">
        <f t="shared" si="1443"/>
        <v>0</v>
      </c>
      <c r="AA984" s="1209">
        <f t="shared" si="1443"/>
        <v>0</v>
      </c>
      <c r="AB984" s="1172">
        <f t="shared" si="1428"/>
        <v>0</v>
      </c>
      <c r="AC984" s="1208"/>
      <c r="AD984" s="1206">
        <f t="shared" ref="AD984:AJ984" si="1444">SUM(AD958:AD983)</f>
        <v>0</v>
      </c>
      <c r="AE984" s="1209">
        <f t="shared" si="1444"/>
        <v>0</v>
      </c>
      <c r="AF984" s="1209">
        <f t="shared" si="1444"/>
        <v>0</v>
      </c>
      <c r="AG984" s="1209">
        <f t="shared" si="1444"/>
        <v>0</v>
      </c>
      <c r="AH984" s="1209">
        <f t="shared" si="1444"/>
        <v>0</v>
      </c>
      <c r="AI984" s="1209">
        <f t="shared" si="1444"/>
        <v>0</v>
      </c>
      <c r="AJ984" s="1209">
        <f t="shared" si="1444"/>
        <v>0</v>
      </c>
      <c r="AK984" s="1211"/>
      <c r="AL984" s="1208"/>
      <c r="AM984" s="1128"/>
      <c r="AN984" s="1190">
        <f t="shared" ref="AN984:AS984" si="1445">SUM(AN958:AN983)</f>
        <v>0</v>
      </c>
      <c r="AO984" s="1190">
        <f t="shared" si="1445"/>
        <v>0</v>
      </c>
      <c r="AP984" s="1190">
        <f t="shared" si="1445"/>
        <v>0</v>
      </c>
      <c r="AQ984" s="1190">
        <f t="shared" si="1445"/>
        <v>0</v>
      </c>
      <c r="AR984" s="1190">
        <f t="shared" si="1445"/>
        <v>0</v>
      </c>
      <c r="AS984" s="1190">
        <f t="shared" si="1445"/>
        <v>0</v>
      </c>
      <c r="AT984" s="1190"/>
      <c r="AU984" s="1314"/>
      <c r="AV984" s="1131"/>
      <c r="AW984" s="1096">
        <f t="shared" ref="AW984:BB984" si="1446">SUM(AW958:AW983)</f>
        <v>0</v>
      </c>
      <c r="AX984" s="1096">
        <f t="shared" si="1446"/>
        <v>0</v>
      </c>
      <c r="AY984" s="1096">
        <f t="shared" si="1446"/>
        <v>0</v>
      </c>
      <c r="AZ984" s="1096">
        <f t="shared" si="1446"/>
        <v>0</v>
      </c>
      <c r="BA984" s="1096">
        <f t="shared" si="1446"/>
        <v>0</v>
      </c>
      <c r="BB984" s="1096">
        <f t="shared" si="1446"/>
        <v>0</v>
      </c>
      <c r="BC984" s="1251"/>
      <c r="BD984" s="1250"/>
      <c r="BE984" s="1251"/>
      <c r="BF984" s="1251"/>
      <c r="BG984" s="1252"/>
      <c r="BH984" s="1252"/>
      <c r="BI984" s="1252"/>
      <c r="BJ984" s="1252"/>
      <c r="BK984" s="1252"/>
      <c r="BL984" s="1252"/>
      <c r="BM984" s="1252"/>
    </row>
    <row r="985" s="1249" customFormat="1" ht="22.149999999999999" customHeight="1">
      <c r="A985" s="1274"/>
      <c r="B985" s="1205" t="s">
        <v>515</v>
      </c>
      <c r="C985" s="1205"/>
      <c r="D985" s="1205"/>
      <c r="E985" s="1302">
        <f>E984+E957+E943+E934</f>
        <v>0</v>
      </c>
      <c r="F985" s="1302">
        <f>F984+F957+F943+F934</f>
        <v>0</v>
      </c>
      <c r="G985" s="1316">
        <f>G984+G957+G943+G934</f>
        <v>0</v>
      </c>
      <c r="H985" s="1317"/>
      <c r="I985" s="1167">
        <f t="shared" si="1410"/>
        <v>0</v>
      </c>
      <c r="J985" s="1167">
        <f t="shared" si="1424"/>
        <v>0</v>
      </c>
      <c r="K985" s="1318">
        <f>K984+K957+K943+K934</f>
        <v>0</v>
      </c>
      <c r="L985" s="1064">
        <f t="shared" ref="L985:R985" si="1447">L984+L957+L943+L934</f>
        <v>0</v>
      </c>
      <c r="M985" s="1319">
        <f t="shared" si="1447"/>
        <v>0</v>
      </c>
      <c r="N985" s="1319">
        <f t="shared" si="1447"/>
        <v>0</v>
      </c>
      <c r="O985" s="1096">
        <f t="shared" si="1447"/>
        <v>0</v>
      </c>
      <c r="P985" s="1096">
        <f t="shared" si="1447"/>
        <v>0</v>
      </c>
      <c r="Q985" s="1096">
        <f t="shared" si="1447"/>
        <v>0</v>
      </c>
      <c r="R985" s="1096">
        <f t="shared" si="1447"/>
        <v>0</v>
      </c>
      <c r="S985" s="1190"/>
      <c r="T985" s="1189"/>
      <c r="U985" s="1190">
        <f t="shared" ref="U985:AA985" si="1448">U984+U957+U943+U934</f>
        <v>0</v>
      </c>
      <c r="V985" s="1096">
        <f t="shared" si="1448"/>
        <v>0</v>
      </c>
      <c r="W985" s="1096">
        <f t="shared" si="1448"/>
        <v>0</v>
      </c>
      <c r="X985" s="1096">
        <f t="shared" si="1448"/>
        <v>0</v>
      </c>
      <c r="Y985" s="1096">
        <f t="shared" si="1448"/>
        <v>0</v>
      </c>
      <c r="Z985" s="1096">
        <f t="shared" si="1448"/>
        <v>0</v>
      </c>
      <c r="AA985" s="1096">
        <f t="shared" si="1448"/>
        <v>0</v>
      </c>
      <c r="AB985" s="1172">
        <f t="shared" si="1428"/>
        <v>0</v>
      </c>
      <c r="AC985" s="1189"/>
      <c r="AD985" s="1188">
        <f t="shared" ref="AD985:AJ985" si="1449">AD984+AD957+AD943+AD934</f>
        <v>0</v>
      </c>
      <c r="AE985" s="1096">
        <f t="shared" si="1449"/>
        <v>0</v>
      </c>
      <c r="AF985" s="1096">
        <f t="shared" si="1449"/>
        <v>0</v>
      </c>
      <c r="AG985" s="1096">
        <f t="shared" si="1449"/>
        <v>0</v>
      </c>
      <c r="AH985" s="1096">
        <f t="shared" si="1449"/>
        <v>0</v>
      </c>
      <c r="AI985" s="1096">
        <f t="shared" si="1449"/>
        <v>0</v>
      </c>
      <c r="AJ985" s="1096">
        <f t="shared" si="1449"/>
        <v>0</v>
      </c>
      <c r="AK985" s="1190"/>
      <c r="AL985" s="1189"/>
      <c r="AM985" s="1197">
        <f t="shared" ref="AM985:AS985" si="1450">AM984+AM957+AM943+AM934</f>
        <v>0</v>
      </c>
      <c r="AN985" s="1190">
        <f t="shared" si="1450"/>
        <v>0</v>
      </c>
      <c r="AO985" s="1190">
        <f t="shared" si="1450"/>
        <v>0</v>
      </c>
      <c r="AP985" s="1190">
        <f t="shared" si="1450"/>
        <v>0</v>
      </c>
      <c r="AQ985" s="1190">
        <f t="shared" si="1450"/>
        <v>0</v>
      </c>
      <c r="AR985" s="1190">
        <f t="shared" si="1450"/>
        <v>0</v>
      </c>
      <c r="AS985" s="1190">
        <f t="shared" si="1450"/>
        <v>0</v>
      </c>
      <c r="AT985" s="1190"/>
      <c r="AU985" s="1314"/>
      <c r="AV985" s="1096">
        <f t="shared" ref="AV985:BB985" si="1451">AV984+AV957+AV943+AV934</f>
        <v>0</v>
      </c>
      <c r="AW985" s="1096">
        <f t="shared" si="1451"/>
        <v>0</v>
      </c>
      <c r="AX985" s="1096">
        <f t="shared" si="1451"/>
        <v>0</v>
      </c>
      <c r="AY985" s="1096">
        <f t="shared" si="1451"/>
        <v>0</v>
      </c>
      <c r="AZ985" s="1096">
        <f t="shared" si="1451"/>
        <v>0</v>
      </c>
      <c r="BA985" s="1096">
        <f t="shared" si="1451"/>
        <v>0</v>
      </c>
      <c r="BB985" s="1096">
        <f t="shared" si="1451"/>
        <v>0</v>
      </c>
      <c r="BC985" s="1251"/>
      <c r="BD985" s="1250"/>
      <c r="BE985" s="1251"/>
      <c r="BF985" s="1251"/>
      <c r="BG985" s="1252"/>
      <c r="BH985" s="1252"/>
      <c r="BI985" s="1252"/>
      <c r="BJ985" s="1252"/>
      <c r="BK985" s="1252"/>
      <c r="BL985" s="1252"/>
      <c r="BM985" s="1252"/>
    </row>
    <row r="986" s="1249" customFormat="1" ht="22.149999999999999" customHeight="1">
      <c r="A986" s="1274"/>
      <c r="B986" s="1286"/>
      <c r="C986" s="1286"/>
      <c r="D986" s="1286"/>
      <c r="E986" s="1287"/>
      <c r="F986" s="1287"/>
      <c r="G986" s="1320"/>
      <c r="H986" s="1321"/>
      <c r="I986" s="1322"/>
      <c r="J986" s="1322"/>
      <c r="K986" s="1323">
        <f t="shared" ref="K986:K987" si="1452">G986-AB986</f>
        <v>0</v>
      </c>
      <c r="L986" s="1324"/>
      <c r="M986" s="1325"/>
      <c r="N986" s="1325"/>
      <c r="O986" s="1292"/>
      <c r="P986" s="1292"/>
      <c r="Q986" s="1292"/>
      <c r="R986" s="1292"/>
      <c r="S986" s="1292"/>
      <c r="T986" s="1291"/>
      <c r="U986" s="1022"/>
      <c r="V986" s="1292"/>
      <c r="W986" s="1292"/>
      <c r="X986" s="1292"/>
      <c r="Y986" s="1292"/>
      <c r="Z986" s="1292"/>
      <c r="AA986" s="1292"/>
      <c r="AB986" s="1292"/>
      <c r="AC986" s="1291"/>
      <c r="AD986" s="1022"/>
      <c r="AE986" s="1292"/>
      <c r="AF986" s="1292"/>
      <c r="AG986" s="1292"/>
      <c r="AH986" s="1292"/>
      <c r="AI986" s="1292"/>
      <c r="AJ986" s="1292"/>
      <c r="AK986" s="1292"/>
      <c r="AL986" s="1291"/>
      <c r="AM986" s="1022"/>
      <c r="AN986" s="1292"/>
      <c r="AO986" s="1292"/>
      <c r="AP986" s="1292"/>
      <c r="AQ986" s="1292"/>
      <c r="AR986" s="1292"/>
      <c r="AS986" s="1292"/>
      <c r="AT986" s="1292"/>
      <c r="AU986" s="1293"/>
      <c r="AV986" s="1028"/>
      <c r="AW986" s="1292"/>
      <c r="AX986" s="1292"/>
      <c r="AY986" s="1292"/>
      <c r="AZ986" s="1292"/>
      <c r="BA986" s="1292"/>
      <c r="BB986" s="1292"/>
      <c r="BC986" s="1251"/>
      <c r="BD986" s="1250"/>
      <c r="BE986" s="1251"/>
      <c r="BF986" s="1251"/>
      <c r="BG986" s="1252"/>
      <c r="BH986" s="1252"/>
      <c r="BI986" s="1252"/>
      <c r="BJ986" s="1252"/>
      <c r="BK986" s="1252"/>
      <c r="BL986" s="1252"/>
      <c r="BM986" s="1252"/>
    </row>
    <row r="987">
      <c r="A987" s="1274"/>
      <c r="B987" s="1029"/>
      <c r="C987" s="1029"/>
      <c r="D987" s="1029"/>
      <c r="E987" s="1017"/>
      <c r="F987" s="1017"/>
      <c r="G987" s="1326"/>
      <c r="H987" s="1327"/>
      <c r="I987" s="1328"/>
      <c r="J987" s="1328"/>
      <c r="K987" s="1329">
        <f t="shared" si="1452"/>
        <v>0</v>
      </c>
      <c r="L987" s="1330"/>
      <c r="M987" s="1331"/>
      <c r="N987" s="1331"/>
      <c r="O987" s="1023"/>
      <c r="P987" s="1023"/>
      <c r="Q987" s="1023"/>
      <c r="R987" s="1023"/>
      <c r="S987" s="1023"/>
      <c r="T987" s="1262"/>
      <c r="U987" s="1022"/>
      <c r="V987" s="1023"/>
      <c r="W987" s="1024"/>
      <c r="X987" s="1024"/>
      <c r="Y987" s="1023"/>
      <c r="Z987" s="1023"/>
      <c r="AA987" s="1023"/>
      <c r="AB987" s="1023"/>
      <c r="AC987" s="1262"/>
      <c r="AD987" s="1022"/>
      <c r="AE987" s="1023"/>
      <c r="AF987" s="1023"/>
      <c r="AG987" s="1023"/>
      <c r="AH987" s="1023"/>
      <c r="AI987" s="1023"/>
      <c r="AJ987" s="1023"/>
      <c r="AK987" s="1023"/>
      <c r="AL987" s="1262"/>
      <c r="AM987" s="1022"/>
      <c r="AN987" s="1023"/>
      <c r="AO987" s="1023"/>
      <c r="AP987" s="1023"/>
      <c r="AQ987" s="1023"/>
      <c r="AR987" s="1023"/>
      <c r="AS987" s="1023"/>
      <c r="AT987" s="1023"/>
      <c r="AU987" s="1263"/>
      <c r="AV987" s="1028"/>
      <c r="AW987" s="1023"/>
      <c r="AX987" s="1023"/>
      <c r="AY987" s="1023"/>
      <c r="AZ987" s="1023"/>
      <c r="BA987" s="1023"/>
      <c r="BB987" s="1023"/>
      <c r="BC987" s="1029"/>
      <c r="BD987" s="1027"/>
      <c r="BE987" s="1029"/>
      <c r="BF987" s="1029"/>
    </row>
    <row r="988" ht="38.25" customHeight="1">
      <c r="A988" s="1274"/>
      <c r="B988" s="1264" t="s">
        <v>516</v>
      </c>
      <c r="C988" s="1312"/>
      <c r="D988" s="1312"/>
      <c r="E988" s="1113" t="s">
        <v>347</v>
      </c>
      <c r="F988" s="1114"/>
      <c r="G988" s="1114"/>
      <c r="H988" s="1115"/>
      <c r="I988" s="1235" t="s">
        <v>335</v>
      </c>
      <c r="J988" s="1236"/>
      <c r="K988" s="1237"/>
      <c r="L988" s="1119"/>
      <c r="M988" s="1120" t="s">
        <v>127</v>
      </c>
      <c r="N988" s="1121"/>
      <c r="O988" s="1121"/>
      <c r="P988" s="1121"/>
      <c r="Q988" s="1121"/>
      <c r="R988" s="1122"/>
      <c r="S988" s="1123"/>
      <c r="T988" s="1124"/>
      <c r="U988" s="1125"/>
      <c r="V988" s="1120" t="s">
        <v>325</v>
      </c>
      <c r="W988" s="1121"/>
      <c r="X988" s="1121"/>
      <c r="Y988" s="1121"/>
      <c r="Z988" s="1121"/>
      <c r="AA988" s="1122"/>
      <c r="AB988" s="1115"/>
      <c r="AC988" s="1126"/>
      <c r="AD988" s="1125"/>
      <c r="AE988" s="1120" t="s">
        <v>311</v>
      </c>
      <c r="AF988" s="1121"/>
      <c r="AG988" s="1121"/>
      <c r="AH988" s="1121"/>
      <c r="AI988" s="1121"/>
      <c r="AJ988" s="1122"/>
      <c r="AK988" s="1127"/>
      <c r="AL988" s="1126"/>
      <c r="AM988" s="1128"/>
      <c r="AN988" s="1043" t="s">
        <v>327</v>
      </c>
      <c r="AO988" s="1044"/>
      <c r="AP988" s="1044"/>
      <c r="AQ988" s="1044"/>
      <c r="AR988" s="1044"/>
      <c r="AS988" s="1045"/>
      <c r="AT988" s="1129"/>
      <c r="AU988" s="1130"/>
      <c r="AV988" s="1131"/>
      <c r="AW988" s="1043" t="s">
        <v>349</v>
      </c>
      <c r="AX988" s="1044"/>
      <c r="AY988" s="1044"/>
      <c r="AZ988" s="1044"/>
      <c r="BA988" s="1044"/>
      <c r="BB988" s="1045"/>
      <c r="BC988" s="1029"/>
      <c r="BD988" s="1027"/>
      <c r="BE988" s="1133"/>
      <c r="BF988" s="1133"/>
    </row>
    <row r="989" ht="18.75" customHeight="1">
      <c r="A989" s="1110"/>
      <c r="B989" s="1134" t="s">
        <v>350</v>
      </c>
      <c r="C989" s="1134"/>
      <c r="D989" s="1134"/>
      <c r="E989" s="1135" t="s">
        <v>332</v>
      </c>
      <c r="F989" s="1135" t="s">
        <v>333</v>
      </c>
      <c r="G989" s="1136" t="s">
        <v>334</v>
      </c>
      <c r="H989" s="1137" t="s">
        <v>341</v>
      </c>
      <c r="I989" s="1138"/>
      <c r="J989" s="1138"/>
      <c r="K989" s="1139"/>
      <c r="L989" s="1119"/>
      <c r="M989" s="1073" t="s">
        <v>336</v>
      </c>
      <c r="N989" s="1073" t="s">
        <v>337</v>
      </c>
      <c r="O989" s="1073" t="s">
        <v>338</v>
      </c>
      <c r="P989" s="1073" t="s">
        <v>344</v>
      </c>
      <c r="Q989" s="1073" t="s">
        <v>351</v>
      </c>
      <c r="R989" s="1140" t="s">
        <v>339</v>
      </c>
      <c r="S989" s="1141" t="s">
        <v>340</v>
      </c>
      <c r="T989" s="1142"/>
      <c r="U989" s="1128"/>
      <c r="V989" s="1073" t="s">
        <v>336</v>
      </c>
      <c r="W989" s="1073" t="s">
        <v>337</v>
      </c>
      <c r="X989" s="1073" t="s">
        <v>338</v>
      </c>
      <c r="Y989" s="1073" t="s">
        <v>344</v>
      </c>
      <c r="Z989" s="1073" t="s">
        <v>351</v>
      </c>
      <c r="AA989" s="1140" t="s">
        <v>339</v>
      </c>
      <c r="AB989" s="1143" t="str">
        <f>S989</f>
        <v xml:space="preserve">Итого (спирт+наркотики+растворы+перевязка)</v>
      </c>
      <c r="AC989" s="1142"/>
      <c r="AD989" s="1128"/>
      <c r="AE989" s="1073" t="s">
        <v>336</v>
      </c>
      <c r="AF989" s="1073" t="s">
        <v>337</v>
      </c>
      <c r="AG989" s="1073" t="s">
        <v>338</v>
      </c>
      <c r="AH989" s="1073" t="s">
        <v>344</v>
      </c>
      <c r="AI989" s="1073" t="s">
        <v>351</v>
      </c>
      <c r="AJ989" s="1140" t="s">
        <v>339</v>
      </c>
      <c r="AK989" s="1141" t="s">
        <v>340</v>
      </c>
      <c r="AL989" s="1142"/>
      <c r="AM989" s="1128"/>
      <c r="AN989" s="1144" t="s">
        <v>336</v>
      </c>
      <c r="AO989" s="1144" t="s">
        <v>337</v>
      </c>
      <c r="AP989" s="1144" t="s">
        <v>338</v>
      </c>
      <c r="AQ989" s="1073" t="s">
        <v>344</v>
      </c>
      <c r="AR989" s="1073" t="s">
        <v>351</v>
      </c>
      <c r="AS989" s="1140" t="s">
        <v>339</v>
      </c>
      <c r="AT989" s="1145"/>
      <c r="AU989" s="1146"/>
      <c r="AV989" s="1131"/>
      <c r="AW989" s="1144" t="s">
        <v>336</v>
      </c>
      <c r="AX989" s="1144" t="s">
        <v>337</v>
      </c>
      <c r="AY989" s="1144" t="s">
        <v>338</v>
      </c>
      <c r="AZ989" s="1073" t="s">
        <v>344</v>
      </c>
      <c r="BA989" s="1073" t="s">
        <v>351</v>
      </c>
      <c r="BB989" s="1140" t="s">
        <v>339</v>
      </c>
      <c r="BC989" s="1147"/>
      <c r="BD989" s="1132"/>
      <c r="BE989" s="1133"/>
      <c r="BF989" s="1133"/>
    </row>
    <row r="990" ht="39.75" customHeight="1">
      <c r="A990" s="1110"/>
      <c r="B990" s="1149"/>
      <c r="C990" s="1149"/>
      <c r="D990" s="1149"/>
      <c r="E990" s="1150"/>
      <c r="F990" s="1150"/>
      <c r="G990" s="1151"/>
      <c r="H990" s="1152"/>
      <c r="I990" s="1153" t="s">
        <v>342</v>
      </c>
      <c r="J990" s="1154" t="s">
        <v>339</v>
      </c>
      <c r="K990" s="1155" t="s">
        <v>335</v>
      </c>
      <c r="L990" s="1119"/>
      <c r="M990" s="1095"/>
      <c r="N990" s="1095"/>
      <c r="O990" s="1095"/>
      <c r="P990" s="1095"/>
      <c r="Q990" s="1095"/>
      <c r="R990" s="1123"/>
      <c r="S990" s="1156"/>
      <c r="T990" s="1124"/>
      <c r="U990" s="1128"/>
      <c r="V990" s="1095"/>
      <c r="W990" s="1095"/>
      <c r="X990" s="1095"/>
      <c r="Y990" s="1095"/>
      <c r="Z990" s="1095"/>
      <c r="AA990" s="1123"/>
      <c r="AB990" s="1157"/>
      <c r="AC990" s="1124"/>
      <c r="AD990" s="1128"/>
      <c r="AE990" s="1095"/>
      <c r="AF990" s="1095"/>
      <c r="AG990" s="1095"/>
      <c r="AH990" s="1095"/>
      <c r="AI990" s="1095"/>
      <c r="AJ990" s="1123"/>
      <c r="AK990" s="1156"/>
      <c r="AL990" s="1124"/>
      <c r="AM990" s="1128"/>
      <c r="AN990" s="1158"/>
      <c r="AO990" s="1158"/>
      <c r="AP990" s="1158"/>
      <c r="AQ990" s="1095"/>
      <c r="AR990" s="1095"/>
      <c r="AS990" s="1123"/>
      <c r="AT990" s="1159"/>
      <c r="AU990" s="1160"/>
      <c r="AV990" s="1131"/>
      <c r="AW990" s="1158"/>
      <c r="AX990" s="1158"/>
      <c r="AY990" s="1158"/>
      <c r="AZ990" s="1095"/>
      <c r="BA990" s="1095"/>
      <c r="BB990" s="1123"/>
      <c r="BC990" s="1161"/>
      <c r="BD990" s="1132"/>
      <c r="BE990" s="1133"/>
      <c r="BF990" s="1133"/>
    </row>
    <row r="991">
      <c r="A991" s="999" t="str">
        <f t="shared" si="1425"/>
        <v xml:space="preserve">Павельева Л.Г.</v>
      </c>
      <c r="B991" s="1162" t="s">
        <v>178</v>
      </c>
      <c r="C991" s="1162"/>
      <c r="D991" s="1162"/>
      <c r="E991" s="1164">
        <f t="shared" ref="E991:F1010" si="1453">Q991+Z991+AI991+AR991+BA991</f>
        <v>0</v>
      </c>
      <c r="F991" s="1164">
        <f>R991+AA991+AJ991+AS991+BB991</f>
        <v>0</v>
      </c>
      <c r="G991" s="1165">
        <f t="shared" ref="G991:G998" si="1454">E991+F991</f>
        <v>0</v>
      </c>
      <c r="H991" s="1166"/>
      <c r="I991" s="1167">
        <f t="shared" si="1410"/>
        <v>0</v>
      </c>
      <c r="J991" s="1167">
        <f t="shared" si="1424"/>
        <v>0</v>
      </c>
      <c r="K991" s="1168">
        <f t="shared" ref="K991:K998" si="1455">I991+J991</f>
        <v>0</v>
      </c>
      <c r="L991" s="1119"/>
      <c r="M991" s="1169"/>
      <c r="N991" s="1169"/>
      <c r="O991" s="1169"/>
      <c r="P991" s="1169"/>
      <c r="Q991" s="1169">
        <f t="shared" ref="Q991:Q998" si="1456">SUM(M991:P991)</f>
        <v>0</v>
      </c>
      <c r="R991" s="1169"/>
      <c r="S991" s="1169"/>
      <c r="T991" s="1240"/>
      <c r="U991" s="1119"/>
      <c r="V991" s="1169"/>
      <c r="W991" s="1169"/>
      <c r="X991" s="1169"/>
      <c r="Y991" s="1169"/>
      <c r="Z991" s="1170">
        <f t="shared" ref="Z991:Z998" si="1457">SUM(V991:Y991)</f>
        <v>0</v>
      </c>
      <c r="AA991" s="1169"/>
      <c r="AB991" s="1332"/>
      <c r="AC991" s="1240"/>
      <c r="AD991" s="1119"/>
      <c r="AE991" s="1169"/>
      <c r="AF991" s="1169"/>
      <c r="AG991" s="1169"/>
      <c r="AH991" s="1169"/>
      <c r="AI991" s="1169">
        <f t="shared" ref="AI991:AI998" si="1458">SUM(AE991:AH991)</f>
        <v>0</v>
      </c>
      <c r="AJ991" s="1169"/>
      <c r="AK991" s="1170"/>
      <c r="AL991" s="1171"/>
      <c r="AM991" s="1128"/>
      <c r="AN991" s="1170"/>
      <c r="AO991" s="1170"/>
      <c r="AP991" s="1170"/>
      <c r="AQ991" s="1170"/>
      <c r="AR991" s="1170">
        <f t="shared" ref="AR991:AR998" si="1459">SUM(AN991:AQ991)</f>
        <v>0</v>
      </c>
      <c r="AS991" s="1170"/>
      <c r="AT991" s="1169"/>
      <c r="AU991" s="1313"/>
      <c r="AV991" s="1131"/>
      <c r="AW991" s="1169"/>
      <c r="AX991" s="1169"/>
      <c r="AY991" s="1169"/>
      <c r="AZ991" s="1169"/>
      <c r="BA991" s="1169">
        <f t="shared" ref="BA991:BA998" si="1460">SUM(AW991:AZ991)</f>
        <v>0</v>
      </c>
      <c r="BB991" s="1169"/>
      <c r="BC991" s="1029"/>
      <c r="BD991" s="1027"/>
      <c r="BE991" s="1029"/>
      <c r="BF991" s="1029"/>
    </row>
    <row r="992">
      <c r="A992" s="999" t="str">
        <f t="shared" si="1425"/>
        <v xml:space="preserve">Губаренко О.Н.</v>
      </c>
      <c r="B992" s="1176" t="s">
        <v>354</v>
      </c>
      <c r="C992" s="1176"/>
      <c r="D992" s="1176"/>
      <c r="E992" s="1164">
        <f t="shared" si="1453"/>
        <v>0</v>
      </c>
      <c r="F992" s="1164">
        <f t="shared" si="1453"/>
        <v>0</v>
      </c>
      <c r="G992" s="1165">
        <f t="shared" si="1454"/>
        <v>0</v>
      </c>
      <c r="H992" s="1166"/>
      <c r="I992" s="1167">
        <f t="shared" si="1410"/>
        <v>0</v>
      </c>
      <c r="J992" s="1167">
        <f t="shared" si="1410"/>
        <v>0</v>
      </c>
      <c r="K992" s="1168">
        <f t="shared" si="1455"/>
        <v>0</v>
      </c>
      <c r="L992" s="1119"/>
      <c r="M992" s="1169"/>
      <c r="N992" s="1177"/>
      <c r="O992" s="1169"/>
      <c r="P992" s="1169"/>
      <c r="Q992" s="1169">
        <f t="shared" si="1456"/>
        <v>0</v>
      </c>
      <c r="R992" s="1169"/>
      <c r="S992" s="1169"/>
      <c r="T992" s="1240"/>
      <c r="U992" s="1119"/>
      <c r="V992" s="1169"/>
      <c r="W992" s="1177"/>
      <c r="X992" s="1177"/>
      <c r="Y992" s="1169"/>
      <c r="Z992" s="1170">
        <f t="shared" si="1457"/>
        <v>0</v>
      </c>
      <c r="AA992" s="1169"/>
      <c r="AB992" s="1332"/>
      <c r="AC992" s="1240"/>
      <c r="AD992" s="1119"/>
      <c r="AE992" s="1169"/>
      <c r="AF992" s="1177"/>
      <c r="AG992" s="1177"/>
      <c r="AH992" s="1169"/>
      <c r="AI992" s="1169">
        <f t="shared" si="1458"/>
        <v>0</v>
      </c>
      <c r="AJ992" s="1169"/>
      <c r="AK992" s="1170"/>
      <c r="AL992" s="1171"/>
      <c r="AM992" s="1128"/>
      <c r="AN992" s="1170"/>
      <c r="AO992" s="1175"/>
      <c r="AP992" s="1175"/>
      <c r="AQ992" s="1170"/>
      <c r="AR992" s="1170">
        <f t="shared" si="1459"/>
        <v>0</v>
      </c>
      <c r="AS992" s="1170"/>
      <c r="AT992" s="1169"/>
      <c r="AU992" s="1313"/>
      <c r="AV992" s="1131"/>
      <c r="AW992" s="1169"/>
      <c r="AX992" s="1177"/>
      <c r="AY992" s="1177"/>
      <c r="AZ992" s="1169"/>
      <c r="BA992" s="1169">
        <f t="shared" si="1460"/>
        <v>0</v>
      </c>
      <c r="BB992" s="1169"/>
      <c r="BC992" s="1029"/>
      <c r="BD992" s="1027"/>
      <c r="BE992" s="1029"/>
      <c r="BF992" s="1029"/>
    </row>
    <row r="993">
      <c r="A993" s="999" t="str">
        <f t="shared" si="1425"/>
        <v xml:space="preserve">Петрюк Е.В.</v>
      </c>
      <c r="B993" s="1176" t="s">
        <v>181</v>
      </c>
      <c r="C993" s="1176"/>
      <c r="D993" s="1176"/>
      <c r="E993" s="1164">
        <f t="shared" si="1453"/>
        <v>0</v>
      </c>
      <c r="F993" s="1164">
        <f>R1012+AA993+AJ993+AS993+BB993</f>
        <v>0</v>
      </c>
      <c r="G993" s="1165">
        <f t="shared" si="1454"/>
        <v>0</v>
      </c>
      <c r="H993" s="1166"/>
      <c r="I993" s="1167">
        <f t="shared" si="1410"/>
        <v>0</v>
      </c>
      <c r="J993" s="1167">
        <f t="shared" si="1410"/>
        <v>0</v>
      </c>
      <c r="K993" s="1168">
        <f t="shared" si="1455"/>
        <v>0</v>
      </c>
      <c r="L993" s="1119"/>
      <c r="M993" s="1169"/>
      <c r="N993" s="1177"/>
      <c r="O993" s="1169"/>
      <c r="P993" s="1169"/>
      <c r="Q993" s="1169">
        <f t="shared" si="1456"/>
        <v>0</v>
      </c>
      <c r="R993" s="1333"/>
      <c r="S993" s="1169"/>
      <c r="T993" s="1240"/>
      <c r="U993" s="1119"/>
      <c r="V993" s="1169"/>
      <c r="W993" s="1177"/>
      <c r="X993" s="1177"/>
      <c r="Y993" s="1169"/>
      <c r="Z993" s="1170">
        <f t="shared" si="1457"/>
        <v>0</v>
      </c>
      <c r="AA993" s="1169"/>
      <c r="AB993" s="1332"/>
      <c r="AC993" s="1240"/>
      <c r="AD993" s="1119"/>
      <c r="AE993" s="1169"/>
      <c r="AF993" s="1177"/>
      <c r="AG993" s="1177"/>
      <c r="AH993" s="1169"/>
      <c r="AI993" s="1169">
        <f t="shared" si="1458"/>
        <v>0</v>
      </c>
      <c r="AJ993" s="1169"/>
      <c r="AK993" s="1170"/>
      <c r="AL993" s="1171"/>
      <c r="AM993" s="1128"/>
      <c r="AN993" s="1170"/>
      <c r="AO993" s="1175"/>
      <c r="AP993" s="1175"/>
      <c r="AQ993" s="1170"/>
      <c r="AR993" s="1170">
        <f t="shared" si="1459"/>
        <v>0</v>
      </c>
      <c r="AS993" s="1170"/>
      <c r="AT993" s="1169"/>
      <c r="AU993" s="1313"/>
      <c r="AV993" s="1131"/>
      <c r="AW993" s="1169"/>
      <c r="AX993" s="1177"/>
      <c r="AY993" s="1177"/>
      <c r="AZ993" s="1169"/>
      <c r="BA993" s="1169">
        <f t="shared" si="1460"/>
        <v>0</v>
      </c>
      <c r="BB993" s="1169"/>
      <c r="BC993" s="1029"/>
      <c r="BD993" s="1027"/>
      <c r="BE993" s="1029"/>
      <c r="BF993" s="1029"/>
    </row>
    <row r="994" ht="18.75" customHeight="1">
      <c r="A994" s="999" t="str">
        <f t="shared" si="1425"/>
        <v xml:space="preserve">Кутько И.Г.</v>
      </c>
      <c r="B994" s="1176" t="s">
        <v>357</v>
      </c>
      <c r="C994" s="1176"/>
      <c r="D994" s="1176"/>
      <c r="E994" s="1164">
        <f t="shared" si="1453"/>
        <v>0</v>
      </c>
      <c r="F994" s="1164">
        <f t="shared" si="1453"/>
        <v>0</v>
      </c>
      <c r="G994" s="1165">
        <f t="shared" si="1454"/>
        <v>0</v>
      </c>
      <c r="H994" s="1166"/>
      <c r="I994" s="1167">
        <f t="shared" si="1410"/>
        <v>0</v>
      </c>
      <c r="J994" s="1167">
        <f t="shared" si="1410"/>
        <v>0</v>
      </c>
      <c r="K994" s="1168">
        <f t="shared" si="1455"/>
        <v>0</v>
      </c>
      <c r="L994" s="1119"/>
      <c r="M994" s="1169"/>
      <c r="N994" s="1177"/>
      <c r="O994" s="1169"/>
      <c r="P994" s="1169"/>
      <c r="Q994" s="1169">
        <f t="shared" si="1456"/>
        <v>0</v>
      </c>
      <c r="R994" s="1169"/>
      <c r="S994" s="1169"/>
      <c r="T994" s="1240"/>
      <c r="U994" s="1119"/>
      <c r="V994" s="1169"/>
      <c r="W994" s="1177"/>
      <c r="X994" s="1177"/>
      <c r="Y994" s="1169"/>
      <c r="Z994" s="1170">
        <f t="shared" si="1457"/>
        <v>0</v>
      </c>
      <c r="AA994" s="1169"/>
      <c r="AB994" s="1332"/>
      <c r="AC994" s="1240"/>
      <c r="AD994" s="1119"/>
      <c r="AE994" s="1169"/>
      <c r="AF994" s="1177"/>
      <c r="AG994" s="1177"/>
      <c r="AH994" s="1169"/>
      <c r="AI994" s="1169">
        <f t="shared" si="1458"/>
        <v>0</v>
      </c>
      <c r="AJ994" s="1169"/>
      <c r="AK994" s="1170"/>
      <c r="AL994" s="1171"/>
      <c r="AM994" s="1128"/>
      <c r="AN994" s="1170"/>
      <c r="AO994" s="1175"/>
      <c r="AP994" s="1175"/>
      <c r="AQ994" s="1170"/>
      <c r="AR994" s="1170">
        <f t="shared" si="1459"/>
        <v>0</v>
      </c>
      <c r="AS994" s="1170"/>
      <c r="AT994" s="1169"/>
      <c r="AU994" s="1313"/>
      <c r="AV994" s="1131"/>
      <c r="AW994" s="1169"/>
      <c r="AX994" s="1177"/>
      <c r="AY994" s="1177"/>
      <c r="AZ994" s="1169"/>
      <c r="BA994" s="1169">
        <f t="shared" si="1460"/>
        <v>0</v>
      </c>
      <c r="BB994" s="1169"/>
      <c r="BC994" s="1029"/>
      <c r="BD994" s="1027"/>
      <c r="BE994" s="1029"/>
      <c r="BF994" s="1029"/>
    </row>
    <row r="995">
      <c r="A995" s="999" t="str">
        <f t="shared" si="1425"/>
        <v xml:space="preserve">Елина С.И.</v>
      </c>
      <c r="B995" s="1176" t="s">
        <v>183</v>
      </c>
      <c r="C995" s="1176"/>
      <c r="D995" s="1176"/>
      <c r="E995" s="1164">
        <f t="shared" si="1453"/>
        <v>0</v>
      </c>
      <c r="F995" s="1164">
        <f t="shared" si="1453"/>
        <v>0</v>
      </c>
      <c r="G995" s="1165">
        <f t="shared" si="1454"/>
        <v>0</v>
      </c>
      <c r="H995" s="1166"/>
      <c r="I995" s="1167">
        <f t="shared" si="1410"/>
        <v>0</v>
      </c>
      <c r="J995" s="1167">
        <f t="shared" si="1410"/>
        <v>0</v>
      </c>
      <c r="K995" s="1168">
        <f t="shared" si="1455"/>
        <v>0</v>
      </c>
      <c r="L995" s="1119"/>
      <c r="M995" s="1169"/>
      <c r="N995" s="1177"/>
      <c r="O995" s="1169"/>
      <c r="P995" s="1169"/>
      <c r="Q995" s="1169">
        <f t="shared" si="1456"/>
        <v>0</v>
      </c>
      <c r="R995" s="1169"/>
      <c r="S995" s="1169"/>
      <c r="T995" s="1240"/>
      <c r="U995" s="1119"/>
      <c r="V995" s="1169"/>
      <c r="W995" s="1177"/>
      <c r="X995" s="1177"/>
      <c r="Y995" s="1169"/>
      <c r="Z995" s="1170">
        <f t="shared" si="1457"/>
        <v>0</v>
      </c>
      <c r="AA995" s="1169"/>
      <c r="AB995" s="1332"/>
      <c r="AC995" s="1240"/>
      <c r="AD995" s="1119"/>
      <c r="AE995" s="1169"/>
      <c r="AF995" s="1177"/>
      <c r="AG995" s="1177"/>
      <c r="AH995" s="1169"/>
      <c r="AI995" s="1169">
        <f t="shared" si="1458"/>
        <v>0</v>
      </c>
      <c r="AJ995" s="1169"/>
      <c r="AK995" s="1170"/>
      <c r="AL995" s="1171"/>
      <c r="AM995" s="1128"/>
      <c r="AN995" s="1170"/>
      <c r="AO995" s="1175"/>
      <c r="AP995" s="1175"/>
      <c r="AQ995" s="1170"/>
      <c r="AR995" s="1170">
        <f t="shared" si="1459"/>
        <v>0</v>
      </c>
      <c r="AS995" s="1170"/>
      <c r="AT995" s="1169"/>
      <c r="AU995" s="1313"/>
      <c r="AV995" s="1131"/>
      <c r="AW995" s="1169"/>
      <c r="AX995" s="1177"/>
      <c r="AY995" s="1177"/>
      <c r="AZ995" s="1169"/>
      <c r="BA995" s="1169">
        <f t="shared" si="1460"/>
        <v>0</v>
      </c>
      <c r="BB995" s="1169"/>
      <c r="BC995" s="1029"/>
      <c r="BD995" s="1027"/>
      <c r="BE995" s="1029"/>
      <c r="BF995" s="1029"/>
    </row>
    <row r="996">
      <c r="A996" s="999" t="str">
        <f t="shared" si="1425"/>
        <v xml:space="preserve">Никитина О.Г.</v>
      </c>
      <c r="B996" s="1176" t="s">
        <v>184</v>
      </c>
      <c r="C996" s="1176"/>
      <c r="D996" s="1176"/>
      <c r="E996" s="1164">
        <f t="shared" si="1453"/>
        <v>0</v>
      </c>
      <c r="F996" s="1164">
        <f t="shared" si="1453"/>
        <v>0</v>
      </c>
      <c r="G996" s="1165">
        <f t="shared" si="1454"/>
        <v>0</v>
      </c>
      <c r="H996" s="1166"/>
      <c r="I996" s="1167">
        <f t="shared" si="1410"/>
        <v>0</v>
      </c>
      <c r="J996" s="1167">
        <f t="shared" si="1410"/>
        <v>0</v>
      </c>
      <c r="K996" s="1168">
        <f t="shared" si="1455"/>
        <v>0</v>
      </c>
      <c r="L996" s="1119"/>
      <c r="M996" s="1169"/>
      <c r="N996" s="1177"/>
      <c r="O996" s="1169"/>
      <c r="P996" s="1169"/>
      <c r="Q996" s="1169">
        <f t="shared" si="1456"/>
        <v>0</v>
      </c>
      <c r="R996" s="1169"/>
      <c r="S996" s="1169"/>
      <c r="T996" s="1240"/>
      <c r="U996" s="1119"/>
      <c r="V996" s="1169"/>
      <c r="W996" s="1177"/>
      <c r="X996" s="1177"/>
      <c r="Y996" s="1169"/>
      <c r="Z996" s="1170">
        <f t="shared" si="1457"/>
        <v>0</v>
      </c>
      <c r="AA996" s="1169"/>
      <c r="AB996" s="1332"/>
      <c r="AC996" s="1240"/>
      <c r="AD996" s="1119"/>
      <c r="AE996" s="1169"/>
      <c r="AF996" s="1177"/>
      <c r="AG996" s="1177"/>
      <c r="AH996" s="1169"/>
      <c r="AI996" s="1169">
        <f t="shared" si="1458"/>
        <v>0</v>
      </c>
      <c r="AJ996" s="1169"/>
      <c r="AK996" s="1170"/>
      <c r="AL996" s="1171"/>
      <c r="AM996" s="1128"/>
      <c r="AN996" s="1170"/>
      <c r="AO996" s="1175"/>
      <c r="AP996" s="1175"/>
      <c r="AQ996" s="1170"/>
      <c r="AR996" s="1170">
        <f t="shared" si="1459"/>
        <v>0</v>
      </c>
      <c r="AS996" s="1170"/>
      <c r="AT996" s="1169"/>
      <c r="AU996" s="1313"/>
      <c r="AV996" s="1131"/>
      <c r="AW996" s="1169"/>
      <c r="AX996" s="1177"/>
      <c r="AY996" s="1177"/>
      <c r="AZ996" s="1169"/>
      <c r="BA996" s="1169">
        <f t="shared" si="1460"/>
        <v>0</v>
      </c>
      <c r="BB996" s="1169"/>
      <c r="BC996" s="1029"/>
      <c r="BD996" s="1027"/>
      <c r="BE996" s="1029"/>
      <c r="BF996" s="1029"/>
    </row>
    <row r="997" ht="18.75" customHeight="1">
      <c r="A997" s="999" t="str">
        <f t="shared" si="1425"/>
        <v xml:space="preserve">Судакова Е.С.</v>
      </c>
      <c r="B997" s="1178" t="s">
        <v>361</v>
      </c>
      <c r="C997" s="1179"/>
      <c r="D997" s="1179"/>
      <c r="E997" s="1164">
        <f t="shared" si="1453"/>
        <v>0</v>
      </c>
      <c r="F997" s="1164">
        <f t="shared" si="1453"/>
        <v>0</v>
      </c>
      <c r="G997" s="1165">
        <f t="shared" si="1454"/>
        <v>0</v>
      </c>
      <c r="H997" s="1266"/>
      <c r="I997" s="1167">
        <f t="shared" si="1410"/>
        <v>0</v>
      </c>
      <c r="J997" s="1167">
        <f t="shared" si="1410"/>
        <v>0</v>
      </c>
      <c r="K997" s="1168">
        <f t="shared" si="1455"/>
        <v>0</v>
      </c>
      <c r="L997" s="1119"/>
      <c r="M997" s="1169"/>
      <c r="N997" s="1177"/>
      <c r="O997" s="1169"/>
      <c r="P997" s="1169"/>
      <c r="Q997" s="1169">
        <f t="shared" si="1456"/>
        <v>0</v>
      </c>
      <c r="R997" s="1169"/>
      <c r="S997" s="1169"/>
      <c r="T997" s="1240"/>
      <c r="U997" s="1119"/>
      <c r="V997" s="1169"/>
      <c r="W997" s="1177"/>
      <c r="X997" s="1177"/>
      <c r="Y997" s="1169"/>
      <c r="Z997" s="1170">
        <f t="shared" si="1457"/>
        <v>0</v>
      </c>
      <c r="AA997" s="1169"/>
      <c r="AB997" s="1332"/>
      <c r="AC997" s="1240"/>
      <c r="AD997" s="1119"/>
      <c r="AE997" s="1169"/>
      <c r="AF997" s="1177"/>
      <c r="AG997" s="1177"/>
      <c r="AH997" s="1169"/>
      <c r="AI997" s="1169">
        <f t="shared" si="1458"/>
        <v>0</v>
      </c>
      <c r="AJ997" s="1169"/>
      <c r="AK997" s="1170"/>
      <c r="AL997" s="1171"/>
      <c r="AM997" s="1128"/>
      <c r="AN997" s="1170"/>
      <c r="AO997" s="1175"/>
      <c r="AP997" s="1175"/>
      <c r="AQ997" s="1170"/>
      <c r="AR997" s="1170">
        <f t="shared" si="1459"/>
        <v>0</v>
      </c>
      <c r="AS997" s="1170"/>
      <c r="AT997" s="1169"/>
      <c r="AU997" s="1313"/>
      <c r="AV997" s="1131"/>
      <c r="AW997" s="1169"/>
      <c r="AX997" s="1177"/>
      <c r="AY997" s="1177"/>
      <c r="AZ997" s="1169"/>
      <c r="BA997" s="1169">
        <f t="shared" si="1460"/>
        <v>0</v>
      </c>
      <c r="BB997" s="1169"/>
      <c r="BC997" s="1029"/>
      <c r="BD997" s="1027"/>
      <c r="BE997" s="1029"/>
      <c r="BF997" s="1029"/>
    </row>
    <row r="998">
      <c r="A998" s="999" t="str">
        <f t="shared" si="1425"/>
        <v xml:space="preserve">Осипова А.А.</v>
      </c>
      <c r="B998" s="1176" t="s">
        <v>185</v>
      </c>
      <c r="C998" s="1176"/>
      <c r="D998" s="1176"/>
      <c r="E998" s="1164">
        <f t="shared" si="1453"/>
        <v>0</v>
      </c>
      <c r="F998" s="1164">
        <f t="shared" si="1453"/>
        <v>0</v>
      </c>
      <c r="G998" s="1165">
        <f t="shared" si="1454"/>
        <v>0</v>
      </c>
      <c r="H998" s="1166"/>
      <c r="I998" s="1167">
        <f t="shared" si="1410"/>
        <v>0</v>
      </c>
      <c r="J998" s="1167">
        <f t="shared" si="1410"/>
        <v>0</v>
      </c>
      <c r="K998" s="1168">
        <f t="shared" si="1455"/>
        <v>0</v>
      </c>
      <c r="L998" s="1119"/>
      <c r="M998" s="1169"/>
      <c r="N998" s="1177"/>
      <c r="O998" s="1169"/>
      <c r="P998" s="1169"/>
      <c r="Q998" s="1169">
        <f t="shared" si="1456"/>
        <v>0</v>
      </c>
      <c r="R998" s="1169"/>
      <c r="S998" s="1169"/>
      <c r="T998" s="1240"/>
      <c r="U998" s="1119"/>
      <c r="V998" s="1169"/>
      <c r="W998" s="1177"/>
      <c r="X998" s="1177"/>
      <c r="Y998" s="1169"/>
      <c r="Z998" s="1170">
        <f t="shared" si="1457"/>
        <v>0</v>
      </c>
      <c r="AA998" s="1169"/>
      <c r="AB998" s="1332"/>
      <c r="AC998" s="1240"/>
      <c r="AD998" s="1119"/>
      <c r="AE998" s="1169"/>
      <c r="AF998" s="1177"/>
      <c r="AG998" s="1177"/>
      <c r="AH998" s="1169"/>
      <c r="AI998" s="1169">
        <f t="shared" si="1458"/>
        <v>0</v>
      </c>
      <c r="AJ998" s="1169"/>
      <c r="AK998" s="1170"/>
      <c r="AL998" s="1171"/>
      <c r="AM998" s="1128"/>
      <c r="AN998" s="1170"/>
      <c r="AO998" s="1175"/>
      <c r="AP998" s="1175"/>
      <c r="AQ998" s="1170"/>
      <c r="AR998" s="1170">
        <f t="shared" si="1459"/>
        <v>0</v>
      </c>
      <c r="AS998" s="1170"/>
      <c r="AT998" s="1169"/>
      <c r="AU998" s="1313"/>
      <c r="AV998" s="1131"/>
      <c r="AW998" s="1169"/>
      <c r="AX998" s="1177"/>
      <c r="AY998" s="1177"/>
      <c r="AZ998" s="1169"/>
      <c r="BA998" s="1169">
        <f t="shared" si="1460"/>
        <v>0</v>
      </c>
      <c r="BB998" s="1169"/>
      <c r="BC998" s="1029"/>
      <c r="BD998" s="1027"/>
      <c r="BE998" s="1029"/>
      <c r="BF998" s="1029"/>
    </row>
    <row r="999" s="1180" customFormat="1">
      <c r="A999" s="999">
        <f t="shared" si="1425"/>
        <v>0</v>
      </c>
      <c r="B999" s="1182" t="s">
        <v>363</v>
      </c>
      <c r="C999" s="1182"/>
      <c r="D999" s="1182"/>
      <c r="E999" s="1164">
        <f t="shared" si="1453"/>
        <v>0</v>
      </c>
      <c r="F999" s="1164">
        <f t="shared" si="1453"/>
        <v>0</v>
      </c>
      <c r="G999" s="1184">
        <f>SUM(G991:G998)</f>
        <v>0</v>
      </c>
      <c r="H999" s="1185"/>
      <c r="I999" s="1167">
        <f t="shared" si="1410"/>
        <v>0</v>
      </c>
      <c r="J999" s="1167">
        <f t="shared" si="1410"/>
        <v>0</v>
      </c>
      <c r="K999" s="1187">
        <f>SUM(K991:K998)</f>
        <v>0</v>
      </c>
      <c r="L999" s="1188"/>
      <c r="M999" s="1096">
        <f t="shared" ref="M999:R999" si="1461">SUM(M991:M998)</f>
        <v>0</v>
      </c>
      <c r="N999" s="1096">
        <f t="shared" si="1461"/>
        <v>0</v>
      </c>
      <c r="O999" s="1096">
        <f t="shared" si="1461"/>
        <v>0</v>
      </c>
      <c r="P999" s="1096">
        <f t="shared" si="1461"/>
        <v>0</v>
      </c>
      <c r="Q999" s="1096">
        <f t="shared" si="1461"/>
        <v>0</v>
      </c>
      <c r="R999" s="1096">
        <f t="shared" si="1461"/>
        <v>0</v>
      </c>
      <c r="S999" s="1096"/>
      <c r="T999" s="1243"/>
      <c r="U999" s="1119"/>
      <c r="V999" s="1096">
        <f t="shared" ref="V999:AA999" si="1462">SUM(V991:V998)</f>
        <v>0</v>
      </c>
      <c r="W999" s="1096">
        <f t="shared" si="1462"/>
        <v>0</v>
      </c>
      <c r="X999" s="1096">
        <f t="shared" si="1462"/>
        <v>0</v>
      </c>
      <c r="Y999" s="1096">
        <f t="shared" si="1462"/>
        <v>0</v>
      </c>
      <c r="Z999" s="1190">
        <f t="shared" si="1462"/>
        <v>0</v>
      </c>
      <c r="AA999" s="1096">
        <f t="shared" si="1462"/>
        <v>0</v>
      </c>
      <c r="AB999" s="1334"/>
      <c r="AC999" s="1243"/>
      <c r="AD999" s="1244"/>
      <c r="AE999" s="1096">
        <f t="shared" ref="AE999:AJ999" si="1463">SUM(AE991:AE998)</f>
        <v>0</v>
      </c>
      <c r="AF999" s="1096">
        <f t="shared" si="1463"/>
        <v>0</v>
      </c>
      <c r="AG999" s="1096">
        <f t="shared" si="1463"/>
        <v>0</v>
      </c>
      <c r="AH999" s="1096">
        <f t="shared" si="1463"/>
        <v>0</v>
      </c>
      <c r="AI999" s="1096">
        <f t="shared" si="1463"/>
        <v>0</v>
      </c>
      <c r="AJ999" s="1096">
        <f t="shared" si="1463"/>
        <v>0</v>
      </c>
      <c r="AK999" s="1190"/>
      <c r="AL999" s="1189"/>
      <c r="AM999" s="1125"/>
      <c r="AN999" s="1190">
        <f t="shared" ref="AN999:AS999" si="1464">SUM(AN991:AN998)</f>
        <v>0</v>
      </c>
      <c r="AO999" s="1190">
        <f t="shared" si="1464"/>
        <v>0</v>
      </c>
      <c r="AP999" s="1190">
        <f t="shared" si="1464"/>
        <v>0</v>
      </c>
      <c r="AQ999" s="1190">
        <f t="shared" si="1464"/>
        <v>0</v>
      </c>
      <c r="AR999" s="1190">
        <f t="shared" si="1464"/>
        <v>0</v>
      </c>
      <c r="AS999" s="1190">
        <f t="shared" si="1464"/>
        <v>0</v>
      </c>
      <c r="AT999" s="1096"/>
      <c r="AU999" s="1314"/>
      <c r="AV999" s="1192"/>
      <c r="AW999" s="1096">
        <f t="shared" ref="AW999:BB999" si="1465">SUM(AW991:AW998)</f>
        <v>0</v>
      </c>
      <c r="AX999" s="1096">
        <f t="shared" si="1465"/>
        <v>0</v>
      </c>
      <c r="AY999" s="1096">
        <f t="shared" si="1465"/>
        <v>0</v>
      </c>
      <c r="AZ999" s="1096">
        <f t="shared" si="1465"/>
        <v>0</v>
      </c>
      <c r="BA999" s="1096">
        <f t="shared" si="1465"/>
        <v>0</v>
      </c>
      <c r="BB999" s="1096">
        <f t="shared" si="1465"/>
        <v>0</v>
      </c>
      <c r="BC999" s="1051"/>
      <c r="BD999" s="1052"/>
      <c r="BE999" s="1051"/>
      <c r="BF999" s="1051"/>
      <c r="BG999" s="1106"/>
      <c r="BH999" s="1106"/>
      <c r="BI999" s="1106"/>
      <c r="BJ999" s="1106"/>
      <c r="BK999" s="1106"/>
      <c r="BL999" s="1106"/>
      <c r="BM999" s="1106"/>
    </row>
    <row r="1000">
      <c r="A1000" s="999">
        <f t="shared" si="1425"/>
        <v>0</v>
      </c>
      <c r="B1000" s="1176" t="s">
        <v>364</v>
      </c>
      <c r="C1000" s="1176"/>
      <c r="D1000" s="1176"/>
      <c r="E1000" s="1164">
        <f t="shared" si="1453"/>
        <v>0</v>
      </c>
      <c r="F1000" s="1164">
        <f t="shared" si="1453"/>
        <v>0</v>
      </c>
      <c r="G1000" s="1165">
        <f t="shared" ref="G1000:G1012" si="1466">E1000+F1000</f>
        <v>0</v>
      </c>
      <c r="H1000" s="1166"/>
      <c r="I1000" s="1167">
        <f t="shared" si="1410"/>
        <v>0</v>
      </c>
      <c r="J1000" s="1167">
        <f t="shared" si="1410"/>
        <v>0</v>
      </c>
      <c r="K1000" s="1168">
        <f t="shared" ref="K1000:K1012" si="1467">I1000+J1000</f>
        <v>0</v>
      </c>
      <c r="L1000" s="1119"/>
      <c r="M1000" s="1169"/>
      <c r="N1000" s="1177"/>
      <c r="O1000" s="1169"/>
      <c r="P1000" s="1169"/>
      <c r="Q1000" s="1169">
        <f t="shared" ref="Q1000:Q1012" si="1468">SUM(M1000:P1000)</f>
        <v>0</v>
      </c>
      <c r="R1000" s="1169"/>
      <c r="S1000" s="1169"/>
      <c r="T1000" s="1240"/>
      <c r="U1000" s="1119"/>
      <c r="V1000" s="1169"/>
      <c r="W1000" s="1177"/>
      <c r="X1000" s="1177"/>
      <c r="Y1000" s="1169"/>
      <c r="Z1000" s="1170">
        <f t="shared" ref="Z1000:Z1012" si="1469">SUM(V1000:Y1000)</f>
        <v>0</v>
      </c>
      <c r="AA1000" s="1169"/>
      <c r="AB1000" s="1332"/>
      <c r="AC1000" s="1240"/>
      <c r="AD1000" s="1119"/>
      <c r="AE1000" s="1169"/>
      <c r="AF1000" s="1177"/>
      <c r="AG1000" s="1177"/>
      <c r="AH1000" s="1169"/>
      <c r="AI1000" s="1169">
        <f t="shared" ref="AI1000:AI1012" si="1470">SUM(AE1000:AH1000)</f>
        <v>0</v>
      </c>
      <c r="AJ1000" s="1169"/>
      <c r="AK1000" s="1170"/>
      <c r="AL1000" s="1171"/>
      <c r="AM1000" s="1128"/>
      <c r="AN1000" s="1170"/>
      <c r="AO1000" s="1175"/>
      <c r="AP1000" s="1175"/>
      <c r="AQ1000" s="1170"/>
      <c r="AR1000" s="1170">
        <f t="shared" ref="AR1000:AR1012" si="1471">SUM(AN1000:AQ1000)</f>
        <v>0</v>
      </c>
      <c r="AS1000" s="1170"/>
      <c r="AT1000" s="1169"/>
      <c r="AU1000" s="1313"/>
      <c r="AV1000" s="1131"/>
      <c r="AW1000" s="1169"/>
      <c r="AX1000" s="1177"/>
      <c r="AY1000" s="1177"/>
      <c r="AZ1000" s="1169"/>
      <c r="BA1000" s="1169">
        <f t="shared" ref="BA1000:BA1012" si="1472">SUM(AW1000:AZ1000)</f>
        <v>0</v>
      </c>
      <c r="BB1000" s="1169"/>
      <c r="BC1000" s="1029"/>
      <c r="BD1000" s="1027"/>
      <c r="BE1000" s="1029"/>
      <c r="BF1000" s="1029"/>
    </row>
    <row r="1001">
      <c r="A1001" s="999" t="str">
        <f t="shared" si="1425"/>
        <v xml:space="preserve">Сметанина О.В.</v>
      </c>
      <c r="B1001" s="1176" t="s">
        <v>195</v>
      </c>
      <c r="C1001" s="1176"/>
      <c r="D1001" s="1176"/>
      <c r="E1001" s="1164">
        <f t="shared" si="1453"/>
        <v>0</v>
      </c>
      <c r="F1001" s="1164">
        <f t="shared" si="1453"/>
        <v>0</v>
      </c>
      <c r="G1001" s="1165">
        <f t="shared" si="1466"/>
        <v>0</v>
      </c>
      <c r="H1001" s="1166"/>
      <c r="I1001" s="1167">
        <f t="shared" si="1410"/>
        <v>0</v>
      </c>
      <c r="J1001" s="1167">
        <f t="shared" si="1410"/>
        <v>0</v>
      </c>
      <c r="K1001" s="1168">
        <f t="shared" si="1467"/>
        <v>0</v>
      </c>
      <c r="L1001" s="1119"/>
      <c r="M1001" s="1169"/>
      <c r="N1001" s="1177"/>
      <c r="O1001" s="1169"/>
      <c r="P1001" s="1169"/>
      <c r="Q1001" s="1169">
        <f t="shared" si="1468"/>
        <v>0</v>
      </c>
      <c r="R1001" s="1169"/>
      <c r="S1001" s="1169"/>
      <c r="T1001" s="1240"/>
      <c r="U1001" s="1119"/>
      <c r="V1001" s="1169"/>
      <c r="W1001" s="1177"/>
      <c r="X1001" s="1177"/>
      <c r="Y1001" s="1169"/>
      <c r="Z1001" s="1170">
        <f t="shared" si="1469"/>
        <v>0</v>
      </c>
      <c r="AA1001" s="1169"/>
      <c r="AB1001" s="1332"/>
      <c r="AC1001" s="1240"/>
      <c r="AD1001" s="1119"/>
      <c r="AE1001" s="1169"/>
      <c r="AF1001" s="1177"/>
      <c r="AG1001" s="1177"/>
      <c r="AH1001" s="1169"/>
      <c r="AI1001" s="1169">
        <f t="shared" si="1470"/>
        <v>0</v>
      </c>
      <c r="AJ1001" s="1169"/>
      <c r="AK1001" s="1170"/>
      <c r="AL1001" s="1171"/>
      <c r="AM1001" s="1128"/>
      <c r="AN1001" s="1170"/>
      <c r="AO1001" s="1175"/>
      <c r="AP1001" s="1175"/>
      <c r="AQ1001" s="1170"/>
      <c r="AR1001" s="1170">
        <f t="shared" si="1471"/>
        <v>0</v>
      </c>
      <c r="AS1001" s="1170"/>
      <c r="AT1001" s="1169"/>
      <c r="AU1001" s="1313"/>
      <c r="AV1001" s="1131"/>
      <c r="AW1001" s="1169"/>
      <c r="AX1001" s="1177"/>
      <c r="AY1001" s="1177"/>
      <c r="AZ1001" s="1169"/>
      <c r="BA1001" s="1169">
        <f t="shared" si="1472"/>
        <v>0</v>
      </c>
      <c r="BB1001" s="1169"/>
      <c r="BC1001" s="1029"/>
      <c r="BD1001" s="1027"/>
      <c r="BE1001" s="1029"/>
      <c r="BF1001" s="1029"/>
    </row>
    <row r="1002">
      <c r="A1002" s="999" t="str">
        <f t="shared" si="1425"/>
        <v xml:space="preserve">Козенко С.С.</v>
      </c>
      <c r="B1002" s="1176" t="s">
        <v>196</v>
      </c>
      <c r="C1002" s="1176"/>
      <c r="D1002" s="1176"/>
      <c r="E1002" s="1164">
        <f t="shared" si="1453"/>
        <v>0</v>
      </c>
      <c r="F1002" s="1164">
        <f>R1002+AA1002+AJ1002+AS1002+BB1002</f>
        <v>0</v>
      </c>
      <c r="G1002" s="1165">
        <f t="shared" si="1466"/>
        <v>0</v>
      </c>
      <c r="H1002" s="1166"/>
      <c r="I1002" s="1167">
        <f t="shared" si="1410"/>
        <v>0</v>
      </c>
      <c r="J1002" s="1167">
        <f t="shared" si="1410"/>
        <v>0</v>
      </c>
      <c r="K1002" s="1168">
        <f t="shared" si="1467"/>
        <v>0</v>
      </c>
      <c r="L1002" s="1119"/>
      <c r="M1002" s="1169"/>
      <c r="N1002" s="1177"/>
      <c r="O1002" s="1169"/>
      <c r="P1002" s="1169"/>
      <c r="Q1002" s="1169">
        <f t="shared" si="1468"/>
        <v>0</v>
      </c>
      <c r="R1002" s="1169"/>
      <c r="S1002" s="1169"/>
      <c r="T1002" s="1240"/>
      <c r="U1002" s="1119"/>
      <c r="V1002" s="1169"/>
      <c r="W1002" s="1177"/>
      <c r="X1002" s="1177"/>
      <c r="Y1002" s="1169"/>
      <c r="Z1002" s="1170">
        <f t="shared" si="1469"/>
        <v>0</v>
      </c>
      <c r="AA1002" s="1169"/>
      <c r="AB1002" s="1332"/>
      <c r="AC1002" s="1240"/>
      <c r="AD1002" s="1119"/>
      <c r="AE1002" s="1169"/>
      <c r="AF1002" s="1177"/>
      <c r="AG1002" s="1177"/>
      <c r="AH1002" s="1169"/>
      <c r="AI1002" s="1169">
        <f t="shared" si="1470"/>
        <v>0</v>
      </c>
      <c r="AJ1002" s="1169"/>
      <c r="AK1002" s="1170"/>
      <c r="AL1002" s="1171"/>
      <c r="AM1002" s="1128"/>
      <c r="AN1002" s="1170"/>
      <c r="AO1002" s="1175"/>
      <c r="AP1002" s="1175"/>
      <c r="AQ1002" s="1170"/>
      <c r="AR1002" s="1170">
        <f t="shared" si="1471"/>
        <v>0</v>
      </c>
      <c r="AS1002" s="1170"/>
      <c r="AT1002" s="1169"/>
      <c r="AU1002" s="1313"/>
      <c r="AV1002" s="1131"/>
      <c r="AW1002" s="1169"/>
      <c r="AX1002" s="1177"/>
      <c r="AY1002" s="1177"/>
      <c r="AZ1002" s="1169"/>
      <c r="BA1002" s="1169">
        <f t="shared" si="1472"/>
        <v>0</v>
      </c>
      <c r="BB1002" s="1169"/>
      <c r="BC1002" s="1029"/>
      <c r="BD1002" s="1027"/>
      <c r="BE1002" s="1029"/>
      <c r="BF1002" s="1029"/>
    </row>
    <row r="1003">
      <c r="A1003" s="999">
        <f t="shared" si="1425"/>
        <v>0</v>
      </c>
      <c r="B1003" s="1193" t="s">
        <v>367</v>
      </c>
      <c r="C1003" s="1193"/>
      <c r="D1003" s="1193"/>
      <c r="E1003" s="1164">
        <f t="shared" si="1453"/>
        <v>0</v>
      </c>
      <c r="F1003" s="1164">
        <f t="shared" si="1453"/>
        <v>0</v>
      </c>
      <c r="G1003" s="1165">
        <f t="shared" si="1466"/>
        <v>0</v>
      </c>
      <c r="H1003" s="1166"/>
      <c r="I1003" s="1167">
        <f t="shared" si="1410"/>
        <v>0</v>
      </c>
      <c r="J1003" s="1167">
        <f t="shared" si="1410"/>
        <v>0</v>
      </c>
      <c r="K1003" s="1168">
        <f t="shared" si="1467"/>
        <v>0</v>
      </c>
      <c r="L1003" s="1119"/>
      <c r="M1003" s="1169"/>
      <c r="N1003" s="1177"/>
      <c r="O1003" s="1169"/>
      <c r="P1003" s="1169"/>
      <c r="Q1003" s="1169">
        <f t="shared" si="1468"/>
        <v>0</v>
      </c>
      <c r="R1003" s="1169"/>
      <c r="S1003" s="1169"/>
      <c r="T1003" s="1240"/>
      <c r="U1003" s="1119"/>
      <c r="V1003" s="1169"/>
      <c r="W1003" s="1177"/>
      <c r="X1003" s="1177"/>
      <c r="Y1003" s="1169"/>
      <c r="Z1003" s="1170">
        <f t="shared" si="1469"/>
        <v>0</v>
      </c>
      <c r="AA1003" s="1169"/>
      <c r="AB1003" s="1332"/>
      <c r="AC1003" s="1240"/>
      <c r="AD1003" s="1119"/>
      <c r="AE1003" s="1169"/>
      <c r="AF1003" s="1177"/>
      <c r="AG1003" s="1177"/>
      <c r="AH1003" s="1169"/>
      <c r="AI1003" s="1169">
        <f t="shared" si="1470"/>
        <v>0</v>
      </c>
      <c r="AJ1003" s="1169"/>
      <c r="AK1003" s="1170"/>
      <c r="AL1003" s="1171"/>
      <c r="AM1003" s="1128"/>
      <c r="AN1003" s="1170"/>
      <c r="AO1003" s="1175"/>
      <c r="AP1003" s="1175"/>
      <c r="AQ1003" s="1170"/>
      <c r="AR1003" s="1170">
        <f t="shared" si="1471"/>
        <v>0</v>
      </c>
      <c r="AS1003" s="1170"/>
      <c r="AT1003" s="1169"/>
      <c r="AU1003" s="1313"/>
      <c r="AV1003" s="1131"/>
      <c r="AW1003" s="1169"/>
      <c r="AX1003" s="1177"/>
      <c r="AY1003" s="1177"/>
      <c r="AZ1003" s="1169"/>
      <c r="BA1003" s="1169">
        <f t="shared" si="1472"/>
        <v>0</v>
      </c>
      <c r="BB1003" s="1169"/>
      <c r="BC1003" s="1029"/>
      <c r="BD1003" s="1027"/>
      <c r="BE1003" s="1029"/>
      <c r="BF1003" s="1029"/>
    </row>
    <row r="1004">
      <c r="A1004" s="999" t="str">
        <f t="shared" si="1425"/>
        <v xml:space="preserve">Разумец Е.Г.</v>
      </c>
      <c r="B1004" s="1176" t="s">
        <v>201</v>
      </c>
      <c r="C1004" s="1176"/>
      <c r="D1004" s="1176"/>
      <c r="E1004" s="1164">
        <f t="shared" si="1453"/>
        <v>0</v>
      </c>
      <c r="F1004" s="1164">
        <f t="shared" si="1453"/>
        <v>0</v>
      </c>
      <c r="G1004" s="1165">
        <f t="shared" si="1466"/>
        <v>0</v>
      </c>
      <c r="H1004" s="1166"/>
      <c r="I1004" s="1167">
        <f t="shared" si="1410"/>
        <v>0</v>
      </c>
      <c r="J1004" s="1167">
        <f t="shared" si="1410"/>
        <v>0</v>
      </c>
      <c r="K1004" s="1168">
        <f t="shared" si="1467"/>
        <v>0</v>
      </c>
      <c r="L1004" s="1119"/>
      <c r="M1004" s="1169"/>
      <c r="N1004" s="1177"/>
      <c r="O1004" s="1169"/>
      <c r="P1004" s="1169"/>
      <c r="Q1004" s="1169">
        <f t="shared" si="1468"/>
        <v>0</v>
      </c>
      <c r="R1004" s="1169"/>
      <c r="S1004" s="1169"/>
      <c r="T1004" s="1240"/>
      <c r="U1004" s="1119"/>
      <c r="V1004" s="1169"/>
      <c r="W1004" s="1177"/>
      <c r="X1004" s="1177"/>
      <c r="Y1004" s="1169"/>
      <c r="Z1004" s="1170">
        <f t="shared" si="1469"/>
        <v>0</v>
      </c>
      <c r="AA1004" s="1169"/>
      <c r="AB1004" s="1332"/>
      <c r="AC1004" s="1240"/>
      <c r="AD1004" s="1119"/>
      <c r="AE1004" s="1169"/>
      <c r="AF1004" s="1177"/>
      <c r="AG1004" s="1177"/>
      <c r="AH1004" s="1169"/>
      <c r="AI1004" s="1169">
        <f t="shared" si="1470"/>
        <v>0</v>
      </c>
      <c r="AJ1004" s="1169"/>
      <c r="AK1004" s="1170"/>
      <c r="AL1004" s="1171"/>
      <c r="AM1004" s="1128"/>
      <c r="AN1004" s="1170"/>
      <c r="AO1004" s="1175"/>
      <c r="AP1004" s="1175"/>
      <c r="AQ1004" s="1170"/>
      <c r="AR1004" s="1170">
        <f t="shared" si="1471"/>
        <v>0</v>
      </c>
      <c r="AS1004" s="1170"/>
      <c r="AT1004" s="1169"/>
      <c r="AU1004" s="1313"/>
      <c r="AV1004" s="1131"/>
      <c r="AW1004" s="1169"/>
      <c r="AX1004" s="1177"/>
      <c r="AY1004" s="1177"/>
      <c r="AZ1004" s="1169"/>
      <c r="BA1004" s="1169">
        <f t="shared" si="1472"/>
        <v>0</v>
      </c>
      <c r="BB1004" s="1169"/>
      <c r="BC1004" s="1029"/>
      <c r="BD1004" s="1027"/>
      <c r="BE1004" s="1029"/>
      <c r="BF1004" s="1029"/>
    </row>
    <row r="1005" ht="20.25" customHeight="1">
      <c r="A1005" s="999" t="str">
        <f t="shared" si="1425"/>
        <v xml:space="preserve">Шарова Т.М.</v>
      </c>
      <c r="B1005" s="1176" t="s">
        <v>203</v>
      </c>
      <c r="C1005" s="1176"/>
      <c r="D1005" s="1176"/>
      <c r="E1005" s="1164">
        <f t="shared" si="1453"/>
        <v>0</v>
      </c>
      <c r="F1005" s="1164">
        <f t="shared" si="1453"/>
        <v>0</v>
      </c>
      <c r="G1005" s="1165">
        <f t="shared" si="1466"/>
        <v>0</v>
      </c>
      <c r="H1005" s="1166"/>
      <c r="I1005" s="1167">
        <f t="shared" ref="I1005:J1068" si="1473">E1005-Z1005</f>
        <v>0</v>
      </c>
      <c r="J1005" s="1167">
        <f t="shared" si="1473"/>
        <v>0</v>
      </c>
      <c r="K1005" s="1168">
        <f t="shared" si="1467"/>
        <v>0</v>
      </c>
      <c r="L1005" s="1119"/>
      <c r="M1005" s="1169"/>
      <c r="N1005" s="1177"/>
      <c r="O1005" s="1169"/>
      <c r="P1005" s="1169"/>
      <c r="Q1005" s="1169">
        <f t="shared" si="1468"/>
        <v>0</v>
      </c>
      <c r="R1005" s="1169"/>
      <c r="S1005" s="1169"/>
      <c r="T1005" s="1240"/>
      <c r="U1005" s="1119"/>
      <c r="V1005" s="1169"/>
      <c r="W1005" s="1177"/>
      <c r="X1005" s="1177"/>
      <c r="Y1005" s="1169"/>
      <c r="Z1005" s="1170">
        <f t="shared" si="1469"/>
        <v>0</v>
      </c>
      <c r="AA1005" s="1169"/>
      <c r="AB1005" s="1332"/>
      <c r="AC1005" s="1240"/>
      <c r="AD1005" s="1119"/>
      <c r="AE1005" s="1169"/>
      <c r="AF1005" s="1177"/>
      <c r="AG1005" s="1177"/>
      <c r="AH1005" s="1169"/>
      <c r="AI1005" s="1169">
        <f t="shared" si="1470"/>
        <v>0</v>
      </c>
      <c r="AJ1005" s="1169"/>
      <c r="AK1005" s="1170"/>
      <c r="AL1005" s="1171"/>
      <c r="AM1005" s="1128"/>
      <c r="AN1005" s="1170"/>
      <c r="AO1005" s="1175"/>
      <c r="AP1005" s="1175"/>
      <c r="AQ1005" s="1170"/>
      <c r="AR1005" s="1170">
        <f t="shared" si="1471"/>
        <v>0</v>
      </c>
      <c r="AS1005" s="1170"/>
      <c r="AT1005" s="1169"/>
      <c r="AU1005" s="1313"/>
      <c r="AV1005" s="1131"/>
      <c r="AW1005" s="1169"/>
      <c r="AX1005" s="1177"/>
      <c r="AY1005" s="1177"/>
      <c r="AZ1005" s="1169"/>
      <c r="BA1005" s="1169">
        <f t="shared" si="1472"/>
        <v>0</v>
      </c>
      <c r="BB1005" s="1169"/>
      <c r="BC1005" s="1029"/>
      <c r="BD1005" s="1027"/>
      <c r="BE1005" s="1029"/>
      <c r="BF1005" s="1029"/>
    </row>
    <row r="1006" ht="20.25" customHeight="1">
      <c r="A1006" s="999" t="str">
        <f t="shared" si="1425"/>
        <v xml:space="preserve">Крошка С.С.</v>
      </c>
      <c r="B1006" s="1176" t="s">
        <v>204</v>
      </c>
      <c r="C1006" s="1194"/>
      <c r="D1006" s="1194"/>
      <c r="E1006" s="1164">
        <f t="shared" si="1453"/>
        <v>0</v>
      </c>
      <c r="F1006" s="1164">
        <f t="shared" si="1453"/>
        <v>0</v>
      </c>
      <c r="G1006" s="1165">
        <f t="shared" si="1466"/>
        <v>0</v>
      </c>
      <c r="H1006" s="1166"/>
      <c r="I1006" s="1167">
        <f t="shared" si="1473"/>
        <v>0</v>
      </c>
      <c r="J1006" s="1167">
        <f t="shared" si="1473"/>
        <v>0</v>
      </c>
      <c r="K1006" s="1168">
        <f t="shared" si="1467"/>
        <v>0</v>
      </c>
      <c r="L1006" s="1119"/>
      <c r="M1006" s="1169"/>
      <c r="N1006" s="1177"/>
      <c r="O1006" s="1169"/>
      <c r="P1006" s="1169"/>
      <c r="Q1006" s="1169">
        <f t="shared" si="1468"/>
        <v>0</v>
      </c>
      <c r="R1006" s="1169"/>
      <c r="S1006" s="1169"/>
      <c r="T1006" s="1240"/>
      <c r="U1006" s="1119"/>
      <c r="V1006" s="1169"/>
      <c r="W1006" s="1177"/>
      <c r="X1006" s="1177"/>
      <c r="Y1006" s="1169"/>
      <c r="Z1006" s="1170">
        <f t="shared" si="1469"/>
        <v>0</v>
      </c>
      <c r="AA1006" s="1169"/>
      <c r="AB1006" s="1332"/>
      <c r="AC1006" s="1240"/>
      <c r="AD1006" s="1119"/>
      <c r="AE1006" s="1169"/>
      <c r="AF1006" s="1177"/>
      <c r="AG1006" s="1177"/>
      <c r="AH1006" s="1169"/>
      <c r="AI1006" s="1169">
        <f t="shared" si="1470"/>
        <v>0</v>
      </c>
      <c r="AJ1006" s="1169"/>
      <c r="AK1006" s="1170"/>
      <c r="AL1006" s="1171"/>
      <c r="AM1006" s="1128"/>
      <c r="AN1006" s="1170"/>
      <c r="AO1006" s="1175"/>
      <c r="AP1006" s="1175"/>
      <c r="AQ1006" s="1170"/>
      <c r="AR1006" s="1170">
        <f t="shared" si="1471"/>
        <v>0</v>
      </c>
      <c r="AS1006" s="1170"/>
      <c r="AT1006" s="1169"/>
      <c r="AU1006" s="1313"/>
      <c r="AV1006" s="1131"/>
      <c r="AW1006" s="1169"/>
      <c r="AX1006" s="1177"/>
      <c r="AY1006" s="1177"/>
      <c r="AZ1006" s="1169"/>
      <c r="BA1006" s="1169">
        <f t="shared" si="1472"/>
        <v>0</v>
      </c>
      <c r="BB1006" s="1169"/>
      <c r="BC1006" s="1029"/>
      <c r="BD1006" s="1027"/>
      <c r="BE1006" s="1029"/>
      <c r="BF1006" s="1029"/>
    </row>
    <row r="1007" ht="20.25" customHeight="1">
      <c r="A1007" s="999" t="str">
        <f t="shared" si="1425"/>
        <v xml:space="preserve">Козлитина Н.В.</v>
      </c>
      <c r="B1007" s="1176" t="s">
        <v>205</v>
      </c>
      <c r="C1007" s="1176"/>
      <c r="D1007" s="1176"/>
      <c r="E1007" s="1164">
        <f t="shared" si="1453"/>
        <v>0</v>
      </c>
      <c r="F1007" s="1164">
        <f t="shared" si="1453"/>
        <v>0</v>
      </c>
      <c r="G1007" s="1165">
        <f t="shared" si="1466"/>
        <v>0</v>
      </c>
      <c r="H1007" s="1166"/>
      <c r="I1007" s="1167">
        <f t="shared" si="1473"/>
        <v>0</v>
      </c>
      <c r="J1007" s="1167">
        <f t="shared" si="1473"/>
        <v>0</v>
      </c>
      <c r="K1007" s="1168">
        <f t="shared" si="1467"/>
        <v>0</v>
      </c>
      <c r="L1007" s="1119"/>
      <c r="M1007" s="1169"/>
      <c r="N1007" s="1177"/>
      <c r="O1007" s="1169"/>
      <c r="P1007" s="1169"/>
      <c r="Q1007" s="1169">
        <f t="shared" si="1468"/>
        <v>0</v>
      </c>
      <c r="R1007" s="1169"/>
      <c r="S1007" s="1169"/>
      <c r="T1007" s="1240"/>
      <c r="U1007" s="1119"/>
      <c r="V1007" s="1169"/>
      <c r="W1007" s="1177"/>
      <c r="X1007" s="1177"/>
      <c r="Y1007" s="1169"/>
      <c r="Z1007" s="1170">
        <f t="shared" si="1469"/>
        <v>0</v>
      </c>
      <c r="AA1007" s="1169"/>
      <c r="AB1007" s="1332"/>
      <c r="AC1007" s="1240"/>
      <c r="AD1007" s="1119"/>
      <c r="AE1007" s="1169"/>
      <c r="AF1007" s="1177"/>
      <c r="AG1007" s="1177"/>
      <c r="AH1007" s="1169"/>
      <c r="AI1007" s="1169">
        <f t="shared" si="1470"/>
        <v>0</v>
      </c>
      <c r="AJ1007" s="1169"/>
      <c r="AK1007" s="1170"/>
      <c r="AL1007" s="1171"/>
      <c r="AM1007" s="1128"/>
      <c r="AN1007" s="1170"/>
      <c r="AO1007" s="1175"/>
      <c r="AP1007" s="1175"/>
      <c r="AQ1007" s="1170"/>
      <c r="AR1007" s="1170">
        <f t="shared" si="1471"/>
        <v>0</v>
      </c>
      <c r="AS1007" s="1170"/>
      <c r="AT1007" s="1169"/>
      <c r="AU1007" s="1313"/>
      <c r="AV1007" s="1131"/>
      <c r="AW1007" s="1169"/>
      <c r="AX1007" s="1177"/>
      <c r="AY1007" s="1177"/>
      <c r="AZ1007" s="1169"/>
      <c r="BA1007" s="1169">
        <f t="shared" si="1472"/>
        <v>0</v>
      </c>
      <c r="BB1007" s="1169"/>
      <c r="BC1007" s="1029"/>
      <c r="BD1007" s="1027"/>
      <c r="BE1007" s="1029"/>
      <c r="BF1007" s="1029"/>
    </row>
    <row r="1008" ht="20.25" customHeight="1">
      <c r="A1008" s="999" t="str">
        <f t="shared" si="1425"/>
        <v xml:space="preserve">Баженова И.В.</v>
      </c>
      <c r="B1008" s="1176" t="s">
        <v>206</v>
      </c>
      <c r="C1008" s="1176"/>
      <c r="D1008" s="1176"/>
      <c r="E1008" s="1164">
        <f t="shared" si="1453"/>
        <v>0</v>
      </c>
      <c r="F1008" s="1164">
        <f t="shared" si="1453"/>
        <v>0</v>
      </c>
      <c r="G1008" s="1165">
        <f t="shared" si="1466"/>
        <v>0</v>
      </c>
      <c r="H1008" s="1166"/>
      <c r="I1008" s="1167">
        <f t="shared" si="1473"/>
        <v>0</v>
      </c>
      <c r="J1008" s="1167">
        <f t="shared" si="1473"/>
        <v>0</v>
      </c>
      <c r="K1008" s="1168">
        <f t="shared" si="1467"/>
        <v>0</v>
      </c>
      <c r="L1008" s="1119"/>
      <c r="M1008" s="1169"/>
      <c r="N1008" s="1177"/>
      <c r="O1008" s="1169"/>
      <c r="P1008" s="1169"/>
      <c r="Q1008" s="1169">
        <f t="shared" si="1468"/>
        <v>0</v>
      </c>
      <c r="R1008" s="1169"/>
      <c r="S1008" s="1169"/>
      <c r="T1008" s="1240"/>
      <c r="U1008" s="1119"/>
      <c r="V1008" s="1169"/>
      <c r="W1008" s="1177"/>
      <c r="X1008" s="1177"/>
      <c r="Y1008" s="1169"/>
      <c r="Z1008" s="1170">
        <f t="shared" si="1469"/>
        <v>0</v>
      </c>
      <c r="AA1008" s="1169"/>
      <c r="AB1008" s="1332"/>
      <c r="AC1008" s="1240"/>
      <c r="AD1008" s="1119"/>
      <c r="AE1008" s="1169"/>
      <c r="AF1008" s="1177"/>
      <c r="AG1008" s="1177"/>
      <c r="AH1008" s="1169"/>
      <c r="AI1008" s="1169">
        <f t="shared" si="1470"/>
        <v>0</v>
      </c>
      <c r="AJ1008" s="1169"/>
      <c r="AK1008" s="1170"/>
      <c r="AL1008" s="1171"/>
      <c r="AM1008" s="1128"/>
      <c r="AN1008" s="1170"/>
      <c r="AO1008" s="1175"/>
      <c r="AP1008" s="1175"/>
      <c r="AQ1008" s="1170"/>
      <c r="AR1008" s="1170">
        <f t="shared" si="1471"/>
        <v>0</v>
      </c>
      <c r="AS1008" s="1170"/>
      <c r="AT1008" s="1169"/>
      <c r="AU1008" s="1313"/>
      <c r="AV1008" s="1131"/>
      <c r="AW1008" s="1169"/>
      <c r="AX1008" s="1177"/>
      <c r="AY1008" s="1177"/>
      <c r="AZ1008" s="1169"/>
      <c r="BA1008" s="1169">
        <f t="shared" si="1472"/>
        <v>0</v>
      </c>
      <c r="BB1008" s="1169"/>
      <c r="BC1008" s="1029"/>
      <c r="BD1008" s="1027"/>
      <c r="BE1008" s="1029"/>
      <c r="BF1008" s="1029"/>
    </row>
    <row r="1009" ht="20.25" customHeight="1">
      <c r="A1009" s="999" t="str">
        <f t="shared" si="1425"/>
        <v xml:space="preserve">Герингер О.А.</v>
      </c>
      <c r="B1009" s="1176" t="s">
        <v>207</v>
      </c>
      <c r="C1009" s="1194"/>
      <c r="D1009" s="1194"/>
      <c r="E1009" s="1164">
        <f t="shared" si="1453"/>
        <v>0</v>
      </c>
      <c r="F1009" s="1164">
        <f t="shared" si="1453"/>
        <v>0</v>
      </c>
      <c r="G1009" s="1165">
        <f t="shared" si="1466"/>
        <v>0</v>
      </c>
      <c r="H1009" s="1166"/>
      <c r="I1009" s="1167">
        <f t="shared" si="1473"/>
        <v>0</v>
      </c>
      <c r="J1009" s="1167">
        <f t="shared" si="1473"/>
        <v>0</v>
      </c>
      <c r="K1009" s="1168">
        <f t="shared" si="1467"/>
        <v>0</v>
      </c>
      <c r="L1009" s="1119"/>
      <c r="M1009" s="1169"/>
      <c r="N1009" s="1177"/>
      <c r="O1009" s="1169"/>
      <c r="P1009" s="1169"/>
      <c r="Q1009" s="1169">
        <f t="shared" si="1468"/>
        <v>0</v>
      </c>
      <c r="R1009" s="1169"/>
      <c r="S1009" s="1169"/>
      <c r="T1009" s="1240"/>
      <c r="U1009" s="1119"/>
      <c r="V1009" s="1169"/>
      <c r="W1009" s="1177"/>
      <c r="X1009" s="1177"/>
      <c r="Y1009" s="1169"/>
      <c r="Z1009" s="1170">
        <f t="shared" si="1469"/>
        <v>0</v>
      </c>
      <c r="AA1009" s="1169"/>
      <c r="AB1009" s="1332"/>
      <c r="AC1009" s="1240"/>
      <c r="AD1009" s="1119"/>
      <c r="AE1009" s="1169"/>
      <c r="AF1009" s="1177"/>
      <c r="AG1009" s="1177"/>
      <c r="AH1009" s="1169"/>
      <c r="AI1009" s="1169">
        <f t="shared" si="1470"/>
        <v>0</v>
      </c>
      <c r="AJ1009" s="1169"/>
      <c r="AK1009" s="1170"/>
      <c r="AL1009" s="1171"/>
      <c r="AM1009" s="1128"/>
      <c r="AN1009" s="1170"/>
      <c r="AO1009" s="1175"/>
      <c r="AP1009" s="1175"/>
      <c r="AQ1009" s="1170"/>
      <c r="AR1009" s="1170">
        <f t="shared" si="1471"/>
        <v>0</v>
      </c>
      <c r="AS1009" s="1170"/>
      <c r="AT1009" s="1169"/>
      <c r="AU1009" s="1313"/>
      <c r="AV1009" s="1131"/>
      <c r="AW1009" s="1169"/>
      <c r="AX1009" s="1177"/>
      <c r="AY1009" s="1177"/>
      <c r="AZ1009" s="1169"/>
      <c r="BA1009" s="1169">
        <f t="shared" si="1472"/>
        <v>0</v>
      </c>
      <c r="BB1009" s="1169"/>
      <c r="BC1009" s="1029"/>
      <c r="BD1009" s="1027"/>
      <c r="BE1009" s="1029"/>
      <c r="BF1009" s="1029"/>
    </row>
    <row r="1010" ht="20.25" customHeight="1">
      <c r="A1010" s="999" t="str">
        <f t="shared" si="1425"/>
        <v xml:space="preserve">Ничипуренко И.А.</v>
      </c>
      <c r="B1010" s="1176" t="s">
        <v>375</v>
      </c>
      <c r="C1010" s="1176"/>
      <c r="D1010" s="1176"/>
      <c r="E1010" s="1164">
        <f t="shared" si="1453"/>
        <v>0</v>
      </c>
      <c r="F1010" s="1164">
        <f t="shared" si="1453"/>
        <v>0</v>
      </c>
      <c r="G1010" s="1165">
        <f t="shared" si="1466"/>
        <v>0</v>
      </c>
      <c r="H1010" s="1166"/>
      <c r="I1010" s="1167">
        <f t="shared" si="1473"/>
        <v>0</v>
      </c>
      <c r="J1010" s="1167">
        <f t="shared" si="1473"/>
        <v>0</v>
      </c>
      <c r="K1010" s="1168">
        <f t="shared" si="1467"/>
        <v>0</v>
      </c>
      <c r="L1010" s="1119"/>
      <c r="M1010" s="1169"/>
      <c r="N1010" s="1177"/>
      <c r="O1010" s="1169"/>
      <c r="P1010" s="1169"/>
      <c r="Q1010" s="1169">
        <f t="shared" si="1468"/>
        <v>0</v>
      </c>
      <c r="R1010" s="1169"/>
      <c r="S1010" s="1169"/>
      <c r="T1010" s="1240"/>
      <c r="U1010" s="1119"/>
      <c r="V1010" s="1169"/>
      <c r="W1010" s="1177"/>
      <c r="X1010" s="1177"/>
      <c r="Y1010" s="1169"/>
      <c r="Z1010" s="1170">
        <f t="shared" si="1469"/>
        <v>0</v>
      </c>
      <c r="AA1010" s="1169"/>
      <c r="AB1010" s="1332"/>
      <c r="AC1010" s="1240"/>
      <c r="AD1010" s="1119"/>
      <c r="AE1010" s="1169"/>
      <c r="AF1010" s="1177"/>
      <c r="AG1010" s="1177"/>
      <c r="AH1010" s="1169"/>
      <c r="AI1010" s="1169">
        <f t="shared" si="1470"/>
        <v>0</v>
      </c>
      <c r="AJ1010" s="1169"/>
      <c r="AK1010" s="1170"/>
      <c r="AL1010" s="1171"/>
      <c r="AM1010" s="1128"/>
      <c r="AN1010" s="1170"/>
      <c r="AO1010" s="1175"/>
      <c r="AP1010" s="1175"/>
      <c r="AQ1010" s="1170"/>
      <c r="AR1010" s="1170">
        <f t="shared" si="1471"/>
        <v>0</v>
      </c>
      <c r="AS1010" s="1170"/>
      <c r="AT1010" s="1169"/>
      <c r="AU1010" s="1313"/>
      <c r="AV1010" s="1131"/>
      <c r="AW1010" s="1169"/>
      <c r="AX1010" s="1177"/>
      <c r="AY1010" s="1177"/>
      <c r="AZ1010" s="1169"/>
      <c r="BA1010" s="1169">
        <f t="shared" si="1472"/>
        <v>0</v>
      </c>
      <c r="BB1010" s="1169"/>
      <c r="BC1010" s="1029"/>
      <c r="BD1010" s="1027"/>
      <c r="BE1010" s="1029"/>
      <c r="BF1010" s="1029"/>
    </row>
    <row r="1011" ht="20.25" customHeight="1">
      <c r="A1011" s="999" t="s">
        <v>517</v>
      </c>
      <c r="B1011" s="1176" t="s">
        <v>210</v>
      </c>
      <c r="C1011" s="1176"/>
      <c r="D1011" s="1176"/>
      <c r="E1011" s="1164">
        <f t="shared" ref="E1011:F1074" si="1474">Q1011+Z1011+AI1011+AR1011+BA1011</f>
        <v>0</v>
      </c>
      <c r="F1011" s="1164">
        <f t="shared" ref="F1011:F1012" si="1475">R1011+AA1011+AJ1011+AS1011+BB1011</f>
        <v>0</v>
      </c>
      <c r="G1011" s="1165">
        <f t="shared" si="1466"/>
        <v>0</v>
      </c>
      <c r="H1011" s="1166"/>
      <c r="I1011" s="1167">
        <f t="shared" si="1473"/>
        <v>0</v>
      </c>
      <c r="J1011" s="1167">
        <f t="shared" si="1473"/>
        <v>0</v>
      </c>
      <c r="K1011" s="1168">
        <f t="shared" si="1467"/>
        <v>0</v>
      </c>
      <c r="L1011" s="1119"/>
      <c r="M1011" s="1169"/>
      <c r="N1011" s="1177"/>
      <c r="O1011" s="1169"/>
      <c r="P1011" s="1169"/>
      <c r="Q1011" s="1169">
        <f t="shared" si="1468"/>
        <v>0</v>
      </c>
      <c r="R1011" s="1169"/>
      <c r="S1011" s="1169"/>
      <c r="T1011" s="1240"/>
      <c r="U1011" s="1119"/>
      <c r="V1011" s="1169"/>
      <c r="W1011" s="1177"/>
      <c r="X1011" s="1177"/>
      <c r="Y1011" s="1169"/>
      <c r="Z1011" s="1170">
        <f t="shared" si="1469"/>
        <v>0</v>
      </c>
      <c r="AA1011" s="1169"/>
      <c r="AB1011" s="1332"/>
      <c r="AC1011" s="1240"/>
      <c r="AD1011" s="1119"/>
      <c r="AE1011" s="1169"/>
      <c r="AF1011" s="1177"/>
      <c r="AG1011" s="1177"/>
      <c r="AH1011" s="1169"/>
      <c r="AI1011" s="1169">
        <f t="shared" si="1470"/>
        <v>0</v>
      </c>
      <c r="AJ1011" s="1169"/>
      <c r="AK1011" s="1170"/>
      <c r="AL1011" s="1171"/>
      <c r="AM1011" s="1128"/>
      <c r="AN1011" s="1170"/>
      <c r="AO1011" s="1175"/>
      <c r="AP1011" s="1175"/>
      <c r="AQ1011" s="1170"/>
      <c r="AR1011" s="1170">
        <f t="shared" si="1471"/>
        <v>0</v>
      </c>
      <c r="AS1011" s="1170"/>
      <c r="AT1011" s="1169"/>
      <c r="AU1011" s="1313"/>
      <c r="AV1011" s="1131"/>
      <c r="AW1011" s="1169"/>
      <c r="AX1011" s="1177"/>
      <c r="AY1011" s="1177"/>
      <c r="AZ1011" s="1169"/>
      <c r="BA1011" s="1169">
        <f t="shared" si="1472"/>
        <v>0</v>
      </c>
      <c r="BB1011" s="1169"/>
      <c r="BC1011" s="1029"/>
      <c r="BD1011" s="1027"/>
      <c r="BE1011" s="1029"/>
      <c r="BF1011" s="1029"/>
    </row>
    <row r="1012" ht="20.25" customHeight="1">
      <c r="A1012" s="999" t="str">
        <f t="shared" si="1425"/>
        <v xml:space="preserve">Мазуренко А.Н.</v>
      </c>
      <c r="B1012" s="1176" t="s">
        <v>211</v>
      </c>
      <c r="C1012" s="1176"/>
      <c r="D1012" s="1176"/>
      <c r="E1012" s="1164">
        <f t="shared" si="1474"/>
        <v>0</v>
      </c>
      <c r="F1012" s="1164">
        <f t="shared" si="1475"/>
        <v>0</v>
      </c>
      <c r="G1012" s="1165">
        <f t="shared" si="1466"/>
        <v>0</v>
      </c>
      <c r="H1012" s="1166"/>
      <c r="I1012" s="1167">
        <f t="shared" si="1473"/>
        <v>0</v>
      </c>
      <c r="J1012" s="1167">
        <f t="shared" si="1473"/>
        <v>0</v>
      </c>
      <c r="K1012" s="1168">
        <f t="shared" si="1467"/>
        <v>0</v>
      </c>
      <c r="L1012" s="1119"/>
      <c r="M1012" s="1169"/>
      <c r="N1012" s="1177"/>
      <c r="O1012" s="1169"/>
      <c r="P1012" s="1169"/>
      <c r="Q1012" s="1169">
        <f t="shared" si="1468"/>
        <v>0</v>
      </c>
      <c r="R1012" s="1169"/>
      <c r="S1012" s="1169"/>
      <c r="T1012" s="1240"/>
      <c r="U1012" s="1119"/>
      <c r="V1012" s="1169"/>
      <c r="W1012" s="1177"/>
      <c r="X1012" s="1177"/>
      <c r="Y1012" s="1169"/>
      <c r="Z1012" s="1170">
        <f t="shared" si="1469"/>
        <v>0</v>
      </c>
      <c r="AA1012" s="1169"/>
      <c r="AB1012" s="1332"/>
      <c r="AC1012" s="1240"/>
      <c r="AD1012" s="1119"/>
      <c r="AE1012" s="1169"/>
      <c r="AF1012" s="1177"/>
      <c r="AG1012" s="1177"/>
      <c r="AH1012" s="1169"/>
      <c r="AI1012" s="1169">
        <f t="shared" si="1470"/>
        <v>0</v>
      </c>
      <c r="AJ1012" s="1169"/>
      <c r="AK1012" s="1170"/>
      <c r="AL1012" s="1171"/>
      <c r="AM1012" s="1128"/>
      <c r="AN1012" s="1170"/>
      <c r="AO1012" s="1175"/>
      <c r="AP1012" s="1175"/>
      <c r="AQ1012" s="1170"/>
      <c r="AR1012" s="1170">
        <f t="shared" si="1471"/>
        <v>0</v>
      </c>
      <c r="AS1012" s="1170"/>
      <c r="AT1012" s="1169"/>
      <c r="AU1012" s="1313"/>
      <c r="AV1012" s="1131"/>
      <c r="AW1012" s="1169"/>
      <c r="AX1012" s="1177"/>
      <c r="AY1012" s="1177"/>
      <c r="AZ1012" s="1169"/>
      <c r="BA1012" s="1169">
        <f t="shared" si="1472"/>
        <v>0</v>
      </c>
      <c r="BB1012" s="1169"/>
      <c r="BC1012" s="1029"/>
      <c r="BD1012" s="1027"/>
      <c r="BE1012" s="1029"/>
      <c r="BF1012" s="1029"/>
    </row>
    <row r="1013" s="1180" customFormat="1" ht="20.25" customHeight="1">
      <c r="A1013" s="999">
        <f t="shared" si="1425"/>
        <v>0</v>
      </c>
      <c r="B1013" s="1182" t="s">
        <v>363</v>
      </c>
      <c r="C1013" s="1182"/>
      <c r="D1013" s="1182"/>
      <c r="E1013" s="1164">
        <f t="shared" si="1474"/>
        <v>0</v>
      </c>
      <c r="F1013" s="1164">
        <f t="shared" si="1474"/>
        <v>0</v>
      </c>
      <c r="G1013" s="1184">
        <f>SUM(G1000:G1012)</f>
        <v>0</v>
      </c>
      <c r="H1013" s="1185"/>
      <c r="I1013" s="1167">
        <f t="shared" si="1473"/>
        <v>0</v>
      </c>
      <c r="J1013" s="1167">
        <f t="shared" si="1473"/>
        <v>0</v>
      </c>
      <c r="K1013" s="1187">
        <f>SUM(K1000:K1012)</f>
        <v>0</v>
      </c>
      <c r="L1013" s="1188"/>
      <c r="M1013" s="1096">
        <f t="shared" ref="M1013:R1013" si="1476">SUM(M1000:M1012)</f>
        <v>0</v>
      </c>
      <c r="N1013" s="1096">
        <f t="shared" si="1476"/>
        <v>0</v>
      </c>
      <c r="O1013" s="1096">
        <f t="shared" si="1476"/>
        <v>0</v>
      </c>
      <c r="P1013" s="1096">
        <f t="shared" si="1476"/>
        <v>0</v>
      </c>
      <c r="Q1013" s="1096">
        <f t="shared" si="1476"/>
        <v>0</v>
      </c>
      <c r="R1013" s="1096">
        <f t="shared" si="1476"/>
        <v>0</v>
      </c>
      <c r="S1013" s="1096"/>
      <c r="T1013" s="1243"/>
      <c r="U1013" s="1119"/>
      <c r="V1013" s="1096">
        <f t="shared" ref="V1013:AA1013" si="1477">SUM(V1000:V1012)</f>
        <v>0</v>
      </c>
      <c r="W1013" s="1096">
        <f t="shared" si="1477"/>
        <v>0</v>
      </c>
      <c r="X1013" s="1096">
        <f t="shared" si="1477"/>
        <v>0</v>
      </c>
      <c r="Y1013" s="1096">
        <f t="shared" si="1477"/>
        <v>0</v>
      </c>
      <c r="Z1013" s="1190">
        <f t="shared" si="1477"/>
        <v>0</v>
      </c>
      <c r="AA1013" s="1096">
        <f t="shared" si="1477"/>
        <v>0</v>
      </c>
      <c r="AB1013" s="1334"/>
      <c r="AC1013" s="1243"/>
      <c r="AD1013" s="1244"/>
      <c r="AE1013" s="1096">
        <f t="shared" ref="AE1013:AJ1013" si="1478">SUM(AE1000:AE1012)</f>
        <v>0</v>
      </c>
      <c r="AF1013" s="1096">
        <f t="shared" si="1478"/>
        <v>0</v>
      </c>
      <c r="AG1013" s="1096">
        <f t="shared" si="1478"/>
        <v>0</v>
      </c>
      <c r="AH1013" s="1096">
        <f t="shared" si="1478"/>
        <v>0</v>
      </c>
      <c r="AI1013" s="1096">
        <f t="shared" si="1478"/>
        <v>0</v>
      </c>
      <c r="AJ1013" s="1096">
        <f t="shared" si="1478"/>
        <v>0</v>
      </c>
      <c r="AK1013" s="1190"/>
      <c r="AL1013" s="1189"/>
      <c r="AM1013" s="1125"/>
      <c r="AN1013" s="1190">
        <f t="shared" ref="AN1013:AS1013" si="1479">SUM(AN1000:AN1012)</f>
        <v>0</v>
      </c>
      <c r="AO1013" s="1190">
        <f t="shared" si="1479"/>
        <v>0</v>
      </c>
      <c r="AP1013" s="1190">
        <f t="shared" si="1479"/>
        <v>0</v>
      </c>
      <c r="AQ1013" s="1190">
        <f t="shared" si="1479"/>
        <v>0</v>
      </c>
      <c r="AR1013" s="1190">
        <f t="shared" si="1479"/>
        <v>0</v>
      </c>
      <c r="AS1013" s="1190">
        <f t="shared" si="1479"/>
        <v>0</v>
      </c>
      <c r="AT1013" s="1096"/>
      <c r="AU1013" s="1314"/>
      <c r="AV1013" s="1192"/>
      <c r="AW1013" s="1096">
        <f t="shared" ref="AW1013:BB1013" si="1480">SUM(AW1000:AW1012)</f>
        <v>0</v>
      </c>
      <c r="AX1013" s="1096">
        <f t="shared" si="1480"/>
        <v>0</v>
      </c>
      <c r="AY1013" s="1096">
        <f t="shared" si="1480"/>
        <v>0</v>
      </c>
      <c r="AZ1013" s="1096">
        <f t="shared" si="1480"/>
        <v>0</v>
      </c>
      <c r="BA1013" s="1096">
        <f t="shared" si="1480"/>
        <v>0</v>
      </c>
      <c r="BB1013" s="1096">
        <f t="shared" si="1480"/>
        <v>0</v>
      </c>
      <c r="BC1013" s="1051"/>
      <c r="BD1013" s="1052"/>
      <c r="BE1013" s="1051"/>
      <c r="BF1013" s="1051"/>
      <c r="BG1013" s="1106"/>
      <c r="BH1013" s="1106"/>
      <c r="BI1013" s="1106"/>
      <c r="BJ1013" s="1106"/>
      <c r="BK1013" s="1106"/>
      <c r="BL1013" s="1106"/>
      <c r="BM1013" s="1106"/>
    </row>
    <row r="1014" ht="20.25" customHeight="1">
      <c r="A1014" s="999" t="str">
        <f t="shared" si="1425"/>
        <v xml:space="preserve">Румак В.Н,  Стоянова Е.П.</v>
      </c>
      <c r="B1014" s="1176" t="s">
        <v>379</v>
      </c>
      <c r="C1014" s="1176"/>
      <c r="D1014" s="1176"/>
      <c r="E1014" s="1164">
        <f t="shared" si="1474"/>
        <v>0</v>
      </c>
      <c r="F1014" s="1164">
        <f t="shared" si="1474"/>
        <v>0</v>
      </c>
      <c r="G1014" s="1165">
        <f t="shared" ref="G1014:G1018" si="1481">E1014+F1014</f>
        <v>0</v>
      </c>
      <c r="H1014" s="1166"/>
      <c r="I1014" s="1167">
        <f t="shared" si="1473"/>
        <v>0</v>
      </c>
      <c r="J1014" s="1167">
        <f t="shared" si="1473"/>
        <v>0</v>
      </c>
      <c r="K1014" s="1168">
        <f t="shared" ref="K1014:K1018" si="1482">I1014+J1014</f>
        <v>0</v>
      </c>
      <c r="L1014" s="1119"/>
      <c r="M1014" s="1169"/>
      <c r="N1014" s="1177"/>
      <c r="O1014" s="1169"/>
      <c r="P1014" s="1169"/>
      <c r="Q1014" s="1169">
        <f t="shared" ref="Q1014:Q1018" si="1483">SUM(M1014:P1014)</f>
        <v>0</v>
      </c>
      <c r="R1014" s="1169"/>
      <c r="S1014" s="1169"/>
      <c r="T1014" s="1240"/>
      <c r="U1014" s="1119"/>
      <c r="V1014" s="1169"/>
      <c r="W1014" s="1177"/>
      <c r="X1014" s="1177"/>
      <c r="Y1014" s="1169"/>
      <c r="Z1014" s="1170">
        <f t="shared" ref="Z1014:Z1018" si="1484">SUM(V1014:Y1014)</f>
        <v>0</v>
      </c>
      <c r="AA1014" s="1169"/>
      <c r="AB1014" s="1332"/>
      <c r="AC1014" s="1240"/>
      <c r="AD1014" s="1119"/>
      <c r="AE1014" s="1169"/>
      <c r="AF1014" s="1177"/>
      <c r="AG1014" s="1177"/>
      <c r="AH1014" s="1169"/>
      <c r="AI1014" s="1169">
        <f t="shared" ref="AI1014:AI1018" si="1485">SUM(AE1014:AH1014)</f>
        <v>0</v>
      </c>
      <c r="AJ1014" s="1169"/>
      <c r="AK1014" s="1170"/>
      <c r="AL1014" s="1171"/>
      <c r="AM1014" s="1128"/>
      <c r="AN1014" s="1170"/>
      <c r="AO1014" s="1175"/>
      <c r="AP1014" s="1175"/>
      <c r="AQ1014" s="1170"/>
      <c r="AR1014" s="1170">
        <f t="shared" ref="AR1014:AR1018" si="1486">SUM(AN1014:AQ1014)</f>
        <v>0</v>
      </c>
      <c r="AS1014" s="1170"/>
      <c r="AT1014" s="1169"/>
      <c r="AU1014" s="1313"/>
      <c r="AV1014" s="1131"/>
      <c r="AW1014" s="1169"/>
      <c r="AX1014" s="1177"/>
      <c r="AY1014" s="1177"/>
      <c r="AZ1014" s="1169"/>
      <c r="BA1014" s="1169">
        <f t="shared" ref="BA1014:BA1018" si="1487">SUM(AW1014:AZ1014)</f>
        <v>0</v>
      </c>
      <c r="BB1014" s="1169"/>
      <c r="BC1014" s="1029"/>
      <c r="BD1014" s="1027"/>
      <c r="BE1014" s="1029"/>
      <c r="BF1014" s="1029"/>
    </row>
    <row r="1015" s="1215" customFormat="1" ht="20.25" customHeight="1">
      <c r="A1015" s="999" t="str">
        <f t="shared" si="1425"/>
        <v xml:space="preserve">Голубцова О.В.</v>
      </c>
      <c r="B1015" s="1176" t="s">
        <v>381</v>
      </c>
      <c r="C1015" s="1176"/>
      <c r="D1015" s="1176"/>
      <c r="E1015" s="1164">
        <f t="shared" si="1474"/>
        <v>0</v>
      </c>
      <c r="F1015" s="1164">
        <f>R1015+AA1015+AJ1015+AS1015+BB1015</f>
        <v>0</v>
      </c>
      <c r="G1015" s="1165">
        <f t="shared" si="1481"/>
        <v>0</v>
      </c>
      <c r="H1015" s="1166"/>
      <c r="I1015" s="1167">
        <f t="shared" si="1473"/>
        <v>0</v>
      </c>
      <c r="J1015" s="1167">
        <f t="shared" si="1473"/>
        <v>0</v>
      </c>
      <c r="K1015" s="1168">
        <f t="shared" si="1482"/>
        <v>0</v>
      </c>
      <c r="L1015" s="1119"/>
      <c r="M1015" s="1169"/>
      <c r="N1015" s="1177"/>
      <c r="O1015" s="1169"/>
      <c r="P1015" s="1169"/>
      <c r="Q1015" s="1169">
        <f t="shared" si="1483"/>
        <v>0</v>
      </c>
      <c r="R1015" s="1169"/>
      <c r="S1015" s="1169"/>
      <c r="T1015" s="1240"/>
      <c r="U1015" s="1119"/>
      <c r="V1015" s="1169"/>
      <c r="W1015" s="1177"/>
      <c r="X1015" s="1177"/>
      <c r="Y1015" s="1169"/>
      <c r="Z1015" s="1170">
        <f t="shared" si="1484"/>
        <v>0</v>
      </c>
      <c r="AA1015" s="1169"/>
      <c r="AB1015" s="1332"/>
      <c r="AC1015" s="1240"/>
      <c r="AD1015" s="1119"/>
      <c r="AE1015" s="1169"/>
      <c r="AF1015" s="1177"/>
      <c r="AG1015" s="1177"/>
      <c r="AH1015" s="1169"/>
      <c r="AI1015" s="1169">
        <f t="shared" si="1485"/>
        <v>0</v>
      </c>
      <c r="AJ1015" s="1169"/>
      <c r="AK1015" s="1170"/>
      <c r="AL1015" s="1171"/>
      <c r="AM1015" s="1128"/>
      <c r="AN1015" s="1170"/>
      <c r="AO1015" s="1175"/>
      <c r="AP1015" s="1175"/>
      <c r="AQ1015" s="1170"/>
      <c r="AR1015" s="1170">
        <f t="shared" si="1486"/>
        <v>0</v>
      </c>
      <c r="AS1015" s="1170"/>
      <c r="AT1015" s="1169"/>
      <c r="AU1015" s="1313"/>
      <c r="AV1015" s="1131"/>
      <c r="AW1015" s="1169"/>
      <c r="AX1015" s="1177"/>
      <c r="AY1015" s="1177"/>
      <c r="AZ1015" s="1169"/>
      <c r="BA1015" s="1169">
        <f t="shared" si="1487"/>
        <v>0</v>
      </c>
      <c r="BB1015" s="1169"/>
      <c r="BC1015" s="1024"/>
      <c r="BD1015" s="1027"/>
      <c r="BE1015" s="1024"/>
      <c r="BF1015" s="1024"/>
      <c r="BG1015" s="1008"/>
      <c r="BH1015" s="1008"/>
      <c r="BI1015" s="1008"/>
      <c r="BJ1015" s="1008"/>
      <c r="BK1015" s="1008"/>
      <c r="BL1015" s="1008"/>
      <c r="BM1015" s="1008"/>
    </row>
    <row r="1016" ht="20.25" customHeight="1">
      <c r="A1016" s="999" t="str">
        <f t="shared" si="1425"/>
        <v xml:space="preserve">Бородулина М.П.</v>
      </c>
      <c r="B1016" s="1176" t="s">
        <v>383</v>
      </c>
      <c r="C1016" s="1176"/>
      <c r="D1016" s="1176"/>
      <c r="E1016" s="1164">
        <f t="shared" si="1474"/>
        <v>0</v>
      </c>
      <c r="F1016" s="1164">
        <f t="shared" si="1474"/>
        <v>0</v>
      </c>
      <c r="G1016" s="1165">
        <f t="shared" si="1481"/>
        <v>0</v>
      </c>
      <c r="H1016" s="1166"/>
      <c r="I1016" s="1167">
        <f t="shared" si="1473"/>
        <v>0</v>
      </c>
      <c r="J1016" s="1167">
        <f t="shared" si="1473"/>
        <v>0</v>
      </c>
      <c r="K1016" s="1168">
        <f t="shared" si="1482"/>
        <v>0</v>
      </c>
      <c r="L1016" s="1119"/>
      <c r="M1016" s="1169"/>
      <c r="N1016" s="1177"/>
      <c r="O1016" s="1169"/>
      <c r="P1016" s="1169"/>
      <c r="Q1016" s="1169">
        <f t="shared" si="1483"/>
        <v>0</v>
      </c>
      <c r="R1016" s="1169"/>
      <c r="S1016" s="1169"/>
      <c r="T1016" s="1240"/>
      <c r="U1016" s="1119"/>
      <c r="V1016" s="1169"/>
      <c r="W1016" s="1177"/>
      <c r="X1016" s="1177"/>
      <c r="Y1016" s="1169"/>
      <c r="Z1016" s="1170">
        <f t="shared" si="1484"/>
        <v>0</v>
      </c>
      <c r="AA1016" s="1169"/>
      <c r="AB1016" s="1332"/>
      <c r="AC1016" s="1240"/>
      <c r="AD1016" s="1119"/>
      <c r="AE1016" s="1169"/>
      <c r="AF1016" s="1177"/>
      <c r="AG1016" s="1177"/>
      <c r="AH1016" s="1169"/>
      <c r="AI1016" s="1169">
        <f t="shared" si="1485"/>
        <v>0</v>
      </c>
      <c r="AJ1016" s="1169"/>
      <c r="AK1016" s="1170"/>
      <c r="AL1016" s="1171"/>
      <c r="AM1016" s="1128"/>
      <c r="AN1016" s="1170"/>
      <c r="AO1016" s="1175"/>
      <c r="AP1016" s="1175"/>
      <c r="AQ1016" s="1170"/>
      <c r="AR1016" s="1170">
        <f t="shared" si="1486"/>
        <v>0</v>
      </c>
      <c r="AS1016" s="1170"/>
      <c r="AT1016" s="1169"/>
      <c r="AU1016" s="1313"/>
      <c r="AV1016" s="1131"/>
      <c r="AW1016" s="1169"/>
      <c r="AX1016" s="1177"/>
      <c r="AY1016" s="1177"/>
      <c r="AZ1016" s="1169"/>
      <c r="BA1016" s="1169">
        <f t="shared" si="1487"/>
        <v>0</v>
      </c>
      <c r="BB1016" s="1169"/>
      <c r="BC1016" s="1029"/>
      <c r="BD1016" s="1027"/>
      <c r="BE1016" s="1029"/>
      <c r="BF1016" s="1029"/>
    </row>
    <row r="1017" ht="20.25" customHeight="1">
      <c r="A1017" s="999" t="str">
        <f t="shared" si="1425"/>
        <v xml:space="preserve">Буханова Т.И. Мансурова А.Г.</v>
      </c>
      <c r="B1017" s="1176" t="s">
        <v>385</v>
      </c>
      <c r="C1017" s="1196"/>
      <c r="D1017" s="1196"/>
      <c r="E1017" s="1164">
        <f t="shared" si="1474"/>
        <v>0</v>
      </c>
      <c r="F1017" s="1164">
        <f t="shared" si="1474"/>
        <v>0</v>
      </c>
      <c r="G1017" s="1165">
        <f t="shared" si="1481"/>
        <v>0</v>
      </c>
      <c r="H1017" s="1166"/>
      <c r="I1017" s="1167">
        <f t="shared" si="1473"/>
        <v>0</v>
      </c>
      <c r="J1017" s="1167">
        <f t="shared" si="1473"/>
        <v>0</v>
      </c>
      <c r="K1017" s="1168">
        <f t="shared" si="1482"/>
        <v>0</v>
      </c>
      <c r="L1017" s="1119"/>
      <c r="M1017" s="1169"/>
      <c r="N1017" s="1177"/>
      <c r="O1017" s="1169"/>
      <c r="P1017" s="1169"/>
      <c r="Q1017" s="1169">
        <f t="shared" si="1483"/>
        <v>0</v>
      </c>
      <c r="R1017" s="1169"/>
      <c r="S1017" s="1169"/>
      <c r="T1017" s="1240"/>
      <c r="U1017" s="1119"/>
      <c r="V1017" s="1169"/>
      <c r="W1017" s="1177"/>
      <c r="X1017" s="1177"/>
      <c r="Y1017" s="1169"/>
      <c r="Z1017" s="1170">
        <f t="shared" si="1484"/>
        <v>0</v>
      </c>
      <c r="AA1017" s="1169"/>
      <c r="AB1017" s="1332"/>
      <c r="AC1017" s="1240"/>
      <c r="AD1017" s="1119"/>
      <c r="AE1017" s="1169"/>
      <c r="AF1017" s="1177"/>
      <c r="AG1017" s="1177"/>
      <c r="AH1017" s="1169"/>
      <c r="AI1017" s="1169">
        <f t="shared" si="1485"/>
        <v>0</v>
      </c>
      <c r="AJ1017" s="1169"/>
      <c r="AK1017" s="1170"/>
      <c r="AL1017" s="1171"/>
      <c r="AM1017" s="1128"/>
      <c r="AN1017" s="1170"/>
      <c r="AO1017" s="1175"/>
      <c r="AP1017" s="1175"/>
      <c r="AQ1017" s="1170"/>
      <c r="AR1017" s="1170">
        <f t="shared" si="1486"/>
        <v>0</v>
      </c>
      <c r="AS1017" s="1170"/>
      <c r="AT1017" s="1169"/>
      <c r="AU1017" s="1313"/>
      <c r="AV1017" s="1131"/>
      <c r="AW1017" s="1169"/>
      <c r="AX1017" s="1177"/>
      <c r="AY1017" s="1177"/>
      <c r="AZ1017" s="1169"/>
      <c r="BA1017" s="1169">
        <f t="shared" si="1487"/>
        <v>0</v>
      </c>
      <c r="BB1017" s="1169"/>
      <c r="BC1017" s="1029"/>
      <c r="BD1017" s="1027"/>
      <c r="BE1017" s="1029"/>
      <c r="BF1017" s="1029"/>
    </row>
    <row r="1018" ht="20.25" customHeight="1">
      <c r="A1018" s="999" t="s">
        <v>518</v>
      </c>
      <c r="B1018" s="1176" t="s">
        <v>387</v>
      </c>
      <c r="C1018" s="1176"/>
      <c r="D1018" s="1176"/>
      <c r="E1018" s="1164">
        <f t="shared" si="1474"/>
        <v>0</v>
      </c>
      <c r="F1018" s="1164">
        <f t="shared" si="1474"/>
        <v>0</v>
      </c>
      <c r="G1018" s="1165">
        <f t="shared" si="1481"/>
        <v>0</v>
      </c>
      <c r="H1018" s="1166"/>
      <c r="I1018" s="1167">
        <f t="shared" si="1473"/>
        <v>0</v>
      </c>
      <c r="J1018" s="1167">
        <f t="shared" si="1473"/>
        <v>0</v>
      </c>
      <c r="K1018" s="1168">
        <f t="shared" si="1482"/>
        <v>0</v>
      </c>
      <c r="L1018" s="1119"/>
      <c r="M1018" s="1169"/>
      <c r="N1018" s="1177"/>
      <c r="O1018" s="1169"/>
      <c r="P1018" s="1169"/>
      <c r="Q1018" s="1169">
        <f t="shared" si="1483"/>
        <v>0</v>
      </c>
      <c r="R1018" s="1169"/>
      <c r="S1018" s="1169"/>
      <c r="T1018" s="1240"/>
      <c r="U1018" s="1119"/>
      <c r="V1018" s="1169"/>
      <c r="W1018" s="1177"/>
      <c r="X1018" s="1177"/>
      <c r="Y1018" s="1169"/>
      <c r="Z1018" s="1170">
        <f t="shared" si="1484"/>
        <v>0</v>
      </c>
      <c r="AA1018" s="1169"/>
      <c r="AB1018" s="1332"/>
      <c r="AC1018" s="1240"/>
      <c r="AD1018" s="1119"/>
      <c r="AE1018" s="1169"/>
      <c r="AF1018" s="1177"/>
      <c r="AG1018" s="1177"/>
      <c r="AH1018" s="1169"/>
      <c r="AI1018" s="1169">
        <f t="shared" si="1485"/>
        <v>0</v>
      </c>
      <c r="AJ1018" s="1169"/>
      <c r="AK1018" s="1170"/>
      <c r="AL1018" s="1171"/>
      <c r="AM1018" s="1128"/>
      <c r="AN1018" s="1170"/>
      <c r="AO1018" s="1175"/>
      <c r="AP1018" s="1175"/>
      <c r="AQ1018" s="1170"/>
      <c r="AR1018" s="1170">
        <f t="shared" si="1486"/>
        <v>0</v>
      </c>
      <c r="AS1018" s="1170"/>
      <c r="AT1018" s="1169"/>
      <c r="AU1018" s="1313"/>
      <c r="AV1018" s="1131"/>
      <c r="AW1018" s="1169"/>
      <c r="AX1018" s="1177"/>
      <c r="AY1018" s="1177"/>
      <c r="AZ1018" s="1169"/>
      <c r="BA1018" s="1169">
        <f t="shared" si="1487"/>
        <v>0</v>
      </c>
      <c r="BB1018" s="1169"/>
      <c r="BC1018" s="1029"/>
      <c r="BD1018" s="1027"/>
      <c r="BE1018" s="1029"/>
      <c r="BF1018" s="1029"/>
    </row>
    <row r="1019" s="1180" customFormat="1" ht="20.25" customHeight="1">
      <c r="A1019" s="999">
        <f t="shared" si="1425"/>
        <v>0</v>
      </c>
      <c r="B1019" s="1182" t="s">
        <v>388</v>
      </c>
      <c r="C1019" s="1182"/>
      <c r="D1019" s="1182"/>
      <c r="E1019" s="1164">
        <f t="shared" si="1474"/>
        <v>0</v>
      </c>
      <c r="F1019" s="1164">
        <f t="shared" si="1474"/>
        <v>0</v>
      </c>
      <c r="G1019" s="1184">
        <f>SUM(G1014:G1018)</f>
        <v>0</v>
      </c>
      <c r="H1019" s="1185"/>
      <c r="I1019" s="1167">
        <f t="shared" si="1473"/>
        <v>0</v>
      </c>
      <c r="J1019" s="1167">
        <f t="shared" si="1473"/>
        <v>0</v>
      </c>
      <c r="K1019" s="1187">
        <f>SUM(K1014:K1018)</f>
        <v>0</v>
      </c>
      <c r="L1019" s="1188"/>
      <c r="M1019" s="1096">
        <f t="shared" ref="M1019:R1019" si="1488">SUM(M1014:M1018)</f>
        <v>0</v>
      </c>
      <c r="N1019" s="1096">
        <f t="shared" si="1488"/>
        <v>0</v>
      </c>
      <c r="O1019" s="1096">
        <f t="shared" si="1488"/>
        <v>0</v>
      </c>
      <c r="P1019" s="1096">
        <f t="shared" si="1488"/>
        <v>0</v>
      </c>
      <c r="Q1019" s="1096">
        <f t="shared" si="1488"/>
        <v>0</v>
      </c>
      <c r="R1019" s="1096">
        <f t="shared" si="1488"/>
        <v>0</v>
      </c>
      <c r="S1019" s="1096"/>
      <c r="T1019" s="1243"/>
      <c r="U1019" s="1188"/>
      <c r="V1019" s="1096">
        <f t="shared" ref="V1019:AA1019" si="1489">SUM(V1014:V1018)</f>
        <v>0</v>
      </c>
      <c r="W1019" s="1096">
        <f t="shared" si="1489"/>
        <v>0</v>
      </c>
      <c r="X1019" s="1096">
        <f t="shared" si="1489"/>
        <v>0</v>
      </c>
      <c r="Y1019" s="1096">
        <f t="shared" si="1489"/>
        <v>0</v>
      </c>
      <c r="Z1019" s="1190">
        <f t="shared" si="1489"/>
        <v>0</v>
      </c>
      <c r="AA1019" s="1096">
        <f t="shared" si="1489"/>
        <v>0</v>
      </c>
      <c r="AB1019" s="1334"/>
      <c r="AC1019" s="1243"/>
      <c r="AD1019" s="1188"/>
      <c r="AE1019" s="1096">
        <f t="shared" ref="AE1019:AJ1019" si="1490">SUM(AE1014:AE1018)</f>
        <v>0</v>
      </c>
      <c r="AF1019" s="1096">
        <f t="shared" si="1490"/>
        <v>0</v>
      </c>
      <c r="AG1019" s="1096">
        <f t="shared" si="1490"/>
        <v>0</v>
      </c>
      <c r="AH1019" s="1096">
        <f t="shared" si="1490"/>
        <v>0</v>
      </c>
      <c r="AI1019" s="1096">
        <f t="shared" si="1490"/>
        <v>0</v>
      </c>
      <c r="AJ1019" s="1096">
        <f t="shared" si="1490"/>
        <v>0</v>
      </c>
      <c r="AK1019" s="1190"/>
      <c r="AL1019" s="1189"/>
      <c r="AM1019" s="1197"/>
      <c r="AN1019" s="1190">
        <f t="shared" ref="AN1019:AS1019" si="1491">SUM(AN1014:AN1018)</f>
        <v>0</v>
      </c>
      <c r="AO1019" s="1190">
        <f t="shared" si="1491"/>
        <v>0</v>
      </c>
      <c r="AP1019" s="1190">
        <f t="shared" si="1491"/>
        <v>0</v>
      </c>
      <c r="AQ1019" s="1190">
        <f t="shared" si="1491"/>
        <v>0</v>
      </c>
      <c r="AR1019" s="1190">
        <f t="shared" si="1491"/>
        <v>0</v>
      </c>
      <c r="AS1019" s="1190">
        <f t="shared" si="1491"/>
        <v>0</v>
      </c>
      <c r="AT1019" s="1096"/>
      <c r="AU1019" s="1314"/>
      <c r="AV1019" s="1188">
        <f t="shared" ref="AV1019:BB1019" si="1492">SUM(AV1014:AV1018)</f>
        <v>0</v>
      </c>
      <c r="AW1019" s="1096">
        <f t="shared" si="1492"/>
        <v>0</v>
      </c>
      <c r="AX1019" s="1096">
        <f t="shared" si="1492"/>
        <v>0</v>
      </c>
      <c r="AY1019" s="1096">
        <f t="shared" si="1492"/>
        <v>0</v>
      </c>
      <c r="AZ1019" s="1096">
        <f t="shared" si="1492"/>
        <v>0</v>
      </c>
      <c r="BA1019" s="1096">
        <f t="shared" si="1492"/>
        <v>0</v>
      </c>
      <c r="BB1019" s="1096">
        <f t="shared" si="1492"/>
        <v>0</v>
      </c>
      <c r="BC1019" s="1051"/>
      <c r="BD1019" s="1052"/>
      <c r="BE1019" s="1051"/>
      <c r="BF1019" s="1051"/>
      <c r="BG1019" s="1106"/>
      <c r="BH1019" s="1106"/>
      <c r="BI1019" s="1106"/>
      <c r="BJ1019" s="1106"/>
      <c r="BK1019" s="1106"/>
      <c r="BL1019" s="1106"/>
      <c r="BM1019" s="1106"/>
    </row>
    <row r="1020" ht="20.25" customHeight="1">
      <c r="A1020" s="999" t="str">
        <f t="shared" si="1425"/>
        <v xml:space="preserve">Зиненко Ю.А. Шаповалова Т.Ю.</v>
      </c>
      <c r="B1020" s="1176" t="s">
        <v>390</v>
      </c>
      <c r="C1020" s="1198"/>
      <c r="D1020" s="1198"/>
      <c r="E1020" s="1164">
        <f t="shared" si="1474"/>
        <v>0</v>
      </c>
      <c r="F1020" s="1164">
        <f t="shared" si="1474"/>
        <v>0</v>
      </c>
      <c r="G1020" s="1165">
        <f t="shared" ref="G1020:G1022" si="1493">E1020+F1020</f>
        <v>0</v>
      </c>
      <c r="H1020" s="1166"/>
      <c r="I1020" s="1167">
        <f t="shared" si="1473"/>
        <v>0</v>
      </c>
      <c r="J1020" s="1167">
        <f t="shared" si="1473"/>
        <v>0</v>
      </c>
      <c r="K1020" s="1168">
        <f t="shared" ref="K1020:K1022" si="1494">I1020+J1020</f>
        <v>0</v>
      </c>
      <c r="L1020" s="1188"/>
      <c r="M1020" s="1169"/>
      <c r="N1020" s="1199"/>
      <c r="O1020" s="1169"/>
      <c r="P1020" s="1169"/>
      <c r="Q1020" s="1169">
        <f t="shared" ref="Q1020:Q1022" si="1495">SUM(M1020:P1020)</f>
        <v>0</v>
      </c>
      <c r="R1020" s="1169"/>
      <c r="S1020" s="1169"/>
      <c r="T1020" s="1240"/>
      <c r="U1020" s="1119"/>
      <c r="V1020" s="1169"/>
      <c r="W1020" s="1199"/>
      <c r="X1020" s="1199"/>
      <c r="Y1020" s="1169"/>
      <c r="Z1020" s="1170">
        <f t="shared" ref="Z1020:Z1022" si="1496">SUM(V1020:Y1020)</f>
        <v>0</v>
      </c>
      <c r="AA1020" s="1169"/>
      <c r="AB1020" s="1332"/>
      <c r="AC1020" s="1240"/>
      <c r="AD1020" s="1119"/>
      <c r="AE1020" s="1169"/>
      <c r="AF1020" s="1199"/>
      <c r="AG1020" s="1199"/>
      <c r="AH1020" s="1169"/>
      <c r="AI1020" s="1169">
        <f t="shared" ref="AI1020:AI1022" si="1497">SUM(AE1020:AH1020)</f>
        <v>0</v>
      </c>
      <c r="AJ1020" s="1169"/>
      <c r="AK1020" s="1170"/>
      <c r="AL1020" s="1171"/>
      <c r="AM1020" s="1128"/>
      <c r="AN1020" s="1170"/>
      <c r="AO1020" s="1200"/>
      <c r="AP1020" s="1200"/>
      <c r="AQ1020" s="1170"/>
      <c r="AR1020" s="1170">
        <f t="shared" ref="AR1020:AR1022" si="1498">SUM(AN1020:AQ1020)</f>
        <v>0</v>
      </c>
      <c r="AS1020" s="1170"/>
      <c r="AT1020" s="1169"/>
      <c r="AU1020" s="1313"/>
      <c r="AV1020" s="1131"/>
      <c r="AW1020" s="1169"/>
      <c r="AX1020" s="1199"/>
      <c r="AY1020" s="1199"/>
      <c r="AZ1020" s="1169"/>
      <c r="BA1020" s="1169">
        <f t="shared" ref="BA1020:BA1022" si="1499">SUM(AW1020:AZ1020)</f>
        <v>0</v>
      </c>
      <c r="BB1020" s="1169"/>
      <c r="BC1020" s="1029"/>
      <c r="BD1020" s="1027"/>
      <c r="BE1020" s="1029"/>
      <c r="BF1020" s="1029"/>
    </row>
    <row r="1021" ht="20.25" customHeight="1">
      <c r="A1021" s="999" t="str">
        <f t="shared" ref="A1021:A1081" si="1500">A923</f>
        <v xml:space="preserve">Майорова И.В.</v>
      </c>
      <c r="B1021" s="1176" t="s">
        <v>392</v>
      </c>
      <c r="C1021" s="1198"/>
      <c r="D1021" s="1198"/>
      <c r="E1021" s="1164">
        <f t="shared" si="1474"/>
        <v>0</v>
      </c>
      <c r="F1021" s="1164">
        <f t="shared" si="1474"/>
        <v>0</v>
      </c>
      <c r="G1021" s="1165">
        <f t="shared" si="1493"/>
        <v>0</v>
      </c>
      <c r="H1021" s="1166"/>
      <c r="I1021" s="1167">
        <f t="shared" si="1473"/>
        <v>0</v>
      </c>
      <c r="J1021" s="1167">
        <f t="shared" si="1473"/>
        <v>0</v>
      </c>
      <c r="K1021" s="1168">
        <f t="shared" si="1494"/>
        <v>0</v>
      </c>
      <c r="L1021" s="1188"/>
      <c r="M1021" s="1169"/>
      <c r="N1021" s="1177"/>
      <c r="O1021" s="1169"/>
      <c r="P1021" s="1169"/>
      <c r="Q1021" s="1169">
        <f t="shared" si="1495"/>
        <v>0</v>
      </c>
      <c r="R1021" s="1169"/>
      <c r="S1021" s="1169"/>
      <c r="T1021" s="1240"/>
      <c r="U1021" s="1119"/>
      <c r="V1021" s="1169"/>
      <c r="W1021" s="1177"/>
      <c r="X1021" s="1177"/>
      <c r="Y1021" s="1169"/>
      <c r="Z1021" s="1170">
        <f t="shared" si="1496"/>
        <v>0</v>
      </c>
      <c r="AA1021" s="1169"/>
      <c r="AB1021" s="1332"/>
      <c r="AC1021" s="1240"/>
      <c r="AD1021" s="1119"/>
      <c r="AE1021" s="1169"/>
      <c r="AF1021" s="1177"/>
      <c r="AG1021" s="1177"/>
      <c r="AH1021" s="1169"/>
      <c r="AI1021" s="1169">
        <f t="shared" si="1497"/>
        <v>0</v>
      </c>
      <c r="AJ1021" s="1169"/>
      <c r="AK1021" s="1170"/>
      <c r="AL1021" s="1171"/>
      <c r="AM1021" s="1128"/>
      <c r="AN1021" s="1170"/>
      <c r="AO1021" s="1175"/>
      <c r="AP1021" s="1175"/>
      <c r="AQ1021" s="1170"/>
      <c r="AR1021" s="1170">
        <f t="shared" si="1498"/>
        <v>0</v>
      </c>
      <c r="AS1021" s="1170"/>
      <c r="AT1021" s="1169"/>
      <c r="AU1021" s="1313"/>
      <c r="AV1021" s="1131"/>
      <c r="AW1021" s="1169"/>
      <c r="AX1021" s="1177"/>
      <c r="AY1021" s="1177"/>
      <c r="AZ1021" s="1169"/>
      <c r="BA1021" s="1169">
        <f t="shared" si="1499"/>
        <v>0</v>
      </c>
      <c r="BB1021" s="1169"/>
      <c r="BC1021" s="1029"/>
      <c r="BD1021" s="1027"/>
      <c r="BE1021" s="1029"/>
      <c r="BF1021" s="1029"/>
    </row>
    <row r="1022" ht="20.25" customHeight="1">
      <c r="A1022" s="999" t="str">
        <f t="shared" si="1500"/>
        <v xml:space="preserve">Гребенюк Ю.С.,  Молчанова Н.М.</v>
      </c>
      <c r="B1022" s="1176" t="s">
        <v>265</v>
      </c>
      <c r="C1022" s="1176"/>
      <c r="D1022" s="1176"/>
      <c r="E1022" s="1164">
        <f t="shared" si="1474"/>
        <v>0</v>
      </c>
      <c r="F1022" s="1164">
        <f t="shared" si="1474"/>
        <v>0</v>
      </c>
      <c r="G1022" s="1165">
        <f t="shared" si="1493"/>
        <v>0</v>
      </c>
      <c r="H1022" s="1166"/>
      <c r="I1022" s="1167">
        <f t="shared" si="1473"/>
        <v>0</v>
      </c>
      <c r="J1022" s="1167">
        <f t="shared" si="1473"/>
        <v>0</v>
      </c>
      <c r="K1022" s="1168">
        <f t="shared" si="1494"/>
        <v>0</v>
      </c>
      <c r="L1022" s="1119"/>
      <c r="M1022" s="1169"/>
      <c r="N1022" s="1177"/>
      <c r="O1022" s="1169"/>
      <c r="P1022" s="1169"/>
      <c r="Q1022" s="1169">
        <f t="shared" si="1495"/>
        <v>0</v>
      </c>
      <c r="R1022" s="1169"/>
      <c r="S1022" s="1169"/>
      <c r="T1022" s="1240"/>
      <c r="U1022" s="1119"/>
      <c r="V1022" s="1169"/>
      <c r="W1022" s="1177"/>
      <c r="X1022" s="1177"/>
      <c r="Y1022" s="1169"/>
      <c r="Z1022" s="1170">
        <f t="shared" si="1496"/>
        <v>0</v>
      </c>
      <c r="AA1022" s="1169"/>
      <c r="AB1022" s="1332"/>
      <c r="AC1022" s="1240"/>
      <c r="AD1022" s="1119"/>
      <c r="AE1022" s="1169"/>
      <c r="AF1022" s="1177"/>
      <c r="AG1022" s="1177"/>
      <c r="AH1022" s="1169"/>
      <c r="AI1022" s="1169">
        <f t="shared" si="1497"/>
        <v>0</v>
      </c>
      <c r="AJ1022" s="1169"/>
      <c r="AK1022" s="1170"/>
      <c r="AL1022" s="1171"/>
      <c r="AM1022" s="1128"/>
      <c r="AN1022" s="1170"/>
      <c r="AO1022" s="1175"/>
      <c r="AP1022" s="1175"/>
      <c r="AQ1022" s="1170"/>
      <c r="AR1022" s="1170">
        <f t="shared" si="1498"/>
        <v>0</v>
      </c>
      <c r="AS1022" s="1170"/>
      <c r="AT1022" s="1169"/>
      <c r="AU1022" s="1313"/>
      <c r="AV1022" s="1131"/>
      <c r="AW1022" s="1169"/>
      <c r="AX1022" s="1177"/>
      <c r="AY1022" s="1177"/>
      <c r="AZ1022" s="1169"/>
      <c r="BA1022" s="1169">
        <f t="shared" si="1499"/>
        <v>0</v>
      </c>
      <c r="BB1022" s="1169"/>
      <c r="BC1022" s="1029"/>
      <c r="BD1022" s="1027"/>
      <c r="BE1022" s="1029"/>
      <c r="BF1022" s="1029"/>
    </row>
    <row r="1023" s="1180" customFormat="1" ht="20.25" customHeight="1">
      <c r="A1023" s="999">
        <f t="shared" si="1500"/>
        <v>0</v>
      </c>
      <c r="B1023" s="1182" t="s">
        <v>394</v>
      </c>
      <c r="C1023" s="1182"/>
      <c r="D1023" s="1182"/>
      <c r="E1023" s="1164">
        <f t="shared" si="1474"/>
        <v>0</v>
      </c>
      <c r="F1023" s="1164">
        <f t="shared" si="1474"/>
        <v>0</v>
      </c>
      <c r="G1023" s="1184">
        <f>SUM(G1020:G1022)</f>
        <v>0</v>
      </c>
      <c r="H1023" s="1185"/>
      <c r="I1023" s="1167">
        <f t="shared" si="1473"/>
        <v>0</v>
      </c>
      <c r="J1023" s="1167">
        <f t="shared" si="1473"/>
        <v>0</v>
      </c>
      <c r="K1023" s="1187">
        <f>SUM(K1020:K1022)</f>
        <v>0</v>
      </c>
      <c r="L1023" s="1188"/>
      <c r="M1023" s="1096">
        <f t="shared" ref="M1023:R1027" si="1501">SUM(M1020:M1022)</f>
        <v>0</v>
      </c>
      <c r="N1023" s="1096">
        <f t="shared" si="1501"/>
        <v>0</v>
      </c>
      <c r="O1023" s="1096">
        <f t="shared" si="1501"/>
        <v>0</v>
      </c>
      <c r="P1023" s="1096">
        <f t="shared" si="1501"/>
        <v>0</v>
      </c>
      <c r="Q1023" s="1096">
        <f t="shared" si="1501"/>
        <v>0</v>
      </c>
      <c r="R1023" s="1096">
        <f t="shared" si="1501"/>
        <v>0</v>
      </c>
      <c r="S1023" s="1096"/>
      <c r="T1023" s="1243"/>
      <c r="U1023" s="1119"/>
      <c r="V1023" s="1096">
        <f t="shared" ref="V1023:AA1027" si="1502">SUM(V1020:V1022)</f>
        <v>0</v>
      </c>
      <c r="W1023" s="1096">
        <f t="shared" si="1502"/>
        <v>0</v>
      </c>
      <c r="X1023" s="1096">
        <f t="shared" si="1502"/>
        <v>0</v>
      </c>
      <c r="Y1023" s="1096">
        <f t="shared" si="1502"/>
        <v>0</v>
      </c>
      <c r="Z1023" s="1190">
        <f t="shared" si="1502"/>
        <v>0</v>
      </c>
      <c r="AA1023" s="1096">
        <f t="shared" si="1502"/>
        <v>0</v>
      </c>
      <c r="AB1023" s="1334"/>
      <c r="AC1023" s="1243"/>
      <c r="AD1023" s="1244"/>
      <c r="AE1023" s="1096">
        <f t="shared" ref="AE1023:AJ1027" si="1503">SUM(AE1020:AE1022)</f>
        <v>0</v>
      </c>
      <c r="AF1023" s="1096">
        <f t="shared" si="1503"/>
        <v>0</v>
      </c>
      <c r="AG1023" s="1096">
        <f t="shared" si="1503"/>
        <v>0</v>
      </c>
      <c r="AH1023" s="1096">
        <f t="shared" si="1503"/>
        <v>0</v>
      </c>
      <c r="AI1023" s="1096">
        <f t="shared" si="1503"/>
        <v>0</v>
      </c>
      <c r="AJ1023" s="1096">
        <f t="shared" si="1503"/>
        <v>0</v>
      </c>
      <c r="AK1023" s="1190"/>
      <c r="AL1023" s="1189"/>
      <c r="AM1023" s="1125"/>
      <c r="AN1023" s="1190">
        <f t="shared" ref="AN1023:AS1027" si="1504">SUM(AN1020:AN1022)</f>
        <v>0</v>
      </c>
      <c r="AO1023" s="1190">
        <f t="shared" si="1504"/>
        <v>0</v>
      </c>
      <c r="AP1023" s="1190">
        <f t="shared" si="1504"/>
        <v>0</v>
      </c>
      <c r="AQ1023" s="1190">
        <f t="shared" si="1504"/>
        <v>0</v>
      </c>
      <c r="AR1023" s="1190">
        <f t="shared" si="1504"/>
        <v>0</v>
      </c>
      <c r="AS1023" s="1190">
        <f t="shared" si="1504"/>
        <v>0</v>
      </c>
      <c r="AT1023" s="1096"/>
      <c r="AU1023" s="1314"/>
      <c r="AV1023" s="1192"/>
      <c r="AW1023" s="1096">
        <f t="shared" ref="AW1023:BB1027" si="1505">SUM(AW1020:AW1022)</f>
        <v>0</v>
      </c>
      <c r="AX1023" s="1096">
        <f t="shared" si="1505"/>
        <v>0</v>
      </c>
      <c r="AY1023" s="1096">
        <f t="shared" si="1505"/>
        <v>0</v>
      </c>
      <c r="AZ1023" s="1096">
        <f t="shared" si="1505"/>
        <v>0</v>
      </c>
      <c r="BA1023" s="1096">
        <f t="shared" si="1505"/>
        <v>0</v>
      </c>
      <c r="BB1023" s="1096">
        <f t="shared" si="1505"/>
        <v>0</v>
      </c>
      <c r="BC1023" s="1051"/>
      <c r="BD1023" s="1052"/>
      <c r="BE1023" s="1051"/>
      <c r="BF1023" s="1051"/>
      <c r="BG1023" s="1106"/>
      <c r="BH1023" s="1106"/>
      <c r="BI1023" s="1106"/>
      <c r="BJ1023" s="1106"/>
      <c r="BK1023" s="1106"/>
      <c r="BL1023" s="1106"/>
      <c r="BM1023" s="1106"/>
    </row>
    <row r="1024" ht="20.25" customHeight="1">
      <c r="A1024" s="999" t="str">
        <f t="shared" si="1500"/>
        <v xml:space="preserve">Шевченко ЕА, Мацак ЕН,  Ворокова ВЕ</v>
      </c>
      <c r="B1024" s="1202" t="s">
        <v>50</v>
      </c>
      <c r="C1024" s="1202"/>
      <c r="D1024" s="1202"/>
      <c r="E1024" s="1164">
        <f t="shared" si="1474"/>
        <v>0</v>
      </c>
      <c r="F1024" s="1164">
        <f t="shared" si="1474"/>
        <v>0</v>
      </c>
      <c r="G1024" s="1165">
        <f t="shared" ref="G1024:G1026" si="1506">E1024+F1024</f>
        <v>0</v>
      </c>
      <c r="H1024" s="1166"/>
      <c r="I1024" s="1167">
        <f t="shared" si="1473"/>
        <v>0</v>
      </c>
      <c r="J1024" s="1167">
        <f t="shared" si="1473"/>
        <v>0</v>
      </c>
      <c r="K1024" s="1168">
        <f t="shared" ref="K1024:K1026" si="1507">I1024+J1024</f>
        <v>0</v>
      </c>
      <c r="L1024" s="1119"/>
      <c r="M1024" s="1169"/>
      <c r="N1024" s="1177"/>
      <c r="O1024" s="1169"/>
      <c r="P1024" s="1169"/>
      <c r="Q1024" s="1169">
        <f t="shared" ref="Q1024:Q1026" si="1508">SUM(M1024:P1024)</f>
        <v>0</v>
      </c>
      <c r="R1024" s="1169"/>
      <c r="S1024" s="1169"/>
      <c r="T1024" s="1240"/>
      <c r="U1024" s="1119"/>
      <c r="V1024" s="1169"/>
      <c r="W1024" s="1177"/>
      <c r="X1024" s="1177"/>
      <c r="Y1024" s="1169"/>
      <c r="Z1024" s="1170">
        <f t="shared" ref="Z1024:Z1026" si="1509">SUM(V1024:Y1024)</f>
        <v>0</v>
      </c>
      <c r="AA1024" s="1169"/>
      <c r="AB1024" s="1332"/>
      <c r="AC1024" s="1240"/>
      <c r="AD1024" s="1119"/>
      <c r="AE1024" s="1169"/>
      <c r="AF1024" s="1177"/>
      <c r="AG1024" s="1177"/>
      <c r="AH1024" s="1169"/>
      <c r="AI1024" s="1169">
        <f t="shared" ref="AI1024:AI1026" si="1510">SUM(AE1024:AH1024)</f>
        <v>0</v>
      </c>
      <c r="AJ1024" s="1169"/>
      <c r="AK1024" s="1170"/>
      <c r="AL1024" s="1171"/>
      <c r="AM1024" s="1128"/>
      <c r="AN1024" s="1170"/>
      <c r="AO1024" s="1175"/>
      <c r="AP1024" s="1175"/>
      <c r="AQ1024" s="1170"/>
      <c r="AR1024" s="1170">
        <f t="shared" ref="AR1024:AR1026" si="1511">SUM(AN1024:AQ1024)</f>
        <v>0</v>
      </c>
      <c r="AS1024" s="1170"/>
      <c r="AT1024" s="1169"/>
      <c r="AU1024" s="1313"/>
      <c r="AV1024" s="1131"/>
      <c r="AW1024" s="1169"/>
      <c r="AX1024" s="1177"/>
      <c r="AY1024" s="1177"/>
      <c r="AZ1024" s="1169"/>
      <c r="BA1024" s="1169">
        <f t="shared" ref="BA1024:BA1026" si="1512">SUM(AW1024:AZ1024)</f>
        <v>0</v>
      </c>
      <c r="BB1024" s="1169"/>
      <c r="BC1024" s="1029"/>
      <c r="BD1024" s="1027"/>
      <c r="BE1024" s="1029"/>
      <c r="BF1024" s="1029"/>
    </row>
    <row r="1025" ht="20.25" customHeight="1">
      <c r="A1025" s="999" t="str">
        <f t="shared" si="1500"/>
        <v xml:space="preserve">Лещенко О.А.</v>
      </c>
      <c r="B1025" s="1202" t="s">
        <v>397</v>
      </c>
      <c r="C1025" s="1202"/>
      <c r="D1025" s="1202"/>
      <c r="E1025" s="1164">
        <f t="shared" si="1474"/>
        <v>0</v>
      </c>
      <c r="F1025" s="1164">
        <f t="shared" si="1474"/>
        <v>0</v>
      </c>
      <c r="G1025" s="1165">
        <f t="shared" si="1506"/>
        <v>0</v>
      </c>
      <c r="H1025" s="1166"/>
      <c r="I1025" s="1167">
        <f t="shared" si="1473"/>
        <v>0</v>
      </c>
      <c r="J1025" s="1167">
        <f t="shared" si="1473"/>
        <v>0</v>
      </c>
      <c r="K1025" s="1168">
        <f t="shared" si="1507"/>
        <v>0</v>
      </c>
      <c r="L1025" s="1119"/>
      <c r="M1025" s="1169"/>
      <c r="N1025" s="1177"/>
      <c r="O1025" s="1169"/>
      <c r="P1025" s="1169"/>
      <c r="Q1025" s="1169">
        <f t="shared" si="1508"/>
        <v>0</v>
      </c>
      <c r="R1025" s="1169"/>
      <c r="S1025" s="1169"/>
      <c r="T1025" s="1240"/>
      <c r="U1025" s="1119"/>
      <c r="V1025" s="1169"/>
      <c r="W1025" s="1177"/>
      <c r="X1025" s="1177"/>
      <c r="Y1025" s="1169"/>
      <c r="Z1025" s="1170">
        <f t="shared" si="1509"/>
        <v>0</v>
      </c>
      <c r="AA1025" s="1169"/>
      <c r="AB1025" s="1332"/>
      <c r="AC1025" s="1240"/>
      <c r="AD1025" s="1119"/>
      <c r="AE1025" s="1169"/>
      <c r="AF1025" s="1177"/>
      <c r="AG1025" s="1177"/>
      <c r="AH1025" s="1169"/>
      <c r="AI1025" s="1169">
        <f t="shared" si="1510"/>
        <v>0</v>
      </c>
      <c r="AJ1025" s="1169"/>
      <c r="AK1025" s="1170"/>
      <c r="AL1025" s="1171"/>
      <c r="AM1025" s="1128"/>
      <c r="AN1025" s="1170"/>
      <c r="AO1025" s="1175"/>
      <c r="AP1025" s="1175"/>
      <c r="AQ1025" s="1170"/>
      <c r="AR1025" s="1170">
        <f t="shared" si="1511"/>
        <v>0</v>
      </c>
      <c r="AS1025" s="1170"/>
      <c r="AT1025" s="1169"/>
      <c r="AU1025" s="1313"/>
      <c r="AV1025" s="1131"/>
      <c r="AW1025" s="1169"/>
      <c r="AX1025" s="1177"/>
      <c r="AY1025" s="1177"/>
      <c r="AZ1025" s="1169"/>
      <c r="BA1025" s="1169">
        <f t="shared" si="1512"/>
        <v>0</v>
      </c>
      <c r="BB1025" s="1169"/>
      <c r="BC1025" s="1029"/>
      <c r="BD1025" s="1027"/>
      <c r="BE1025" s="1029"/>
      <c r="BF1025" s="1029"/>
    </row>
    <row r="1026" ht="20.25" customHeight="1">
      <c r="A1026" s="999" t="str">
        <f t="shared" si="1500"/>
        <v xml:space="preserve">Павленко И.В.</v>
      </c>
      <c r="B1026" s="1202" t="s">
        <v>399</v>
      </c>
      <c r="C1026" s="1202"/>
      <c r="D1026" s="1202"/>
      <c r="E1026" s="1164">
        <f t="shared" si="1474"/>
        <v>0</v>
      </c>
      <c r="F1026" s="1164">
        <f t="shared" si="1474"/>
        <v>0</v>
      </c>
      <c r="G1026" s="1165">
        <f t="shared" si="1506"/>
        <v>0</v>
      </c>
      <c r="H1026" s="1166"/>
      <c r="I1026" s="1167">
        <f t="shared" si="1473"/>
        <v>0</v>
      </c>
      <c r="J1026" s="1167">
        <f t="shared" si="1473"/>
        <v>0</v>
      </c>
      <c r="K1026" s="1168">
        <f t="shared" si="1507"/>
        <v>0</v>
      </c>
      <c r="L1026" s="1119"/>
      <c r="M1026" s="1169"/>
      <c r="N1026" s="1177"/>
      <c r="O1026" s="1169"/>
      <c r="P1026" s="1169"/>
      <c r="Q1026" s="1169">
        <f t="shared" si="1508"/>
        <v>0</v>
      </c>
      <c r="R1026" s="1169"/>
      <c r="S1026" s="1169"/>
      <c r="T1026" s="1240"/>
      <c r="U1026" s="1119"/>
      <c r="V1026" s="1169"/>
      <c r="W1026" s="1177"/>
      <c r="X1026" s="1177"/>
      <c r="Y1026" s="1169"/>
      <c r="Z1026" s="1170">
        <f t="shared" si="1509"/>
        <v>0</v>
      </c>
      <c r="AA1026" s="1169"/>
      <c r="AB1026" s="1332"/>
      <c r="AC1026" s="1240"/>
      <c r="AD1026" s="1119"/>
      <c r="AE1026" s="1169"/>
      <c r="AF1026" s="1177"/>
      <c r="AG1026" s="1177"/>
      <c r="AH1026" s="1169"/>
      <c r="AI1026" s="1169">
        <f t="shared" si="1510"/>
        <v>0</v>
      </c>
      <c r="AJ1026" s="1169"/>
      <c r="AK1026" s="1170"/>
      <c r="AL1026" s="1171"/>
      <c r="AM1026" s="1128"/>
      <c r="AN1026" s="1170"/>
      <c r="AO1026" s="1175"/>
      <c r="AP1026" s="1175"/>
      <c r="AQ1026" s="1170"/>
      <c r="AR1026" s="1170">
        <f t="shared" si="1511"/>
        <v>0</v>
      </c>
      <c r="AS1026" s="1170"/>
      <c r="AT1026" s="1169"/>
      <c r="AU1026" s="1313"/>
      <c r="AV1026" s="1131"/>
      <c r="AW1026" s="1169"/>
      <c r="AX1026" s="1177"/>
      <c r="AY1026" s="1177"/>
      <c r="AZ1026" s="1169"/>
      <c r="BA1026" s="1169">
        <f t="shared" si="1512"/>
        <v>0</v>
      </c>
      <c r="BB1026" s="1169"/>
      <c r="BC1026" s="1029"/>
      <c r="BD1026" s="1027"/>
      <c r="BE1026" s="1029"/>
      <c r="BF1026" s="1029"/>
    </row>
    <row r="1027" s="1180" customFormat="1" ht="20.25" customHeight="1">
      <c r="A1027" s="999">
        <f t="shared" si="1500"/>
        <v>0</v>
      </c>
      <c r="B1027" s="1205" t="s">
        <v>363</v>
      </c>
      <c r="C1027" s="1205"/>
      <c r="D1027" s="1205"/>
      <c r="E1027" s="1164">
        <f t="shared" si="1474"/>
        <v>0</v>
      </c>
      <c r="F1027" s="1164">
        <f t="shared" si="1474"/>
        <v>0</v>
      </c>
      <c r="G1027" s="1184">
        <f>SUM(G1024:G1026)</f>
        <v>0</v>
      </c>
      <c r="H1027" s="1185"/>
      <c r="I1027" s="1167">
        <f t="shared" si="1473"/>
        <v>0</v>
      </c>
      <c r="J1027" s="1167">
        <f t="shared" si="1473"/>
        <v>0</v>
      </c>
      <c r="K1027" s="1187">
        <f>SUM(K1024:K1026)</f>
        <v>0</v>
      </c>
      <c r="L1027" s="1188"/>
      <c r="M1027" s="1096">
        <f t="shared" si="1501"/>
        <v>0</v>
      </c>
      <c r="N1027" s="1096">
        <f t="shared" si="1501"/>
        <v>0</v>
      </c>
      <c r="O1027" s="1096">
        <f t="shared" si="1501"/>
        <v>0</v>
      </c>
      <c r="P1027" s="1096">
        <f t="shared" si="1501"/>
        <v>0</v>
      </c>
      <c r="Q1027" s="1096">
        <f t="shared" si="1501"/>
        <v>0</v>
      </c>
      <c r="R1027" s="1096">
        <f t="shared" si="1501"/>
        <v>0</v>
      </c>
      <c r="S1027" s="1096"/>
      <c r="T1027" s="1243"/>
      <c r="U1027" s="1119"/>
      <c r="V1027" s="1096">
        <f t="shared" si="1502"/>
        <v>0</v>
      </c>
      <c r="W1027" s="1096">
        <f t="shared" si="1502"/>
        <v>0</v>
      </c>
      <c r="X1027" s="1096">
        <f t="shared" si="1502"/>
        <v>0</v>
      </c>
      <c r="Y1027" s="1096">
        <f t="shared" si="1502"/>
        <v>0</v>
      </c>
      <c r="Z1027" s="1190">
        <f t="shared" si="1502"/>
        <v>0</v>
      </c>
      <c r="AA1027" s="1096">
        <f t="shared" si="1502"/>
        <v>0</v>
      </c>
      <c r="AB1027" s="1334"/>
      <c r="AC1027" s="1243"/>
      <c r="AD1027" s="1244"/>
      <c r="AE1027" s="1096">
        <f t="shared" si="1503"/>
        <v>0</v>
      </c>
      <c r="AF1027" s="1096">
        <f t="shared" si="1503"/>
        <v>0</v>
      </c>
      <c r="AG1027" s="1096">
        <f t="shared" si="1503"/>
        <v>0</v>
      </c>
      <c r="AH1027" s="1096">
        <f t="shared" si="1503"/>
        <v>0</v>
      </c>
      <c r="AI1027" s="1096">
        <f t="shared" si="1503"/>
        <v>0</v>
      </c>
      <c r="AJ1027" s="1096">
        <f t="shared" si="1503"/>
        <v>0</v>
      </c>
      <c r="AK1027" s="1190"/>
      <c r="AL1027" s="1189"/>
      <c r="AM1027" s="1125"/>
      <c r="AN1027" s="1190">
        <f t="shared" si="1504"/>
        <v>0</v>
      </c>
      <c r="AO1027" s="1190">
        <f t="shared" si="1504"/>
        <v>0</v>
      </c>
      <c r="AP1027" s="1190">
        <f t="shared" si="1504"/>
        <v>0</v>
      </c>
      <c r="AQ1027" s="1190">
        <f t="shared" si="1504"/>
        <v>0</v>
      </c>
      <c r="AR1027" s="1190">
        <f t="shared" si="1504"/>
        <v>0</v>
      </c>
      <c r="AS1027" s="1190">
        <f t="shared" si="1504"/>
        <v>0</v>
      </c>
      <c r="AT1027" s="1096"/>
      <c r="AU1027" s="1314"/>
      <c r="AV1027" s="1192"/>
      <c r="AW1027" s="1096">
        <f t="shared" si="1505"/>
        <v>0</v>
      </c>
      <c r="AX1027" s="1096">
        <f t="shared" si="1505"/>
        <v>0</v>
      </c>
      <c r="AY1027" s="1096">
        <f t="shared" si="1505"/>
        <v>0</v>
      </c>
      <c r="AZ1027" s="1096">
        <f t="shared" si="1505"/>
        <v>0</v>
      </c>
      <c r="BA1027" s="1096">
        <f t="shared" si="1505"/>
        <v>0</v>
      </c>
      <c r="BB1027" s="1096">
        <f t="shared" si="1505"/>
        <v>0</v>
      </c>
      <c r="BC1027" s="1051"/>
      <c r="BD1027" s="1052"/>
      <c r="BE1027" s="1051"/>
      <c r="BF1027" s="1051"/>
      <c r="BG1027" s="1106"/>
      <c r="BH1027" s="1106"/>
      <c r="BI1027" s="1106"/>
      <c r="BJ1027" s="1106"/>
      <c r="BK1027" s="1106"/>
      <c r="BL1027" s="1106"/>
      <c r="BM1027" s="1106"/>
    </row>
    <row r="1028" s="1180" customFormat="1" ht="20.25" customHeight="1">
      <c r="A1028" s="999">
        <f t="shared" si="1500"/>
        <v>0</v>
      </c>
      <c r="B1028" s="1205" t="s">
        <v>400</v>
      </c>
      <c r="C1028" s="1205"/>
      <c r="D1028" s="1205"/>
      <c r="E1028" s="1164">
        <f t="shared" si="1474"/>
        <v>0</v>
      </c>
      <c r="F1028" s="1164">
        <f t="shared" si="1474"/>
        <v>0</v>
      </c>
      <c r="G1028" s="1184">
        <f>G1027+G1023+G1019+G1013+G999</f>
        <v>0</v>
      </c>
      <c r="H1028" s="1185"/>
      <c r="I1028" s="1167">
        <f t="shared" si="1473"/>
        <v>0</v>
      </c>
      <c r="J1028" s="1167">
        <f t="shared" si="1473"/>
        <v>0</v>
      </c>
      <c r="K1028" s="1187">
        <f>K1027+K1023+K1019+K1013+K999</f>
        <v>0</v>
      </c>
      <c r="L1028" s="1206">
        <f t="shared" ref="L1028:R1028" si="1513">L1027+L1023+L1019+L1013+L999</f>
        <v>0</v>
      </c>
      <c r="M1028" s="1209">
        <f t="shared" si="1513"/>
        <v>0</v>
      </c>
      <c r="N1028" s="1209">
        <f t="shared" si="1513"/>
        <v>0</v>
      </c>
      <c r="O1028" s="1209">
        <f t="shared" si="1513"/>
        <v>0</v>
      </c>
      <c r="P1028" s="1209">
        <f t="shared" si="1513"/>
        <v>0</v>
      </c>
      <c r="Q1028" s="1209">
        <f t="shared" si="1513"/>
        <v>0</v>
      </c>
      <c r="R1028" s="1209">
        <f t="shared" si="1513"/>
        <v>0</v>
      </c>
      <c r="S1028" s="1209"/>
      <c r="T1028" s="1247"/>
      <c r="U1028" s="1209">
        <f t="shared" ref="U1028:AA1028" si="1514">U1027+U1023+U1019+U1013+U999</f>
        <v>0</v>
      </c>
      <c r="V1028" s="1209">
        <f t="shared" si="1514"/>
        <v>0</v>
      </c>
      <c r="W1028" s="1209">
        <f t="shared" si="1514"/>
        <v>0</v>
      </c>
      <c r="X1028" s="1209">
        <f t="shared" si="1514"/>
        <v>0</v>
      </c>
      <c r="Y1028" s="1209">
        <f t="shared" si="1514"/>
        <v>0</v>
      </c>
      <c r="Z1028" s="1211">
        <f t="shared" si="1514"/>
        <v>0</v>
      </c>
      <c r="AA1028" s="1209">
        <f t="shared" si="1514"/>
        <v>0</v>
      </c>
      <c r="AB1028" s="1335"/>
      <c r="AC1028" s="1247"/>
      <c r="AD1028" s="1206">
        <f t="shared" ref="AD1028:AJ1028" si="1515">AD1027+AD1023+AD1019+AD1013+AD999</f>
        <v>0</v>
      </c>
      <c r="AE1028" s="1209">
        <f t="shared" si="1515"/>
        <v>0</v>
      </c>
      <c r="AF1028" s="1209">
        <f t="shared" si="1515"/>
        <v>0</v>
      </c>
      <c r="AG1028" s="1209">
        <f t="shared" si="1515"/>
        <v>0</v>
      </c>
      <c r="AH1028" s="1209">
        <f t="shared" si="1515"/>
        <v>0</v>
      </c>
      <c r="AI1028" s="1209">
        <f t="shared" si="1515"/>
        <v>0</v>
      </c>
      <c r="AJ1028" s="1209">
        <f t="shared" si="1515"/>
        <v>0</v>
      </c>
      <c r="AK1028" s="1211"/>
      <c r="AL1028" s="1208"/>
      <c r="AM1028" s="1210">
        <f t="shared" ref="AM1028:AS1028" si="1516">AM1027+AM1023+AM1019+AM1013+AM999</f>
        <v>0</v>
      </c>
      <c r="AN1028" s="1211">
        <f t="shared" si="1516"/>
        <v>0</v>
      </c>
      <c r="AO1028" s="1211">
        <f t="shared" si="1516"/>
        <v>0</v>
      </c>
      <c r="AP1028" s="1211">
        <f t="shared" si="1516"/>
        <v>0</v>
      </c>
      <c r="AQ1028" s="1211">
        <f t="shared" si="1516"/>
        <v>0</v>
      </c>
      <c r="AR1028" s="1211">
        <f t="shared" si="1516"/>
        <v>0</v>
      </c>
      <c r="AS1028" s="1211">
        <f t="shared" si="1516"/>
        <v>0</v>
      </c>
      <c r="AT1028" s="1209"/>
      <c r="AU1028" s="1315"/>
      <c r="AV1028" s="1209">
        <f t="shared" ref="AV1028:BB1028" si="1517">AV1027+AV1023+AV1019+AV1013+AV999</f>
        <v>0</v>
      </c>
      <c r="AW1028" s="1209">
        <f t="shared" si="1517"/>
        <v>0</v>
      </c>
      <c r="AX1028" s="1209">
        <f t="shared" si="1517"/>
        <v>0</v>
      </c>
      <c r="AY1028" s="1209">
        <f t="shared" si="1517"/>
        <v>0</v>
      </c>
      <c r="AZ1028" s="1209">
        <f t="shared" si="1517"/>
        <v>0</v>
      </c>
      <c r="BA1028" s="1209">
        <f t="shared" si="1517"/>
        <v>0</v>
      </c>
      <c r="BB1028" s="1209">
        <f t="shared" si="1517"/>
        <v>0</v>
      </c>
      <c r="BC1028" s="1051"/>
      <c r="BD1028" s="1052"/>
      <c r="BE1028" s="1051"/>
      <c r="BF1028" s="1051"/>
      <c r="BG1028" s="1106"/>
      <c r="BH1028" s="1106"/>
      <c r="BI1028" s="1106"/>
      <c r="BJ1028" s="1106"/>
      <c r="BK1028" s="1106"/>
      <c r="BL1028" s="1106"/>
      <c r="BM1028" s="1106"/>
    </row>
    <row r="1029" ht="20.25" customHeight="1">
      <c r="A1029" s="999" t="str">
        <f t="shared" si="1500"/>
        <v xml:space="preserve">Куприянова А.В.</v>
      </c>
      <c r="B1029" s="1202" t="s">
        <v>402</v>
      </c>
      <c r="C1029" s="1202"/>
      <c r="D1029" s="1202"/>
      <c r="E1029" s="1164">
        <f t="shared" si="1474"/>
        <v>0</v>
      </c>
      <c r="F1029" s="1164">
        <f t="shared" si="1474"/>
        <v>0</v>
      </c>
      <c r="G1029" s="1165">
        <f t="shared" ref="G1029:G1030" si="1518">E1029+F1029</f>
        <v>0</v>
      </c>
      <c r="H1029" s="1166"/>
      <c r="I1029" s="1167">
        <f t="shared" si="1473"/>
        <v>0</v>
      </c>
      <c r="J1029" s="1167">
        <f t="shared" si="1473"/>
        <v>0</v>
      </c>
      <c r="K1029" s="1168">
        <f t="shared" ref="K1029:K1030" si="1519">I1029+J1029</f>
        <v>0</v>
      </c>
      <c r="L1029" s="1119"/>
      <c r="M1029" s="1169"/>
      <c r="N1029" s="1177"/>
      <c r="O1029" s="1169"/>
      <c r="P1029" s="1169"/>
      <c r="Q1029" s="1169">
        <f t="shared" ref="Q1029:Q1030" si="1520">SUM(M1029:P1029)</f>
        <v>0</v>
      </c>
      <c r="R1029" s="1169"/>
      <c r="S1029" s="1169"/>
      <c r="T1029" s="1240"/>
      <c r="U1029" s="1119"/>
      <c r="V1029" s="1169"/>
      <c r="W1029" s="1177"/>
      <c r="X1029" s="1177"/>
      <c r="Y1029" s="1169"/>
      <c r="Z1029" s="1170">
        <f t="shared" ref="Z1029:Z1030" si="1521">SUM(V1029:Y1029)</f>
        <v>0</v>
      </c>
      <c r="AA1029" s="1169"/>
      <c r="AB1029" s="1332"/>
      <c r="AC1029" s="1240"/>
      <c r="AD1029" s="1119"/>
      <c r="AE1029" s="1169"/>
      <c r="AF1029" s="1177"/>
      <c r="AG1029" s="1177"/>
      <c r="AH1029" s="1169"/>
      <c r="AI1029" s="1169">
        <f t="shared" ref="AI1029:AI1030" si="1522">SUM(AE1029:AH1029)</f>
        <v>0</v>
      </c>
      <c r="AJ1029" s="1169"/>
      <c r="AK1029" s="1170"/>
      <c r="AL1029" s="1171"/>
      <c r="AM1029" s="1128"/>
      <c r="AN1029" s="1170"/>
      <c r="AO1029" s="1175"/>
      <c r="AP1029" s="1175"/>
      <c r="AQ1029" s="1170"/>
      <c r="AR1029" s="1170">
        <f t="shared" ref="AR1029:AR1030" si="1523">SUM(AN1029:AQ1029)</f>
        <v>0</v>
      </c>
      <c r="AS1029" s="1170"/>
      <c r="AT1029" s="1169"/>
      <c r="AU1029" s="1313"/>
      <c r="AV1029" s="1131"/>
      <c r="AW1029" s="1169"/>
      <c r="AX1029" s="1177"/>
      <c r="AY1029" s="1177"/>
      <c r="AZ1029" s="1169"/>
      <c r="BA1029" s="1169">
        <f t="shared" ref="BA1029:BA1030" si="1524">SUM(AW1029:AZ1029)</f>
        <v>0</v>
      </c>
      <c r="BB1029" s="1169"/>
      <c r="BC1029" s="1029"/>
      <c r="BD1029" s="1027"/>
      <c r="BE1029" s="1029"/>
      <c r="BF1029" s="1029"/>
    </row>
    <row r="1030" ht="20.25" customHeight="1">
      <c r="A1030" s="999" t="str">
        <f t="shared" si="1500"/>
        <v xml:space="preserve">Попова И.Ю.</v>
      </c>
      <c r="B1030" s="1202" t="s">
        <v>404</v>
      </c>
      <c r="C1030" s="1202"/>
      <c r="D1030" s="1202"/>
      <c r="E1030" s="1164">
        <f t="shared" si="1474"/>
        <v>0</v>
      </c>
      <c r="F1030" s="1164">
        <f t="shared" si="1474"/>
        <v>0</v>
      </c>
      <c r="G1030" s="1165">
        <f t="shared" si="1518"/>
        <v>0</v>
      </c>
      <c r="H1030" s="1166"/>
      <c r="I1030" s="1167">
        <f t="shared" si="1473"/>
        <v>0</v>
      </c>
      <c r="J1030" s="1167">
        <f t="shared" si="1473"/>
        <v>0</v>
      </c>
      <c r="K1030" s="1168">
        <f t="shared" si="1519"/>
        <v>0</v>
      </c>
      <c r="L1030" s="1119"/>
      <c r="M1030" s="1169"/>
      <c r="N1030" s="1177"/>
      <c r="O1030" s="1169"/>
      <c r="P1030" s="1169"/>
      <c r="Q1030" s="1169">
        <f t="shared" si="1520"/>
        <v>0</v>
      </c>
      <c r="R1030" s="1169"/>
      <c r="S1030" s="1169"/>
      <c r="T1030" s="1240"/>
      <c r="U1030" s="1119"/>
      <c r="V1030" s="1169"/>
      <c r="W1030" s="1177"/>
      <c r="X1030" s="1177"/>
      <c r="Y1030" s="1169"/>
      <c r="Z1030" s="1170">
        <f t="shared" si="1521"/>
        <v>0</v>
      </c>
      <c r="AA1030" s="1169"/>
      <c r="AB1030" s="1332"/>
      <c r="AC1030" s="1240"/>
      <c r="AD1030" s="1119"/>
      <c r="AE1030" s="1169"/>
      <c r="AF1030" s="1177"/>
      <c r="AG1030" s="1177"/>
      <c r="AH1030" s="1169"/>
      <c r="AI1030" s="1169">
        <f t="shared" si="1522"/>
        <v>0</v>
      </c>
      <c r="AJ1030" s="1169"/>
      <c r="AK1030" s="1170"/>
      <c r="AL1030" s="1171"/>
      <c r="AM1030" s="1128"/>
      <c r="AN1030" s="1170"/>
      <c r="AO1030" s="1175"/>
      <c r="AP1030" s="1175"/>
      <c r="AQ1030" s="1170"/>
      <c r="AR1030" s="1170">
        <f t="shared" si="1523"/>
        <v>0</v>
      </c>
      <c r="AS1030" s="1170"/>
      <c r="AT1030" s="1169"/>
      <c r="AU1030" s="1313"/>
      <c r="AV1030" s="1131"/>
      <c r="AW1030" s="1169"/>
      <c r="AX1030" s="1177"/>
      <c r="AY1030" s="1177"/>
      <c r="AZ1030" s="1169"/>
      <c r="BA1030" s="1169">
        <f t="shared" si="1524"/>
        <v>0</v>
      </c>
      <c r="BB1030" s="1169"/>
      <c r="BC1030" s="1029"/>
      <c r="BD1030" s="1027"/>
      <c r="BE1030" s="1029"/>
      <c r="BF1030" s="1029"/>
    </row>
    <row r="1031" s="1180" customFormat="1" ht="20.25" customHeight="1">
      <c r="A1031" s="999">
        <f t="shared" si="1500"/>
        <v>0</v>
      </c>
      <c r="B1031" s="1205" t="s">
        <v>405</v>
      </c>
      <c r="C1031" s="1205"/>
      <c r="D1031" s="1205"/>
      <c r="E1031" s="1164">
        <f t="shared" si="1474"/>
        <v>0</v>
      </c>
      <c r="F1031" s="1164">
        <f t="shared" si="1474"/>
        <v>0</v>
      </c>
      <c r="G1031" s="1184">
        <f>G1029+G1030</f>
        <v>0</v>
      </c>
      <c r="H1031" s="1185"/>
      <c r="I1031" s="1167">
        <f t="shared" si="1473"/>
        <v>0</v>
      </c>
      <c r="J1031" s="1167">
        <f t="shared" si="1473"/>
        <v>0</v>
      </c>
      <c r="K1031" s="1187">
        <f>K1029+K1030</f>
        <v>0</v>
      </c>
      <c r="L1031" s="1206"/>
      <c r="M1031" s="1213">
        <f t="shared" ref="M1031:R1031" si="1525">M1029+M1030</f>
        <v>0</v>
      </c>
      <c r="N1031" s="1213">
        <f t="shared" si="1525"/>
        <v>0</v>
      </c>
      <c r="O1031" s="1213">
        <f t="shared" si="1525"/>
        <v>0</v>
      </c>
      <c r="P1031" s="1213">
        <f t="shared" si="1525"/>
        <v>0</v>
      </c>
      <c r="Q1031" s="1213">
        <f t="shared" si="1525"/>
        <v>0</v>
      </c>
      <c r="R1031" s="1213">
        <f t="shared" si="1525"/>
        <v>0</v>
      </c>
      <c r="S1031" s="1213"/>
      <c r="T1031" s="1248"/>
      <c r="U1031" s="1206"/>
      <c r="V1031" s="1209">
        <f t="shared" ref="V1031:AA1031" si="1526">V1029+V1030</f>
        <v>0</v>
      </c>
      <c r="W1031" s="1209">
        <f t="shared" si="1526"/>
        <v>0</v>
      </c>
      <c r="X1031" s="1209">
        <f t="shared" si="1526"/>
        <v>0</v>
      </c>
      <c r="Y1031" s="1209">
        <f t="shared" si="1526"/>
        <v>0</v>
      </c>
      <c r="Z1031" s="1211">
        <f t="shared" si="1526"/>
        <v>0</v>
      </c>
      <c r="AA1031" s="1209">
        <f t="shared" si="1526"/>
        <v>0</v>
      </c>
      <c r="AB1031" s="1335"/>
      <c r="AC1031" s="1247"/>
      <c r="AD1031" s="1206"/>
      <c r="AE1031" s="1209">
        <f t="shared" ref="AE1031:AJ1031" si="1527">AE1029+AE1030</f>
        <v>0</v>
      </c>
      <c r="AF1031" s="1209">
        <f t="shared" si="1527"/>
        <v>0</v>
      </c>
      <c r="AG1031" s="1209">
        <f t="shared" si="1527"/>
        <v>0</v>
      </c>
      <c r="AH1031" s="1209">
        <f t="shared" si="1527"/>
        <v>0</v>
      </c>
      <c r="AI1031" s="1209">
        <f t="shared" si="1527"/>
        <v>0</v>
      </c>
      <c r="AJ1031" s="1209">
        <f t="shared" si="1527"/>
        <v>0</v>
      </c>
      <c r="AK1031" s="1211"/>
      <c r="AL1031" s="1208"/>
      <c r="AM1031" s="1210"/>
      <c r="AN1031" s="1211">
        <f t="shared" ref="AN1031:AS1031" si="1528">AN1029+AN1030</f>
        <v>0</v>
      </c>
      <c r="AO1031" s="1211">
        <f t="shared" si="1528"/>
        <v>0</v>
      </c>
      <c r="AP1031" s="1211">
        <f t="shared" si="1528"/>
        <v>0</v>
      </c>
      <c r="AQ1031" s="1211">
        <f t="shared" si="1528"/>
        <v>0</v>
      </c>
      <c r="AR1031" s="1211">
        <f t="shared" si="1528"/>
        <v>0</v>
      </c>
      <c r="AS1031" s="1211">
        <f t="shared" si="1528"/>
        <v>0</v>
      </c>
      <c r="AT1031" s="1209"/>
      <c r="AU1031" s="1315"/>
      <c r="AV1031" s="1206">
        <f t="shared" ref="AV1031:BB1031" si="1529">AV1029+AV1030</f>
        <v>0</v>
      </c>
      <c r="AW1031" s="1209">
        <f t="shared" si="1529"/>
        <v>0</v>
      </c>
      <c r="AX1031" s="1209">
        <f t="shared" si="1529"/>
        <v>0</v>
      </c>
      <c r="AY1031" s="1209">
        <f t="shared" si="1529"/>
        <v>0</v>
      </c>
      <c r="AZ1031" s="1209">
        <f t="shared" si="1529"/>
        <v>0</v>
      </c>
      <c r="BA1031" s="1209">
        <f t="shared" si="1529"/>
        <v>0</v>
      </c>
      <c r="BB1031" s="1209">
        <f t="shared" si="1529"/>
        <v>0</v>
      </c>
      <c r="BC1031" s="1051"/>
      <c r="BD1031" s="1052"/>
      <c r="BE1031" s="1051"/>
      <c r="BF1031" s="1051"/>
      <c r="BG1031" s="1106"/>
      <c r="BH1031" s="1106"/>
      <c r="BI1031" s="1106"/>
      <c r="BJ1031" s="1106"/>
      <c r="BK1031" s="1106"/>
      <c r="BL1031" s="1106"/>
      <c r="BM1031" s="1106"/>
    </row>
    <row r="1032" s="1180" customFormat="1" ht="20.25" customHeight="1">
      <c r="A1032" s="999">
        <f t="shared" si="1500"/>
        <v>0</v>
      </c>
      <c r="B1032" s="1205" t="s">
        <v>406</v>
      </c>
      <c r="C1032" s="1205"/>
      <c r="D1032" s="1205"/>
      <c r="E1032" s="1164">
        <f t="shared" si="1474"/>
        <v>0</v>
      </c>
      <c r="F1032" s="1164">
        <f t="shared" si="1474"/>
        <v>0</v>
      </c>
      <c r="G1032" s="1184">
        <f>G1028+G1031</f>
        <v>0</v>
      </c>
      <c r="H1032" s="1185"/>
      <c r="I1032" s="1167">
        <f t="shared" si="1473"/>
        <v>0</v>
      </c>
      <c r="J1032" s="1167">
        <f t="shared" si="1473"/>
        <v>0</v>
      </c>
      <c r="K1032" s="1187">
        <f>K1028+K1031</f>
        <v>0</v>
      </c>
      <c r="L1032" s="1206">
        <f t="shared" ref="L1032:R1032" si="1530">L1028+L1031</f>
        <v>0</v>
      </c>
      <c r="M1032" s="1209">
        <f t="shared" si="1530"/>
        <v>0</v>
      </c>
      <c r="N1032" s="1209">
        <f t="shared" si="1530"/>
        <v>0</v>
      </c>
      <c r="O1032" s="1209">
        <f t="shared" si="1530"/>
        <v>0</v>
      </c>
      <c r="P1032" s="1209">
        <f t="shared" si="1530"/>
        <v>0</v>
      </c>
      <c r="Q1032" s="1209">
        <f t="shared" si="1530"/>
        <v>0</v>
      </c>
      <c r="R1032" s="1209">
        <f t="shared" si="1530"/>
        <v>0</v>
      </c>
      <c r="S1032" s="1209"/>
      <c r="T1032" s="1247"/>
      <c r="U1032" s="1209">
        <f t="shared" ref="U1032:AA1032" si="1531">U1028+U1031</f>
        <v>0</v>
      </c>
      <c r="V1032" s="1209">
        <f t="shared" si="1531"/>
        <v>0</v>
      </c>
      <c r="W1032" s="1209">
        <f t="shared" si="1531"/>
        <v>0</v>
      </c>
      <c r="X1032" s="1209">
        <f t="shared" si="1531"/>
        <v>0</v>
      </c>
      <c r="Y1032" s="1209">
        <f t="shared" si="1531"/>
        <v>0</v>
      </c>
      <c r="Z1032" s="1211">
        <f t="shared" si="1531"/>
        <v>0</v>
      </c>
      <c r="AA1032" s="1209">
        <f t="shared" si="1531"/>
        <v>0</v>
      </c>
      <c r="AB1032" s="1335"/>
      <c r="AC1032" s="1247"/>
      <c r="AD1032" s="1206">
        <f t="shared" ref="AD1032:AJ1032" si="1532">AD1028+AD1031</f>
        <v>0</v>
      </c>
      <c r="AE1032" s="1209">
        <f t="shared" si="1532"/>
        <v>0</v>
      </c>
      <c r="AF1032" s="1209">
        <f t="shared" si="1532"/>
        <v>0</v>
      </c>
      <c r="AG1032" s="1209">
        <f t="shared" si="1532"/>
        <v>0</v>
      </c>
      <c r="AH1032" s="1209">
        <f t="shared" si="1532"/>
        <v>0</v>
      </c>
      <c r="AI1032" s="1209">
        <f t="shared" si="1532"/>
        <v>0</v>
      </c>
      <c r="AJ1032" s="1209">
        <f t="shared" si="1532"/>
        <v>0</v>
      </c>
      <c r="AK1032" s="1211"/>
      <c r="AL1032" s="1208"/>
      <c r="AM1032" s="1210">
        <f t="shared" ref="AM1032:AS1032" si="1533">AM1028+AM1031</f>
        <v>0</v>
      </c>
      <c r="AN1032" s="1211">
        <f t="shared" si="1533"/>
        <v>0</v>
      </c>
      <c r="AO1032" s="1211">
        <f t="shared" si="1533"/>
        <v>0</v>
      </c>
      <c r="AP1032" s="1211">
        <f t="shared" si="1533"/>
        <v>0</v>
      </c>
      <c r="AQ1032" s="1211">
        <f t="shared" si="1533"/>
        <v>0</v>
      </c>
      <c r="AR1032" s="1211">
        <f t="shared" si="1533"/>
        <v>0</v>
      </c>
      <c r="AS1032" s="1211">
        <f t="shared" si="1533"/>
        <v>0</v>
      </c>
      <c r="AT1032" s="1209"/>
      <c r="AU1032" s="1315"/>
      <c r="AV1032" s="1209">
        <f t="shared" ref="AV1032:BB1032" si="1534">AV1028+AV1031</f>
        <v>0</v>
      </c>
      <c r="AW1032" s="1209">
        <f t="shared" si="1534"/>
        <v>0</v>
      </c>
      <c r="AX1032" s="1209">
        <f t="shared" si="1534"/>
        <v>0</v>
      </c>
      <c r="AY1032" s="1209">
        <f t="shared" si="1534"/>
        <v>0</v>
      </c>
      <c r="AZ1032" s="1209">
        <f t="shared" si="1534"/>
        <v>0</v>
      </c>
      <c r="BA1032" s="1209">
        <f t="shared" si="1534"/>
        <v>0</v>
      </c>
      <c r="BB1032" s="1209">
        <f t="shared" si="1534"/>
        <v>0</v>
      </c>
      <c r="BC1032" s="1051"/>
      <c r="BD1032" s="1052"/>
      <c r="BE1032" s="1051"/>
      <c r="BF1032" s="1051"/>
      <c r="BG1032" s="1106"/>
      <c r="BH1032" s="1106"/>
      <c r="BI1032" s="1106"/>
      <c r="BJ1032" s="1106"/>
      <c r="BK1032" s="1106"/>
      <c r="BL1032" s="1106"/>
      <c r="BM1032" s="1106"/>
    </row>
    <row r="1033" ht="20.25" customHeight="1">
      <c r="A1033" s="999">
        <f t="shared" si="1500"/>
        <v>0</v>
      </c>
      <c r="B1033" s="1202" t="s">
        <v>407</v>
      </c>
      <c r="C1033" s="1202"/>
      <c r="D1033" s="1202"/>
      <c r="E1033" s="1164">
        <f t="shared" si="1474"/>
        <v>0</v>
      </c>
      <c r="F1033" s="1164">
        <f t="shared" si="1474"/>
        <v>0</v>
      </c>
      <c r="G1033" s="1165">
        <f t="shared" ref="G1033:G1040" si="1535">E1033+F1033</f>
        <v>0</v>
      </c>
      <c r="H1033" s="1166"/>
      <c r="I1033" s="1167">
        <f t="shared" si="1473"/>
        <v>0</v>
      </c>
      <c r="J1033" s="1167">
        <f t="shared" si="1473"/>
        <v>0</v>
      </c>
      <c r="K1033" s="1168">
        <f t="shared" ref="K1033:K1040" si="1536">I1033+J1033</f>
        <v>0</v>
      </c>
      <c r="L1033" s="1119"/>
      <c r="M1033" s="1169"/>
      <c r="N1033" s="1177"/>
      <c r="O1033" s="1169"/>
      <c r="P1033" s="1169"/>
      <c r="Q1033" s="1169">
        <f t="shared" ref="Q1033:Q1040" si="1537">SUM(M1033:P1033)</f>
        <v>0</v>
      </c>
      <c r="R1033" s="1169"/>
      <c r="S1033" s="1169"/>
      <c r="T1033" s="1240"/>
      <c r="U1033" s="1119"/>
      <c r="V1033" s="1169"/>
      <c r="W1033" s="1177"/>
      <c r="X1033" s="1177"/>
      <c r="Y1033" s="1169"/>
      <c r="Z1033" s="1170">
        <f t="shared" ref="Z1033:Z1040" si="1538">SUM(V1033:Y1033)</f>
        <v>0</v>
      </c>
      <c r="AA1033" s="1169"/>
      <c r="AB1033" s="1332"/>
      <c r="AC1033" s="1240"/>
      <c r="AD1033" s="1119"/>
      <c r="AE1033" s="1169"/>
      <c r="AF1033" s="1177"/>
      <c r="AG1033" s="1177"/>
      <c r="AH1033" s="1169"/>
      <c r="AI1033" s="1169">
        <f t="shared" ref="AI1033:AI1040" si="1539">SUM(AE1033:AH1033)</f>
        <v>0</v>
      </c>
      <c r="AJ1033" s="1169"/>
      <c r="AK1033" s="1170"/>
      <c r="AL1033" s="1171"/>
      <c r="AM1033" s="1128"/>
      <c r="AN1033" s="1170"/>
      <c r="AO1033" s="1175"/>
      <c r="AP1033" s="1175"/>
      <c r="AQ1033" s="1170"/>
      <c r="AR1033" s="1170">
        <f t="shared" ref="AR1033:AR1040" si="1540">SUM(AN1033:AQ1033)</f>
        <v>0</v>
      </c>
      <c r="AS1033" s="1170"/>
      <c r="AT1033" s="1169"/>
      <c r="AU1033" s="1313"/>
      <c r="AV1033" s="1131"/>
      <c r="AW1033" s="1169"/>
      <c r="AX1033" s="1177"/>
      <c r="AY1033" s="1177"/>
      <c r="AZ1033" s="1169"/>
      <c r="BA1033" s="1169">
        <f t="shared" ref="BA1033:BA1040" si="1541">SUM(AW1033:AZ1033)</f>
        <v>0</v>
      </c>
      <c r="BB1033" s="1169"/>
      <c r="BC1033" s="1029"/>
      <c r="BD1033" s="1027"/>
      <c r="BE1033" s="1029"/>
      <c r="BF1033" s="1029"/>
    </row>
    <row r="1034" ht="20.25" customHeight="1">
      <c r="A1034" s="999" t="str">
        <f t="shared" si="1500"/>
        <v xml:space="preserve">Леоненко Г.Н</v>
      </c>
      <c r="B1034" s="1202" t="s">
        <v>409</v>
      </c>
      <c r="C1034" s="1202"/>
      <c r="D1034" s="1202"/>
      <c r="E1034" s="1164">
        <f t="shared" si="1474"/>
        <v>0</v>
      </c>
      <c r="F1034" s="1164">
        <f t="shared" si="1474"/>
        <v>0</v>
      </c>
      <c r="G1034" s="1165">
        <f t="shared" si="1535"/>
        <v>0</v>
      </c>
      <c r="H1034" s="1166"/>
      <c r="I1034" s="1167">
        <f t="shared" si="1473"/>
        <v>0</v>
      </c>
      <c r="J1034" s="1167">
        <f t="shared" si="1473"/>
        <v>0</v>
      </c>
      <c r="K1034" s="1168">
        <f t="shared" si="1536"/>
        <v>0</v>
      </c>
      <c r="L1034" s="1119"/>
      <c r="M1034" s="1169"/>
      <c r="N1034" s="1177"/>
      <c r="O1034" s="1169"/>
      <c r="P1034" s="1169"/>
      <c r="Q1034" s="1169">
        <f t="shared" si="1537"/>
        <v>0</v>
      </c>
      <c r="R1034" s="1169"/>
      <c r="S1034" s="1169"/>
      <c r="T1034" s="1240"/>
      <c r="U1034" s="1119"/>
      <c r="V1034" s="1169"/>
      <c r="W1034" s="1177"/>
      <c r="X1034" s="1177"/>
      <c r="Y1034" s="1169"/>
      <c r="Z1034" s="1170">
        <f t="shared" si="1538"/>
        <v>0</v>
      </c>
      <c r="AA1034" s="1169"/>
      <c r="AB1034" s="1332"/>
      <c r="AC1034" s="1240"/>
      <c r="AD1034" s="1119"/>
      <c r="AE1034" s="1169"/>
      <c r="AF1034" s="1177"/>
      <c r="AG1034" s="1177"/>
      <c r="AH1034" s="1169"/>
      <c r="AI1034" s="1169">
        <f t="shared" si="1539"/>
        <v>0</v>
      </c>
      <c r="AJ1034" s="1169"/>
      <c r="AK1034" s="1170"/>
      <c r="AL1034" s="1171"/>
      <c r="AM1034" s="1128"/>
      <c r="AN1034" s="1170"/>
      <c r="AO1034" s="1175"/>
      <c r="AP1034" s="1175"/>
      <c r="AQ1034" s="1170"/>
      <c r="AR1034" s="1170">
        <f t="shared" si="1540"/>
        <v>0</v>
      </c>
      <c r="AS1034" s="1170"/>
      <c r="AT1034" s="1169"/>
      <c r="AU1034" s="1313"/>
      <c r="AV1034" s="1131"/>
      <c r="AW1034" s="1169"/>
      <c r="AX1034" s="1177"/>
      <c r="AY1034" s="1177"/>
      <c r="AZ1034" s="1169"/>
      <c r="BA1034" s="1169">
        <f t="shared" si="1541"/>
        <v>0</v>
      </c>
      <c r="BB1034" s="1169"/>
      <c r="BC1034" s="1029"/>
      <c r="BD1034" s="1027"/>
      <c r="BE1034" s="1029"/>
      <c r="BF1034" s="1029"/>
    </row>
    <row r="1035" s="1215" customFormat="1" ht="20.25" customHeight="1">
      <c r="A1035" s="999" t="str">
        <f t="shared" si="1500"/>
        <v xml:space="preserve">Саяпина О.А.</v>
      </c>
      <c r="B1035" s="1202" t="s">
        <v>411</v>
      </c>
      <c r="C1035" s="1217"/>
      <c r="D1035" s="1217"/>
      <c r="E1035" s="1164">
        <f t="shared" si="1474"/>
        <v>0</v>
      </c>
      <c r="F1035" s="1164">
        <f t="shared" si="1474"/>
        <v>0</v>
      </c>
      <c r="G1035" s="1165">
        <f t="shared" si="1535"/>
        <v>0</v>
      </c>
      <c r="H1035" s="1166"/>
      <c r="I1035" s="1167">
        <f t="shared" si="1473"/>
        <v>0</v>
      </c>
      <c r="J1035" s="1167">
        <f t="shared" si="1473"/>
        <v>0</v>
      </c>
      <c r="K1035" s="1168">
        <f t="shared" si="1536"/>
        <v>0</v>
      </c>
      <c r="L1035" s="1119"/>
      <c r="M1035" s="1169"/>
      <c r="N1035" s="1177"/>
      <c r="O1035" s="1169"/>
      <c r="P1035" s="1169"/>
      <c r="Q1035" s="1169">
        <f t="shared" si="1537"/>
        <v>0</v>
      </c>
      <c r="R1035" s="1169"/>
      <c r="S1035" s="1169"/>
      <c r="T1035" s="1240"/>
      <c r="U1035" s="1119"/>
      <c r="V1035" s="1169"/>
      <c r="W1035" s="1177"/>
      <c r="X1035" s="1177"/>
      <c r="Y1035" s="1169"/>
      <c r="Z1035" s="1170">
        <f t="shared" si="1538"/>
        <v>0</v>
      </c>
      <c r="AA1035" s="1169"/>
      <c r="AB1035" s="1332"/>
      <c r="AC1035" s="1240"/>
      <c r="AD1035" s="1119"/>
      <c r="AE1035" s="1169"/>
      <c r="AF1035" s="1177"/>
      <c r="AG1035" s="1177"/>
      <c r="AH1035" s="1169"/>
      <c r="AI1035" s="1169">
        <f t="shared" si="1539"/>
        <v>0</v>
      </c>
      <c r="AJ1035" s="1169"/>
      <c r="AK1035" s="1170"/>
      <c r="AL1035" s="1171"/>
      <c r="AM1035" s="1128"/>
      <c r="AN1035" s="1170"/>
      <c r="AO1035" s="1175"/>
      <c r="AP1035" s="1175"/>
      <c r="AQ1035" s="1170"/>
      <c r="AR1035" s="1170">
        <f t="shared" si="1540"/>
        <v>0</v>
      </c>
      <c r="AS1035" s="1170"/>
      <c r="AT1035" s="1169"/>
      <c r="AU1035" s="1313"/>
      <c r="AV1035" s="1119"/>
      <c r="AW1035" s="1169"/>
      <c r="AX1035" s="1177"/>
      <c r="AY1035" s="1177"/>
      <c r="AZ1035" s="1169"/>
      <c r="BA1035" s="1169">
        <f t="shared" si="1541"/>
        <v>0</v>
      </c>
      <c r="BB1035" s="1169"/>
      <c r="BC1035" s="1024"/>
      <c r="BD1035" s="1027"/>
      <c r="BE1035" s="1024"/>
      <c r="BF1035" s="1024"/>
      <c r="BG1035" s="1008"/>
      <c r="BH1035" s="1008"/>
      <c r="BI1035" s="1008"/>
      <c r="BJ1035" s="1008"/>
      <c r="BK1035" s="1008"/>
      <c r="BL1035" s="1008"/>
      <c r="BM1035" s="1008"/>
    </row>
    <row r="1036" s="1215" customFormat="1" ht="20.25" customHeight="1">
      <c r="A1036" s="999" t="str">
        <f t="shared" si="1500"/>
        <v xml:space="preserve">Дегтярева Е.И. Акилова С.В.</v>
      </c>
      <c r="B1036" s="1202" t="s">
        <v>413</v>
      </c>
      <c r="C1036" s="1217"/>
      <c r="D1036" s="1217"/>
      <c r="E1036" s="1164">
        <f t="shared" si="1474"/>
        <v>0</v>
      </c>
      <c r="F1036" s="1164">
        <f>R1036+AA1036+AJ1002+AS1036+BB1036</f>
        <v>0</v>
      </c>
      <c r="G1036" s="1165">
        <f t="shared" si="1535"/>
        <v>0</v>
      </c>
      <c r="H1036" s="1166"/>
      <c r="I1036" s="1167">
        <f t="shared" si="1473"/>
        <v>0</v>
      </c>
      <c r="J1036" s="1167">
        <f t="shared" si="1473"/>
        <v>0</v>
      </c>
      <c r="K1036" s="1168">
        <f t="shared" si="1536"/>
        <v>0</v>
      </c>
      <c r="L1036" s="1119"/>
      <c r="M1036" s="1169"/>
      <c r="N1036" s="1177"/>
      <c r="O1036" s="1169"/>
      <c r="P1036" s="1169"/>
      <c r="Q1036" s="1169">
        <f t="shared" si="1537"/>
        <v>0</v>
      </c>
      <c r="R1036" s="1169"/>
      <c r="S1036" s="1169"/>
      <c r="T1036" s="1240"/>
      <c r="U1036" s="1119"/>
      <c r="V1036" s="1169"/>
      <c r="W1036" s="1177"/>
      <c r="X1036" s="1177"/>
      <c r="Y1036" s="1169"/>
      <c r="Z1036" s="1170">
        <f t="shared" si="1538"/>
        <v>0</v>
      </c>
      <c r="AA1036" s="1169"/>
      <c r="AB1036" s="1332"/>
      <c r="AC1036" s="1240"/>
      <c r="AD1036" s="1119"/>
      <c r="AE1036" s="1169"/>
      <c r="AF1036" s="1177"/>
      <c r="AG1036" s="1177"/>
      <c r="AI1036" s="1169">
        <f t="shared" si="1539"/>
        <v>0</v>
      </c>
      <c r="AK1036" s="1170"/>
      <c r="AL1036" s="1171"/>
      <c r="AM1036" s="1128"/>
      <c r="AN1036" s="1170"/>
      <c r="AO1036" s="1175"/>
      <c r="AP1036" s="1175"/>
      <c r="AQ1036" s="1170"/>
      <c r="AR1036" s="1170">
        <f t="shared" si="1540"/>
        <v>0</v>
      </c>
      <c r="AS1036" s="1170"/>
      <c r="AT1036" s="1169"/>
      <c r="AU1036" s="1313"/>
      <c r="AV1036" s="1119"/>
      <c r="AW1036" s="1169"/>
      <c r="AX1036" s="1177"/>
      <c r="AY1036" s="1177"/>
      <c r="AZ1036" s="1169"/>
      <c r="BA1036" s="1169">
        <f t="shared" si="1541"/>
        <v>0</v>
      </c>
      <c r="BB1036" s="1169"/>
      <c r="BC1036" s="1024"/>
      <c r="BD1036" s="1027"/>
      <c r="BE1036" s="1024"/>
      <c r="BF1036" s="1024"/>
      <c r="BG1036" s="1008"/>
      <c r="BH1036" s="1008"/>
      <c r="BI1036" s="1008"/>
      <c r="BJ1036" s="1008"/>
      <c r="BK1036" s="1008"/>
      <c r="BL1036" s="1008"/>
      <c r="BM1036" s="1008"/>
    </row>
    <row r="1037" s="1215" customFormat="1" ht="20.25" customHeight="1">
      <c r="A1037" s="999">
        <f t="shared" si="1500"/>
        <v>0</v>
      </c>
      <c r="B1037" s="1202" t="s">
        <v>504</v>
      </c>
      <c r="C1037" s="1202"/>
      <c r="D1037" s="1202"/>
      <c r="E1037" s="1164">
        <f t="shared" si="1474"/>
        <v>0</v>
      </c>
      <c r="F1037" s="1164">
        <f t="shared" si="1474"/>
        <v>0</v>
      </c>
      <c r="G1037" s="1165"/>
      <c r="H1037" s="1166"/>
      <c r="I1037" s="1167">
        <f t="shared" si="1473"/>
        <v>0</v>
      </c>
      <c r="J1037" s="1167">
        <f t="shared" si="1473"/>
        <v>0</v>
      </c>
      <c r="K1037" s="1168"/>
      <c r="L1037" s="1119"/>
      <c r="M1037" s="1169"/>
      <c r="N1037" s="1177"/>
      <c r="O1037" s="1169"/>
      <c r="P1037" s="1169"/>
      <c r="Q1037" s="1169">
        <f t="shared" si="1537"/>
        <v>0</v>
      </c>
      <c r="R1037" s="1169"/>
      <c r="S1037" s="1169"/>
      <c r="T1037" s="1240"/>
      <c r="U1037" s="1119"/>
      <c r="V1037" s="1169"/>
      <c r="W1037" s="1177"/>
      <c r="X1037" s="1177"/>
      <c r="Y1037" s="1169"/>
      <c r="Z1037" s="1170">
        <f t="shared" si="1538"/>
        <v>0</v>
      </c>
      <c r="AA1037" s="1169"/>
      <c r="AB1037" s="1332"/>
      <c r="AC1037" s="1240"/>
      <c r="AD1037" s="1119"/>
      <c r="AE1037" s="1169"/>
      <c r="AF1037" s="1177"/>
      <c r="AG1037" s="1177"/>
      <c r="AH1037" s="1169"/>
      <c r="AI1037" s="1169">
        <f t="shared" si="1539"/>
        <v>0</v>
      </c>
      <c r="AJ1037" s="1169"/>
      <c r="AK1037" s="1170"/>
      <c r="AL1037" s="1171"/>
      <c r="AM1037" s="1128"/>
      <c r="AN1037" s="1170"/>
      <c r="AO1037" s="1175"/>
      <c r="AP1037" s="1175"/>
      <c r="AQ1037" s="1170"/>
      <c r="AR1037" s="1170">
        <f t="shared" si="1540"/>
        <v>0</v>
      </c>
      <c r="AS1037" s="1170"/>
      <c r="AT1037" s="1169"/>
      <c r="AU1037" s="1313"/>
      <c r="AV1037" s="1119"/>
      <c r="AW1037" s="1169"/>
      <c r="AX1037" s="1177"/>
      <c r="AY1037" s="1177"/>
      <c r="AZ1037" s="1169"/>
      <c r="BA1037" s="1169">
        <f t="shared" si="1541"/>
        <v>0</v>
      </c>
      <c r="BB1037" s="1169"/>
      <c r="BC1037" s="1024"/>
      <c r="BD1037" s="1027"/>
      <c r="BE1037" s="1024"/>
      <c r="BF1037" s="1024"/>
      <c r="BG1037" s="1008"/>
      <c r="BH1037" s="1008"/>
      <c r="BI1037" s="1008"/>
      <c r="BJ1037" s="1008"/>
      <c r="BK1037" s="1008"/>
      <c r="BL1037" s="1008"/>
      <c r="BM1037" s="1008"/>
    </row>
    <row r="1038" s="1215" customFormat="1" ht="20.25" customHeight="1">
      <c r="A1038" s="999" t="str">
        <f t="shared" si="1500"/>
        <v xml:space="preserve">Ковалевская ОА,  Горнухина НЕ</v>
      </c>
      <c r="B1038" s="1202" t="s">
        <v>416</v>
      </c>
      <c r="C1038" s="1202"/>
      <c r="D1038" s="1202"/>
      <c r="E1038" s="1164">
        <f t="shared" si="1474"/>
        <v>0</v>
      </c>
      <c r="F1038" s="1164">
        <f t="shared" si="1474"/>
        <v>0</v>
      </c>
      <c r="G1038" s="1165">
        <f t="shared" si="1535"/>
        <v>0</v>
      </c>
      <c r="H1038" s="1166"/>
      <c r="I1038" s="1167">
        <f t="shared" si="1473"/>
        <v>0</v>
      </c>
      <c r="J1038" s="1167">
        <f t="shared" si="1473"/>
        <v>0</v>
      </c>
      <c r="K1038" s="1168">
        <f t="shared" si="1536"/>
        <v>0</v>
      </c>
      <c r="L1038" s="1119"/>
      <c r="M1038" s="1169"/>
      <c r="N1038" s="1177"/>
      <c r="O1038" s="1169"/>
      <c r="P1038" s="1169"/>
      <c r="Q1038" s="1169">
        <f t="shared" si="1537"/>
        <v>0</v>
      </c>
      <c r="R1038" s="1169"/>
      <c r="S1038" s="1169"/>
      <c r="T1038" s="1240"/>
      <c r="U1038" s="1119"/>
      <c r="V1038" s="1169"/>
      <c r="W1038" s="1177"/>
      <c r="X1038" s="1177"/>
      <c r="Y1038" s="1169"/>
      <c r="Z1038" s="1170">
        <f t="shared" si="1538"/>
        <v>0</v>
      </c>
      <c r="AA1038" s="1169"/>
      <c r="AB1038" s="1332"/>
      <c r="AC1038" s="1240"/>
      <c r="AD1038" s="1119"/>
      <c r="AE1038" s="1169"/>
      <c r="AF1038" s="1177"/>
      <c r="AG1038" s="1177"/>
      <c r="AH1038" s="1169"/>
      <c r="AI1038" s="1169">
        <f t="shared" si="1539"/>
        <v>0</v>
      </c>
      <c r="AJ1038" s="1169"/>
      <c r="AK1038" s="1170"/>
      <c r="AL1038" s="1171"/>
      <c r="AM1038" s="1128"/>
      <c r="AN1038" s="1170"/>
      <c r="AO1038" s="1175"/>
      <c r="AP1038" s="1175"/>
      <c r="AQ1038" s="1170"/>
      <c r="AR1038" s="1170">
        <f t="shared" si="1540"/>
        <v>0</v>
      </c>
      <c r="AS1038" s="1170"/>
      <c r="AT1038" s="1169"/>
      <c r="AU1038" s="1313"/>
      <c r="AV1038" s="1119"/>
      <c r="AW1038" s="1169"/>
      <c r="AX1038" s="1177"/>
      <c r="AY1038" s="1177"/>
      <c r="AZ1038" s="1169"/>
      <c r="BA1038" s="1169">
        <f t="shared" si="1541"/>
        <v>0</v>
      </c>
      <c r="BB1038" s="1169"/>
      <c r="BC1038" s="1024"/>
      <c r="BD1038" s="1027"/>
      <c r="BE1038" s="1024"/>
      <c r="BF1038" s="1024"/>
      <c r="BG1038" s="1008"/>
      <c r="BH1038" s="1008"/>
      <c r="BI1038" s="1008"/>
      <c r="BJ1038" s="1008"/>
      <c r="BK1038" s="1008"/>
      <c r="BL1038" s="1008"/>
      <c r="BM1038" s="1008"/>
    </row>
    <row r="1039" s="1215" customFormat="1" ht="20.25" customHeight="1">
      <c r="A1039" s="999" t="str">
        <f t="shared" si="1500"/>
        <v xml:space="preserve">Никонова-Цыганова Н.А. Столберова МИ</v>
      </c>
      <c r="B1039" s="1202" t="s">
        <v>80</v>
      </c>
      <c r="C1039" s="1217"/>
      <c r="D1039" s="1217"/>
      <c r="E1039" s="1164">
        <f t="shared" si="1474"/>
        <v>0</v>
      </c>
      <c r="F1039" s="1164">
        <f t="shared" si="1474"/>
        <v>0</v>
      </c>
      <c r="G1039" s="1165">
        <f t="shared" si="1535"/>
        <v>0</v>
      </c>
      <c r="H1039" s="1166"/>
      <c r="I1039" s="1167">
        <f t="shared" si="1473"/>
        <v>0</v>
      </c>
      <c r="J1039" s="1167">
        <f t="shared" si="1473"/>
        <v>0</v>
      </c>
      <c r="K1039" s="1168">
        <f t="shared" si="1536"/>
        <v>0</v>
      </c>
      <c r="L1039" s="1119"/>
      <c r="M1039" s="1169"/>
      <c r="N1039" s="1199"/>
      <c r="O1039" s="1169"/>
      <c r="P1039" s="1169"/>
      <c r="Q1039" s="1169">
        <f t="shared" si="1537"/>
        <v>0</v>
      </c>
      <c r="R1039" s="1169"/>
      <c r="S1039" s="1169"/>
      <c r="T1039" s="1240"/>
      <c r="U1039" s="1119"/>
      <c r="V1039" s="1169"/>
      <c r="W1039" s="1199"/>
      <c r="X1039" s="1177"/>
      <c r="Y1039" s="1169"/>
      <c r="Z1039" s="1170">
        <f t="shared" si="1538"/>
        <v>0</v>
      </c>
      <c r="AA1039" s="1169"/>
      <c r="AB1039" s="1332"/>
      <c r="AC1039" s="1240"/>
      <c r="AD1039" s="1119"/>
      <c r="AE1039" s="1169"/>
      <c r="AF1039" s="1199"/>
      <c r="AG1039" s="1177"/>
      <c r="AH1039" s="1169"/>
      <c r="AI1039" s="1169">
        <f t="shared" si="1539"/>
        <v>0</v>
      </c>
      <c r="AJ1039" s="1169"/>
      <c r="AK1039" s="1170"/>
      <c r="AL1039" s="1171"/>
      <c r="AM1039" s="1128"/>
      <c r="AN1039" s="1170"/>
      <c r="AO1039" s="1200"/>
      <c r="AP1039" s="1175"/>
      <c r="AQ1039" s="1170"/>
      <c r="AR1039" s="1170">
        <f t="shared" si="1540"/>
        <v>0</v>
      </c>
      <c r="AS1039" s="1170"/>
      <c r="AT1039" s="1169"/>
      <c r="AU1039" s="1313"/>
      <c r="AV1039" s="1119"/>
      <c r="AW1039" s="1169"/>
      <c r="AX1039" s="1199"/>
      <c r="AY1039" s="1177"/>
      <c r="AZ1039" s="1169"/>
      <c r="BA1039" s="1169">
        <f t="shared" si="1541"/>
        <v>0</v>
      </c>
      <c r="BB1039" s="1169"/>
      <c r="BC1039" s="1024"/>
      <c r="BD1039" s="1027"/>
      <c r="BE1039" s="1024"/>
      <c r="BF1039" s="1024"/>
      <c r="BG1039" s="1008"/>
      <c r="BH1039" s="1008"/>
      <c r="BI1039" s="1008"/>
      <c r="BJ1039" s="1008"/>
      <c r="BK1039" s="1008"/>
      <c r="BL1039" s="1008"/>
      <c r="BM1039" s="1008"/>
    </row>
    <row r="1040" s="1215" customFormat="1" ht="20.25" customHeight="1">
      <c r="A1040" s="999" t="str">
        <f t="shared" si="1500"/>
        <v xml:space="preserve">Шевкунова С.А.</v>
      </c>
      <c r="B1040" s="1202" t="s">
        <v>419</v>
      </c>
      <c r="C1040" s="1202"/>
      <c r="D1040" s="1202"/>
      <c r="E1040" s="1164">
        <f t="shared" si="1474"/>
        <v>0</v>
      </c>
      <c r="F1040" s="1164">
        <f t="shared" si="1474"/>
        <v>0</v>
      </c>
      <c r="G1040" s="1165">
        <f t="shared" si="1535"/>
        <v>0</v>
      </c>
      <c r="H1040" s="1166"/>
      <c r="I1040" s="1167">
        <f t="shared" si="1473"/>
        <v>0</v>
      </c>
      <c r="J1040" s="1167">
        <f t="shared" si="1473"/>
        <v>0</v>
      </c>
      <c r="K1040" s="1168">
        <f t="shared" si="1536"/>
        <v>0</v>
      </c>
      <c r="L1040" s="1119"/>
      <c r="M1040" s="1169"/>
      <c r="N1040" s="1177"/>
      <c r="O1040" s="1169"/>
      <c r="P1040" s="1169"/>
      <c r="Q1040" s="1169">
        <f t="shared" si="1537"/>
        <v>0</v>
      </c>
      <c r="R1040" s="1169"/>
      <c r="S1040" s="1169"/>
      <c r="T1040" s="1240"/>
      <c r="U1040" s="1119"/>
      <c r="V1040" s="1169"/>
      <c r="W1040" s="1177"/>
      <c r="X1040" s="1177"/>
      <c r="Y1040" s="1169"/>
      <c r="Z1040" s="1170">
        <f t="shared" si="1538"/>
        <v>0</v>
      </c>
      <c r="AA1040" s="1169"/>
      <c r="AB1040" s="1332"/>
      <c r="AC1040" s="1240"/>
      <c r="AD1040" s="1119"/>
      <c r="AE1040" s="1169"/>
      <c r="AF1040" s="1177"/>
      <c r="AG1040" s="1177"/>
      <c r="AH1040" s="1169"/>
      <c r="AI1040" s="1169">
        <f t="shared" si="1539"/>
        <v>0</v>
      </c>
      <c r="AJ1040" s="1169"/>
      <c r="AK1040" s="1170"/>
      <c r="AL1040" s="1171"/>
      <c r="AM1040" s="1128"/>
      <c r="AN1040" s="1170"/>
      <c r="AO1040" s="1175"/>
      <c r="AP1040" s="1175"/>
      <c r="AQ1040" s="1170"/>
      <c r="AR1040" s="1170">
        <f t="shared" si="1540"/>
        <v>0</v>
      </c>
      <c r="AS1040" s="1170"/>
      <c r="AT1040" s="1169"/>
      <c r="AU1040" s="1313"/>
      <c r="AV1040" s="1119"/>
      <c r="AW1040" s="1169"/>
      <c r="AX1040" s="1177"/>
      <c r="AY1040" s="1177"/>
      <c r="AZ1040" s="1169"/>
      <c r="BA1040" s="1169">
        <f t="shared" si="1541"/>
        <v>0</v>
      </c>
      <c r="BB1040" s="1169"/>
      <c r="BC1040" s="1024"/>
      <c r="BD1040" s="1027"/>
      <c r="BE1040" s="1024"/>
      <c r="BF1040" s="1024"/>
      <c r="BG1040" s="1008"/>
      <c r="BH1040" s="1008"/>
      <c r="BI1040" s="1008"/>
      <c r="BJ1040" s="1008"/>
      <c r="BK1040" s="1008"/>
      <c r="BL1040" s="1008"/>
      <c r="BM1040" s="1008"/>
    </row>
    <row r="1041" s="1215" customFormat="1" ht="20.25" customHeight="1">
      <c r="A1041" s="999" t="str">
        <f t="shared" si="1500"/>
        <v xml:space="preserve">Никонова-Цыганова Н.А. Столберова МИ</v>
      </c>
      <c r="B1041" s="1205" t="s">
        <v>363</v>
      </c>
      <c r="C1041" s="1205"/>
      <c r="D1041" s="1205"/>
      <c r="E1041" s="1164">
        <f t="shared" si="1474"/>
        <v>0</v>
      </c>
      <c r="F1041" s="1164">
        <f t="shared" si="1474"/>
        <v>0</v>
      </c>
      <c r="G1041" s="1220">
        <f>SUM(G1033:G1040)</f>
        <v>0</v>
      </c>
      <c r="H1041" s="1221"/>
      <c r="I1041" s="1167">
        <f t="shared" si="1473"/>
        <v>0</v>
      </c>
      <c r="J1041" s="1167">
        <f t="shared" si="1473"/>
        <v>0</v>
      </c>
      <c r="K1041" s="1222">
        <f>SUM(K1033:K1040)</f>
        <v>0</v>
      </c>
      <c r="L1041" s="1188"/>
      <c r="M1041" s="1096">
        <f t="shared" ref="M1041:R1041" si="1542">SUM(M1033:M1040)</f>
        <v>0</v>
      </c>
      <c r="N1041" s="1096">
        <f t="shared" si="1542"/>
        <v>0</v>
      </c>
      <c r="O1041" s="1096">
        <f t="shared" si="1542"/>
        <v>0</v>
      </c>
      <c r="P1041" s="1096">
        <f t="shared" si="1542"/>
        <v>0</v>
      </c>
      <c r="Q1041" s="1096">
        <f t="shared" si="1542"/>
        <v>0</v>
      </c>
      <c r="R1041" s="1096">
        <f t="shared" si="1542"/>
        <v>0</v>
      </c>
      <c r="S1041" s="1096"/>
      <c r="T1041" s="1243"/>
      <c r="U1041" s="1188"/>
      <c r="V1041" s="1096">
        <f t="shared" ref="V1041:AA1041" si="1543">SUM(V1033:V1040)</f>
        <v>0</v>
      </c>
      <c r="W1041" s="1096">
        <f t="shared" si="1543"/>
        <v>0</v>
      </c>
      <c r="X1041" s="1096">
        <f t="shared" si="1543"/>
        <v>0</v>
      </c>
      <c r="Y1041" s="1096">
        <f t="shared" si="1543"/>
        <v>0</v>
      </c>
      <c r="Z1041" s="1190">
        <f t="shared" si="1543"/>
        <v>0</v>
      </c>
      <c r="AA1041" s="1096">
        <f t="shared" si="1543"/>
        <v>0</v>
      </c>
      <c r="AB1041" s="1334"/>
      <c r="AC1041" s="1243"/>
      <c r="AD1041" s="1188"/>
      <c r="AE1041" s="1096">
        <f t="shared" ref="AE1041:AJ1041" si="1544">SUM(AE1033:AE1040)</f>
        <v>0</v>
      </c>
      <c r="AF1041" s="1096">
        <f t="shared" si="1544"/>
        <v>0</v>
      </c>
      <c r="AG1041" s="1096">
        <f t="shared" si="1544"/>
        <v>0</v>
      </c>
      <c r="AH1041" s="1096">
        <f t="shared" si="1544"/>
        <v>0</v>
      </c>
      <c r="AI1041" s="1096">
        <f t="shared" si="1544"/>
        <v>0</v>
      </c>
      <c r="AJ1041" s="1096">
        <f t="shared" si="1544"/>
        <v>0</v>
      </c>
      <c r="AK1041" s="1190"/>
      <c r="AL1041" s="1189"/>
      <c r="AM1041" s="1197"/>
      <c r="AN1041" s="1190">
        <f t="shared" ref="AN1041:AS1041" si="1545">SUM(AN1033:AN1040)</f>
        <v>0</v>
      </c>
      <c r="AO1041" s="1190">
        <f t="shared" si="1545"/>
        <v>0</v>
      </c>
      <c r="AP1041" s="1190">
        <f t="shared" si="1545"/>
        <v>0</v>
      </c>
      <c r="AQ1041" s="1190">
        <f t="shared" si="1545"/>
        <v>0</v>
      </c>
      <c r="AR1041" s="1190">
        <f t="shared" si="1545"/>
        <v>0</v>
      </c>
      <c r="AS1041" s="1190">
        <f t="shared" si="1545"/>
        <v>0</v>
      </c>
      <c r="AT1041" s="1096"/>
      <c r="AU1041" s="1314"/>
      <c r="AV1041" s="1188">
        <f t="shared" ref="AV1041:BB1041" si="1546">SUM(AV1033:AV1040)</f>
        <v>0</v>
      </c>
      <c r="AW1041" s="1096">
        <f t="shared" si="1546"/>
        <v>0</v>
      </c>
      <c r="AX1041" s="1096">
        <f t="shared" si="1546"/>
        <v>0</v>
      </c>
      <c r="AY1041" s="1096">
        <f t="shared" si="1546"/>
        <v>0</v>
      </c>
      <c r="AZ1041" s="1096">
        <f t="shared" si="1546"/>
        <v>0</v>
      </c>
      <c r="BA1041" s="1096">
        <f t="shared" si="1546"/>
        <v>0</v>
      </c>
      <c r="BB1041" s="1096">
        <f t="shared" si="1546"/>
        <v>0</v>
      </c>
      <c r="BC1041" s="1024"/>
      <c r="BD1041" s="1027"/>
      <c r="BE1041" s="1024"/>
      <c r="BF1041" s="1024"/>
      <c r="BG1041" s="1008"/>
      <c r="BH1041" s="1008"/>
      <c r="BI1041" s="1008"/>
      <c r="BJ1041" s="1008"/>
      <c r="BK1041" s="1008"/>
      <c r="BL1041" s="1008"/>
      <c r="BM1041" s="1008"/>
    </row>
    <row r="1042" s="1215" customFormat="1" ht="20.25" customHeight="1">
      <c r="A1042" s="999" t="str">
        <f t="shared" si="1500"/>
        <v xml:space="preserve">Шеламкова Н.В.</v>
      </c>
      <c r="B1042" s="1202" t="s">
        <v>421</v>
      </c>
      <c r="C1042" s="1202"/>
      <c r="D1042" s="1202"/>
      <c r="E1042" s="1164">
        <f t="shared" si="1474"/>
        <v>0</v>
      </c>
      <c r="F1042" s="1164">
        <f t="shared" si="1474"/>
        <v>0</v>
      </c>
      <c r="G1042" s="1165">
        <f t="shared" ref="G1042:G1054" si="1547">E1042+F1042</f>
        <v>0</v>
      </c>
      <c r="H1042" s="1166"/>
      <c r="I1042" s="1167">
        <f t="shared" si="1473"/>
        <v>0</v>
      </c>
      <c r="J1042" s="1167">
        <f t="shared" si="1473"/>
        <v>0</v>
      </c>
      <c r="K1042" s="1168">
        <f t="shared" ref="K1042:K1054" si="1548">I1042+J1042</f>
        <v>0</v>
      </c>
      <c r="L1042" s="1119"/>
      <c r="M1042" s="1169"/>
      <c r="N1042" s="1177"/>
      <c r="O1042" s="1169"/>
      <c r="P1042" s="1169"/>
      <c r="Q1042" s="1169">
        <f t="shared" ref="Q1042:Q1054" si="1549">SUM(M1042:P1042)</f>
        <v>0</v>
      </c>
      <c r="R1042" s="1169"/>
      <c r="S1042" s="1169"/>
      <c r="T1042" s="1240"/>
      <c r="U1042" s="1119"/>
      <c r="V1042" s="1169"/>
      <c r="W1042" s="1177"/>
      <c r="X1042" s="1177"/>
      <c r="Y1042" s="1169"/>
      <c r="Z1042" s="1170">
        <f t="shared" ref="Z1042:Z1054" si="1550">SUM(V1042:Y1042)</f>
        <v>0</v>
      </c>
      <c r="AA1042" s="1169"/>
      <c r="AB1042" s="1332"/>
      <c r="AC1042" s="1240"/>
      <c r="AD1042" s="1119"/>
      <c r="AE1042" s="1169"/>
      <c r="AF1042" s="1177"/>
      <c r="AG1042" s="1177"/>
      <c r="AH1042" s="1169"/>
      <c r="AI1042" s="1169">
        <f t="shared" ref="AI1042:AI1054" si="1551">SUM(AE1042:AH1042)</f>
        <v>0</v>
      </c>
      <c r="AJ1042" s="1169"/>
      <c r="AK1042" s="1170"/>
      <c r="AL1042" s="1171"/>
      <c r="AM1042" s="1128"/>
      <c r="AN1042" s="1170"/>
      <c r="AO1042" s="1175"/>
      <c r="AP1042" s="1175"/>
      <c r="AQ1042" s="1170"/>
      <c r="AR1042" s="1170">
        <f t="shared" ref="AR1042:AR1054" si="1552">SUM(AN1042:AQ1042)</f>
        <v>0</v>
      </c>
      <c r="AS1042" s="1170"/>
      <c r="AT1042" s="1169"/>
      <c r="AU1042" s="1313"/>
      <c r="AV1042" s="1119"/>
      <c r="AW1042" s="1169"/>
      <c r="AX1042" s="1177"/>
      <c r="AY1042" s="1177"/>
      <c r="AZ1042" s="1169"/>
      <c r="BA1042" s="1169">
        <f t="shared" ref="BA1042:BA1054" si="1553">SUM(AW1042:AZ1042)</f>
        <v>0</v>
      </c>
      <c r="BB1042" s="1169"/>
      <c r="BC1042" s="1024"/>
      <c r="BD1042" s="1027"/>
      <c r="BE1042" s="1024"/>
      <c r="BF1042" s="1024"/>
      <c r="BG1042" s="1008"/>
      <c r="BH1042" s="1008"/>
      <c r="BI1042" s="1008"/>
      <c r="BJ1042" s="1008"/>
      <c r="BK1042" s="1008"/>
      <c r="BL1042" s="1008"/>
      <c r="BM1042" s="1008"/>
    </row>
    <row r="1043" s="1215" customFormat="1" ht="20.25" customHeight="1">
      <c r="A1043" s="999" t="str">
        <f t="shared" si="1500"/>
        <v xml:space="preserve">Буланова О.Н. Сычева Ю.В.</v>
      </c>
      <c r="B1043" s="1202" t="s">
        <v>68</v>
      </c>
      <c r="C1043" s="1202"/>
      <c r="D1043" s="1202"/>
      <c r="E1043" s="1164">
        <f t="shared" si="1474"/>
        <v>0</v>
      </c>
      <c r="F1043" s="1164">
        <f t="shared" si="1474"/>
        <v>0</v>
      </c>
      <c r="G1043" s="1165">
        <f t="shared" si="1547"/>
        <v>0</v>
      </c>
      <c r="H1043" s="1166"/>
      <c r="I1043" s="1167">
        <f t="shared" si="1473"/>
        <v>0</v>
      </c>
      <c r="J1043" s="1167">
        <f t="shared" si="1473"/>
        <v>0</v>
      </c>
      <c r="K1043" s="1168">
        <f t="shared" si="1548"/>
        <v>0</v>
      </c>
      <c r="L1043" s="1119"/>
      <c r="M1043" s="1169"/>
      <c r="N1043" s="1177"/>
      <c r="O1043" s="1169"/>
      <c r="P1043" s="1169"/>
      <c r="Q1043" s="1169">
        <f t="shared" si="1549"/>
        <v>0</v>
      </c>
      <c r="R1043" s="1169"/>
      <c r="S1043" s="1169"/>
      <c r="T1043" s="1240"/>
      <c r="U1043" s="1119"/>
      <c r="V1043" s="1169"/>
      <c r="W1043" s="1177"/>
      <c r="X1043" s="1177"/>
      <c r="Y1043" s="1169"/>
      <c r="Z1043" s="1170">
        <f t="shared" si="1550"/>
        <v>0</v>
      </c>
      <c r="AA1043" s="1169"/>
      <c r="AB1043" s="1332"/>
      <c r="AC1043" s="1240"/>
      <c r="AD1043" s="1119"/>
      <c r="AE1043" s="1169"/>
      <c r="AF1043" s="1177"/>
      <c r="AG1043" s="1177"/>
      <c r="AH1043" s="1169"/>
      <c r="AI1043" s="1169">
        <f t="shared" si="1551"/>
        <v>0</v>
      </c>
      <c r="AJ1043" s="1169"/>
      <c r="AK1043" s="1170"/>
      <c r="AL1043" s="1171"/>
      <c r="AM1043" s="1128"/>
      <c r="AN1043" s="1170"/>
      <c r="AO1043" s="1175"/>
      <c r="AP1043" s="1175"/>
      <c r="AQ1043" s="1170"/>
      <c r="AR1043" s="1170">
        <f t="shared" si="1552"/>
        <v>0</v>
      </c>
      <c r="AS1043" s="1170"/>
      <c r="AT1043" s="1169"/>
      <c r="AU1043" s="1313"/>
      <c r="AV1043" s="1119"/>
      <c r="AW1043" s="1169"/>
      <c r="AX1043" s="1177"/>
      <c r="AY1043" s="1177"/>
      <c r="AZ1043" s="1169"/>
      <c r="BA1043" s="1169">
        <f t="shared" si="1553"/>
        <v>0</v>
      </c>
      <c r="BB1043" s="1169"/>
      <c r="BC1043" s="1024"/>
      <c r="BD1043" s="1027"/>
      <c r="BE1043" s="1024"/>
      <c r="BF1043" s="1024"/>
      <c r="BG1043" s="1008"/>
      <c r="BH1043" s="1008"/>
      <c r="BI1043" s="1008"/>
      <c r="BJ1043" s="1008"/>
      <c r="BK1043" s="1008"/>
      <c r="BL1043" s="1008"/>
      <c r="BM1043" s="1008"/>
    </row>
    <row r="1044" s="1215" customFormat="1" ht="20.25" customHeight="1">
      <c r="A1044" s="999" t="str">
        <f t="shared" si="1500"/>
        <v xml:space="preserve">Бояринцева Н.А.</v>
      </c>
      <c r="B1044" s="1202" t="s">
        <v>289</v>
      </c>
      <c r="C1044" s="1202"/>
      <c r="D1044" s="1202"/>
      <c r="E1044" s="1164">
        <f t="shared" si="1474"/>
        <v>0</v>
      </c>
      <c r="F1044" s="1164">
        <f t="shared" si="1474"/>
        <v>0</v>
      </c>
      <c r="G1044" s="1165">
        <f t="shared" si="1547"/>
        <v>0</v>
      </c>
      <c r="H1044" s="1166"/>
      <c r="I1044" s="1167">
        <f t="shared" si="1473"/>
        <v>0</v>
      </c>
      <c r="J1044" s="1167">
        <f t="shared" si="1473"/>
        <v>0</v>
      </c>
      <c r="K1044" s="1168">
        <f t="shared" si="1548"/>
        <v>0</v>
      </c>
      <c r="L1044" s="1119"/>
      <c r="M1044" s="1169"/>
      <c r="N1044" s="1177"/>
      <c r="O1044" s="1169"/>
      <c r="P1044" s="1169"/>
      <c r="Q1044" s="1169">
        <f t="shared" si="1549"/>
        <v>0</v>
      </c>
      <c r="R1044" s="1169"/>
      <c r="S1044" s="1169"/>
      <c r="T1044" s="1240"/>
      <c r="U1044" s="1119"/>
      <c r="V1044" s="1169"/>
      <c r="W1044" s="1177"/>
      <c r="X1044" s="1177"/>
      <c r="Y1044" s="1169"/>
      <c r="Z1044" s="1170">
        <f t="shared" si="1550"/>
        <v>0</v>
      </c>
      <c r="AA1044" s="1169"/>
      <c r="AB1044" s="1332"/>
      <c r="AC1044" s="1240"/>
      <c r="AD1044" s="1119"/>
      <c r="AE1044" s="1169"/>
      <c r="AF1044" s="1177"/>
      <c r="AG1044" s="1177"/>
      <c r="AH1044" s="1169"/>
      <c r="AI1044" s="1169">
        <f t="shared" si="1551"/>
        <v>0</v>
      </c>
      <c r="AJ1044" s="1169"/>
      <c r="AK1044" s="1170"/>
      <c r="AL1044" s="1171"/>
      <c r="AM1044" s="1128"/>
      <c r="AN1044" s="1170"/>
      <c r="AO1044" s="1175"/>
      <c r="AP1044" s="1175"/>
      <c r="AQ1044" s="1170"/>
      <c r="AR1044" s="1170">
        <f t="shared" si="1552"/>
        <v>0</v>
      </c>
      <c r="AS1044" s="1170"/>
      <c r="AT1044" s="1169"/>
      <c r="AU1044" s="1313"/>
      <c r="AV1044" s="1119"/>
      <c r="AW1044" s="1169"/>
      <c r="AX1044" s="1177"/>
      <c r="AY1044" s="1177"/>
      <c r="AZ1044" s="1169"/>
      <c r="BA1044" s="1169">
        <f t="shared" si="1553"/>
        <v>0</v>
      </c>
      <c r="BB1044" s="1169"/>
      <c r="BC1044" s="1024"/>
      <c r="BD1044" s="1027"/>
      <c r="BE1044" s="1024"/>
      <c r="BF1044" s="1024"/>
      <c r="BG1044" s="1008"/>
      <c r="BH1044" s="1008"/>
      <c r="BI1044" s="1008"/>
      <c r="BJ1044" s="1008"/>
      <c r="BK1044" s="1008"/>
      <c r="BL1044" s="1008"/>
      <c r="BM1044" s="1008"/>
    </row>
    <row r="1045" s="1215" customFormat="1" ht="20.25" customHeight="1">
      <c r="A1045" s="999">
        <f t="shared" si="1500"/>
        <v>0</v>
      </c>
      <c r="B1045" s="1202" t="s">
        <v>424</v>
      </c>
      <c r="C1045" s="1202"/>
      <c r="D1045" s="1202"/>
      <c r="E1045" s="1164">
        <f t="shared" si="1474"/>
        <v>0</v>
      </c>
      <c r="F1045" s="1164">
        <f t="shared" si="1474"/>
        <v>0</v>
      </c>
      <c r="G1045" s="1165">
        <f t="shared" si="1547"/>
        <v>0</v>
      </c>
      <c r="H1045" s="1166"/>
      <c r="I1045" s="1167">
        <f t="shared" si="1473"/>
        <v>0</v>
      </c>
      <c r="J1045" s="1167">
        <f t="shared" si="1473"/>
        <v>0</v>
      </c>
      <c r="K1045" s="1168">
        <f t="shared" si="1548"/>
        <v>0</v>
      </c>
      <c r="L1045" s="1119"/>
      <c r="M1045" s="1169"/>
      <c r="N1045" s="1177"/>
      <c r="O1045" s="1169"/>
      <c r="P1045" s="1169"/>
      <c r="Q1045" s="1169">
        <f t="shared" si="1549"/>
        <v>0</v>
      </c>
      <c r="R1045" s="1169"/>
      <c r="S1045" s="1169"/>
      <c r="T1045" s="1240"/>
      <c r="U1045" s="1119"/>
      <c r="V1045" s="1169"/>
      <c r="W1045" s="1177"/>
      <c r="X1045" s="1177"/>
      <c r="Y1045" s="1169"/>
      <c r="Z1045" s="1170">
        <f t="shared" si="1550"/>
        <v>0</v>
      </c>
      <c r="AA1045" s="1169"/>
      <c r="AB1045" s="1332"/>
      <c r="AC1045" s="1240"/>
      <c r="AD1045" s="1119"/>
      <c r="AE1045" s="1169"/>
      <c r="AF1045" s="1177"/>
      <c r="AG1045" s="1177"/>
      <c r="AH1045" s="1169"/>
      <c r="AI1045" s="1169">
        <f t="shared" si="1551"/>
        <v>0</v>
      </c>
      <c r="AJ1045" s="1169"/>
      <c r="AK1045" s="1170"/>
      <c r="AL1045" s="1171"/>
      <c r="AM1045" s="1128"/>
      <c r="AN1045" s="1170"/>
      <c r="AO1045" s="1175"/>
      <c r="AP1045" s="1175"/>
      <c r="AQ1045" s="1170"/>
      <c r="AR1045" s="1170">
        <f t="shared" si="1552"/>
        <v>0</v>
      </c>
      <c r="AS1045" s="1170"/>
      <c r="AT1045" s="1169"/>
      <c r="AU1045" s="1313"/>
      <c r="AV1045" s="1119"/>
      <c r="AW1045" s="1169"/>
      <c r="AX1045" s="1177"/>
      <c r="AY1045" s="1177"/>
      <c r="AZ1045" s="1169"/>
      <c r="BA1045" s="1169">
        <f t="shared" si="1553"/>
        <v>0</v>
      </c>
      <c r="BB1045" s="1169"/>
      <c r="BC1045" s="1024"/>
      <c r="BD1045" s="1027"/>
      <c r="BE1045" s="1024"/>
      <c r="BF1045" s="1024"/>
      <c r="BG1045" s="1008"/>
      <c r="BH1045" s="1008"/>
      <c r="BI1045" s="1008"/>
      <c r="BJ1045" s="1008"/>
      <c r="BK1045" s="1008"/>
      <c r="BL1045" s="1008"/>
      <c r="BM1045" s="1008"/>
    </row>
    <row r="1046" s="1215" customFormat="1" ht="20.25" customHeight="1">
      <c r="A1046" s="999" t="str">
        <f t="shared" si="1500"/>
        <v xml:space="preserve">Соболева Т.Ю.</v>
      </c>
      <c r="B1046" s="1202" t="s">
        <v>426</v>
      </c>
      <c r="C1046" s="1202"/>
      <c r="D1046" s="1202"/>
      <c r="E1046" s="1164">
        <f t="shared" si="1474"/>
        <v>0</v>
      </c>
      <c r="F1046" s="1164">
        <f t="shared" si="1474"/>
        <v>0</v>
      </c>
      <c r="G1046" s="1165">
        <f t="shared" si="1547"/>
        <v>0</v>
      </c>
      <c r="H1046" s="1166"/>
      <c r="I1046" s="1167">
        <f t="shared" si="1473"/>
        <v>0</v>
      </c>
      <c r="J1046" s="1167">
        <f t="shared" si="1473"/>
        <v>0</v>
      </c>
      <c r="K1046" s="1168">
        <f t="shared" si="1548"/>
        <v>0</v>
      </c>
      <c r="L1046" s="1119"/>
      <c r="M1046" s="1169"/>
      <c r="N1046" s="1177"/>
      <c r="O1046" s="1169"/>
      <c r="P1046" s="1169"/>
      <c r="Q1046" s="1169">
        <f t="shared" si="1549"/>
        <v>0</v>
      </c>
      <c r="R1046" s="1169"/>
      <c r="S1046" s="1169"/>
      <c r="T1046" s="1240"/>
      <c r="U1046" s="1119"/>
      <c r="V1046" s="1169"/>
      <c r="W1046" s="1177"/>
      <c r="X1046" s="1177"/>
      <c r="Y1046" s="1169"/>
      <c r="Z1046" s="1170">
        <f t="shared" si="1550"/>
        <v>0</v>
      </c>
      <c r="AA1046" s="1169"/>
      <c r="AB1046" s="1332"/>
      <c r="AC1046" s="1240"/>
      <c r="AD1046" s="1119"/>
      <c r="AE1046" s="1169"/>
      <c r="AF1046" s="1177"/>
      <c r="AG1046" s="1177"/>
      <c r="AH1046" s="1169"/>
      <c r="AI1046" s="1169">
        <f t="shared" si="1551"/>
        <v>0</v>
      </c>
      <c r="AJ1046" s="1169"/>
      <c r="AK1046" s="1170"/>
      <c r="AL1046" s="1171"/>
      <c r="AM1046" s="1128"/>
      <c r="AN1046" s="1170"/>
      <c r="AO1046" s="1175"/>
      <c r="AP1046" s="1175"/>
      <c r="AQ1046" s="1170"/>
      <c r="AR1046" s="1170">
        <f t="shared" si="1552"/>
        <v>0</v>
      </c>
      <c r="AS1046" s="1170"/>
      <c r="AT1046" s="1169"/>
      <c r="AU1046" s="1313"/>
      <c r="AV1046" s="1119"/>
      <c r="AW1046" s="1169"/>
      <c r="AX1046" s="1177"/>
      <c r="AY1046" s="1177"/>
      <c r="AZ1046" s="1169"/>
      <c r="BA1046" s="1169">
        <f t="shared" si="1553"/>
        <v>0</v>
      </c>
      <c r="BB1046" s="1169"/>
      <c r="BC1046" s="1024"/>
      <c r="BD1046" s="1027"/>
      <c r="BE1046" s="1024"/>
      <c r="BF1046" s="1024"/>
      <c r="BG1046" s="1008"/>
      <c r="BH1046" s="1008"/>
      <c r="BI1046" s="1008"/>
      <c r="BJ1046" s="1008"/>
      <c r="BK1046" s="1008"/>
      <c r="BL1046" s="1008"/>
      <c r="BM1046" s="1008"/>
    </row>
    <row r="1047" s="1215" customFormat="1" ht="20.25" customHeight="1">
      <c r="A1047" s="999">
        <f t="shared" si="1500"/>
        <v>0</v>
      </c>
      <c r="B1047" s="1202" t="s">
        <v>427</v>
      </c>
      <c r="C1047" s="1202"/>
      <c r="D1047" s="1202"/>
      <c r="E1047" s="1164">
        <f t="shared" si="1474"/>
        <v>0</v>
      </c>
      <c r="F1047" s="1164">
        <f t="shared" si="1474"/>
        <v>0</v>
      </c>
      <c r="G1047" s="1165">
        <f t="shared" si="1547"/>
        <v>0</v>
      </c>
      <c r="H1047" s="1166"/>
      <c r="I1047" s="1167">
        <f t="shared" si="1473"/>
        <v>0</v>
      </c>
      <c r="J1047" s="1167">
        <f t="shared" si="1473"/>
        <v>0</v>
      </c>
      <c r="K1047" s="1168">
        <f t="shared" si="1548"/>
        <v>0</v>
      </c>
      <c r="L1047" s="1119"/>
      <c r="M1047" s="1169"/>
      <c r="N1047" s="1177"/>
      <c r="O1047" s="1169"/>
      <c r="P1047" s="1169"/>
      <c r="Q1047" s="1169">
        <f t="shared" si="1549"/>
        <v>0</v>
      </c>
      <c r="R1047" s="1169"/>
      <c r="S1047" s="1169"/>
      <c r="T1047" s="1240"/>
      <c r="U1047" s="1119"/>
      <c r="V1047" s="1169"/>
      <c r="W1047" s="1177"/>
      <c r="X1047" s="1177"/>
      <c r="Y1047" s="1169"/>
      <c r="Z1047" s="1170">
        <f t="shared" si="1550"/>
        <v>0</v>
      </c>
      <c r="AA1047" s="1169"/>
      <c r="AB1047" s="1332"/>
      <c r="AC1047" s="1240"/>
      <c r="AD1047" s="1119"/>
      <c r="AE1047" s="1169"/>
      <c r="AF1047" s="1177"/>
      <c r="AG1047" s="1177"/>
      <c r="AH1047" s="1169"/>
      <c r="AI1047" s="1169">
        <f t="shared" si="1551"/>
        <v>0</v>
      </c>
      <c r="AJ1047" s="1169"/>
      <c r="AK1047" s="1170"/>
      <c r="AL1047" s="1171"/>
      <c r="AM1047" s="1128"/>
      <c r="AN1047" s="1170"/>
      <c r="AO1047" s="1175"/>
      <c r="AP1047" s="1175"/>
      <c r="AQ1047" s="1170"/>
      <c r="AR1047" s="1170">
        <f t="shared" si="1552"/>
        <v>0</v>
      </c>
      <c r="AS1047" s="1170"/>
      <c r="AT1047" s="1169"/>
      <c r="AU1047" s="1313"/>
      <c r="AV1047" s="1119"/>
      <c r="AW1047" s="1169"/>
      <c r="AX1047" s="1177"/>
      <c r="AY1047" s="1177"/>
      <c r="AZ1047" s="1169"/>
      <c r="BA1047" s="1169">
        <f t="shared" si="1553"/>
        <v>0</v>
      </c>
      <c r="BB1047" s="1169"/>
      <c r="BC1047" s="1024"/>
      <c r="BD1047" s="1027"/>
      <c r="BE1047" s="1024"/>
      <c r="BF1047" s="1024"/>
      <c r="BG1047" s="1008"/>
      <c r="BH1047" s="1008"/>
      <c r="BI1047" s="1008"/>
      <c r="BJ1047" s="1008"/>
      <c r="BK1047" s="1008"/>
      <c r="BL1047" s="1008"/>
      <c r="BM1047" s="1008"/>
    </row>
    <row r="1048" s="1215" customFormat="1" ht="20.25" customHeight="1">
      <c r="A1048" s="999" t="str">
        <f t="shared" si="1500"/>
        <v xml:space="preserve">Астапова С.А.</v>
      </c>
      <c r="B1048" s="1202" t="s">
        <v>73</v>
      </c>
      <c r="C1048" s="1202"/>
      <c r="D1048" s="1202"/>
      <c r="E1048" s="1164">
        <f t="shared" si="1474"/>
        <v>0</v>
      </c>
      <c r="F1048" s="1164">
        <f t="shared" si="1474"/>
        <v>0</v>
      </c>
      <c r="G1048" s="1165">
        <f t="shared" si="1547"/>
        <v>0</v>
      </c>
      <c r="H1048" s="1166"/>
      <c r="I1048" s="1167">
        <f t="shared" si="1473"/>
        <v>0</v>
      </c>
      <c r="J1048" s="1167">
        <f t="shared" si="1473"/>
        <v>0</v>
      </c>
      <c r="K1048" s="1168">
        <f t="shared" si="1548"/>
        <v>0</v>
      </c>
      <c r="L1048" s="1119"/>
      <c r="M1048" s="1169"/>
      <c r="N1048" s="1177"/>
      <c r="O1048" s="1169"/>
      <c r="P1048" s="1169"/>
      <c r="Q1048" s="1169">
        <f t="shared" si="1549"/>
        <v>0</v>
      </c>
      <c r="R1048" s="1169"/>
      <c r="S1048" s="1169"/>
      <c r="T1048" s="1240"/>
      <c r="U1048" s="1119"/>
      <c r="V1048" s="1169"/>
      <c r="W1048" s="1177"/>
      <c r="X1048" s="1177"/>
      <c r="Y1048" s="1169"/>
      <c r="Z1048" s="1170">
        <f t="shared" si="1550"/>
        <v>0</v>
      </c>
      <c r="AA1048" s="1169"/>
      <c r="AB1048" s="1332"/>
      <c r="AC1048" s="1240"/>
      <c r="AD1048" s="1119"/>
      <c r="AE1048" s="1169"/>
      <c r="AF1048" s="1177"/>
      <c r="AG1048" s="1177"/>
      <c r="AH1048" s="1169"/>
      <c r="AI1048" s="1169">
        <f t="shared" si="1551"/>
        <v>0</v>
      </c>
      <c r="AJ1048" s="1169"/>
      <c r="AK1048" s="1170"/>
      <c r="AL1048" s="1171"/>
      <c r="AM1048" s="1128"/>
      <c r="AN1048" s="1170"/>
      <c r="AO1048" s="1175"/>
      <c r="AP1048" s="1175"/>
      <c r="AQ1048" s="1170"/>
      <c r="AR1048" s="1170">
        <f t="shared" si="1552"/>
        <v>0</v>
      </c>
      <c r="AS1048" s="1170"/>
      <c r="AT1048" s="1169"/>
      <c r="AU1048" s="1313"/>
      <c r="AV1048" s="1119"/>
      <c r="AW1048" s="1169"/>
      <c r="AX1048" s="1177"/>
      <c r="AY1048" s="1177"/>
      <c r="AZ1048" s="1169"/>
      <c r="BA1048" s="1169">
        <f t="shared" si="1553"/>
        <v>0</v>
      </c>
      <c r="BB1048" s="1169"/>
      <c r="BC1048" s="1024"/>
      <c r="BD1048" s="1027"/>
      <c r="BE1048" s="1024"/>
      <c r="BF1048" s="1024"/>
      <c r="BG1048" s="1008"/>
      <c r="BH1048" s="1008"/>
      <c r="BI1048" s="1008"/>
      <c r="BJ1048" s="1008"/>
      <c r="BK1048" s="1008"/>
      <c r="BL1048" s="1008"/>
      <c r="BM1048" s="1008"/>
    </row>
    <row r="1049" s="1215" customFormat="1" ht="20.25" customHeight="1">
      <c r="A1049" s="999" t="str">
        <f t="shared" si="1500"/>
        <v xml:space="preserve">Кирпа Е.Д.</v>
      </c>
      <c r="B1049" s="1202" t="s">
        <v>75</v>
      </c>
      <c r="C1049" s="1202"/>
      <c r="D1049" s="1202"/>
      <c r="E1049" s="1164">
        <f t="shared" si="1474"/>
        <v>0</v>
      </c>
      <c r="F1049" s="1164">
        <f t="shared" si="1474"/>
        <v>0</v>
      </c>
      <c r="G1049" s="1165">
        <f t="shared" si="1547"/>
        <v>0</v>
      </c>
      <c r="H1049" s="1166"/>
      <c r="I1049" s="1167">
        <f t="shared" si="1473"/>
        <v>0</v>
      </c>
      <c r="J1049" s="1167">
        <f t="shared" si="1473"/>
        <v>0</v>
      </c>
      <c r="K1049" s="1168">
        <f t="shared" si="1548"/>
        <v>0</v>
      </c>
      <c r="L1049" s="1119"/>
      <c r="M1049" s="1169"/>
      <c r="N1049" s="1177"/>
      <c r="O1049" s="1169"/>
      <c r="P1049" s="1169"/>
      <c r="Q1049" s="1169">
        <f t="shared" si="1549"/>
        <v>0</v>
      </c>
      <c r="R1049" s="1169"/>
      <c r="S1049" s="1169"/>
      <c r="T1049" s="1240"/>
      <c r="U1049" s="1119"/>
      <c r="V1049" s="1169"/>
      <c r="W1049" s="1177"/>
      <c r="X1049" s="1177"/>
      <c r="Y1049" s="1169"/>
      <c r="Z1049" s="1170">
        <f t="shared" si="1550"/>
        <v>0</v>
      </c>
      <c r="AA1049" s="1169"/>
      <c r="AB1049" s="1332"/>
      <c r="AC1049" s="1240"/>
      <c r="AD1049" s="1119"/>
      <c r="AE1049" s="1169"/>
      <c r="AF1049" s="1177"/>
      <c r="AG1049" s="1177"/>
      <c r="AH1049" s="1169"/>
      <c r="AI1049" s="1169">
        <f t="shared" si="1551"/>
        <v>0</v>
      </c>
      <c r="AJ1049" s="1169"/>
      <c r="AK1049" s="1170"/>
      <c r="AL1049" s="1171"/>
      <c r="AM1049" s="1128"/>
      <c r="AN1049" s="1170"/>
      <c r="AO1049" s="1175"/>
      <c r="AP1049" s="1175"/>
      <c r="AQ1049" s="1170"/>
      <c r="AR1049" s="1170">
        <f t="shared" si="1552"/>
        <v>0</v>
      </c>
      <c r="AS1049" s="1170"/>
      <c r="AT1049" s="1169"/>
      <c r="AU1049" s="1313"/>
      <c r="AV1049" s="1119"/>
      <c r="AW1049" s="1169"/>
      <c r="AX1049" s="1177"/>
      <c r="AY1049" s="1177"/>
      <c r="AZ1049" s="1169"/>
      <c r="BA1049" s="1169">
        <f t="shared" si="1553"/>
        <v>0</v>
      </c>
      <c r="BB1049" s="1169"/>
      <c r="BC1049" s="1024"/>
      <c r="BD1049" s="1027"/>
      <c r="BE1049" s="1024"/>
      <c r="BF1049" s="1024"/>
      <c r="BG1049" s="1008"/>
      <c r="BH1049" s="1008"/>
      <c r="BI1049" s="1008"/>
      <c r="BJ1049" s="1008"/>
      <c r="BK1049" s="1008"/>
      <c r="BL1049" s="1008"/>
      <c r="BM1049" s="1008"/>
    </row>
    <row r="1050" s="1215" customFormat="1" ht="20.25" customHeight="1">
      <c r="A1050" s="999" t="str">
        <f t="shared" si="1500"/>
        <v xml:space="preserve">Трофимкина Н.В.</v>
      </c>
      <c r="B1050" s="1202" t="s">
        <v>431</v>
      </c>
      <c r="C1050" s="1202"/>
      <c r="D1050" s="1202"/>
      <c r="E1050" s="1164">
        <f t="shared" si="1474"/>
        <v>0</v>
      </c>
      <c r="F1050" s="1164">
        <f t="shared" si="1474"/>
        <v>0</v>
      </c>
      <c r="G1050" s="1165">
        <f t="shared" si="1547"/>
        <v>0</v>
      </c>
      <c r="H1050" s="1166"/>
      <c r="I1050" s="1167">
        <f t="shared" si="1473"/>
        <v>0</v>
      </c>
      <c r="J1050" s="1167">
        <f t="shared" si="1473"/>
        <v>0</v>
      </c>
      <c r="K1050" s="1168">
        <f t="shared" si="1548"/>
        <v>0</v>
      </c>
      <c r="L1050" s="1119"/>
      <c r="M1050" s="1169"/>
      <c r="N1050" s="1177"/>
      <c r="O1050" s="1169"/>
      <c r="P1050" s="1169"/>
      <c r="Q1050" s="1169">
        <f t="shared" si="1549"/>
        <v>0</v>
      </c>
      <c r="R1050" s="1169"/>
      <c r="S1050" s="1169"/>
      <c r="T1050" s="1240"/>
      <c r="U1050" s="1119"/>
      <c r="V1050" s="1169"/>
      <c r="W1050" s="1177"/>
      <c r="X1050" s="1177"/>
      <c r="Y1050" s="1169"/>
      <c r="Z1050" s="1170">
        <f t="shared" si="1550"/>
        <v>0</v>
      </c>
      <c r="AA1050" s="1169"/>
      <c r="AB1050" s="1332"/>
      <c r="AC1050" s="1240"/>
      <c r="AD1050" s="1119"/>
      <c r="AE1050" s="1169"/>
      <c r="AF1050" s="1177"/>
      <c r="AG1050" s="1177"/>
      <c r="AH1050" s="1169"/>
      <c r="AI1050" s="1169">
        <f t="shared" si="1551"/>
        <v>0</v>
      </c>
      <c r="AJ1050" s="1169"/>
      <c r="AK1050" s="1170"/>
      <c r="AL1050" s="1171"/>
      <c r="AM1050" s="1128"/>
      <c r="AN1050" s="1170"/>
      <c r="AO1050" s="1175"/>
      <c r="AP1050" s="1175"/>
      <c r="AQ1050" s="1170"/>
      <c r="AR1050" s="1170">
        <f t="shared" si="1552"/>
        <v>0</v>
      </c>
      <c r="AS1050" s="1170"/>
      <c r="AT1050" s="1169"/>
      <c r="AU1050" s="1313"/>
      <c r="AV1050" s="1119"/>
      <c r="AW1050" s="1169"/>
      <c r="AX1050" s="1177"/>
      <c r="AY1050" s="1177"/>
      <c r="AZ1050" s="1169"/>
      <c r="BA1050" s="1169">
        <f t="shared" si="1553"/>
        <v>0</v>
      </c>
      <c r="BB1050" s="1169"/>
      <c r="BC1050" s="1024"/>
      <c r="BD1050" s="1027"/>
      <c r="BE1050" s="1024"/>
      <c r="BF1050" s="1024"/>
      <c r="BG1050" s="1008"/>
      <c r="BH1050" s="1008"/>
      <c r="BI1050" s="1008"/>
      <c r="BJ1050" s="1008"/>
      <c r="BK1050" s="1008"/>
      <c r="BL1050" s="1008"/>
      <c r="BM1050" s="1008"/>
    </row>
    <row r="1051" s="1215" customFormat="1" ht="20.25" customHeight="1">
      <c r="A1051" s="999" t="str">
        <f t="shared" si="1500"/>
        <v xml:space="preserve">Жилкина В.В.</v>
      </c>
      <c r="B1051" s="1202" t="s">
        <v>433</v>
      </c>
      <c r="C1051" s="1217"/>
      <c r="D1051" s="1217"/>
      <c r="E1051" s="1164">
        <f t="shared" si="1474"/>
        <v>0</v>
      </c>
      <c r="F1051" s="1164">
        <f t="shared" si="1474"/>
        <v>0</v>
      </c>
      <c r="G1051" s="1165">
        <f t="shared" si="1547"/>
        <v>0</v>
      </c>
      <c r="H1051" s="1166"/>
      <c r="I1051" s="1167">
        <f t="shared" si="1473"/>
        <v>0</v>
      </c>
      <c r="J1051" s="1167">
        <f t="shared" si="1473"/>
        <v>0</v>
      </c>
      <c r="K1051" s="1168">
        <f t="shared" si="1548"/>
        <v>0</v>
      </c>
      <c r="L1051" s="1119"/>
      <c r="M1051" s="1169"/>
      <c r="N1051" s="1177"/>
      <c r="O1051" s="1169"/>
      <c r="P1051" s="1169"/>
      <c r="Q1051" s="1169">
        <f t="shared" si="1549"/>
        <v>0</v>
      </c>
      <c r="R1051" s="1169"/>
      <c r="S1051" s="1169"/>
      <c r="T1051" s="1240"/>
      <c r="U1051" s="1119"/>
      <c r="V1051" s="1169"/>
      <c r="W1051" s="1177"/>
      <c r="X1051" s="1177"/>
      <c r="Y1051" s="1169"/>
      <c r="Z1051" s="1170">
        <f t="shared" si="1550"/>
        <v>0</v>
      </c>
      <c r="AA1051" s="1169"/>
      <c r="AB1051" s="1332"/>
      <c r="AC1051" s="1240"/>
      <c r="AD1051" s="1119"/>
      <c r="AE1051" s="1169"/>
      <c r="AF1051" s="1177"/>
      <c r="AG1051" s="1177"/>
      <c r="AH1051" s="1169"/>
      <c r="AI1051" s="1169">
        <f t="shared" si="1551"/>
        <v>0</v>
      </c>
      <c r="AJ1051" s="1169"/>
      <c r="AK1051" s="1170"/>
      <c r="AL1051" s="1171"/>
      <c r="AM1051" s="1128"/>
      <c r="AN1051" s="1170"/>
      <c r="AO1051" s="1175"/>
      <c r="AP1051" s="1175"/>
      <c r="AQ1051" s="1170"/>
      <c r="AR1051" s="1170">
        <f t="shared" si="1552"/>
        <v>0</v>
      </c>
      <c r="AS1051" s="1170"/>
      <c r="AT1051" s="1169"/>
      <c r="AU1051" s="1313"/>
      <c r="AV1051" s="1119"/>
      <c r="AW1051" s="1169"/>
      <c r="AX1051" s="1177"/>
      <c r="AY1051" s="1177"/>
      <c r="AZ1051" s="1169"/>
      <c r="BA1051" s="1169">
        <f t="shared" si="1553"/>
        <v>0</v>
      </c>
      <c r="BB1051" s="1169"/>
      <c r="BC1051" s="1024"/>
      <c r="BD1051" s="1027"/>
      <c r="BE1051" s="1024"/>
      <c r="BF1051" s="1024"/>
      <c r="BG1051" s="1008"/>
      <c r="BH1051" s="1008"/>
      <c r="BI1051" s="1008"/>
      <c r="BJ1051" s="1008"/>
      <c r="BK1051" s="1008"/>
      <c r="BL1051" s="1008"/>
      <c r="BM1051" s="1008"/>
    </row>
    <row r="1052" s="1215" customFormat="1" ht="20.25" customHeight="1">
      <c r="A1052" s="999" t="str">
        <f t="shared" si="1500"/>
        <v xml:space="preserve">Марушенко В.Н. Донцова Н.Г.</v>
      </c>
      <c r="B1052" s="1202" t="s">
        <v>435</v>
      </c>
      <c r="C1052" s="1202"/>
      <c r="D1052" s="1202"/>
      <c r="E1052" s="1164">
        <f t="shared" si="1474"/>
        <v>0</v>
      </c>
      <c r="F1052" s="1164">
        <f t="shared" si="1474"/>
        <v>0</v>
      </c>
      <c r="G1052" s="1165">
        <f t="shared" si="1547"/>
        <v>0</v>
      </c>
      <c r="H1052" s="1166"/>
      <c r="I1052" s="1167">
        <f t="shared" si="1473"/>
        <v>0</v>
      </c>
      <c r="J1052" s="1167">
        <f t="shared" si="1473"/>
        <v>0</v>
      </c>
      <c r="K1052" s="1168">
        <f t="shared" si="1548"/>
        <v>0</v>
      </c>
      <c r="L1052" s="1119"/>
      <c r="M1052" s="1169"/>
      <c r="N1052" s="1177"/>
      <c r="O1052" s="1169"/>
      <c r="P1052" s="1169"/>
      <c r="Q1052" s="1169">
        <f t="shared" si="1549"/>
        <v>0</v>
      </c>
      <c r="R1052" s="1169"/>
      <c r="S1052" s="1169"/>
      <c r="T1052" s="1240"/>
      <c r="U1052" s="1119"/>
      <c r="V1052" s="1169"/>
      <c r="W1052" s="1177"/>
      <c r="X1052" s="1177"/>
      <c r="Y1052" s="1169"/>
      <c r="Z1052" s="1170">
        <f t="shared" si="1550"/>
        <v>0</v>
      </c>
      <c r="AA1052" s="1169"/>
      <c r="AB1052" s="1332"/>
      <c r="AC1052" s="1240"/>
      <c r="AD1052" s="1119"/>
      <c r="AE1052" s="1169"/>
      <c r="AF1052" s="1177"/>
      <c r="AG1052" s="1177"/>
      <c r="AH1052" s="1169"/>
      <c r="AI1052" s="1169">
        <f t="shared" si="1551"/>
        <v>0</v>
      </c>
      <c r="AJ1052" s="1169"/>
      <c r="AK1052" s="1170"/>
      <c r="AL1052" s="1171"/>
      <c r="AM1052" s="1128"/>
      <c r="AN1052" s="1170"/>
      <c r="AO1052" s="1175"/>
      <c r="AP1052" s="1175"/>
      <c r="AQ1052" s="1170"/>
      <c r="AR1052" s="1170">
        <f t="shared" si="1552"/>
        <v>0</v>
      </c>
      <c r="AS1052" s="1170"/>
      <c r="AT1052" s="1169"/>
      <c r="AU1052" s="1313"/>
      <c r="AV1052" s="1119"/>
      <c r="AW1052" s="1169"/>
      <c r="AX1052" s="1177"/>
      <c r="AY1052" s="1177"/>
      <c r="AZ1052" s="1169"/>
      <c r="BA1052" s="1169">
        <f t="shared" si="1553"/>
        <v>0</v>
      </c>
      <c r="BB1052" s="1169"/>
      <c r="BC1052" s="1024"/>
      <c r="BD1052" s="1027"/>
      <c r="BE1052" s="1024"/>
      <c r="BF1052" s="1024"/>
      <c r="BG1052" s="1008"/>
      <c r="BH1052" s="1008"/>
      <c r="BI1052" s="1008"/>
      <c r="BJ1052" s="1008"/>
      <c r="BK1052" s="1008"/>
      <c r="BL1052" s="1008"/>
      <c r="BM1052" s="1008"/>
    </row>
    <row r="1053" s="1215" customFormat="1" ht="20.25" customHeight="1">
      <c r="A1053" s="999">
        <f t="shared" si="1500"/>
        <v>0</v>
      </c>
      <c r="B1053" s="1202" t="s">
        <v>436</v>
      </c>
      <c r="C1053" s="1202"/>
      <c r="D1053" s="1202"/>
      <c r="E1053" s="1164">
        <f t="shared" si="1474"/>
        <v>0</v>
      </c>
      <c r="F1053" s="1164">
        <f t="shared" si="1474"/>
        <v>0</v>
      </c>
      <c r="G1053" s="1165">
        <f t="shared" si="1547"/>
        <v>0</v>
      </c>
      <c r="H1053" s="1166"/>
      <c r="I1053" s="1167">
        <f t="shared" si="1473"/>
        <v>0</v>
      </c>
      <c r="J1053" s="1167">
        <f t="shared" si="1473"/>
        <v>0</v>
      </c>
      <c r="K1053" s="1168">
        <f t="shared" si="1548"/>
        <v>0</v>
      </c>
      <c r="L1053" s="1119"/>
      <c r="M1053" s="1169"/>
      <c r="N1053" s="1177"/>
      <c r="O1053" s="1169"/>
      <c r="P1053" s="1169"/>
      <c r="Q1053" s="1169">
        <f t="shared" si="1549"/>
        <v>0</v>
      </c>
      <c r="R1053" s="1169"/>
      <c r="S1053" s="1169"/>
      <c r="T1053" s="1240"/>
      <c r="U1053" s="1119"/>
      <c r="V1053" s="1169"/>
      <c r="W1053" s="1177"/>
      <c r="X1053" s="1177"/>
      <c r="Y1053" s="1169"/>
      <c r="Z1053" s="1170">
        <f t="shared" si="1550"/>
        <v>0</v>
      </c>
      <c r="AA1053" s="1169"/>
      <c r="AB1053" s="1332"/>
      <c r="AC1053" s="1240"/>
      <c r="AD1053" s="1119"/>
      <c r="AE1053" s="1169"/>
      <c r="AF1053" s="1177"/>
      <c r="AG1053" s="1177"/>
      <c r="AH1053" s="1169"/>
      <c r="AI1053" s="1169">
        <f t="shared" si="1551"/>
        <v>0</v>
      </c>
      <c r="AJ1053" s="1169"/>
      <c r="AK1053" s="1170"/>
      <c r="AL1053" s="1171"/>
      <c r="AM1053" s="1128"/>
      <c r="AN1053" s="1170"/>
      <c r="AO1053" s="1175"/>
      <c r="AP1053" s="1175"/>
      <c r="AQ1053" s="1170"/>
      <c r="AR1053" s="1170">
        <f t="shared" si="1552"/>
        <v>0</v>
      </c>
      <c r="AS1053" s="1170"/>
      <c r="AT1053" s="1169"/>
      <c r="AU1053" s="1313"/>
      <c r="AV1053" s="1119"/>
      <c r="AW1053" s="1169"/>
      <c r="AX1053" s="1177"/>
      <c r="AY1053" s="1177"/>
      <c r="AZ1053" s="1169"/>
      <c r="BA1053" s="1169">
        <f t="shared" si="1553"/>
        <v>0</v>
      </c>
      <c r="BB1053" s="1169"/>
      <c r="BC1053" s="1024"/>
      <c r="BD1053" s="1027"/>
      <c r="BE1053" s="1024"/>
      <c r="BF1053" s="1024"/>
      <c r="BG1053" s="1008"/>
      <c r="BH1053" s="1008"/>
      <c r="BI1053" s="1008"/>
      <c r="BJ1053" s="1008"/>
      <c r="BK1053" s="1008"/>
      <c r="BL1053" s="1008"/>
      <c r="BM1053" s="1008"/>
    </row>
    <row r="1054" s="1215" customFormat="1" ht="20.25" customHeight="1">
      <c r="A1054" s="999" t="str">
        <f t="shared" si="1500"/>
        <v xml:space="preserve">Кузнецова Е.В.</v>
      </c>
      <c r="B1054" s="1202" t="s">
        <v>78</v>
      </c>
      <c r="C1054" s="1000"/>
      <c r="D1054" s="1000"/>
      <c r="E1054" s="1164">
        <f t="shared" si="1474"/>
        <v>0</v>
      </c>
      <c r="F1054" s="1164">
        <f t="shared" si="1474"/>
        <v>0</v>
      </c>
      <c r="G1054" s="1165">
        <f t="shared" si="1547"/>
        <v>0</v>
      </c>
      <c r="H1054" s="1166"/>
      <c r="I1054" s="1167">
        <f t="shared" si="1473"/>
        <v>0</v>
      </c>
      <c r="J1054" s="1167">
        <f t="shared" si="1473"/>
        <v>0</v>
      </c>
      <c r="K1054" s="1168">
        <f t="shared" si="1548"/>
        <v>0</v>
      </c>
      <c r="L1054" s="1119"/>
      <c r="M1054" s="1169"/>
      <c r="N1054" s="1177"/>
      <c r="O1054" s="1169"/>
      <c r="P1054" s="1169"/>
      <c r="Q1054" s="1169">
        <f t="shared" si="1549"/>
        <v>0</v>
      </c>
      <c r="R1054" s="1169"/>
      <c r="S1054" s="1169"/>
      <c r="T1054" s="1240"/>
      <c r="U1054" s="1119"/>
      <c r="V1054" s="1169"/>
      <c r="W1054" s="1177"/>
      <c r="X1054" s="1177"/>
      <c r="Y1054" s="1169"/>
      <c r="Z1054" s="1170">
        <f t="shared" si="1550"/>
        <v>0</v>
      </c>
      <c r="AA1054" s="1169"/>
      <c r="AB1054" s="1332"/>
      <c r="AC1054" s="1240"/>
      <c r="AD1054" s="1119"/>
      <c r="AE1054" s="1169"/>
      <c r="AF1054" s="1177"/>
      <c r="AG1054" s="1177"/>
      <c r="AH1054" s="1169"/>
      <c r="AI1054" s="1169">
        <f t="shared" si="1551"/>
        <v>0</v>
      </c>
      <c r="AJ1054" s="1169"/>
      <c r="AK1054" s="1170"/>
      <c r="AL1054" s="1171"/>
      <c r="AM1054" s="1128"/>
      <c r="AN1054" s="1170"/>
      <c r="AO1054" s="1175"/>
      <c r="AP1054" s="1175"/>
      <c r="AQ1054" s="1170"/>
      <c r="AR1054" s="1170">
        <f t="shared" si="1552"/>
        <v>0</v>
      </c>
      <c r="AS1054" s="1170"/>
      <c r="AT1054" s="1169"/>
      <c r="AU1054" s="1313"/>
      <c r="AV1054" s="1119"/>
      <c r="AW1054" s="1169"/>
      <c r="AX1054" s="1177"/>
      <c r="AY1054" s="1177"/>
      <c r="AZ1054" s="1169"/>
      <c r="BA1054" s="1169">
        <f t="shared" si="1553"/>
        <v>0</v>
      </c>
      <c r="BB1054" s="1169"/>
      <c r="BC1054" s="1024"/>
      <c r="BD1054" s="1027"/>
      <c r="BE1054" s="1024"/>
      <c r="BF1054" s="1024"/>
      <c r="BG1054" s="1008"/>
      <c r="BH1054" s="1008"/>
      <c r="BI1054" s="1008"/>
      <c r="BJ1054" s="1008"/>
      <c r="BK1054" s="1008"/>
      <c r="BL1054" s="1008"/>
      <c r="BM1054" s="1008"/>
    </row>
    <row r="1055" s="1215" customFormat="1" ht="20.25" customHeight="1">
      <c r="A1055" s="999">
        <f t="shared" si="1500"/>
        <v>0</v>
      </c>
      <c r="B1055" s="1205" t="s">
        <v>22</v>
      </c>
      <c r="C1055" s="1205"/>
      <c r="D1055" s="1205"/>
      <c r="E1055" s="1164">
        <f t="shared" si="1474"/>
        <v>0</v>
      </c>
      <c r="F1055" s="1164">
        <f t="shared" si="1474"/>
        <v>0</v>
      </c>
      <c r="G1055" s="1184">
        <f>SUM(G1042:G1054)</f>
        <v>0</v>
      </c>
      <c r="H1055" s="1185"/>
      <c r="I1055" s="1167">
        <f t="shared" si="1473"/>
        <v>0</v>
      </c>
      <c r="J1055" s="1167">
        <f t="shared" si="1473"/>
        <v>0</v>
      </c>
      <c r="K1055" s="1187">
        <f>SUM(K1042:K1054)</f>
        <v>0</v>
      </c>
      <c r="L1055" s="1119"/>
      <c r="M1055" s="1096">
        <f t="shared" ref="M1055:R1055" si="1554">SUM(M1042:M1054)</f>
        <v>0</v>
      </c>
      <c r="N1055" s="1096">
        <f t="shared" si="1554"/>
        <v>0</v>
      </c>
      <c r="O1055" s="1096">
        <f t="shared" si="1554"/>
        <v>0</v>
      </c>
      <c r="P1055" s="1096">
        <f t="shared" si="1554"/>
        <v>0</v>
      </c>
      <c r="Q1055" s="1096">
        <f t="shared" si="1554"/>
        <v>0</v>
      </c>
      <c r="R1055" s="1096">
        <f t="shared" si="1554"/>
        <v>0</v>
      </c>
      <c r="S1055" s="1096"/>
      <c r="T1055" s="1243"/>
      <c r="U1055" s="1119"/>
      <c r="V1055" s="1096">
        <f t="shared" ref="V1055:AA1055" si="1555">SUM(V1042:V1054)</f>
        <v>0</v>
      </c>
      <c r="W1055" s="1096">
        <f t="shared" si="1555"/>
        <v>0</v>
      </c>
      <c r="X1055" s="1096">
        <f t="shared" si="1555"/>
        <v>0</v>
      </c>
      <c r="Y1055" s="1096">
        <f t="shared" si="1555"/>
        <v>0</v>
      </c>
      <c r="Z1055" s="1190">
        <f t="shared" si="1555"/>
        <v>0</v>
      </c>
      <c r="AA1055" s="1096">
        <f t="shared" si="1555"/>
        <v>0</v>
      </c>
      <c r="AB1055" s="1334"/>
      <c r="AC1055" s="1243"/>
      <c r="AD1055" s="1119"/>
      <c r="AE1055" s="1096">
        <f t="shared" ref="AE1055:AJ1055" si="1556">SUM(AE1042:AE1054)</f>
        <v>0</v>
      </c>
      <c r="AF1055" s="1096">
        <f t="shared" si="1556"/>
        <v>0</v>
      </c>
      <c r="AG1055" s="1096">
        <f t="shared" si="1556"/>
        <v>0</v>
      </c>
      <c r="AH1055" s="1096">
        <f t="shared" si="1556"/>
        <v>0</v>
      </c>
      <c r="AI1055" s="1096">
        <f t="shared" si="1556"/>
        <v>0</v>
      </c>
      <c r="AJ1055" s="1096">
        <f t="shared" si="1556"/>
        <v>0</v>
      </c>
      <c r="AK1055" s="1190"/>
      <c r="AL1055" s="1189"/>
      <c r="AM1055" s="1128"/>
      <c r="AN1055" s="1190">
        <f t="shared" ref="AN1055:AS1055" si="1557">SUM(AN1042:AN1054)</f>
        <v>0</v>
      </c>
      <c r="AO1055" s="1190">
        <f t="shared" si="1557"/>
        <v>0</v>
      </c>
      <c r="AP1055" s="1190">
        <f t="shared" si="1557"/>
        <v>0</v>
      </c>
      <c r="AQ1055" s="1190">
        <f t="shared" si="1557"/>
        <v>0</v>
      </c>
      <c r="AR1055" s="1190">
        <f t="shared" si="1557"/>
        <v>0</v>
      </c>
      <c r="AS1055" s="1190">
        <f t="shared" si="1557"/>
        <v>0</v>
      </c>
      <c r="AT1055" s="1096"/>
      <c r="AU1055" s="1314"/>
      <c r="AV1055" s="1119"/>
      <c r="AW1055" s="1096">
        <f t="shared" ref="AW1055:BB1055" si="1558">SUM(AW1042:AW1054)</f>
        <v>0</v>
      </c>
      <c r="AX1055" s="1096">
        <f t="shared" si="1558"/>
        <v>0</v>
      </c>
      <c r="AY1055" s="1096">
        <f t="shared" si="1558"/>
        <v>0</v>
      </c>
      <c r="AZ1055" s="1096">
        <f t="shared" si="1558"/>
        <v>0</v>
      </c>
      <c r="BA1055" s="1096">
        <f t="shared" si="1558"/>
        <v>0</v>
      </c>
      <c r="BB1055" s="1096">
        <f t="shared" si="1558"/>
        <v>0</v>
      </c>
      <c r="BC1055" s="1024"/>
      <c r="BD1055" s="1027"/>
      <c r="BE1055" s="1024"/>
      <c r="BF1055" s="1024"/>
      <c r="BG1055" s="1008"/>
      <c r="BH1055" s="1008"/>
      <c r="BI1055" s="1008"/>
      <c r="BJ1055" s="1008"/>
      <c r="BK1055" s="1008"/>
      <c r="BL1055" s="1008"/>
      <c r="BM1055" s="1008"/>
    </row>
    <row r="1056" s="1215" customFormat="1" ht="20.25" customHeight="1">
      <c r="A1056" s="999" t="str">
        <f t="shared" si="1500"/>
        <v xml:space="preserve">Титякова Т.А.</v>
      </c>
      <c r="B1056" s="1202" t="s">
        <v>26</v>
      </c>
      <c r="C1056" s="1202"/>
      <c r="D1056" s="1202"/>
      <c r="E1056" s="1164">
        <f t="shared" si="1474"/>
        <v>0</v>
      </c>
      <c r="F1056" s="1164">
        <f t="shared" si="1474"/>
        <v>0</v>
      </c>
      <c r="G1056" s="1165">
        <f t="shared" ref="G1056:G1081" si="1559">E1056+F1056</f>
        <v>0</v>
      </c>
      <c r="H1056" s="1166"/>
      <c r="I1056" s="1167">
        <f t="shared" si="1473"/>
        <v>0</v>
      </c>
      <c r="J1056" s="1167">
        <f t="shared" si="1473"/>
        <v>0</v>
      </c>
      <c r="K1056" s="1168">
        <f t="shared" ref="K1056:K1081" si="1560">I1056+J1056</f>
        <v>0</v>
      </c>
      <c r="L1056" s="1119"/>
      <c r="M1056" s="1169"/>
      <c r="N1056" s="1177"/>
      <c r="O1056" s="1169"/>
      <c r="P1056" s="1169"/>
      <c r="Q1056" s="1169">
        <f t="shared" ref="Q1056:Q1081" si="1561">SUM(M1056:P1056)</f>
        <v>0</v>
      </c>
      <c r="R1056" s="1169"/>
      <c r="S1056" s="1169"/>
      <c r="T1056" s="1240"/>
      <c r="U1056" s="1119"/>
      <c r="V1056" s="1169"/>
      <c r="W1056" s="1177"/>
      <c r="X1056" s="1177"/>
      <c r="Y1056" s="1169"/>
      <c r="Z1056" s="1170">
        <f t="shared" ref="Z1056:Z1081" si="1562">SUM(V1056:Y1056)</f>
        <v>0</v>
      </c>
      <c r="AA1056" s="1169"/>
      <c r="AB1056" s="1332"/>
      <c r="AC1056" s="1240"/>
      <c r="AD1056" s="1119"/>
      <c r="AE1056" s="1169"/>
      <c r="AF1056" s="1177"/>
      <c r="AG1056" s="1177"/>
      <c r="AH1056" s="1169"/>
      <c r="AI1056" s="1169">
        <f t="shared" ref="AI1056:AI1081" si="1563">SUM(AE1056:AH1056)</f>
        <v>0</v>
      </c>
      <c r="AJ1056" s="1169"/>
      <c r="AK1056" s="1170"/>
      <c r="AL1056" s="1171"/>
      <c r="AM1056" s="1128"/>
      <c r="AN1056" s="1170"/>
      <c r="AO1056" s="1175"/>
      <c r="AP1056" s="1175"/>
      <c r="AQ1056" s="1170"/>
      <c r="AR1056" s="1170">
        <f t="shared" ref="AR1056:AR1081" si="1564">SUM(AN1056:AQ1056)</f>
        <v>0</v>
      </c>
      <c r="AS1056" s="1170"/>
      <c r="AT1056" s="1169"/>
      <c r="AU1056" s="1313"/>
      <c r="AV1056" s="1119"/>
      <c r="AW1056" s="1169"/>
      <c r="AX1056" s="1177"/>
      <c r="AY1056" s="1177"/>
      <c r="AZ1056" s="1169"/>
      <c r="BA1056" s="1169">
        <f t="shared" ref="BA1056:BA1081" si="1565">SUM(AW1056:AZ1056)</f>
        <v>0</v>
      </c>
      <c r="BB1056" s="1169"/>
      <c r="BC1056" s="1024"/>
      <c r="BD1056" s="1027"/>
      <c r="BE1056" s="1024"/>
      <c r="BF1056" s="1024"/>
      <c r="BG1056" s="1008"/>
      <c r="BH1056" s="1008"/>
      <c r="BI1056" s="1008"/>
      <c r="BJ1056" s="1008"/>
      <c r="BK1056" s="1008"/>
      <c r="BL1056" s="1008"/>
      <c r="BM1056" s="1008"/>
    </row>
    <row r="1057" s="1215" customFormat="1" ht="20.25" customHeight="1">
      <c r="A1057" s="999">
        <f t="shared" si="1500"/>
        <v>0</v>
      </c>
      <c r="B1057" s="1202" t="s">
        <v>439</v>
      </c>
      <c r="C1057" s="1202"/>
      <c r="D1057" s="1202"/>
      <c r="E1057" s="1164">
        <f t="shared" si="1474"/>
        <v>0</v>
      </c>
      <c r="F1057" s="1164">
        <f t="shared" si="1474"/>
        <v>0</v>
      </c>
      <c r="G1057" s="1165">
        <f t="shared" si="1559"/>
        <v>0</v>
      </c>
      <c r="H1057" s="1166"/>
      <c r="I1057" s="1167">
        <f t="shared" si="1473"/>
        <v>0</v>
      </c>
      <c r="J1057" s="1167">
        <f t="shared" si="1473"/>
        <v>0</v>
      </c>
      <c r="K1057" s="1168">
        <f t="shared" si="1560"/>
        <v>0</v>
      </c>
      <c r="L1057" s="1119"/>
      <c r="M1057" s="1169"/>
      <c r="N1057" s="1177"/>
      <c r="O1057" s="1169"/>
      <c r="P1057" s="1169"/>
      <c r="Q1057" s="1169">
        <f t="shared" si="1561"/>
        <v>0</v>
      </c>
      <c r="R1057" s="1169"/>
      <c r="S1057" s="1169"/>
      <c r="T1057" s="1240"/>
      <c r="U1057" s="1119"/>
      <c r="V1057" s="1169"/>
      <c r="W1057" s="1177"/>
      <c r="X1057" s="1177"/>
      <c r="Y1057" s="1169"/>
      <c r="Z1057" s="1170">
        <f t="shared" si="1562"/>
        <v>0</v>
      </c>
      <c r="AA1057" s="1169"/>
      <c r="AB1057" s="1332"/>
      <c r="AC1057" s="1240"/>
      <c r="AD1057" s="1119"/>
      <c r="AE1057" s="1169"/>
      <c r="AF1057" s="1177"/>
      <c r="AG1057" s="1177"/>
      <c r="AH1057" s="1169"/>
      <c r="AI1057" s="1169">
        <f t="shared" si="1563"/>
        <v>0</v>
      </c>
      <c r="AJ1057" s="1169"/>
      <c r="AK1057" s="1170"/>
      <c r="AL1057" s="1171"/>
      <c r="AM1057" s="1128"/>
      <c r="AN1057" s="1170"/>
      <c r="AO1057" s="1175"/>
      <c r="AP1057" s="1175"/>
      <c r="AQ1057" s="1170"/>
      <c r="AR1057" s="1170">
        <f t="shared" si="1564"/>
        <v>0</v>
      </c>
      <c r="AS1057" s="1170"/>
      <c r="AT1057" s="1169"/>
      <c r="AU1057" s="1313"/>
      <c r="AV1057" s="1119"/>
      <c r="AW1057" s="1169"/>
      <c r="AX1057" s="1177"/>
      <c r="AY1057" s="1177"/>
      <c r="AZ1057" s="1169"/>
      <c r="BA1057" s="1169">
        <f t="shared" si="1565"/>
        <v>0</v>
      </c>
      <c r="BB1057" s="1169"/>
      <c r="BC1057" s="1024"/>
      <c r="BD1057" s="1027"/>
      <c r="BE1057" s="1024"/>
      <c r="BF1057" s="1024"/>
      <c r="BG1057" s="1008"/>
      <c r="BH1057" s="1008"/>
      <c r="BI1057" s="1008"/>
      <c r="BJ1057" s="1008"/>
      <c r="BK1057" s="1008"/>
      <c r="BL1057" s="1008"/>
      <c r="BM1057" s="1008"/>
    </row>
    <row r="1058" s="1215" customFormat="1" ht="20.25" customHeight="1">
      <c r="A1058" s="999" t="str">
        <f t="shared" si="1500"/>
        <v xml:space="preserve">Стрельникова А.Г.,  Липатова С.Н.</v>
      </c>
      <c r="B1058" s="1202" t="s">
        <v>441</v>
      </c>
      <c r="C1058" s="1202"/>
      <c r="D1058" s="1202"/>
      <c r="E1058" s="1164">
        <f t="shared" si="1474"/>
        <v>0</v>
      </c>
      <c r="F1058" s="1164">
        <f t="shared" si="1474"/>
        <v>0</v>
      </c>
      <c r="G1058" s="1165">
        <f t="shared" si="1559"/>
        <v>0</v>
      </c>
      <c r="H1058" s="1166"/>
      <c r="I1058" s="1167">
        <f t="shared" si="1473"/>
        <v>0</v>
      </c>
      <c r="J1058" s="1167">
        <f t="shared" si="1473"/>
        <v>0</v>
      </c>
      <c r="K1058" s="1168">
        <f t="shared" si="1560"/>
        <v>0</v>
      </c>
      <c r="L1058" s="1119"/>
      <c r="M1058" s="1169"/>
      <c r="N1058" s="1177"/>
      <c r="O1058" s="1169"/>
      <c r="P1058" s="1169"/>
      <c r="Q1058" s="1169">
        <f t="shared" si="1561"/>
        <v>0</v>
      </c>
      <c r="R1058" s="1169"/>
      <c r="S1058" s="1169"/>
      <c r="T1058" s="1240"/>
      <c r="U1058" s="1119"/>
      <c r="V1058" s="1169"/>
      <c r="W1058" s="1177"/>
      <c r="X1058" s="1177"/>
      <c r="Y1058" s="1169"/>
      <c r="Z1058" s="1170">
        <f t="shared" si="1562"/>
        <v>0</v>
      </c>
      <c r="AA1058" s="1169"/>
      <c r="AB1058" s="1332"/>
      <c r="AC1058" s="1240"/>
      <c r="AD1058" s="1119"/>
      <c r="AE1058" s="1169"/>
      <c r="AF1058" s="1177"/>
      <c r="AG1058" s="1177"/>
      <c r="AH1058" s="1169"/>
      <c r="AI1058" s="1169">
        <f t="shared" si="1563"/>
        <v>0</v>
      </c>
      <c r="AJ1058" s="1169"/>
      <c r="AK1058" s="1170"/>
      <c r="AL1058" s="1171"/>
      <c r="AM1058" s="1128"/>
      <c r="AN1058" s="1170"/>
      <c r="AO1058" s="1175"/>
      <c r="AP1058" s="1175"/>
      <c r="AQ1058" s="1170"/>
      <c r="AR1058" s="1170">
        <f t="shared" si="1564"/>
        <v>0</v>
      </c>
      <c r="AS1058" s="1170"/>
      <c r="AT1058" s="1169"/>
      <c r="AU1058" s="1313"/>
      <c r="AV1058" s="1119"/>
      <c r="AW1058" s="1169"/>
      <c r="AX1058" s="1177"/>
      <c r="AY1058" s="1177"/>
      <c r="AZ1058" s="1169"/>
      <c r="BA1058" s="1169">
        <f t="shared" si="1565"/>
        <v>0</v>
      </c>
      <c r="BB1058" s="1169"/>
      <c r="BC1058" s="1024"/>
      <c r="BD1058" s="1027"/>
      <c r="BE1058" s="1024"/>
      <c r="BF1058" s="1024"/>
      <c r="BG1058" s="1008"/>
      <c r="BH1058" s="1008"/>
      <c r="BI1058" s="1008"/>
      <c r="BJ1058" s="1008"/>
      <c r="BK1058" s="1008"/>
      <c r="BL1058" s="1008"/>
      <c r="BM1058" s="1008"/>
    </row>
    <row r="1059" s="1215" customFormat="1" ht="20.25" customHeight="1">
      <c r="A1059" s="999" t="str">
        <f t="shared" si="1500"/>
        <v xml:space="preserve">Куликова А.Г.</v>
      </c>
      <c r="B1059" s="1202" t="s">
        <v>84</v>
      </c>
      <c r="C1059" s="1202"/>
      <c r="D1059" s="1202"/>
      <c r="E1059" s="1164">
        <f t="shared" si="1474"/>
        <v>0</v>
      </c>
      <c r="F1059" s="1164">
        <f t="shared" si="1474"/>
        <v>0</v>
      </c>
      <c r="G1059" s="1165">
        <f t="shared" si="1559"/>
        <v>0</v>
      </c>
      <c r="H1059" s="1166"/>
      <c r="I1059" s="1167">
        <f t="shared" si="1473"/>
        <v>0</v>
      </c>
      <c r="J1059" s="1167">
        <f t="shared" si="1473"/>
        <v>0</v>
      </c>
      <c r="K1059" s="1168">
        <f t="shared" si="1560"/>
        <v>0</v>
      </c>
      <c r="L1059" s="1119"/>
      <c r="M1059" s="1169"/>
      <c r="N1059" s="1177"/>
      <c r="O1059" s="1169"/>
      <c r="P1059" s="1169"/>
      <c r="Q1059" s="1169">
        <f t="shared" si="1561"/>
        <v>0</v>
      </c>
      <c r="R1059" s="1169"/>
      <c r="S1059" s="1169"/>
      <c r="T1059" s="1240"/>
      <c r="U1059" s="1119"/>
      <c r="V1059" s="1169"/>
      <c r="W1059" s="1177"/>
      <c r="X1059" s="1177"/>
      <c r="Y1059" s="1169"/>
      <c r="Z1059" s="1170">
        <f t="shared" si="1562"/>
        <v>0</v>
      </c>
      <c r="AA1059" s="1169"/>
      <c r="AB1059" s="1332"/>
      <c r="AC1059" s="1240"/>
      <c r="AD1059" s="1119"/>
      <c r="AE1059" s="1169"/>
      <c r="AF1059" s="1177"/>
      <c r="AG1059" s="1177"/>
      <c r="AH1059" s="1169"/>
      <c r="AI1059" s="1169">
        <f t="shared" si="1563"/>
        <v>0</v>
      </c>
      <c r="AJ1059" s="1169"/>
      <c r="AK1059" s="1170"/>
      <c r="AL1059" s="1171"/>
      <c r="AM1059" s="1128"/>
      <c r="AN1059" s="1170"/>
      <c r="AO1059" s="1175"/>
      <c r="AP1059" s="1175"/>
      <c r="AQ1059" s="1170"/>
      <c r="AR1059" s="1170">
        <f t="shared" si="1564"/>
        <v>0</v>
      </c>
      <c r="AS1059" s="1170"/>
      <c r="AT1059" s="1169"/>
      <c r="AU1059" s="1313"/>
      <c r="AV1059" s="1119"/>
      <c r="AW1059" s="1169"/>
      <c r="AX1059" s="1177"/>
      <c r="AY1059" s="1177"/>
      <c r="AZ1059" s="1169"/>
      <c r="BA1059" s="1169">
        <f t="shared" si="1565"/>
        <v>0</v>
      </c>
      <c r="BB1059" s="1169"/>
      <c r="BC1059" s="1024"/>
      <c r="BD1059" s="1027"/>
      <c r="BE1059" s="1024"/>
      <c r="BF1059" s="1024"/>
      <c r="BG1059" s="1008"/>
      <c r="BH1059" s="1008"/>
      <c r="BI1059" s="1008"/>
      <c r="BJ1059" s="1008"/>
      <c r="BK1059" s="1008"/>
      <c r="BL1059" s="1008"/>
      <c r="BM1059" s="1008"/>
    </row>
    <row r="1060" s="1215" customFormat="1" ht="20.25" customHeight="1">
      <c r="A1060" s="999" t="str">
        <f t="shared" si="1500"/>
        <v xml:space="preserve">Елина С.И. Жандарова И.В.</v>
      </c>
      <c r="B1060" s="1202" t="s">
        <v>288</v>
      </c>
      <c r="C1060" s="1202"/>
      <c r="D1060" s="1202"/>
      <c r="E1060" s="1164">
        <f t="shared" si="1474"/>
        <v>0</v>
      </c>
      <c r="F1060" s="1164">
        <f t="shared" si="1474"/>
        <v>0</v>
      </c>
      <c r="G1060" s="1165">
        <f t="shared" si="1559"/>
        <v>0</v>
      </c>
      <c r="H1060" s="1166"/>
      <c r="I1060" s="1167">
        <f t="shared" si="1473"/>
        <v>0</v>
      </c>
      <c r="J1060" s="1167">
        <f t="shared" si="1473"/>
        <v>0</v>
      </c>
      <c r="K1060" s="1168">
        <f t="shared" si="1560"/>
        <v>0</v>
      </c>
      <c r="L1060" s="1119"/>
      <c r="M1060" s="1169"/>
      <c r="N1060" s="1177"/>
      <c r="O1060" s="1169"/>
      <c r="P1060" s="1169"/>
      <c r="Q1060" s="1169">
        <f t="shared" si="1561"/>
        <v>0</v>
      </c>
      <c r="R1060" s="1169"/>
      <c r="S1060" s="1169"/>
      <c r="T1060" s="1240"/>
      <c r="U1060" s="1119"/>
      <c r="V1060" s="1169"/>
      <c r="W1060" s="1177"/>
      <c r="X1060" s="1177"/>
      <c r="Y1060" s="1169"/>
      <c r="Z1060" s="1170">
        <f t="shared" si="1562"/>
        <v>0</v>
      </c>
      <c r="AA1060" s="1169"/>
      <c r="AB1060" s="1332"/>
      <c r="AC1060" s="1240"/>
      <c r="AD1060" s="1119"/>
      <c r="AE1060" s="1169"/>
      <c r="AF1060" s="1177"/>
      <c r="AG1060" s="1177"/>
      <c r="AH1060" s="1169"/>
      <c r="AI1060" s="1169">
        <f t="shared" si="1563"/>
        <v>0</v>
      </c>
      <c r="AJ1060" s="1169"/>
      <c r="AK1060" s="1170"/>
      <c r="AL1060" s="1171"/>
      <c r="AM1060" s="1128"/>
      <c r="AN1060" s="1170"/>
      <c r="AO1060" s="1175"/>
      <c r="AP1060" s="1175"/>
      <c r="AQ1060" s="1170"/>
      <c r="AR1060" s="1170">
        <f t="shared" si="1564"/>
        <v>0</v>
      </c>
      <c r="AS1060" s="1170"/>
      <c r="AT1060" s="1169"/>
      <c r="AU1060" s="1313"/>
      <c r="AV1060" s="1119"/>
      <c r="AW1060" s="1169"/>
      <c r="AX1060" s="1177"/>
      <c r="AY1060" s="1177"/>
      <c r="AZ1060" s="1169"/>
      <c r="BA1060" s="1169">
        <f t="shared" si="1565"/>
        <v>0</v>
      </c>
      <c r="BB1060" s="1169"/>
      <c r="BC1060" s="1024"/>
      <c r="BD1060" s="1027"/>
      <c r="BE1060" s="1024"/>
      <c r="BF1060" s="1024"/>
      <c r="BG1060" s="1008"/>
      <c r="BH1060" s="1008"/>
      <c r="BI1060" s="1008"/>
      <c r="BJ1060" s="1008"/>
      <c r="BK1060" s="1008"/>
      <c r="BL1060" s="1008"/>
      <c r="BM1060" s="1008"/>
    </row>
    <row r="1061" s="1215" customFormat="1" ht="20.25" customHeight="1">
      <c r="A1061" s="999" t="str">
        <f t="shared" si="1500"/>
        <v xml:space="preserve">Бояркина Л.Е. Кондратьева АА</v>
      </c>
      <c r="B1061" s="1176" t="s">
        <v>445</v>
      </c>
      <c r="C1061" s="1176"/>
      <c r="D1061" s="1176"/>
      <c r="E1061" s="1164">
        <f t="shared" si="1474"/>
        <v>0</v>
      </c>
      <c r="F1061" s="1164">
        <f t="shared" si="1474"/>
        <v>0</v>
      </c>
      <c r="G1061" s="1165">
        <f t="shared" si="1559"/>
        <v>0</v>
      </c>
      <c r="H1061" s="1166"/>
      <c r="I1061" s="1167">
        <f t="shared" si="1473"/>
        <v>0</v>
      </c>
      <c r="J1061" s="1167">
        <f t="shared" si="1473"/>
        <v>0</v>
      </c>
      <c r="K1061" s="1168">
        <f t="shared" si="1560"/>
        <v>0</v>
      </c>
      <c r="L1061" s="1119"/>
      <c r="M1061" s="1169"/>
      <c r="N1061" s="1177"/>
      <c r="O1061" s="1169"/>
      <c r="P1061" s="1169"/>
      <c r="Q1061" s="1169">
        <f t="shared" si="1561"/>
        <v>0</v>
      </c>
      <c r="R1061" s="1169"/>
      <c r="S1061" s="1169"/>
      <c r="T1061" s="1240"/>
      <c r="U1061" s="1119"/>
      <c r="V1061" s="1169"/>
      <c r="W1061" s="1177"/>
      <c r="X1061" s="1177"/>
      <c r="Y1061" s="1169"/>
      <c r="Z1061" s="1170">
        <f t="shared" si="1562"/>
        <v>0</v>
      </c>
      <c r="AA1061" s="1169"/>
      <c r="AB1061" s="1332"/>
      <c r="AC1061" s="1240"/>
      <c r="AD1061" s="1119"/>
      <c r="AE1061" s="1169"/>
      <c r="AF1061" s="1177"/>
      <c r="AG1061" s="1177"/>
      <c r="AH1061" s="1169"/>
      <c r="AI1061" s="1169">
        <f t="shared" si="1563"/>
        <v>0</v>
      </c>
      <c r="AJ1061" s="1169"/>
      <c r="AK1061" s="1170"/>
      <c r="AL1061" s="1171"/>
      <c r="AM1061" s="1128"/>
      <c r="AN1061" s="1170"/>
      <c r="AO1061" s="1175"/>
      <c r="AP1061" s="1175"/>
      <c r="AQ1061" s="1170"/>
      <c r="AR1061" s="1170">
        <f t="shared" si="1564"/>
        <v>0</v>
      </c>
      <c r="AS1061" s="1170"/>
      <c r="AT1061" s="1169"/>
      <c r="AU1061" s="1313"/>
      <c r="AV1061" s="1119"/>
      <c r="AW1061" s="1169"/>
      <c r="AX1061" s="1177"/>
      <c r="AY1061" s="1177"/>
      <c r="AZ1061" s="1169"/>
      <c r="BA1061" s="1169">
        <f t="shared" si="1565"/>
        <v>0</v>
      </c>
      <c r="BB1061" s="1169"/>
      <c r="BC1061" s="1024"/>
      <c r="BD1061" s="1027"/>
      <c r="BE1061" s="1024"/>
      <c r="BF1061" s="1024"/>
      <c r="BG1061" s="1008"/>
      <c r="BH1061" s="1008"/>
      <c r="BI1061" s="1008"/>
      <c r="BJ1061" s="1008"/>
      <c r="BK1061" s="1008"/>
      <c r="BL1061" s="1008"/>
      <c r="BM1061" s="1008"/>
    </row>
    <row r="1062" s="1215" customFormat="1" ht="20.25" customHeight="1">
      <c r="A1062" s="999" t="str">
        <f t="shared" si="1500"/>
        <v xml:space="preserve">Трофимчук О.Е., Радченко Т.А.   Куция НЛ  Красносельская (усть-Ивановка)</v>
      </c>
      <c r="B1062" s="1176" t="s">
        <v>447</v>
      </c>
      <c r="C1062" s="1176"/>
      <c r="D1062" s="1176"/>
      <c r="E1062" s="1164">
        <f t="shared" si="1474"/>
        <v>0</v>
      </c>
      <c r="F1062" s="1164">
        <f t="shared" si="1474"/>
        <v>0</v>
      </c>
      <c r="G1062" s="1165">
        <f t="shared" si="1559"/>
        <v>0</v>
      </c>
      <c r="H1062" s="1166"/>
      <c r="I1062" s="1167">
        <f t="shared" si="1473"/>
        <v>0</v>
      </c>
      <c r="J1062" s="1167">
        <f t="shared" si="1473"/>
        <v>0</v>
      </c>
      <c r="K1062" s="1168">
        <f t="shared" si="1560"/>
        <v>0</v>
      </c>
      <c r="L1062" s="1119"/>
      <c r="M1062" s="1169"/>
      <c r="N1062" s="1177"/>
      <c r="O1062" s="1169"/>
      <c r="P1062" s="1169"/>
      <c r="Q1062" s="1169">
        <f t="shared" si="1561"/>
        <v>0</v>
      </c>
      <c r="R1062" s="1169"/>
      <c r="S1062" s="1169"/>
      <c r="T1062" s="1240"/>
      <c r="U1062" s="1119"/>
      <c r="V1062" s="1169"/>
      <c r="W1062" s="1177"/>
      <c r="X1062" s="1177"/>
      <c r="Y1062" s="1169"/>
      <c r="Z1062" s="1170">
        <f t="shared" si="1562"/>
        <v>0</v>
      </c>
      <c r="AA1062" s="1169"/>
      <c r="AB1062" s="1332"/>
      <c r="AC1062" s="1240"/>
      <c r="AD1062" s="1119"/>
      <c r="AE1062" s="1169"/>
      <c r="AF1062" s="1177"/>
      <c r="AG1062" s="1177"/>
      <c r="AH1062" s="1169"/>
      <c r="AI1062" s="1169">
        <f t="shared" si="1563"/>
        <v>0</v>
      </c>
      <c r="AJ1062" s="1169"/>
      <c r="AK1062" s="1170"/>
      <c r="AL1062" s="1171"/>
      <c r="AM1062" s="1128"/>
      <c r="AN1062" s="1170"/>
      <c r="AO1062" s="1175"/>
      <c r="AP1062" s="1175"/>
      <c r="AQ1062" s="1170"/>
      <c r="AR1062" s="1170">
        <f t="shared" si="1564"/>
        <v>0</v>
      </c>
      <c r="AS1062" s="1170"/>
      <c r="AT1062" s="1169"/>
      <c r="AU1062" s="1313"/>
      <c r="AV1062" s="1119"/>
      <c r="AW1062" s="1169"/>
      <c r="AX1062" s="1177"/>
      <c r="AY1062" s="1177"/>
      <c r="AZ1062" s="1169"/>
      <c r="BA1062" s="1169">
        <f t="shared" si="1565"/>
        <v>0</v>
      </c>
      <c r="BB1062" s="1169"/>
      <c r="BC1062" s="1024"/>
      <c r="BD1062" s="1027"/>
      <c r="BE1062" s="1024"/>
      <c r="BF1062" s="1024"/>
      <c r="BG1062" s="1008"/>
      <c r="BH1062" s="1008"/>
      <c r="BI1062" s="1008"/>
      <c r="BJ1062" s="1008"/>
      <c r="BK1062" s="1008"/>
      <c r="BL1062" s="1008"/>
      <c r="BM1062" s="1008"/>
    </row>
    <row r="1063" s="1215" customFormat="1" ht="20.25" customHeight="1">
      <c r="A1063" s="999" t="str">
        <f t="shared" si="1500"/>
        <v xml:space="preserve">Третьяк О.М.</v>
      </c>
      <c r="B1063" s="1176" t="s">
        <v>449</v>
      </c>
      <c r="C1063" s="1176"/>
      <c r="D1063" s="1176"/>
      <c r="E1063" s="1164">
        <f t="shared" si="1474"/>
        <v>0</v>
      </c>
      <c r="F1063" s="1164">
        <f t="shared" si="1474"/>
        <v>0</v>
      </c>
      <c r="G1063" s="1165">
        <f t="shared" si="1559"/>
        <v>0</v>
      </c>
      <c r="H1063" s="1166"/>
      <c r="I1063" s="1167">
        <f t="shared" si="1473"/>
        <v>0</v>
      </c>
      <c r="J1063" s="1167">
        <f t="shared" si="1473"/>
        <v>0</v>
      </c>
      <c r="K1063" s="1168">
        <f t="shared" si="1560"/>
        <v>0</v>
      </c>
      <c r="L1063" s="1119"/>
      <c r="M1063" s="1169"/>
      <c r="N1063" s="1177"/>
      <c r="O1063" s="1169"/>
      <c r="P1063" s="1169"/>
      <c r="Q1063" s="1169">
        <f t="shared" si="1561"/>
        <v>0</v>
      </c>
      <c r="R1063" s="1169"/>
      <c r="S1063" s="1169"/>
      <c r="T1063" s="1240"/>
      <c r="U1063" s="1119"/>
      <c r="V1063" s="1169"/>
      <c r="W1063" s="1177"/>
      <c r="X1063" s="1177"/>
      <c r="Y1063" s="1169"/>
      <c r="Z1063" s="1170">
        <f t="shared" si="1562"/>
        <v>0</v>
      </c>
      <c r="AA1063" s="1169"/>
      <c r="AB1063" s="1332"/>
      <c r="AC1063" s="1240"/>
      <c r="AD1063" s="1119"/>
      <c r="AE1063" s="1169"/>
      <c r="AF1063" s="1177"/>
      <c r="AG1063" s="1177"/>
      <c r="AH1063" s="1169"/>
      <c r="AI1063" s="1169">
        <f t="shared" si="1563"/>
        <v>0</v>
      </c>
      <c r="AJ1063" s="1169"/>
      <c r="AK1063" s="1170"/>
      <c r="AL1063" s="1171"/>
      <c r="AM1063" s="1128"/>
      <c r="AN1063" s="1170"/>
      <c r="AO1063" s="1175"/>
      <c r="AP1063" s="1175"/>
      <c r="AQ1063" s="1170"/>
      <c r="AR1063" s="1170">
        <f t="shared" si="1564"/>
        <v>0</v>
      </c>
      <c r="AS1063" s="1170"/>
      <c r="AT1063" s="1169"/>
      <c r="AU1063" s="1313"/>
      <c r="AV1063" s="1119"/>
      <c r="AW1063" s="1169"/>
      <c r="AX1063" s="1177"/>
      <c r="AY1063" s="1177"/>
      <c r="AZ1063" s="1169"/>
      <c r="BA1063" s="1169">
        <f t="shared" si="1565"/>
        <v>0</v>
      </c>
      <c r="BB1063" s="1169"/>
      <c r="BC1063" s="1024"/>
      <c r="BD1063" s="1027"/>
      <c r="BE1063" s="1024"/>
      <c r="BF1063" s="1024"/>
      <c r="BG1063" s="1008"/>
      <c r="BH1063" s="1008"/>
      <c r="BI1063" s="1008"/>
      <c r="BJ1063" s="1008"/>
      <c r="BK1063" s="1008"/>
      <c r="BL1063" s="1008"/>
      <c r="BM1063" s="1008"/>
    </row>
    <row r="1064" s="1215" customFormat="1" ht="20.25" customHeight="1">
      <c r="A1064" s="999">
        <f t="shared" si="1500"/>
        <v>0</v>
      </c>
      <c r="B1064" s="1176" t="s">
        <v>450</v>
      </c>
      <c r="C1064" s="1176"/>
      <c r="D1064" s="1176"/>
      <c r="E1064" s="1164">
        <f t="shared" si="1474"/>
        <v>0</v>
      </c>
      <c r="F1064" s="1164">
        <f t="shared" si="1474"/>
        <v>0</v>
      </c>
      <c r="G1064" s="1165">
        <f t="shared" si="1559"/>
        <v>0</v>
      </c>
      <c r="H1064" s="1166"/>
      <c r="I1064" s="1167">
        <f t="shared" si="1473"/>
        <v>0</v>
      </c>
      <c r="J1064" s="1167">
        <f t="shared" si="1473"/>
        <v>0</v>
      </c>
      <c r="K1064" s="1168">
        <f t="shared" si="1560"/>
        <v>0</v>
      </c>
      <c r="L1064" s="1119"/>
      <c r="M1064" s="1169"/>
      <c r="N1064" s="1177"/>
      <c r="O1064" s="1169"/>
      <c r="P1064" s="1169"/>
      <c r="Q1064" s="1169">
        <f t="shared" si="1561"/>
        <v>0</v>
      </c>
      <c r="R1064" s="1169"/>
      <c r="S1064" s="1169"/>
      <c r="T1064" s="1240"/>
      <c r="U1064" s="1119"/>
      <c r="V1064" s="1169"/>
      <c r="W1064" s="1177"/>
      <c r="X1064" s="1177"/>
      <c r="Y1064" s="1169"/>
      <c r="Z1064" s="1170">
        <f t="shared" si="1562"/>
        <v>0</v>
      </c>
      <c r="AA1064" s="1169"/>
      <c r="AB1064" s="1332"/>
      <c r="AC1064" s="1240"/>
      <c r="AD1064" s="1119"/>
      <c r="AE1064" s="1169"/>
      <c r="AF1064" s="1177"/>
      <c r="AG1064" s="1177"/>
      <c r="AH1064" s="1169"/>
      <c r="AI1064" s="1169">
        <f t="shared" si="1563"/>
        <v>0</v>
      </c>
      <c r="AJ1064" s="1169"/>
      <c r="AK1064" s="1170"/>
      <c r="AL1064" s="1171"/>
      <c r="AM1064" s="1128"/>
      <c r="AN1064" s="1170"/>
      <c r="AO1064" s="1175"/>
      <c r="AP1064" s="1175"/>
      <c r="AQ1064" s="1170"/>
      <c r="AR1064" s="1170">
        <f t="shared" si="1564"/>
        <v>0</v>
      </c>
      <c r="AS1064" s="1170"/>
      <c r="AT1064" s="1169"/>
      <c r="AU1064" s="1313"/>
      <c r="AV1064" s="1119"/>
      <c r="AW1064" s="1169"/>
      <c r="AX1064" s="1177"/>
      <c r="AY1064" s="1177"/>
      <c r="AZ1064" s="1169"/>
      <c r="BA1064" s="1169">
        <f t="shared" si="1565"/>
        <v>0</v>
      </c>
      <c r="BB1064" s="1169"/>
      <c r="BC1064" s="1024"/>
      <c r="BD1064" s="1027"/>
      <c r="BE1064" s="1024"/>
      <c r="BF1064" s="1024"/>
      <c r="BG1064" s="1008"/>
      <c r="BH1064" s="1008"/>
      <c r="BI1064" s="1008"/>
      <c r="BJ1064" s="1008"/>
      <c r="BK1064" s="1008"/>
      <c r="BL1064" s="1008"/>
      <c r="BM1064" s="1008"/>
    </row>
    <row r="1065" s="1215" customFormat="1" ht="20.25" customHeight="1">
      <c r="A1065" s="999" t="str">
        <f t="shared" si="1500"/>
        <v xml:space="preserve">Бедина и Позднякова</v>
      </c>
      <c r="B1065" s="1202" t="s">
        <v>452</v>
      </c>
      <c r="C1065" s="1202"/>
      <c r="D1065" s="1202"/>
      <c r="E1065" s="1164">
        <f t="shared" si="1474"/>
        <v>0</v>
      </c>
      <c r="F1065" s="1164">
        <f t="shared" si="1474"/>
        <v>0</v>
      </c>
      <c r="G1065" s="1165">
        <f t="shared" si="1559"/>
        <v>0</v>
      </c>
      <c r="H1065" s="1166"/>
      <c r="I1065" s="1167">
        <f t="shared" si="1473"/>
        <v>0</v>
      </c>
      <c r="J1065" s="1167">
        <f t="shared" si="1473"/>
        <v>0</v>
      </c>
      <c r="K1065" s="1168">
        <f t="shared" si="1560"/>
        <v>0</v>
      </c>
      <c r="L1065" s="1119"/>
      <c r="M1065" s="1169"/>
      <c r="N1065" s="1177"/>
      <c r="O1065" s="1169"/>
      <c r="P1065" s="1169"/>
      <c r="Q1065" s="1169">
        <f t="shared" si="1561"/>
        <v>0</v>
      </c>
      <c r="R1065" s="1169"/>
      <c r="S1065" s="1169"/>
      <c r="T1065" s="1240"/>
      <c r="U1065" s="1119"/>
      <c r="V1065" s="1169"/>
      <c r="W1065" s="1177"/>
      <c r="X1065" s="1177"/>
      <c r="Y1065" s="1169"/>
      <c r="Z1065" s="1170">
        <f t="shared" si="1562"/>
        <v>0</v>
      </c>
      <c r="AA1065" s="1169"/>
      <c r="AB1065" s="1332"/>
      <c r="AC1065" s="1240"/>
      <c r="AD1065" s="1119"/>
      <c r="AE1065" s="1169"/>
      <c r="AF1065" s="1177"/>
      <c r="AG1065" s="1177"/>
      <c r="AH1065" s="1169"/>
      <c r="AI1065" s="1169">
        <f t="shared" si="1563"/>
        <v>0</v>
      </c>
      <c r="AJ1065" s="1169"/>
      <c r="AK1065" s="1170"/>
      <c r="AL1065" s="1171"/>
      <c r="AM1065" s="1128"/>
      <c r="AN1065" s="1170"/>
      <c r="AO1065" s="1175"/>
      <c r="AP1065" s="1175"/>
      <c r="AQ1065" s="1170"/>
      <c r="AR1065" s="1170">
        <f t="shared" si="1564"/>
        <v>0</v>
      </c>
      <c r="AS1065" s="1170"/>
      <c r="AT1065" s="1169"/>
      <c r="AU1065" s="1313"/>
      <c r="AV1065" s="1119"/>
      <c r="AW1065" s="1169"/>
      <c r="AX1065" s="1177"/>
      <c r="AY1065" s="1177"/>
      <c r="AZ1065" s="1169"/>
      <c r="BA1065" s="1169">
        <f t="shared" si="1565"/>
        <v>0</v>
      </c>
      <c r="BB1065" s="1169"/>
      <c r="BC1065" s="1024"/>
      <c r="BD1065" s="1027"/>
      <c r="BE1065" s="1024"/>
      <c r="BF1065" s="1024"/>
      <c r="BG1065" s="1008"/>
      <c r="BH1065" s="1008"/>
      <c r="BI1065" s="1008"/>
      <c r="BJ1065" s="1008"/>
      <c r="BK1065" s="1008"/>
      <c r="BL1065" s="1008"/>
      <c r="BM1065" s="1008"/>
    </row>
    <row r="1066" s="1215" customFormat="1" ht="20.25" customHeight="1">
      <c r="A1066" s="999" t="str">
        <f t="shared" si="1500"/>
        <v xml:space="preserve">Макарова Е.В.</v>
      </c>
      <c r="B1066" s="1202" t="s">
        <v>454</v>
      </c>
      <c r="C1066" s="1202"/>
      <c r="D1066" s="1202"/>
      <c r="E1066" s="1164">
        <f t="shared" si="1474"/>
        <v>0</v>
      </c>
      <c r="F1066" s="1164">
        <f t="shared" si="1474"/>
        <v>0</v>
      </c>
      <c r="G1066" s="1165">
        <f t="shared" si="1559"/>
        <v>0</v>
      </c>
      <c r="H1066" s="1166"/>
      <c r="I1066" s="1167">
        <f t="shared" si="1473"/>
        <v>0</v>
      </c>
      <c r="J1066" s="1167">
        <f t="shared" si="1473"/>
        <v>0</v>
      </c>
      <c r="K1066" s="1168">
        <f t="shared" si="1560"/>
        <v>0</v>
      </c>
      <c r="L1066" s="1119"/>
      <c r="M1066" s="1169"/>
      <c r="N1066" s="1177"/>
      <c r="O1066" s="1169"/>
      <c r="P1066" s="1169"/>
      <c r="Q1066" s="1169">
        <f t="shared" si="1561"/>
        <v>0</v>
      </c>
      <c r="R1066" s="1169"/>
      <c r="S1066" s="1169"/>
      <c r="T1066" s="1240"/>
      <c r="U1066" s="1119"/>
      <c r="V1066" s="1169"/>
      <c r="W1066" s="1177"/>
      <c r="X1066" s="1177"/>
      <c r="Y1066" s="1169"/>
      <c r="Z1066" s="1170">
        <f t="shared" si="1562"/>
        <v>0</v>
      </c>
      <c r="AA1066" s="1169"/>
      <c r="AB1066" s="1332"/>
      <c r="AC1066" s="1240"/>
      <c r="AD1066" s="1119"/>
      <c r="AE1066" s="1169"/>
      <c r="AF1066" s="1177"/>
      <c r="AG1066" s="1177"/>
      <c r="AH1066" s="1169"/>
      <c r="AI1066" s="1169">
        <f t="shared" si="1563"/>
        <v>0</v>
      </c>
      <c r="AJ1066" s="1169"/>
      <c r="AK1066" s="1170"/>
      <c r="AL1066" s="1171"/>
      <c r="AM1066" s="1128"/>
      <c r="AN1066" s="1170"/>
      <c r="AO1066" s="1175"/>
      <c r="AP1066" s="1175"/>
      <c r="AQ1066" s="1170"/>
      <c r="AR1066" s="1170">
        <f t="shared" si="1564"/>
        <v>0</v>
      </c>
      <c r="AS1066" s="1170"/>
      <c r="AT1066" s="1169"/>
      <c r="AU1066" s="1313"/>
      <c r="AV1066" s="1119"/>
      <c r="AW1066" s="1169"/>
      <c r="AX1066" s="1177"/>
      <c r="AY1066" s="1177"/>
      <c r="AZ1066" s="1169"/>
      <c r="BA1066" s="1169">
        <f t="shared" si="1565"/>
        <v>0</v>
      </c>
      <c r="BB1066" s="1169"/>
      <c r="BC1066" s="1024"/>
      <c r="BD1066" s="1027"/>
      <c r="BE1066" s="1024"/>
      <c r="BF1066" s="1024"/>
      <c r="BG1066" s="1008"/>
      <c r="BH1066" s="1008"/>
      <c r="BI1066" s="1008"/>
      <c r="BJ1066" s="1008"/>
      <c r="BK1066" s="1008"/>
      <c r="BL1066" s="1008"/>
      <c r="BM1066" s="1008"/>
    </row>
    <row r="1067" s="1215" customFormat="1" ht="20.25" customHeight="1">
      <c r="A1067" s="999" t="str">
        <f t="shared" si="1500"/>
        <v xml:space="preserve">Юшкова Н.Г.</v>
      </c>
      <c r="B1067" s="1202" t="s">
        <v>311</v>
      </c>
      <c r="C1067" s="1202"/>
      <c r="D1067" s="1202"/>
      <c r="E1067" s="1164">
        <f t="shared" si="1474"/>
        <v>0</v>
      </c>
      <c r="F1067" s="1164">
        <f t="shared" si="1474"/>
        <v>0</v>
      </c>
      <c r="G1067" s="1165">
        <f t="shared" si="1559"/>
        <v>0</v>
      </c>
      <c r="H1067" s="1166"/>
      <c r="I1067" s="1167">
        <f t="shared" si="1473"/>
        <v>0</v>
      </c>
      <c r="J1067" s="1167">
        <f t="shared" si="1473"/>
        <v>0</v>
      </c>
      <c r="K1067" s="1168">
        <f t="shared" si="1560"/>
        <v>0</v>
      </c>
      <c r="L1067" s="1119"/>
      <c r="M1067" s="1169"/>
      <c r="N1067" s="1177"/>
      <c r="O1067" s="1169"/>
      <c r="P1067" s="1169"/>
      <c r="Q1067" s="1169">
        <f t="shared" si="1561"/>
        <v>0</v>
      </c>
      <c r="R1067" s="1169"/>
      <c r="S1067" s="1169"/>
      <c r="T1067" s="1240"/>
      <c r="U1067" s="1119"/>
      <c r="V1067" s="1169"/>
      <c r="W1067" s="1177"/>
      <c r="X1067" s="1177"/>
      <c r="Y1067" s="1169"/>
      <c r="Z1067" s="1170">
        <f t="shared" si="1562"/>
        <v>0</v>
      </c>
      <c r="AA1067" s="1169"/>
      <c r="AB1067" s="1332"/>
      <c r="AC1067" s="1240"/>
      <c r="AD1067" s="1119"/>
      <c r="AE1067" s="1169"/>
      <c r="AF1067" s="1177"/>
      <c r="AG1067" s="1177"/>
      <c r="AH1067" s="1169"/>
      <c r="AI1067" s="1169">
        <f t="shared" si="1563"/>
        <v>0</v>
      </c>
      <c r="AJ1067" s="1169"/>
      <c r="AK1067" s="1170"/>
      <c r="AL1067" s="1171"/>
      <c r="AM1067" s="1128"/>
      <c r="AN1067" s="1170"/>
      <c r="AO1067" s="1175"/>
      <c r="AP1067" s="1175"/>
      <c r="AQ1067" s="1170"/>
      <c r="AR1067" s="1170">
        <f t="shared" si="1564"/>
        <v>0</v>
      </c>
      <c r="AS1067" s="1170"/>
      <c r="AT1067" s="1169"/>
      <c r="AU1067" s="1313"/>
      <c r="AV1067" s="1119"/>
      <c r="AW1067" s="1169"/>
      <c r="AX1067" s="1177"/>
      <c r="AY1067" s="1177"/>
      <c r="AZ1067" s="1169"/>
      <c r="BA1067" s="1169">
        <f t="shared" si="1565"/>
        <v>0</v>
      </c>
      <c r="BB1067" s="1169"/>
      <c r="BC1067" s="1024"/>
      <c r="BD1067" s="1027"/>
      <c r="BE1067" s="1024"/>
      <c r="BF1067" s="1024"/>
      <c r="BG1067" s="1008"/>
      <c r="BH1067" s="1008"/>
      <c r="BI1067" s="1008"/>
      <c r="BJ1067" s="1008"/>
      <c r="BK1067" s="1008"/>
      <c r="BL1067" s="1008"/>
      <c r="BM1067" s="1008"/>
    </row>
    <row r="1068" s="1215" customFormat="1" ht="20.25" customHeight="1">
      <c r="A1068" s="999">
        <f t="shared" si="1500"/>
        <v>0</v>
      </c>
      <c r="B1068" s="1202" t="s">
        <v>456</v>
      </c>
      <c r="C1068" s="1202"/>
      <c r="D1068" s="1202"/>
      <c r="E1068" s="1164">
        <f t="shared" si="1474"/>
        <v>0</v>
      </c>
      <c r="F1068" s="1164">
        <f t="shared" si="1474"/>
        <v>0</v>
      </c>
      <c r="G1068" s="1165">
        <f t="shared" si="1559"/>
        <v>0</v>
      </c>
      <c r="H1068" s="1166"/>
      <c r="I1068" s="1167">
        <f t="shared" si="1473"/>
        <v>0</v>
      </c>
      <c r="J1068" s="1167">
        <f t="shared" si="1473"/>
        <v>0</v>
      </c>
      <c r="K1068" s="1168">
        <f t="shared" si="1560"/>
        <v>0</v>
      </c>
      <c r="L1068" s="1119"/>
      <c r="M1068" s="1169"/>
      <c r="N1068" s="1177"/>
      <c r="O1068" s="1169"/>
      <c r="P1068" s="1169"/>
      <c r="Q1068" s="1169">
        <f t="shared" si="1561"/>
        <v>0</v>
      </c>
      <c r="R1068" s="1169"/>
      <c r="S1068" s="1169"/>
      <c r="T1068" s="1240"/>
      <c r="U1068" s="1119"/>
      <c r="V1068" s="1169"/>
      <c r="W1068" s="1177"/>
      <c r="X1068" s="1177"/>
      <c r="Y1068" s="1169"/>
      <c r="Z1068" s="1170">
        <f t="shared" si="1562"/>
        <v>0</v>
      </c>
      <c r="AA1068" s="1169"/>
      <c r="AB1068" s="1332"/>
      <c r="AC1068" s="1240"/>
      <c r="AD1068" s="1119"/>
      <c r="AE1068" s="1169"/>
      <c r="AF1068" s="1177"/>
      <c r="AG1068" s="1177"/>
      <c r="AH1068" s="1169"/>
      <c r="AI1068" s="1169">
        <f t="shared" si="1563"/>
        <v>0</v>
      </c>
      <c r="AJ1068" s="1169"/>
      <c r="AK1068" s="1170"/>
      <c r="AL1068" s="1171"/>
      <c r="AM1068" s="1128"/>
      <c r="AN1068" s="1170"/>
      <c r="AO1068" s="1175"/>
      <c r="AP1068" s="1175"/>
      <c r="AQ1068" s="1170"/>
      <c r="AR1068" s="1170">
        <f t="shared" si="1564"/>
        <v>0</v>
      </c>
      <c r="AS1068" s="1170"/>
      <c r="AT1068" s="1169"/>
      <c r="AU1068" s="1313"/>
      <c r="AV1068" s="1119"/>
      <c r="AW1068" s="1169"/>
      <c r="AX1068" s="1177"/>
      <c r="AY1068" s="1177"/>
      <c r="AZ1068" s="1169"/>
      <c r="BA1068" s="1169">
        <f t="shared" si="1565"/>
        <v>0</v>
      </c>
      <c r="BB1068" s="1169"/>
      <c r="BC1068" s="1024"/>
      <c r="BD1068" s="1027"/>
      <c r="BE1068" s="1024"/>
      <c r="BF1068" s="1024"/>
      <c r="BG1068" s="1008"/>
      <c r="BH1068" s="1008"/>
      <c r="BI1068" s="1008"/>
      <c r="BJ1068" s="1008"/>
      <c r="BK1068" s="1008"/>
      <c r="BL1068" s="1008"/>
      <c r="BM1068" s="1008"/>
    </row>
    <row r="1069" s="1215" customFormat="1" ht="20.25" customHeight="1">
      <c r="A1069" s="999">
        <f t="shared" si="1500"/>
        <v>0</v>
      </c>
      <c r="B1069" s="1202" t="s">
        <v>457</v>
      </c>
      <c r="C1069" s="1202"/>
      <c r="D1069" s="1202"/>
      <c r="E1069" s="1164">
        <f t="shared" si="1474"/>
        <v>0</v>
      </c>
      <c r="F1069" s="1164">
        <f t="shared" si="1474"/>
        <v>0</v>
      </c>
      <c r="G1069" s="1165">
        <f t="shared" si="1559"/>
        <v>0</v>
      </c>
      <c r="H1069" s="1166"/>
      <c r="I1069" s="1167">
        <f t="shared" ref="I1069:J1132" si="1566">E1069-Z1069</f>
        <v>0</v>
      </c>
      <c r="J1069" s="1167">
        <f t="shared" si="1566"/>
        <v>0</v>
      </c>
      <c r="K1069" s="1168">
        <f t="shared" si="1560"/>
        <v>0</v>
      </c>
      <c r="L1069" s="1119"/>
      <c r="M1069" s="1169"/>
      <c r="N1069" s="1177"/>
      <c r="O1069" s="1169"/>
      <c r="P1069" s="1169"/>
      <c r="Q1069" s="1169">
        <f t="shared" si="1561"/>
        <v>0</v>
      </c>
      <c r="R1069" s="1169"/>
      <c r="S1069" s="1169"/>
      <c r="T1069" s="1240"/>
      <c r="U1069" s="1119"/>
      <c r="V1069" s="1169"/>
      <c r="W1069" s="1177"/>
      <c r="X1069" s="1177"/>
      <c r="Y1069" s="1169"/>
      <c r="Z1069" s="1170">
        <f t="shared" si="1562"/>
        <v>0</v>
      </c>
      <c r="AA1069" s="1169"/>
      <c r="AB1069" s="1332"/>
      <c r="AC1069" s="1240"/>
      <c r="AD1069" s="1119"/>
      <c r="AE1069" s="1169"/>
      <c r="AF1069" s="1177"/>
      <c r="AG1069" s="1177"/>
      <c r="AH1069" s="1169"/>
      <c r="AI1069" s="1169">
        <f t="shared" si="1563"/>
        <v>0</v>
      </c>
      <c r="AJ1069" s="1169"/>
      <c r="AK1069" s="1170"/>
      <c r="AL1069" s="1171"/>
      <c r="AM1069" s="1128"/>
      <c r="AN1069" s="1170"/>
      <c r="AO1069" s="1175"/>
      <c r="AP1069" s="1175"/>
      <c r="AQ1069" s="1170"/>
      <c r="AR1069" s="1170">
        <f t="shared" si="1564"/>
        <v>0</v>
      </c>
      <c r="AS1069" s="1170"/>
      <c r="AT1069" s="1169"/>
      <c r="AU1069" s="1313"/>
      <c r="AV1069" s="1119"/>
      <c r="AW1069" s="1169"/>
      <c r="AX1069" s="1177"/>
      <c r="AY1069" s="1177"/>
      <c r="AZ1069" s="1169"/>
      <c r="BA1069" s="1169">
        <f t="shared" si="1565"/>
        <v>0</v>
      </c>
      <c r="BB1069" s="1169"/>
      <c r="BC1069" s="1024"/>
      <c r="BD1069" s="1027"/>
      <c r="BE1069" s="1024"/>
      <c r="BF1069" s="1024"/>
      <c r="BG1069" s="1008"/>
      <c r="BH1069" s="1008"/>
      <c r="BI1069" s="1008"/>
      <c r="BJ1069" s="1008"/>
      <c r="BK1069" s="1008"/>
      <c r="BL1069" s="1008"/>
      <c r="BM1069" s="1008"/>
    </row>
    <row r="1070" s="1215" customFormat="1" ht="20.25" customHeight="1">
      <c r="A1070" s="999">
        <f t="shared" si="1500"/>
        <v>0</v>
      </c>
      <c r="B1070" s="1202" t="s">
        <v>458</v>
      </c>
      <c r="C1070" s="1202"/>
      <c r="D1070" s="1202"/>
      <c r="E1070" s="1164">
        <f t="shared" si="1474"/>
        <v>0</v>
      </c>
      <c r="F1070" s="1164">
        <f t="shared" si="1474"/>
        <v>0</v>
      </c>
      <c r="G1070" s="1165">
        <f t="shared" si="1559"/>
        <v>0</v>
      </c>
      <c r="H1070" s="1166"/>
      <c r="I1070" s="1167">
        <f t="shared" si="1566"/>
        <v>0</v>
      </c>
      <c r="J1070" s="1167">
        <f t="shared" si="1566"/>
        <v>0</v>
      </c>
      <c r="K1070" s="1168">
        <f t="shared" si="1560"/>
        <v>0</v>
      </c>
      <c r="L1070" s="1119"/>
      <c r="M1070" s="1169"/>
      <c r="N1070" s="1177"/>
      <c r="O1070" s="1169"/>
      <c r="P1070" s="1169"/>
      <c r="Q1070" s="1169">
        <f t="shared" si="1561"/>
        <v>0</v>
      </c>
      <c r="R1070" s="1169"/>
      <c r="S1070" s="1169"/>
      <c r="T1070" s="1240"/>
      <c r="U1070" s="1119"/>
      <c r="V1070" s="1169"/>
      <c r="W1070" s="1177"/>
      <c r="X1070" s="1177"/>
      <c r="Y1070" s="1169"/>
      <c r="Z1070" s="1170">
        <f t="shared" si="1562"/>
        <v>0</v>
      </c>
      <c r="AA1070" s="1169"/>
      <c r="AB1070" s="1332"/>
      <c r="AC1070" s="1240"/>
      <c r="AD1070" s="1119"/>
      <c r="AE1070" s="1169"/>
      <c r="AF1070" s="1177"/>
      <c r="AG1070" s="1177"/>
      <c r="AH1070" s="1169"/>
      <c r="AI1070" s="1169">
        <f t="shared" si="1563"/>
        <v>0</v>
      </c>
      <c r="AJ1070" s="1169"/>
      <c r="AK1070" s="1170"/>
      <c r="AL1070" s="1171"/>
      <c r="AM1070" s="1128"/>
      <c r="AN1070" s="1170"/>
      <c r="AO1070" s="1175"/>
      <c r="AP1070" s="1175"/>
      <c r="AQ1070" s="1170"/>
      <c r="AR1070" s="1170">
        <f t="shared" si="1564"/>
        <v>0</v>
      </c>
      <c r="AS1070" s="1170"/>
      <c r="AT1070" s="1169"/>
      <c r="AU1070" s="1313"/>
      <c r="AV1070" s="1119"/>
      <c r="AW1070" s="1169"/>
      <c r="AX1070" s="1177"/>
      <c r="AY1070" s="1177"/>
      <c r="AZ1070" s="1169"/>
      <c r="BA1070" s="1169">
        <f t="shared" si="1565"/>
        <v>0</v>
      </c>
      <c r="BB1070" s="1169"/>
      <c r="BC1070" s="1024"/>
      <c r="BD1070" s="1027"/>
      <c r="BE1070" s="1024"/>
      <c r="BF1070" s="1024"/>
      <c r="BG1070" s="1008"/>
      <c r="BH1070" s="1008"/>
      <c r="BI1070" s="1008"/>
      <c r="BJ1070" s="1008"/>
      <c r="BK1070" s="1008"/>
      <c r="BL1070" s="1008"/>
      <c r="BM1070" s="1008"/>
    </row>
    <row r="1071" s="1215" customFormat="1" ht="20.25" customHeight="1">
      <c r="A1071" s="999">
        <f t="shared" si="1500"/>
        <v>0</v>
      </c>
      <c r="B1071" s="1202" t="s">
        <v>459</v>
      </c>
      <c r="C1071" s="1202"/>
      <c r="D1071" s="1202"/>
      <c r="E1071" s="1164">
        <f t="shared" si="1474"/>
        <v>0</v>
      </c>
      <c r="F1071" s="1164">
        <f t="shared" si="1474"/>
        <v>0</v>
      </c>
      <c r="G1071" s="1165">
        <f t="shared" si="1559"/>
        <v>0</v>
      </c>
      <c r="H1071" s="1166"/>
      <c r="I1071" s="1167">
        <f t="shared" si="1566"/>
        <v>0</v>
      </c>
      <c r="J1071" s="1167">
        <f t="shared" si="1566"/>
        <v>0</v>
      </c>
      <c r="K1071" s="1168">
        <f t="shared" si="1560"/>
        <v>0</v>
      </c>
      <c r="L1071" s="1119"/>
      <c r="M1071" s="1169"/>
      <c r="N1071" s="1177"/>
      <c r="O1071" s="1169"/>
      <c r="P1071" s="1169"/>
      <c r="Q1071" s="1169">
        <f t="shared" si="1561"/>
        <v>0</v>
      </c>
      <c r="R1071" s="1169"/>
      <c r="S1071" s="1169"/>
      <c r="T1071" s="1240"/>
      <c r="U1071" s="1119"/>
      <c r="V1071" s="1169"/>
      <c r="W1071" s="1177"/>
      <c r="X1071" s="1177"/>
      <c r="Y1071" s="1169"/>
      <c r="Z1071" s="1170">
        <f t="shared" si="1562"/>
        <v>0</v>
      </c>
      <c r="AA1071" s="1169"/>
      <c r="AB1071" s="1332"/>
      <c r="AC1071" s="1240"/>
      <c r="AD1071" s="1119"/>
      <c r="AE1071" s="1169"/>
      <c r="AF1071" s="1177"/>
      <c r="AG1071" s="1177"/>
      <c r="AH1071" s="1169"/>
      <c r="AI1071" s="1169">
        <f t="shared" si="1563"/>
        <v>0</v>
      </c>
      <c r="AJ1071" s="1169"/>
      <c r="AK1071" s="1170"/>
      <c r="AL1071" s="1171"/>
      <c r="AM1071" s="1128"/>
      <c r="AN1071" s="1170"/>
      <c r="AO1071" s="1175"/>
      <c r="AP1071" s="1175"/>
      <c r="AQ1071" s="1170"/>
      <c r="AR1071" s="1170">
        <f t="shared" si="1564"/>
        <v>0</v>
      </c>
      <c r="AS1071" s="1170"/>
      <c r="AT1071" s="1169"/>
      <c r="AU1071" s="1313"/>
      <c r="AV1071" s="1119"/>
      <c r="AW1071" s="1169"/>
      <c r="AX1071" s="1177"/>
      <c r="AY1071" s="1177"/>
      <c r="AZ1071" s="1169"/>
      <c r="BA1071" s="1169">
        <f t="shared" si="1565"/>
        <v>0</v>
      </c>
      <c r="BB1071" s="1169"/>
      <c r="BC1071" s="1024"/>
      <c r="BD1071" s="1027"/>
      <c r="BE1071" s="1024"/>
      <c r="BF1071" s="1024"/>
      <c r="BG1071" s="1008"/>
      <c r="BH1071" s="1008"/>
      <c r="BI1071" s="1008"/>
      <c r="BJ1071" s="1008"/>
      <c r="BK1071" s="1008"/>
      <c r="BL1071" s="1008"/>
      <c r="BM1071" s="1008"/>
    </row>
    <row r="1072" s="1215" customFormat="1" ht="20.25" customHeight="1">
      <c r="A1072" s="999">
        <f t="shared" si="1500"/>
        <v>0</v>
      </c>
      <c r="B1072" s="1202" t="s">
        <v>460</v>
      </c>
      <c r="C1072" s="1202"/>
      <c r="D1072" s="1202"/>
      <c r="E1072" s="1164">
        <f t="shared" si="1474"/>
        <v>0</v>
      </c>
      <c r="F1072" s="1164">
        <f t="shared" si="1474"/>
        <v>0</v>
      </c>
      <c r="G1072" s="1165">
        <f t="shared" si="1559"/>
        <v>0</v>
      </c>
      <c r="H1072" s="1166"/>
      <c r="I1072" s="1167">
        <f t="shared" si="1566"/>
        <v>0</v>
      </c>
      <c r="J1072" s="1167">
        <f t="shared" si="1566"/>
        <v>0</v>
      </c>
      <c r="K1072" s="1168">
        <f t="shared" si="1560"/>
        <v>0</v>
      </c>
      <c r="L1072" s="1119"/>
      <c r="M1072" s="1169"/>
      <c r="N1072" s="1177"/>
      <c r="O1072" s="1169"/>
      <c r="P1072" s="1169"/>
      <c r="Q1072" s="1169">
        <f t="shared" si="1561"/>
        <v>0</v>
      </c>
      <c r="R1072" s="1169"/>
      <c r="S1072" s="1169"/>
      <c r="T1072" s="1240"/>
      <c r="U1072" s="1119"/>
      <c r="V1072" s="1169"/>
      <c r="W1072" s="1177"/>
      <c r="X1072" s="1177"/>
      <c r="Y1072" s="1169"/>
      <c r="Z1072" s="1170">
        <f t="shared" si="1562"/>
        <v>0</v>
      </c>
      <c r="AA1072" s="1169"/>
      <c r="AB1072" s="1332"/>
      <c r="AC1072" s="1240"/>
      <c r="AD1072" s="1119"/>
      <c r="AE1072" s="1169"/>
      <c r="AF1072" s="1177"/>
      <c r="AG1072" s="1177"/>
      <c r="AH1072" s="1169"/>
      <c r="AI1072" s="1169">
        <f t="shared" si="1563"/>
        <v>0</v>
      </c>
      <c r="AJ1072" s="1169"/>
      <c r="AK1072" s="1170"/>
      <c r="AL1072" s="1171"/>
      <c r="AM1072" s="1128"/>
      <c r="AN1072" s="1170"/>
      <c r="AO1072" s="1175"/>
      <c r="AP1072" s="1175"/>
      <c r="AQ1072" s="1170"/>
      <c r="AR1072" s="1170">
        <f t="shared" si="1564"/>
        <v>0</v>
      </c>
      <c r="AS1072" s="1170"/>
      <c r="AT1072" s="1169"/>
      <c r="AU1072" s="1313"/>
      <c r="AV1072" s="1119"/>
      <c r="AW1072" s="1169"/>
      <c r="AX1072" s="1177"/>
      <c r="AY1072" s="1177"/>
      <c r="AZ1072" s="1169"/>
      <c r="BA1072" s="1169">
        <f t="shared" si="1565"/>
        <v>0</v>
      </c>
      <c r="BB1072" s="1169"/>
      <c r="BC1072" s="1024"/>
      <c r="BD1072" s="1027"/>
      <c r="BE1072" s="1024"/>
      <c r="BF1072" s="1024"/>
      <c r="BG1072" s="1008"/>
      <c r="BH1072" s="1008"/>
      <c r="BI1072" s="1008"/>
      <c r="BJ1072" s="1008"/>
      <c r="BK1072" s="1008"/>
      <c r="BL1072" s="1008"/>
      <c r="BM1072" s="1008"/>
    </row>
    <row r="1073" ht="20.25" customHeight="1">
      <c r="A1073" s="999" t="str">
        <f t="shared" si="1500"/>
        <v xml:space="preserve">Белова СА</v>
      </c>
      <c r="B1073" s="1202" t="s">
        <v>461</v>
      </c>
      <c r="C1073" s="1202"/>
      <c r="D1073" s="1202"/>
      <c r="E1073" s="1164">
        <f t="shared" si="1474"/>
        <v>0</v>
      </c>
      <c r="F1073" s="1164">
        <f t="shared" si="1474"/>
        <v>0</v>
      </c>
      <c r="G1073" s="1165">
        <f t="shared" si="1559"/>
        <v>0</v>
      </c>
      <c r="H1073" s="1166"/>
      <c r="I1073" s="1167">
        <f t="shared" si="1566"/>
        <v>0</v>
      </c>
      <c r="J1073" s="1167">
        <f t="shared" si="1566"/>
        <v>0</v>
      </c>
      <c r="K1073" s="1168">
        <f t="shared" si="1560"/>
        <v>0</v>
      </c>
      <c r="L1073" s="1119"/>
      <c r="M1073" s="1169"/>
      <c r="N1073" s="1177"/>
      <c r="O1073" s="1169"/>
      <c r="P1073" s="1169"/>
      <c r="Q1073" s="1169">
        <f t="shared" si="1561"/>
        <v>0</v>
      </c>
      <c r="R1073" s="1169"/>
      <c r="S1073" s="1169"/>
      <c r="T1073" s="1240"/>
      <c r="U1073" s="1119"/>
      <c r="V1073" s="1169"/>
      <c r="W1073" s="1177"/>
      <c r="X1073" s="1177"/>
      <c r="Y1073" s="1169"/>
      <c r="Z1073" s="1170">
        <f t="shared" si="1562"/>
        <v>0</v>
      </c>
      <c r="AA1073" s="1169"/>
      <c r="AB1073" s="1332"/>
      <c r="AC1073" s="1240"/>
      <c r="AD1073" s="1119"/>
      <c r="AE1073" s="1169"/>
      <c r="AF1073" s="1177"/>
      <c r="AG1073" s="1177"/>
      <c r="AH1073" s="1169"/>
      <c r="AI1073" s="1169">
        <f t="shared" si="1563"/>
        <v>0</v>
      </c>
      <c r="AJ1073" s="1169"/>
      <c r="AK1073" s="1170"/>
      <c r="AL1073" s="1171"/>
      <c r="AM1073" s="1128"/>
      <c r="AN1073" s="1170"/>
      <c r="AO1073" s="1175"/>
      <c r="AP1073" s="1175"/>
      <c r="AQ1073" s="1170"/>
      <c r="AR1073" s="1170">
        <f t="shared" si="1564"/>
        <v>0</v>
      </c>
      <c r="AS1073" s="1170"/>
      <c r="AT1073" s="1169"/>
      <c r="AU1073" s="1313"/>
      <c r="AV1073" s="1119"/>
      <c r="AW1073" s="1169"/>
      <c r="AX1073" s="1177"/>
      <c r="AY1073" s="1177"/>
      <c r="AZ1073" s="1169"/>
      <c r="BA1073" s="1169">
        <f t="shared" si="1565"/>
        <v>0</v>
      </c>
      <c r="BB1073" s="1169"/>
      <c r="BC1073" s="1029"/>
      <c r="BD1073" s="1027"/>
      <c r="BE1073" s="1029"/>
      <c r="BF1073" s="1029"/>
    </row>
    <row r="1074" ht="20.25" customHeight="1">
      <c r="A1074" s="999">
        <f t="shared" si="1500"/>
        <v>0</v>
      </c>
      <c r="B1074" s="1202" t="s">
        <v>462</v>
      </c>
      <c r="C1074" s="1202"/>
      <c r="D1074" s="1202"/>
      <c r="E1074" s="1164">
        <f t="shared" si="1474"/>
        <v>0</v>
      </c>
      <c r="F1074" s="1164">
        <f t="shared" si="1474"/>
        <v>0</v>
      </c>
      <c r="G1074" s="1165">
        <f t="shared" si="1559"/>
        <v>0</v>
      </c>
      <c r="H1074" s="1166"/>
      <c r="I1074" s="1167">
        <f t="shared" si="1566"/>
        <v>0</v>
      </c>
      <c r="J1074" s="1167">
        <f t="shared" si="1566"/>
        <v>0</v>
      </c>
      <c r="K1074" s="1168">
        <f t="shared" si="1560"/>
        <v>0</v>
      </c>
      <c r="L1074" s="1119"/>
      <c r="M1074" s="1169"/>
      <c r="N1074" s="1177"/>
      <c r="O1074" s="1169"/>
      <c r="P1074" s="1169"/>
      <c r="Q1074" s="1169">
        <f t="shared" si="1561"/>
        <v>0</v>
      </c>
      <c r="R1074" s="1169"/>
      <c r="S1074" s="1169"/>
      <c r="T1074" s="1240"/>
      <c r="U1074" s="1119"/>
      <c r="V1074" s="1169"/>
      <c r="W1074" s="1177"/>
      <c r="X1074" s="1177"/>
      <c r="Y1074" s="1169"/>
      <c r="Z1074" s="1170">
        <f t="shared" si="1562"/>
        <v>0</v>
      </c>
      <c r="AA1074" s="1169"/>
      <c r="AB1074" s="1332"/>
      <c r="AC1074" s="1240"/>
      <c r="AD1074" s="1119"/>
      <c r="AE1074" s="1169"/>
      <c r="AF1074" s="1177"/>
      <c r="AG1074" s="1177"/>
      <c r="AH1074" s="1169"/>
      <c r="AI1074" s="1169">
        <f t="shared" si="1563"/>
        <v>0</v>
      </c>
      <c r="AJ1074" s="1169"/>
      <c r="AK1074" s="1170"/>
      <c r="AL1074" s="1171"/>
      <c r="AM1074" s="1128"/>
      <c r="AN1074" s="1170"/>
      <c r="AO1074" s="1175"/>
      <c r="AP1074" s="1175"/>
      <c r="AQ1074" s="1170"/>
      <c r="AR1074" s="1170">
        <f t="shared" si="1564"/>
        <v>0</v>
      </c>
      <c r="AS1074" s="1170"/>
      <c r="AT1074" s="1169"/>
      <c r="AU1074" s="1313"/>
      <c r="AV1074" s="1119"/>
      <c r="AW1074" s="1169"/>
      <c r="AX1074" s="1177"/>
      <c r="AY1074" s="1177"/>
      <c r="AZ1074" s="1169"/>
      <c r="BA1074" s="1169">
        <f t="shared" si="1565"/>
        <v>0</v>
      </c>
      <c r="BB1074" s="1169"/>
      <c r="BC1074" s="1029"/>
      <c r="BD1074" s="1027"/>
      <c r="BE1074" s="1029"/>
      <c r="BF1074" s="1029"/>
    </row>
    <row r="1075" ht="20.25" customHeight="1">
      <c r="A1075" s="999">
        <f t="shared" si="1500"/>
        <v>0</v>
      </c>
      <c r="B1075" s="1202" t="s">
        <v>463</v>
      </c>
      <c r="C1075" s="1202"/>
      <c r="D1075" s="1202"/>
      <c r="E1075" s="1164">
        <f t="shared" ref="E1075:F1095" si="1567">Q1075+Z1075+AI1075+AR1075+BA1075</f>
        <v>0</v>
      </c>
      <c r="F1075" s="1164">
        <f t="shared" si="1567"/>
        <v>0</v>
      </c>
      <c r="G1075" s="1165">
        <f t="shared" si="1559"/>
        <v>0</v>
      </c>
      <c r="H1075" s="1166"/>
      <c r="I1075" s="1167">
        <f t="shared" si="1566"/>
        <v>0</v>
      </c>
      <c r="J1075" s="1167">
        <f t="shared" si="1566"/>
        <v>0</v>
      </c>
      <c r="K1075" s="1168">
        <f t="shared" si="1560"/>
        <v>0</v>
      </c>
      <c r="L1075" s="1119"/>
      <c r="M1075" s="1169"/>
      <c r="N1075" s="1177"/>
      <c r="O1075" s="1169"/>
      <c r="P1075" s="1169"/>
      <c r="Q1075" s="1169">
        <f t="shared" si="1561"/>
        <v>0</v>
      </c>
      <c r="R1075" s="1169"/>
      <c r="S1075" s="1169"/>
      <c r="T1075" s="1240"/>
      <c r="U1075" s="1119"/>
      <c r="V1075" s="1169"/>
      <c r="W1075" s="1177"/>
      <c r="X1075" s="1177"/>
      <c r="Y1075" s="1169"/>
      <c r="Z1075" s="1170">
        <f t="shared" si="1562"/>
        <v>0</v>
      </c>
      <c r="AA1075" s="1169"/>
      <c r="AB1075" s="1332"/>
      <c r="AC1075" s="1240"/>
      <c r="AD1075" s="1119"/>
      <c r="AE1075" s="1169"/>
      <c r="AF1075" s="1177"/>
      <c r="AG1075" s="1177"/>
      <c r="AH1075" s="1169"/>
      <c r="AI1075" s="1169">
        <f t="shared" si="1563"/>
        <v>0</v>
      </c>
      <c r="AJ1075" s="1169"/>
      <c r="AK1075" s="1170"/>
      <c r="AL1075" s="1171"/>
      <c r="AM1075" s="1128"/>
      <c r="AN1075" s="1170"/>
      <c r="AO1075" s="1175"/>
      <c r="AP1075" s="1175"/>
      <c r="AQ1075" s="1170"/>
      <c r="AR1075" s="1170">
        <f t="shared" si="1564"/>
        <v>0</v>
      </c>
      <c r="AS1075" s="1170"/>
      <c r="AT1075" s="1169"/>
      <c r="AU1075" s="1313"/>
      <c r="AV1075" s="1119"/>
      <c r="AW1075" s="1169"/>
      <c r="AX1075" s="1177"/>
      <c r="AY1075" s="1177"/>
      <c r="AZ1075" s="1169"/>
      <c r="BA1075" s="1169">
        <f t="shared" si="1565"/>
        <v>0</v>
      </c>
      <c r="BB1075" s="1169"/>
      <c r="BC1075" s="1029"/>
      <c r="BD1075" s="1027"/>
      <c r="BE1075" s="1029"/>
      <c r="BF1075" s="1029"/>
    </row>
    <row r="1076" ht="20.25" customHeight="1">
      <c r="A1076" s="999">
        <f t="shared" si="1500"/>
        <v>0</v>
      </c>
      <c r="B1076" s="1202" t="s">
        <v>464</v>
      </c>
      <c r="C1076" s="1202"/>
      <c r="D1076" s="1202"/>
      <c r="E1076" s="1164">
        <f t="shared" si="1567"/>
        <v>0</v>
      </c>
      <c r="F1076" s="1164">
        <f t="shared" si="1567"/>
        <v>0</v>
      </c>
      <c r="G1076" s="1165">
        <f t="shared" si="1559"/>
        <v>0</v>
      </c>
      <c r="H1076" s="1166"/>
      <c r="I1076" s="1167">
        <f t="shared" si="1566"/>
        <v>0</v>
      </c>
      <c r="J1076" s="1167">
        <f t="shared" si="1566"/>
        <v>0</v>
      </c>
      <c r="K1076" s="1168">
        <f t="shared" si="1560"/>
        <v>0</v>
      </c>
      <c r="L1076" s="1119"/>
      <c r="M1076" s="1169"/>
      <c r="N1076" s="1177"/>
      <c r="O1076" s="1169"/>
      <c r="P1076" s="1169"/>
      <c r="Q1076" s="1169">
        <f t="shared" si="1561"/>
        <v>0</v>
      </c>
      <c r="R1076" s="1169"/>
      <c r="S1076" s="1169"/>
      <c r="T1076" s="1240"/>
      <c r="U1076" s="1119"/>
      <c r="V1076" s="1169"/>
      <c r="W1076" s="1177"/>
      <c r="X1076" s="1177"/>
      <c r="Y1076" s="1169"/>
      <c r="Z1076" s="1170">
        <f t="shared" si="1562"/>
        <v>0</v>
      </c>
      <c r="AA1076" s="1169"/>
      <c r="AB1076" s="1332"/>
      <c r="AC1076" s="1240"/>
      <c r="AD1076" s="1119"/>
      <c r="AE1076" s="1169"/>
      <c r="AF1076" s="1177"/>
      <c r="AG1076" s="1177"/>
      <c r="AH1076" s="1169"/>
      <c r="AI1076" s="1169">
        <f t="shared" si="1563"/>
        <v>0</v>
      </c>
      <c r="AJ1076" s="1169"/>
      <c r="AK1076" s="1170"/>
      <c r="AL1076" s="1171"/>
      <c r="AM1076" s="1128"/>
      <c r="AN1076" s="1170"/>
      <c r="AO1076" s="1175"/>
      <c r="AP1076" s="1175"/>
      <c r="AQ1076" s="1170"/>
      <c r="AR1076" s="1170">
        <f t="shared" si="1564"/>
        <v>0</v>
      </c>
      <c r="AS1076" s="1170"/>
      <c r="AT1076" s="1169"/>
      <c r="AU1076" s="1313"/>
      <c r="AV1076" s="1131"/>
      <c r="AW1076" s="1169"/>
      <c r="AX1076" s="1177"/>
      <c r="AY1076" s="1177"/>
      <c r="AZ1076" s="1169"/>
      <c r="BA1076" s="1169">
        <f t="shared" si="1565"/>
        <v>0</v>
      </c>
      <c r="BB1076" s="1169"/>
      <c r="BC1076" s="1029"/>
      <c r="BD1076" s="1027"/>
      <c r="BE1076" s="1029"/>
      <c r="BF1076" s="1029"/>
    </row>
    <row r="1077" ht="20.25" customHeight="1">
      <c r="A1077" s="999">
        <f t="shared" si="1500"/>
        <v>0</v>
      </c>
      <c r="B1077" s="1202" t="s">
        <v>465</v>
      </c>
      <c r="C1077" s="1202"/>
      <c r="D1077" s="1202"/>
      <c r="E1077" s="1164">
        <f t="shared" si="1567"/>
        <v>0</v>
      </c>
      <c r="F1077" s="1164">
        <f t="shared" si="1567"/>
        <v>0</v>
      </c>
      <c r="G1077" s="1165">
        <f t="shared" si="1559"/>
        <v>0</v>
      </c>
      <c r="H1077" s="1166"/>
      <c r="I1077" s="1167">
        <f t="shared" si="1566"/>
        <v>0</v>
      </c>
      <c r="J1077" s="1167">
        <f t="shared" si="1566"/>
        <v>0</v>
      </c>
      <c r="K1077" s="1168">
        <f t="shared" si="1560"/>
        <v>0</v>
      </c>
      <c r="L1077" s="1119"/>
      <c r="M1077" s="1169"/>
      <c r="N1077" s="1177"/>
      <c r="O1077" s="1169"/>
      <c r="P1077" s="1169"/>
      <c r="Q1077" s="1169">
        <f t="shared" si="1561"/>
        <v>0</v>
      </c>
      <c r="R1077" s="1169"/>
      <c r="S1077" s="1169"/>
      <c r="T1077" s="1240"/>
      <c r="U1077" s="1119"/>
      <c r="V1077" s="1169"/>
      <c r="W1077" s="1177"/>
      <c r="X1077" s="1177"/>
      <c r="Y1077" s="1169"/>
      <c r="Z1077" s="1170">
        <f t="shared" si="1562"/>
        <v>0</v>
      </c>
      <c r="AA1077" s="1169"/>
      <c r="AB1077" s="1332"/>
      <c r="AC1077" s="1240"/>
      <c r="AD1077" s="1119"/>
      <c r="AE1077" s="1169"/>
      <c r="AF1077" s="1177"/>
      <c r="AG1077" s="1177"/>
      <c r="AH1077" s="1169"/>
      <c r="AI1077" s="1169">
        <f t="shared" si="1563"/>
        <v>0</v>
      </c>
      <c r="AJ1077" s="1169"/>
      <c r="AK1077" s="1170"/>
      <c r="AL1077" s="1171"/>
      <c r="AM1077" s="1128"/>
      <c r="AN1077" s="1170"/>
      <c r="AO1077" s="1175"/>
      <c r="AP1077" s="1175"/>
      <c r="AQ1077" s="1170"/>
      <c r="AR1077" s="1170">
        <f t="shared" si="1564"/>
        <v>0</v>
      </c>
      <c r="AS1077" s="1170"/>
      <c r="AT1077" s="1169"/>
      <c r="AU1077" s="1313"/>
      <c r="AV1077" s="1131"/>
      <c r="AW1077" s="1169"/>
      <c r="AX1077" s="1177"/>
      <c r="AY1077" s="1177"/>
      <c r="AZ1077" s="1169"/>
      <c r="BA1077" s="1169">
        <f t="shared" si="1565"/>
        <v>0</v>
      </c>
      <c r="BB1077" s="1169"/>
      <c r="BC1077" s="1029"/>
      <c r="BD1077" s="1027"/>
      <c r="BE1077" s="1029"/>
      <c r="BF1077" s="1029"/>
    </row>
    <row r="1078" ht="20.25" customHeight="1">
      <c r="A1078" s="999">
        <f t="shared" si="1500"/>
        <v>0</v>
      </c>
      <c r="B1078" s="1202" t="s">
        <v>303</v>
      </c>
      <c r="C1078" s="1202"/>
      <c r="D1078" s="1202"/>
      <c r="E1078" s="1164">
        <f t="shared" si="1567"/>
        <v>0</v>
      </c>
      <c r="F1078" s="1164">
        <f t="shared" si="1567"/>
        <v>0</v>
      </c>
      <c r="G1078" s="1165">
        <f t="shared" si="1559"/>
        <v>0</v>
      </c>
      <c r="H1078" s="1166"/>
      <c r="I1078" s="1167">
        <f t="shared" si="1566"/>
        <v>0</v>
      </c>
      <c r="J1078" s="1167">
        <f t="shared" si="1566"/>
        <v>0</v>
      </c>
      <c r="K1078" s="1168">
        <f t="shared" si="1560"/>
        <v>0</v>
      </c>
      <c r="L1078" s="1119"/>
      <c r="M1078" s="1169"/>
      <c r="N1078" s="1177"/>
      <c r="O1078" s="1169"/>
      <c r="P1078" s="1169"/>
      <c r="Q1078" s="1169">
        <f t="shared" si="1561"/>
        <v>0</v>
      </c>
      <c r="R1078" s="1169"/>
      <c r="S1078" s="1169"/>
      <c r="T1078" s="1240"/>
      <c r="U1078" s="1119"/>
      <c r="V1078" s="1169"/>
      <c r="W1078" s="1177"/>
      <c r="X1078" s="1177"/>
      <c r="Y1078" s="1169"/>
      <c r="Z1078" s="1170">
        <f t="shared" si="1562"/>
        <v>0</v>
      </c>
      <c r="AA1078" s="1169"/>
      <c r="AB1078" s="1332"/>
      <c r="AC1078" s="1240"/>
      <c r="AD1078" s="1119"/>
      <c r="AE1078" s="1169"/>
      <c r="AF1078" s="1177"/>
      <c r="AG1078" s="1177"/>
      <c r="AH1078" s="1169"/>
      <c r="AI1078" s="1169">
        <f t="shared" si="1563"/>
        <v>0</v>
      </c>
      <c r="AJ1078" s="1169"/>
      <c r="AK1078" s="1170"/>
      <c r="AL1078" s="1171"/>
      <c r="AM1078" s="1128"/>
      <c r="AN1078" s="1170"/>
      <c r="AO1078" s="1175"/>
      <c r="AP1078" s="1175"/>
      <c r="AQ1078" s="1170"/>
      <c r="AR1078" s="1170">
        <f t="shared" si="1564"/>
        <v>0</v>
      </c>
      <c r="AS1078" s="1170"/>
      <c r="AT1078" s="1169"/>
      <c r="AU1078" s="1313"/>
      <c r="AV1078" s="1131"/>
      <c r="AW1078" s="1169"/>
      <c r="AX1078" s="1177"/>
      <c r="AY1078" s="1177"/>
      <c r="AZ1078" s="1169"/>
      <c r="BA1078" s="1169">
        <f t="shared" si="1565"/>
        <v>0</v>
      </c>
      <c r="BB1078" s="1169"/>
      <c r="BC1078" s="1029"/>
      <c r="BD1078" s="1027"/>
      <c r="BE1078" s="1029"/>
      <c r="BF1078" s="1029"/>
    </row>
    <row r="1079">
      <c r="A1079" s="999">
        <f t="shared" si="1500"/>
        <v>0</v>
      </c>
      <c r="B1079" s="1202" t="s">
        <v>304</v>
      </c>
      <c r="C1079" s="1202"/>
      <c r="D1079" s="1202"/>
      <c r="E1079" s="1164">
        <f t="shared" si="1567"/>
        <v>0</v>
      </c>
      <c r="F1079" s="1164">
        <f t="shared" si="1567"/>
        <v>0</v>
      </c>
      <c r="G1079" s="1165">
        <f t="shared" si="1559"/>
        <v>0</v>
      </c>
      <c r="H1079" s="1166"/>
      <c r="I1079" s="1167">
        <f t="shared" si="1566"/>
        <v>0</v>
      </c>
      <c r="J1079" s="1167">
        <f t="shared" si="1566"/>
        <v>0</v>
      </c>
      <c r="K1079" s="1168">
        <f t="shared" si="1560"/>
        <v>0</v>
      </c>
      <c r="L1079" s="1119"/>
      <c r="M1079" s="1169"/>
      <c r="N1079" s="1177"/>
      <c r="O1079" s="1169"/>
      <c r="P1079" s="1169"/>
      <c r="Q1079" s="1169">
        <f t="shared" si="1561"/>
        <v>0</v>
      </c>
      <c r="R1079" s="1169"/>
      <c r="S1079" s="1169"/>
      <c r="T1079" s="1240"/>
      <c r="U1079" s="1119"/>
      <c r="V1079" s="1169"/>
      <c r="W1079" s="1177"/>
      <c r="X1079" s="1177"/>
      <c r="Y1079" s="1169"/>
      <c r="Z1079" s="1170">
        <f t="shared" si="1562"/>
        <v>0</v>
      </c>
      <c r="AA1079" s="1169"/>
      <c r="AB1079" s="1332"/>
      <c r="AC1079" s="1240"/>
      <c r="AD1079" s="1119"/>
      <c r="AE1079" s="1169"/>
      <c r="AF1079" s="1177"/>
      <c r="AG1079" s="1177"/>
      <c r="AH1079" s="1169"/>
      <c r="AI1079" s="1169">
        <f t="shared" si="1563"/>
        <v>0</v>
      </c>
      <c r="AJ1079" s="1169"/>
      <c r="AK1079" s="1170"/>
      <c r="AL1079" s="1171"/>
      <c r="AM1079" s="1128"/>
      <c r="AN1079" s="1170"/>
      <c r="AO1079" s="1175"/>
      <c r="AP1079" s="1175"/>
      <c r="AQ1079" s="1170"/>
      <c r="AR1079" s="1170">
        <f t="shared" si="1564"/>
        <v>0</v>
      </c>
      <c r="AS1079" s="1170"/>
      <c r="AT1079" s="1169"/>
      <c r="AU1079" s="1313"/>
      <c r="AV1079" s="1131"/>
      <c r="AW1079" s="1169"/>
      <c r="AX1079" s="1177"/>
      <c r="AY1079" s="1177"/>
      <c r="AZ1079" s="1169"/>
      <c r="BA1079" s="1169">
        <f t="shared" si="1565"/>
        <v>0</v>
      </c>
      <c r="BB1079" s="1169"/>
      <c r="BC1079" s="1029"/>
      <c r="BD1079" s="1027"/>
      <c r="BE1079" s="1029"/>
      <c r="BF1079" s="1029"/>
    </row>
    <row r="1080" ht="18.75" customHeight="1">
      <c r="A1080" s="999" t="str">
        <f t="shared" si="1500"/>
        <v xml:space="preserve">Радченко Т.А.</v>
      </c>
      <c r="B1080" s="1202" t="s">
        <v>467</v>
      </c>
      <c r="C1080" s="1202"/>
      <c r="D1080" s="1202"/>
      <c r="E1080" s="1164">
        <f t="shared" si="1567"/>
        <v>0</v>
      </c>
      <c r="F1080" s="1164">
        <f t="shared" si="1567"/>
        <v>0</v>
      </c>
      <c r="G1080" s="1165">
        <f t="shared" si="1559"/>
        <v>0</v>
      </c>
      <c r="H1080" s="1266" t="e">
        <f>G1080/$G$299</f>
        <v>#DIV/0!</v>
      </c>
      <c r="I1080" s="1167">
        <f t="shared" si="1566"/>
        <v>0</v>
      </c>
      <c r="J1080" s="1167">
        <f t="shared" si="1566"/>
        <v>0</v>
      </c>
      <c r="K1080" s="1168">
        <f t="shared" si="1560"/>
        <v>0</v>
      </c>
      <c r="L1080" s="1119"/>
      <c r="M1080" s="1169"/>
      <c r="N1080" s="1177"/>
      <c r="O1080" s="1169"/>
      <c r="P1080" s="1169"/>
      <c r="Q1080" s="1169">
        <f t="shared" si="1561"/>
        <v>0</v>
      </c>
      <c r="R1080" s="1169"/>
      <c r="S1080" s="1169"/>
      <c r="T1080" s="1240"/>
      <c r="U1080" s="1119"/>
      <c r="V1080" s="1169"/>
      <c r="W1080" s="1177"/>
      <c r="X1080" s="1177"/>
      <c r="Y1080" s="1169"/>
      <c r="Z1080" s="1170">
        <f t="shared" si="1562"/>
        <v>0</v>
      </c>
      <c r="AA1080" s="1169"/>
      <c r="AB1080" s="1332"/>
      <c r="AC1080" s="1240"/>
      <c r="AD1080" s="1119"/>
      <c r="AE1080" s="1169"/>
      <c r="AF1080" s="1177"/>
      <c r="AG1080" s="1177"/>
      <c r="AH1080" s="1169"/>
      <c r="AI1080" s="1169">
        <f t="shared" si="1563"/>
        <v>0</v>
      </c>
      <c r="AJ1080" s="1169"/>
      <c r="AK1080" s="1170"/>
      <c r="AL1080" s="1171"/>
      <c r="AM1080" s="1128"/>
      <c r="AN1080" s="1170"/>
      <c r="AO1080" s="1175"/>
      <c r="AP1080" s="1175"/>
      <c r="AQ1080" s="1170"/>
      <c r="AR1080" s="1170">
        <f t="shared" si="1564"/>
        <v>0</v>
      </c>
      <c r="AS1080" s="1170"/>
      <c r="AT1080" s="1169"/>
      <c r="AU1080" s="1313"/>
      <c r="AV1080" s="1131"/>
      <c r="AW1080" s="1169"/>
      <c r="AX1080" s="1177"/>
      <c r="AY1080" s="1177"/>
      <c r="AZ1080" s="1169"/>
      <c r="BA1080" s="1169">
        <f t="shared" si="1565"/>
        <v>0</v>
      </c>
      <c r="BB1080" s="1169"/>
      <c r="BC1080" s="1029"/>
      <c r="BD1080" s="1027"/>
      <c r="BE1080" s="1029"/>
      <c r="BF1080" s="1029"/>
    </row>
    <row r="1081" s="1249" customFormat="1" ht="22.149999999999999" customHeight="1">
      <c r="A1081" s="999" t="str">
        <f t="shared" si="1500"/>
        <v xml:space="preserve">Старшие м.- АОКБ (кислород)</v>
      </c>
      <c r="B1081" s="1202" t="s">
        <v>511</v>
      </c>
      <c r="C1081" s="1202"/>
      <c r="D1081" s="1202"/>
      <c r="E1081" s="1164">
        <f t="shared" si="1567"/>
        <v>0</v>
      </c>
      <c r="F1081" s="1164">
        <f t="shared" si="1567"/>
        <v>0</v>
      </c>
      <c r="G1081" s="1165">
        <f t="shared" si="1559"/>
        <v>0</v>
      </c>
      <c r="H1081" s="1166"/>
      <c r="I1081" s="1167">
        <f t="shared" si="1566"/>
        <v>0</v>
      </c>
      <c r="J1081" s="1167">
        <f t="shared" si="1566"/>
        <v>0</v>
      </c>
      <c r="K1081" s="1168">
        <f t="shared" si="1560"/>
        <v>0</v>
      </c>
      <c r="L1081" s="1119"/>
      <c r="M1081" s="1169"/>
      <c r="N1081" s="1177"/>
      <c r="O1081" s="1169"/>
      <c r="P1081" s="1169"/>
      <c r="Q1081" s="1169">
        <f t="shared" si="1561"/>
        <v>0</v>
      </c>
      <c r="R1081" s="1169"/>
      <c r="S1081" s="1169"/>
      <c r="T1081" s="1240"/>
      <c r="U1081" s="1119"/>
      <c r="V1081" s="1169"/>
      <c r="W1081" s="1177"/>
      <c r="X1081" s="1177"/>
      <c r="Y1081" s="1169"/>
      <c r="Z1081" s="1170">
        <f t="shared" si="1562"/>
        <v>0</v>
      </c>
      <c r="AA1081" s="1169"/>
      <c r="AB1081" s="1332"/>
      <c r="AC1081" s="1240"/>
      <c r="AD1081" s="1119"/>
      <c r="AE1081" s="1169"/>
      <c r="AF1081" s="1177"/>
      <c r="AG1081" s="1177"/>
      <c r="AH1081" s="1169"/>
      <c r="AI1081" s="1169">
        <f t="shared" si="1563"/>
        <v>0</v>
      </c>
      <c r="AJ1081" s="1169"/>
      <c r="AK1081" s="1170"/>
      <c r="AL1081" s="1171"/>
      <c r="AM1081" s="1128"/>
      <c r="AN1081" s="1170"/>
      <c r="AO1081" s="1175"/>
      <c r="AP1081" s="1175"/>
      <c r="AQ1081" s="1170"/>
      <c r="AR1081" s="1170">
        <f t="shared" si="1564"/>
        <v>0</v>
      </c>
      <c r="AS1081" s="1170"/>
      <c r="AT1081" s="1169"/>
      <c r="AU1081" s="1313"/>
      <c r="AV1081" s="1131"/>
      <c r="AW1081" s="1169"/>
      <c r="AX1081" s="1177"/>
      <c r="AY1081" s="1177"/>
      <c r="AZ1081" s="1169"/>
      <c r="BA1081" s="1169">
        <f t="shared" si="1565"/>
        <v>0</v>
      </c>
      <c r="BB1081" s="1169"/>
      <c r="BC1081" s="1251"/>
      <c r="BD1081" s="1250"/>
      <c r="BE1081" s="1251"/>
      <c r="BF1081" s="1251"/>
      <c r="BG1081" s="1252"/>
      <c r="BH1081" s="1252"/>
      <c r="BI1081" s="1252"/>
      <c r="BJ1081" s="1252"/>
      <c r="BK1081" s="1252"/>
      <c r="BL1081" s="1252"/>
      <c r="BM1081" s="1252"/>
    </row>
    <row r="1082">
      <c r="B1082" s="1205" t="s">
        <v>27</v>
      </c>
      <c r="C1082" s="1205"/>
      <c r="D1082" s="1205"/>
      <c r="E1082" s="1164">
        <f t="shared" si="1567"/>
        <v>0</v>
      </c>
      <c r="F1082" s="1164">
        <f t="shared" si="1567"/>
        <v>0</v>
      </c>
      <c r="G1082" s="1184">
        <f>SUM(G1056:G1081)</f>
        <v>0</v>
      </c>
      <c r="H1082" s="1185"/>
      <c r="I1082" s="1167">
        <f t="shared" si="1566"/>
        <v>0</v>
      </c>
      <c r="J1082" s="1167">
        <f t="shared" si="1566"/>
        <v>0</v>
      </c>
      <c r="K1082" s="1187">
        <f>SUM(K1056:K1081)</f>
        <v>0</v>
      </c>
      <c r="L1082" s="1206"/>
      <c r="M1082" s="1213">
        <f t="shared" ref="M1082:R1082" si="1568">SUM(M1056:M1081)</f>
        <v>0</v>
      </c>
      <c r="N1082" s="1213">
        <f t="shared" si="1568"/>
        <v>0</v>
      </c>
      <c r="O1082" s="1213">
        <f t="shared" si="1568"/>
        <v>0</v>
      </c>
      <c r="P1082" s="1213">
        <f t="shared" si="1568"/>
        <v>0</v>
      </c>
      <c r="Q1082" s="1213">
        <f t="shared" si="1568"/>
        <v>0</v>
      </c>
      <c r="R1082" s="1213">
        <f t="shared" si="1568"/>
        <v>0</v>
      </c>
      <c r="S1082" s="1213"/>
      <c r="T1082" s="1248"/>
      <c r="U1082" s="1206">
        <f t="shared" ref="U1082:AA1082" si="1569">SUM(U1056:U1081)</f>
        <v>0</v>
      </c>
      <c r="V1082" s="1209">
        <f t="shared" si="1569"/>
        <v>0</v>
      </c>
      <c r="W1082" s="1209">
        <f t="shared" si="1569"/>
        <v>0</v>
      </c>
      <c r="X1082" s="1209">
        <f t="shared" si="1569"/>
        <v>0</v>
      </c>
      <c r="Y1082" s="1209">
        <f t="shared" si="1569"/>
        <v>0</v>
      </c>
      <c r="Z1082" s="1209">
        <f t="shared" si="1569"/>
        <v>0</v>
      </c>
      <c r="AA1082" s="1209">
        <f t="shared" si="1569"/>
        <v>0</v>
      </c>
      <c r="AB1082" s="1335"/>
      <c r="AC1082" s="1247"/>
      <c r="AD1082" s="1206">
        <f t="shared" ref="AD1082:AJ1082" si="1570">SUM(AD1056:AD1081)</f>
        <v>0</v>
      </c>
      <c r="AE1082" s="1209">
        <f t="shared" si="1570"/>
        <v>0</v>
      </c>
      <c r="AF1082" s="1209">
        <f t="shared" si="1570"/>
        <v>0</v>
      </c>
      <c r="AG1082" s="1209">
        <f t="shared" si="1570"/>
        <v>0</v>
      </c>
      <c r="AH1082" s="1209">
        <f t="shared" si="1570"/>
        <v>0</v>
      </c>
      <c r="AI1082" s="1209">
        <f t="shared" si="1570"/>
        <v>0</v>
      </c>
      <c r="AJ1082" s="1209">
        <f t="shared" si="1570"/>
        <v>0</v>
      </c>
      <c r="AK1082" s="1211"/>
      <c r="AL1082" s="1208"/>
      <c r="AM1082" s="1128"/>
      <c r="AN1082" s="1190">
        <f t="shared" ref="AN1082:AS1082" si="1571">SUM(AN1056:AN1081)</f>
        <v>0</v>
      </c>
      <c r="AO1082" s="1190">
        <f t="shared" si="1571"/>
        <v>0</v>
      </c>
      <c r="AP1082" s="1190">
        <f t="shared" si="1571"/>
        <v>0</v>
      </c>
      <c r="AQ1082" s="1190">
        <f t="shared" si="1571"/>
        <v>0</v>
      </c>
      <c r="AR1082" s="1190">
        <f t="shared" si="1571"/>
        <v>0</v>
      </c>
      <c r="AS1082" s="1190">
        <f t="shared" si="1571"/>
        <v>0</v>
      </c>
      <c r="AT1082" s="1096"/>
      <c r="AU1082" s="1314"/>
      <c r="AV1082" s="1131"/>
      <c r="AW1082" s="1096">
        <f t="shared" ref="AW1082:BB1082" si="1572">SUM(AW1056:AW1081)</f>
        <v>0</v>
      </c>
      <c r="AX1082" s="1096">
        <f t="shared" si="1572"/>
        <v>0</v>
      </c>
      <c r="AY1082" s="1096">
        <f t="shared" si="1572"/>
        <v>0</v>
      </c>
      <c r="AZ1082" s="1096">
        <f t="shared" si="1572"/>
        <v>0</v>
      </c>
      <c r="BA1082" s="1096">
        <f t="shared" si="1572"/>
        <v>0</v>
      </c>
      <c r="BB1082" s="1096">
        <f t="shared" si="1572"/>
        <v>0</v>
      </c>
      <c r="BC1082" s="1029"/>
      <c r="BD1082" s="1027"/>
      <c r="BE1082" s="1029"/>
      <c r="BF1082" s="1029"/>
    </row>
    <row r="1083">
      <c r="A1083" s="1274"/>
      <c r="B1083" s="1205" t="s">
        <v>519</v>
      </c>
      <c r="C1083" s="1205"/>
      <c r="D1083" s="1205"/>
      <c r="E1083" s="1164">
        <f t="shared" si="1567"/>
        <v>0</v>
      </c>
      <c r="F1083" s="1164">
        <f>R1083+AA1083+AJ1083+AS1083+BB1083</f>
        <v>0</v>
      </c>
      <c r="G1083" s="1316">
        <f>G1082+G1055+G1041+G1032</f>
        <v>0</v>
      </c>
      <c r="H1083" s="1317"/>
      <c r="I1083" s="1336">
        <f t="shared" si="1566"/>
        <v>0</v>
      </c>
      <c r="J1083" s="1336">
        <f t="shared" si="1566"/>
        <v>0</v>
      </c>
      <c r="K1083" s="1318">
        <f>K1082+K1055+K1041+K1032</f>
        <v>0</v>
      </c>
      <c r="L1083" s="1064">
        <f t="shared" ref="L1083:R1083" si="1573">L1082+L1055+L1041+L1032</f>
        <v>0</v>
      </c>
      <c r="M1083" s="1319">
        <f t="shared" si="1573"/>
        <v>0</v>
      </c>
      <c r="N1083" s="1319">
        <f t="shared" si="1573"/>
        <v>0</v>
      </c>
      <c r="O1083" s="1096">
        <f t="shared" si="1573"/>
        <v>0</v>
      </c>
      <c r="P1083" s="1096">
        <f t="shared" si="1573"/>
        <v>0</v>
      </c>
      <c r="Q1083" s="1096">
        <f t="shared" si="1573"/>
        <v>0</v>
      </c>
      <c r="R1083" s="1096">
        <f t="shared" si="1573"/>
        <v>0</v>
      </c>
      <c r="S1083" s="1096"/>
      <c r="T1083" s="1243"/>
      <c r="U1083" s="1096">
        <f t="shared" ref="U1083:AA1083" si="1574">U1082+U1055+U1041+U1032</f>
        <v>0</v>
      </c>
      <c r="V1083" s="1096">
        <f t="shared" si="1574"/>
        <v>0</v>
      </c>
      <c r="W1083" s="1096">
        <f t="shared" si="1574"/>
        <v>0</v>
      </c>
      <c r="X1083" s="1096">
        <f t="shared" si="1574"/>
        <v>0</v>
      </c>
      <c r="Y1083" s="1096">
        <f t="shared" si="1574"/>
        <v>0</v>
      </c>
      <c r="Z1083" s="1096">
        <f t="shared" si="1574"/>
        <v>0</v>
      </c>
      <c r="AA1083" s="1096">
        <f t="shared" si="1574"/>
        <v>0</v>
      </c>
      <c r="AB1083" s="1334"/>
      <c r="AC1083" s="1243"/>
      <c r="AD1083" s="1188">
        <f t="shared" ref="AD1083:AJ1083" si="1575">AD1082+AD1055+AD1041+AD1032</f>
        <v>0</v>
      </c>
      <c r="AE1083" s="1096">
        <f t="shared" si="1575"/>
        <v>0</v>
      </c>
      <c r="AF1083" s="1096">
        <f t="shared" si="1575"/>
        <v>0</v>
      </c>
      <c r="AG1083" s="1096">
        <f t="shared" si="1575"/>
        <v>0</v>
      </c>
      <c r="AH1083" s="1096">
        <f t="shared" si="1575"/>
        <v>0</v>
      </c>
      <c r="AI1083" s="1096">
        <f t="shared" si="1575"/>
        <v>0</v>
      </c>
      <c r="AJ1083" s="1096">
        <f t="shared" si="1575"/>
        <v>0</v>
      </c>
      <c r="AK1083" s="1190"/>
      <c r="AL1083" s="1189"/>
      <c r="AM1083" s="1197">
        <f t="shared" ref="AM1083:AS1083" si="1576">AM1082+AM1055+AM1041+AM1032</f>
        <v>0</v>
      </c>
      <c r="AN1083" s="1190">
        <f t="shared" si="1576"/>
        <v>0</v>
      </c>
      <c r="AO1083" s="1190">
        <f t="shared" si="1576"/>
        <v>0</v>
      </c>
      <c r="AP1083" s="1190">
        <f t="shared" si="1576"/>
        <v>0</v>
      </c>
      <c r="AQ1083" s="1190">
        <f t="shared" si="1576"/>
        <v>0</v>
      </c>
      <c r="AR1083" s="1190">
        <f t="shared" si="1576"/>
        <v>0</v>
      </c>
      <c r="AS1083" s="1190">
        <f t="shared" si="1576"/>
        <v>0</v>
      </c>
      <c r="AT1083" s="1096"/>
      <c r="AU1083" s="1314"/>
      <c r="AV1083" s="1096">
        <f t="shared" ref="AV1083:BB1083" si="1577">AV1082+AV1055+AV1041+AV1032</f>
        <v>0</v>
      </c>
      <c r="AW1083" s="1096">
        <f t="shared" si="1577"/>
        <v>0</v>
      </c>
      <c r="AX1083" s="1096">
        <f t="shared" si="1577"/>
        <v>0</v>
      </c>
      <c r="AY1083" s="1096">
        <f t="shared" si="1577"/>
        <v>0</v>
      </c>
      <c r="AZ1083" s="1096">
        <f t="shared" si="1577"/>
        <v>0</v>
      </c>
      <c r="BA1083" s="1096">
        <f t="shared" si="1577"/>
        <v>0</v>
      </c>
      <c r="BB1083" s="1096">
        <f t="shared" si="1577"/>
        <v>0</v>
      </c>
      <c r="BC1083" s="1029"/>
      <c r="BD1083" s="1027"/>
      <c r="BE1083" s="1029"/>
      <c r="BF1083" s="1029"/>
    </row>
    <row r="1084">
      <c r="B1084" s="1029"/>
      <c r="C1084" s="1029"/>
      <c r="D1084" s="1029"/>
      <c r="E1084" s="1017"/>
      <c r="F1084" s="1017"/>
      <c r="G1084" s="1337"/>
      <c r="H1084" s="1338"/>
      <c r="I1084" s="1339"/>
      <c r="J1084" s="1339"/>
      <c r="K1084" s="1340">
        <f>G1084-AB1084</f>
        <v>0</v>
      </c>
      <c r="L1084" s="1341"/>
      <c r="M1084" s="1342"/>
      <c r="N1084" s="1341"/>
      <c r="O1084" s="1023"/>
      <c r="P1084" s="1023"/>
      <c r="Q1084" s="1024"/>
      <c r="R1084" s="1024"/>
      <c r="S1084" s="1024"/>
      <c r="T1084" s="1025"/>
      <c r="U1084" s="1022"/>
      <c r="V1084" s="1023"/>
      <c r="W1084" s="1024"/>
      <c r="X1084" s="1024"/>
      <c r="Y1084" s="1023"/>
      <c r="Z1084" s="1024"/>
      <c r="AA1084" s="1024"/>
      <c r="AB1084" s="1343"/>
      <c r="AC1084" s="1025"/>
      <c r="AD1084" s="1022"/>
      <c r="AE1084" s="1023"/>
      <c r="AF1084" s="1024"/>
      <c r="AG1084" s="1024"/>
      <c r="AH1084" s="1023"/>
      <c r="AI1084" s="1024"/>
      <c r="AJ1084" s="1024"/>
      <c r="AK1084" s="1024"/>
      <c r="AL1084" s="1025"/>
      <c r="AM1084" s="1022"/>
      <c r="AN1084" s="1023"/>
      <c r="AO1084" s="1024"/>
      <c r="AP1084" s="1024"/>
      <c r="AQ1084" s="1023"/>
      <c r="AR1084" s="1024"/>
      <c r="AS1084" s="1024"/>
      <c r="AT1084" s="1024"/>
      <c r="AU1084" s="1027"/>
      <c r="AV1084" s="1028"/>
      <c r="AW1084" s="1023"/>
      <c r="AX1084" s="1024"/>
      <c r="AY1084" s="1024"/>
      <c r="AZ1084" s="1023"/>
      <c r="BA1084" s="1024"/>
      <c r="BB1084" s="1024"/>
      <c r="BC1084" s="1029"/>
      <c r="BD1084" s="1027"/>
      <c r="BE1084" s="1029"/>
      <c r="BF1084" s="1029"/>
    </row>
    <row r="1085" ht="42" customHeight="1">
      <c r="B1085" s="1264" t="s">
        <v>520</v>
      </c>
      <c r="C1085" s="1344"/>
      <c r="D1085" s="1344"/>
      <c r="E1085" s="1113" t="s">
        <v>347</v>
      </c>
      <c r="F1085" s="1114"/>
      <c r="G1085" s="1114"/>
      <c r="H1085" s="1115"/>
      <c r="I1085" s="1235" t="s">
        <v>335</v>
      </c>
      <c r="J1085" s="1236"/>
      <c r="K1085" s="1237"/>
      <c r="L1085" s="1119"/>
      <c r="M1085" s="1120" t="s">
        <v>127</v>
      </c>
      <c r="N1085" s="1121"/>
      <c r="O1085" s="1121"/>
      <c r="P1085" s="1121"/>
      <c r="Q1085" s="1121"/>
      <c r="R1085" s="1122"/>
      <c r="S1085" s="1123"/>
      <c r="T1085" s="1124"/>
      <c r="U1085" s="1125"/>
      <c r="V1085" s="1120" t="s">
        <v>325</v>
      </c>
      <c r="W1085" s="1121"/>
      <c r="X1085" s="1121"/>
      <c r="Y1085" s="1121"/>
      <c r="Z1085" s="1121"/>
      <c r="AA1085" s="1122"/>
      <c r="AB1085" s="1115"/>
      <c r="AC1085" s="1126"/>
      <c r="AD1085" s="1125"/>
      <c r="AE1085" s="1120" t="s">
        <v>311</v>
      </c>
      <c r="AF1085" s="1121"/>
      <c r="AG1085" s="1121"/>
      <c r="AH1085" s="1121"/>
      <c r="AI1085" s="1121"/>
      <c r="AJ1085" s="1122"/>
      <c r="AK1085" s="1127"/>
      <c r="AL1085" s="1126"/>
      <c r="AM1085" s="1128"/>
      <c r="AN1085" s="1043" t="s">
        <v>327</v>
      </c>
      <c r="AO1085" s="1044"/>
      <c r="AP1085" s="1044"/>
      <c r="AQ1085" s="1044"/>
      <c r="AR1085" s="1044"/>
      <c r="AS1085" s="1045"/>
      <c r="AT1085" s="1129"/>
      <c r="AU1085" s="1130"/>
      <c r="AV1085" s="1131"/>
      <c r="AW1085" s="1043" t="s">
        <v>349</v>
      </c>
      <c r="AX1085" s="1044"/>
      <c r="AY1085" s="1044"/>
      <c r="AZ1085" s="1044"/>
      <c r="BA1085" s="1044"/>
      <c r="BB1085" s="1045"/>
      <c r="BC1085" s="1029"/>
      <c r="BD1085" s="1027"/>
      <c r="BE1085" s="1029"/>
      <c r="BF1085" s="1029"/>
    </row>
    <row r="1086" ht="18.75" customHeight="1">
      <c r="A1086" s="1110"/>
      <c r="B1086" s="1134" t="s">
        <v>350</v>
      </c>
      <c r="C1086" s="1134"/>
      <c r="D1086" s="1134"/>
      <c r="E1086" s="1135" t="s">
        <v>332</v>
      </c>
      <c r="F1086" s="1135" t="s">
        <v>333</v>
      </c>
      <c r="G1086" s="1136" t="s">
        <v>334</v>
      </c>
      <c r="H1086" s="1137" t="s">
        <v>341</v>
      </c>
      <c r="I1086" s="1138"/>
      <c r="J1086" s="1138"/>
      <c r="K1086" s="1139"/>
      <c r="L1086" s="1119"/>
      <c r="M1086" s="1073" t="s">
        <v>336</v>
      </c>
      <c r="N1086" s="1073" t="s">
        <v>337</v>
      </c>
      <c r="O1086" s="1073" t="s">
        <v>338</v>
      </c>
      <c r="P1086" s="1073" t="s">
        <v>344</v>
      </c>
      <c r="Q1086" s="1073" t="s">
        <v>351</v>
      </c>
      <c r="R1086" s="1140" t="s">
        <v>339</v>
      </c>
      <c r="S1086" s="1141" t="s">
        <v>340</v>
      </c>
      <c r="T1086" s="1142"/>
      <c r="U1086" s="1128"/>
      <c r="V1086" s="1073" t="s">
        <v>336</v>
      </c>
      <c r="W1086" s="1073" t="s">
        <v>337</v>
      </c>
      <c r="X1086" s="1073" t="s">
        <v>338</v>
      </c>
      <c r="Y1086" s="1073" t="s">
        <v>344</v>
      </c>
      <c r="Z1086" s="1073" t="s">
        <v>351</v>
      </c>
      <c r="AA1086" s="1140" t="s">
        <v>339</v>
      </c>
      <c r="AB1086" s="1143" t="str">
        <f>S1086</f>
        <v xml:space="preserve">Итого (спирт+наркотики+растворы+перевязка)</v>
      </c>
      <c r="AC1086" s="1142"/>
      <c r="AD1086" s="1128"/>
      <c r="AE1086" s="1073" t="s">
        <v>336</v>
      </c>
      <c r="AF1086" s="1073" t="s">
        <v>337</v>
      </c>
      <c r="AG1086" s="1073" t="s">
        <v>338</v>
      </c>
      <c r="AH1086" s="1073" t="s">
        <v>344</v>
      </c>
      <c r="AI1086" s="1073" t="s">
        <v>351</v>
      </c>
      <c r="AJ1086" s="1140" t="s">
        <v>339</v>
      </c>
      <c r="AK1086" s="1141" t="s">
        <v>340</v>
      </c>
      <c r="AL1086" s="1142"/>
      <c r="AM1086" s="1128"/>
      <c r="AN1086" s="1144" t="s">
        <v>336</v>
      </c>
      <c r="AO1086" s="1144" t="s">
        <v>337</v>
      </c>
      <c r="AP1086" s="1144" t="s">
        <v>338</v>
      </c>
      <c r="AQ1086" s="1073" t="s">
        <v>344</v>
      </c>
      <c r="AR1086" s="1073" t="s">
        <v>351</v>
      </c>
      <c r="AS1086" s="1140" t="s">
        <v>339</v>
      </c>
      <c r="AT1086" s="1145"/>
      <c r="AU1086" s="1146"/>
      <c r="AV1086" s="1131"/>
      <c r="AW1086" s="1144" t="s">
        <v>336</v>
      </c>
      <c r="AX1086" s="1144" t="s">
        <v>337</v>
      </c>
      <c r="AY1086" s="1144" t="s">
        <v>338</v>
      </c>
      <c r="AZ1086" s="1073" t="s">
        <v>344</v>
      </c>
      <c r="BA1086" s="1073" t="s">
        <v>351</v>
      </c>
      <c r="BB1086" s="1140" t="s">
        <v>339</v>
      </c>
      <c r="BC1086" s="1147"/>
      <c r="BD1086" s="1132"/>
      <c r="BE1086" s="1133"/>
      <c r="BF1086" s="1133"/>
    </row>
    <row r="1087" ht="39.75" customHeight="1">
      <c r="A1087" s="1110"/>
      <c r="B1087" s="1149"/>
      <c r="C1087" s="1149"/>
      <c r="D1087" s="1149"/>
      <c r="E1087" s="1150"/>
      <c r="F1087" s="1150"/>
      <c r="G1087" s="1151"/>
      <c r="H1087" s="1152"/>
      <c r="I1087" s="1153" t="s">
        <v>342</v>
      </c>
      <c r="J1087" s="1154" t="s">
        <v>339</v>
      </c>
      <c r="K1087" s="1155" t="s">
        <v>335</v>
      </c>
      <c r="L1087" s="1119"/>
      <c r="M1087" s="1095"/>
      <c r="N1087" s="1095"/>
      <c r="O1087" s="1095"/>
      <c r="P1087" s="1095"/>
      <c r="Q1087" s="1095"/>
      <c r="R1087" s="1123"/>
      <c r="S1087" s="1156"/>
      <c r="T1087" s="1124"/>
      <c r="U1087" s="1128"/>
      <c r="V1087" s="1095"/>
      <c r="W1087" s="1095"/>
      <c r="X1087" s="1095"/>
      <c r="Y1087" s="1095"/>
      <c r="Z1087" s="1095"/>
      <c r="AA1087" s="1123"/>
      <c r="AB1087" s="1157"/>
      <c r="AC1087" s="1124"/>
      <c r="AD1087" s="1128"/>
      <c r="AE1087" s="1095"/>
      <c r="AF1087" s="1095"/>
      <c r="AG1087" s="1095"/>
      <c r="AH1087" s="1095"/>
      <c r="AI1087" s="1095"/>
      <c r="AJ1087" s="1123"/>
      <c r="AK1087" s="1156"/>
      <c r="AL1087" s="1124"/>
      <c r="AM1087" s="1128"/>
      <c r="AN1087" s="1158"/>
      <c r="AO1087" s="1158"/>
      <c r="AP1087" s="1158"/>
      <c r="AQ1087" s="1095"/>
      <c r="AR1087" s="1095"/>
      <c r="AS1087" s="1123"/>
      <c r="AT1087" s="1159"/>
      <c r="AU1087" s="1160"/>
      <c r="AV1087" s="1131"/>
      <c r="AW1087" s="1158"/>
      <c r="AX1087" s="1158"/>
      <c r="AY1087" s="1158"/>
      <c r="AZ1087" s="1095"/>
      <c r="BA1087" s="1095"/>
      <c r="BB1087" s="1123"/>
      <c r="BC1087" s="1161"/>
      <c r="BD1087" s="1132"/>
      <c r="BE1087" s="1133"/>
      <c r="BF1087" s="1133"/>
    </row>
    <row r="1088">
      <c r="A1088" s="999" t="str">
        <f t="shared" ref="A1088:A1151" si="1578">A991</f>
        <v xml:space="preserve">Павельева Л.Г.</v>
      </c>
      <c r="B1088" s="1162" t="s">
        <v>178</v>
      </c>
      <c r="C1088" s="1162"/>
      <c r="D1088" s="1162"/>
      <c r="E1088" s="1164">
        <f t="shared" si="1567"/>
        <v>0</v>
      </c>
      <c r="F1088" s="1164">
        <f>R1088+AA1088+AJ1088+AS1088+BB1088</f>
        <v>0</v>
      </c>
      <c r="G1088" s="1165">
        <f t="shared" ref="G1088:G1095" si="1579">E1088+F1088</f>
        <v>0</v>
      </c>
      <c r="H1088" s="1166"/>
      <c r="I1088" s="1167">
        <f t="shared" si="1566"/>
        <v>0</v>
      </c>
      <c r="J1088" s="1167">
        <f t="shared" ref="J1088:J1151" si="1580">F1088-AA1088</f>
        <v>0</v>
      </c>
      <c r="K1088" s="1168">
        <f t="shared" ref="K1088:K1095" si="1581">I1088+J1088</f>
        <v>0</v>
      </c>
      <c r="L1088" s="1128"/>
      <c r="M1088" s="1170"/>
      <c r="N1088" s="1170"/>
      <c r="O1088" s="1170"/>
      <c r="P1088" s="1169"/>
      <c r="Q1088" s="1170">
        <f t="shared" ref="Q1088:Q1095" si="1582">SUM(M1088:P1088)</f>
        <v>0</v>
      </c>
      <c r="R1088" s="1169"/>
      <c r="S1088" s="1170"/>
      <c r="T1088" s="1171"/>
      <c r="U1088" s="1128"/>
      <c r="V1088" s="1170"/>
      <c r="W1088" s="1170"/>
      <c r="X1088" s="1170"/>
      <c r="Y1088" s="1169"/>
      <c r="Z1088" s="1170">
        <f t="shared" ref="Z1088:Z1095" si="1583">SUM(V1088:Y1088)</f>
        <v>0</v>
      </c>
      <c r="AA1088" s="1169"/>
      <c r="AB1088" s="1345"/>
      <c r="AC1088" s="1171"/>
      <c r="AD1088" s="1128"/>
      <c r="AE1088" s="1170"/>
      <c r="AF1088" s="1170"/>
      <c r="AG1088" s="1170"/>
      <c r="AH1088" s="1169"/>
      <c r="AI1088" s="1170">
        <f t="shared" ref="AI1088:AI1095" si="1584">SUM(AE1088:AH1088)</f>
        <v>0</v>
      </c>
      <c r="AJ1088" s="1169"/>
      <c r="AK1088" s="1170"/>
      <c r="AL1088" s="1171"/>
      <c r="AM1088" s="1128"/>
      <c r="AN1088" s="1170"/>
      <c r="AO1088" s="1170"/>
      <c r="AP1088" s="1170"/>
      <c r="AQ1088" s="1170"/>
      <c r="AR1088" s="1170">
        <f t="shared" ref="AR1088:AR1095" si="1585">SUM(AN1088:AQ1088)</f>
        <v>0</v>
      </c>
      <c r="AS1088" s="1170"/>
      <c r="AT1088" s="1170"/>
      <c r="AU1088" s="1174"/>
      <c r="AV1088" s="1241"/>
      <c r="AW1088" s="1170"/>
      <c r="AX1088" s="1170"/>
      <c r="AY1088" s="1170"/>
      <c r="AZ1088" s="1169"/>
      <c r="BA1088" s="1170">
        <f t="shared" ref="BA1088:BA1095" si="1586">SUM(AW1088:AZ1088)</f>
        <v>0</v>
      </c>
      <c r="BB1088" s="1170"/>
      <c r="BC1088" s="1029"/>
      <c r="BD1088" s="1027"/>
      <c r="BE1088" s="1029"/>
      <c r="BF1088" s="1029"/>
    </row>
    <row r="1089">
      <c r="A1089" s="999" t="str">
        <f t="shared" si="1578"/>
        <v xml:space="preserve">Губаренко О.Н.</v>
      </c>
      <c r="B1089" s="1176" t="s">
        <v>354</v>
      </c>
      <c r="C1089" s="1176"/>
      <c r="D1089" s="1176"/>
      <c r="E1089" s="1164">
        <f t="shared" si="1567"/>
        <v>0</v>
      </c>
      <c r="F1089" s="1164">
        <f t="shared" si="1567"/>
        <v>0</v>
      </c>
      <c r="G1089" s="1165">
        <f t="shared" si="1579"/>
        <v>0</v>
      </c>
      <c r="H1089" s="1166"/>
      <c r="I1089" s="1167">
        <f t="shared" si="1566"/>
        <v>0</v>
      </c>
      <c r="J1089" s="1167">
        <f t="shared" si="1580"/>
        <v>0</v>
      </c>
      <c r="K1089" s="1168">
        <f t="shared" si="1581"/>
        <v>0</v>
      </c>
      <c r="L1089" s="1128"/>
      <c r="M1089" s="1170"/>
      <c r="N1089" s="1175"/>
      <c r="O1089" s="1170"/>
      <c r="P1089" s="1169"/>
      <c r="Q1089" s="1170">
        <f t="shared" si="1582"/>
        <v>0</v>
      </c>
      <c r="R1089" s="1169"/>
      <c r="S1089" s="1170"/>
      <c r="T1089" s="1171"/>
      <c r="U1089" s="1128"/>
      <c r="V1089" s="1170"/>
      <c r="W1089" s="1175"/>
      <c r="X1089" s="1175"/>
      <c r="Y1089" s="1169"/>
      <c r="Z1089" s="1170">
        <f t="shared" si="1583"/>
        <v>0</v>
      </c>
      <c r="AA1089" s="1169"/>
      <c r="AB1089" s="1345"/>
      <c r="AC1089" s="1171"/>
      <c r="AD1089" s="1128"/>
      <c r="AE1089" s="1170"/>
      <c r="AF1089" s="1175"/>
      <c r="AG1089" s="1175"/>
      <c r="AH1089" s="1169"/>
      <c r="AI1089" s="1170">
        <f t="shared" si="1584"/>
        <v>0</v>
      </c>
      <c r="AJ1089" s="1169"/>
      <c r="AK1089" s="1170"/>
      <c r="AL1089" s="1171"/>
      <c r="AM1089" s="1128"/>
      <c r="AN1089" s="1170"/>
      <c r="AO1089" s="1175"/>
      <c r="AP1089" s="1175"/>
      <c r="AQ1089" s="1170"/>
      <c r="AR1089" s="1170">
        <f t="shared" si="1585"/>
        <v>0</v>
      </c>
      <c r="AS1089" s="1170"/>
      <c r="AT1089" s="1170"/>
      <c r="AU1089" s="1174"/>
      <c r="AV1089" s="1241"/>
      <c r="AW1089" s="1170"/>
      <c r="AX1089" s="1175"/>
      <c r="AY1089" s="1175"/>
      <c r="AZ1089" s="1169"/>
      <c r="BA1089" s="1170">
        <f t="shared" si="1586"/>
        <v>0</v>
      </c>
      <c r="BB1089" s="1170"/>
      <c r="BC1089" s="1029"/>
      <c r="BD1089" s="1027"/>
      <c r="BE1089" s="1029"/>
      <c r="BF1089" s="1029"/>
    </row>
    <row r="1090">
      <c r="A1090" s="999" t="str">
        <f t="shared" si="1578"/>
        <v xml:space="preserve">Петрюк Е.В.</v>
      </c>
      <c r="B1090" s="1176" t="s">
        <v>181</v>
      </c>
      <c r="C1090" s="1176"/>
      <c r="D1090" s="1176"/>
      <c r="E1090" s="1164">
        <f t="shared" si="1567"/>
        <v>0</v>
      </c>
      <c r="F1090" s="1164">
        <f t="shared" si="1567"/>
        <v>0</v>
      </c>
      <c r="G1090" s="1165">
        <f t="shared" si="1579"/>
        <v>0</v>
      </c>
      <c r="H1090" s="1166"/>
      <c r="I1090" s="1167">
        <f t="shared" si="1566"/>
        <v>0</v>
      </c>
      <c r="J1090" s="1167">
        <f t="shared" si="1580"/>
        <v>0</v>
      </c>
      <c r="K1090" s="1168">
        <f t="shared" si="1581"/>
        <v>0</v>
      </c>
      <c r="L1090" s="1128"/>
      <c r="M1090" s="1170"/>
      <c r="N1090" s="1175"/>
      <c r="O1090" s="1170"/>
      <c r="P1090" s="1169"/>
      <c r="Q1090" s="1170">
        <f t="shared" si="1582"/>
        <v>0</v>
      </c>
      <c r="R1090" s="1169"/>
      <c r="S1090" s="1170"/>
      <c r="T1090" s="1171"/>
      <c r="U1090" s="1128"/>
      <c r="V1090" s="1170"/>
      <c r="W1090" s="1175"/>
      <c r="X1090" s="1175"/>
      <c r="Y1090" s="1169"/>
      <c r="Z1090" s="1170">
        <f t="shared" si="1583"/>
        <v>0</v>
      </c>
      <c r="AA1090" s="1169"/>
      <c r="AB1090" s="1345"/>
      <c r="AC1090" s="1171"/>
      <c r="AD1090" s="1128"/>
      <c r="AE1090" s="1170"/>
      <c r="AF1090" s="1175"/>
      <c r="AG1090" s="1175"/>
      <c r="AH1090" s="1169"/>
      <c r="AI1090" s="1170">
        <f t="shared" si="1584"/>
        <v>0</v>
      </c>
      <c r="AJ1090" s="1169"/>
      <c r="AK1090" s="1170"/>
      <c r="AL1090" s="1171"/>
      <c r="AM1090" s="1128"/>
      <c r="AN1090" s="1170"/>
      <c r="AO1090" s="1175"/>
      <c r="AP1090" s="1175"/>
      <c r="AQ1090" s="1170"/>
      <c r="AR1090" s="1170">
        <f t="shared" si="1585"/>
        <v>0</v>
      </c>
      <c r="AS1090" s="1170"/>
      <c r="AT1090" s="1170"/>
      <c r="AU1090" s="1174"/>
      <c r="AV1090" s="1241"/>
      <c r="AW1090" s="1170"/>
      <c r="AX1090" s="1175"/>
      <c r="AY1090" s="1175"/>
      <c r="AZ1090" s="1169"/>
      <c r="BA1090" s="1170">
        <f t="shared" si="1586"/>
        <v>0</v>
      </c>
      <c r="BB1090" s="1170"/>
      <c r="BC1090" s="1029"/>
      <c r="BD1090" s="1027"/>
      <c r="BE1090" s="1029"/>
      <c r="BF1090" s="1029"/>
    </row>
    <row r="1091" ht="18.75" customHeight="1">
      <c r="A1091" s="999" t="str">
        <f t="shared" si="1578"/>
        <v xml:space="preserve">Кутько И.Г.</v>
      </c>
      <c r="B1091" s="1176" t="s">
        <v>357</v>
      </c>
      <c r="C1091" s="1176"/>
      <c r="D1091" s="1176"/>
      <c r="E1091" s="1164">
        <f t="shared" si="1567"/>
        <v>0</v>
      </c>
      <c r="F1091" s="1164">
        <f t="shared" si="1567"/>
        <v>0</v>
      </c>
      <c r="G1091" s="1165">
        <f t="shared" si="1579"/>
        <v>0</v>
      </c>
      <c r="H1091" s="1166"/>
      <c r="I1091" s="1167">
        <f t="shared" si="1566"/>
        <v>0</v>
      </c>
      <c r="J1091" s="1167">
        <f t="shared" si="1580"/>
        <v>0</v>
      </c>
      <c r="K1091" s="1168">
        <f t="shared" si="1581"/>
        <v>0</v>
      </c>
      <c r="L1091" s="1128"/>
      <c r="M1091" s="1170"/>
      <c r="N1091" s="1175"/>
      <c r="O1091" s="1170"/>
      <c r="P1091" s="1169"/>
      <c r="Q1091" s="1170">
        <f t="shared" si="1582"/>
        <v>0</v>
      </c>
      <c r="R1091" s="1169"/>
      <c r="S1091" s="1170"/>
      <c r="T1091" s="1171"/>
      <c r="U1091" s="1128"/>
      <c r="V1091" s="1170"/>
      <c r="W1091" s="1175"/>
      <c r="X1091" s="1175"/>
      <c r="Y1091" s="1169"/>
      <c r="Z1091" s="1170">
        <f t="shared" si="1583"/>
        <v>0</v>
      </c>
      <c r="AA1091" s="1169"/>
      <c r="AB1091" s="1345"/>
      <c r="AC1091" s="1171"/>
      <c r="AD1091" s="1128"/>
      <c r="AE1091" s="1170"/>
      <c r="AF1091" s="1175"/>
      <c r="AG1091" s="1175"/>
      <c r="AH1091" s="1169"/>
      <c r="AI1091" s="1170">
        <f t="shared" si="1584"/>
        <v>0</v>
      </c>
      <c r="AJ1091" s="1169"/>
      <c r="AK1091" s="1170"/>
      <c r="AL1091" s="1171"/>
      <c r="AM1091" s="1128"/>
      <c r="AN1091" s="1170"/>
      <c r="AO1091" s="1175"/>
      <c r="AP1091" s="1175"/>
      <c r="AQ1091" s="1170"/>
      <c r="AR1091" s="1170">
        <f t="shared" si="1585"/>
        <v>0</v>
      </c>
      <c r="AS1091" s="1170"/>
      <c r="AT1091" s="1170"/>
      <c r="AU1091" s="1174"/>
      <c r="AV1091" s="1241"/>
      <c r="AW1091" s="1170"/>
      <c r="AX1091" s="1175"/>
      <c r="AY1091" s="1175"/>
      <c r="AZ1091" s="1169"/>
      <c r="BA1091" s="1170">
        <f t="shared" si="1586"/>
        <v>0</v>
      </c>
      <c r="BB1091" s="1170"/>
      <c r="BC1091" s="1029"/>
      <c r="BD1091" s="1027"/>
      <c r="BE1091" s="1029"/>
      <c r="BF1091" s="1029"/>
    </row>
    <row r="1092">
      <c r="A1092" s="999" t="str">
        <f t="shared" si="1578"/>
        <v xml:space="preserve">Елина С.И.</v>
      </c>
      <c r="B1092" s="1176" t="s">
        <v>183</v>
      </c>
      <c r="C1092" s="1176"/>
      <c r="D1092" s="1176"/>
      <c r="E1092" s="1164">
        <f t="shared" si="1567"/>
        <v>0</v>
      </c>
      <c r="F1092" s="1164">
        <f t="shared" si="1567"/>
        <v>0</v>
      </c>
      <c r="G1092" s="1165">
        <f t="shared" si="1579"/>
        <v>0</v>
      </c>
      <c r="H1092" s="1166"/>
      <c r="I1092" s="1167">
        <f t="shared" si="1566"/>
        <v>0</v>
      </c>
      <c r="J1092" s="1167">
        <f t="shared" si="1580"/>
        <v>0</v>
      </c>
      <c r="K1092" s="1168">
        <f t="shared" si="1581"/>
        <v>0</v>
      </c>
      <c r="L1092" s="1128"/>
      <c r="M1092" s="1170"/>
      <c r="N1092" s="1175"/>
      <c r="O1092" s="1170"/>
      <c r="P1092" s="1169"/>
      <c r="Q1092" s="1170">
        <f t="shared" si="1582"/>
        <v>0</v>
      </c>
      <c r="R1092" s="1169"/>
      <c r="S1092" s="1170"/>
      <c r="T1092" s="1171"/>
      <c r="U1092" s="1128"/>
      <c r="V1092" s="1170"/>
      <c r="W1092" s="1175"/>
      <c r="X1092" s="1175"/>
      <c r="Y1092" s="1169"/>
      <c r="Z1092" s="1170">
        <f t="shared" si="1583"/>
        <v>0</v>
      </c>
      <c r="AA1092" s="1169"/>
      <c r="AB1092" s="1345"/>
      <c r="AC1092" s="1171"/>
      <c r="AD1092" s="1128"/>
      <c r="AE1092" s="1170"/>
      <c r="AF1092" s="1175"/>
      <c r="AG1092" s="1175"/>
      <c r="AH1092" s="1169"/>
      <c r="AI1092" s="1170">
        <f t="shared" si="1584"/>
        <v>0</v>
      </c>
      <c r="AJ1092" s="1169"/>
      <c r="AK1092" s="1170"/>
      <c r="AL1092" s="1171"/>
      <c r="AM1092" s="1128"/>
      <c r="AN1092" s="1170"/>
      <c r="AO1092" s="1175"/>
      <c r="AP1092" s="1175"/>
      <c r="AQ1092" s="1170"/>
      <c r="AR1092" s="1170">
        <f t="shared" si="1585"/>
        <v>0</v>
      </c>
      <c r="AS1092" s="1170"/>
      <c r="AT1092" s="1170"/>
      <c r="AU1092" s="1174"/>
      <c r="AV1092" s="1241"/>
      <c r="AW1092" s="1170"/>
      <c r="AX1092" s="1175"/>
      <c r="AY1092" s="1175"/>
      <c r="AZ1092" s="1169"/>
      <c r="BA1092" s="1170">
        <f t="shared" si="1586"/>
        <v>0</v>
      </c>
      <c r="BB1092" s="1170"/>
      <c r="BC1092" s="1029"/>
      <c r="BD1092" s="1027"/>
      <c r="BE1092" s="1029"/>
      <c r="BF1092" s="1029"/>
    </row>
    <row r="1093">
      <c r="A1093" s="999" t="str">
        <f t="shared" si="1578"/>
        <v xml:space="preserve">Никитина О.Г.</v>
      </c>
      <c r="B1093" s="1176" t="s">
        <v>184</v>
      </c>
      <c r="C1093" s="1176"/>
      <c r="D1093" s="1176"/>
      <c r="E1093" s="1164">
        <f t="shared" si="1567"/>
        <v>0</v>
      </c>
      <c r="F1093" s="1164">
        <f t="shared" si="1567"/>
        <v>0</v>
      </c>
      <c r="G1093" s="1165">
        <f t="shared" si="1579"/>
        <v>0</v>
      </c>
      <c r="H1093" s="1166"/>
      <c r="I1093" s="1167">
        <f t="shared" si="1566"/>
        <v>0</v>
      </c>
      <c r="J1093" s="1167">
        <f t="shared" si="1580"/>
        <v>0</v>
      </c>
      <c r="K1093" s="1168">
        <f t="shared" si="1581"/>
        <v>0</v>
      </c>
      <c r="L1093" s="1128"/>
      <c r="M1093" s="1170"/>
      <c r="N1093" s="1175"/>
      <c r="O1093" s="1170"/>
      <c r="P1093" s="1169"/>
      <c r="Q1093" s="1170">
        <f t="shared" si="1582"/>
        <v>0</v>
      </c>
      <c r="R1093" s="1169"/>
      <c r="S1093" s="1170"/>
      <c r="T1093" s="1171"/>
      <c r="U1093" s="1128"/>
      <c r="V1093" s="1170"/>
      <c r="W1093" s="1175"/>
      <c r="X1093" s="1175"/>
      <c r="Y1093" s="1169"/>
      <c r="Z1093" s="1170">
        <f t="shared" si="1583"/>
        <v>0</v>
      </c>
      <c r="AA1093" s="1169"/>
      <c r="AB1093" s="1345"/>
      <c r="AC1093" s="1171"/>
      <c r="AD1093" s="1128"/>
      <c r="AE1093" s="1170"/>
      <c r="AF1093" s="1175"/>
      <c r="AG1093" s="1175"/>
      <c r="AH1093" s="1169"/>
      <c r="AI1093" s="1170">
        <f t="shared" si="1584"/>
        <v>0</v>
      </c>
      <c r="AJ1093" s="1169"/>
      <c r="AK1093" s="1170"/>
      <c r="AL1093" s="1171"/>
      <c r="AM1093" s="1128"/>
      <c r="AN1093" s="1170"/>
      <c r="AO1093" s="1175"/>
      <c r="AP1093" s="1175"/>
      <c r="AQ1093" s="1170"/>
      <c r="AR1093" s="1170">
        <f t="shared" si="1585"/>
        <v>0</v>
      </c>
      <c r="AS1093" s="1170"/>
      <c r="AT1093" s="1170"/>
      <c r="AU1093" s="1174"/>
      <c r="AV1093" s="1241"/>
      <c r="AW1093" s="1170"/>
      <c r="AX1093" s="1175"/>
      <c r="AY1093" s="1175"/>
      <c r="AZ1093" s="1169"/>
      <c r="BA1093" s="1170">
        <f t="shared" si="1586"/>
        <v>0</v>
      </c>
      <c r="BB1093" s="1170"/>
      <c r="BC1093" s="1029"/>
      <c r="BD1093" s="1027"/>
      <c r="BE1093" s="1029"/>
      <c r="BF1093" s="1029"/>
    </row>
    <row r="1094" ht="18.75" customHeight="1">
      <c r="A1094" s="999" t="str">
        <f t="shared" si="1578"/>
        <v xml:space="preserve">Судакова Е.С.</v>
      </c>
      <c r="B1094" s="1178" t="s">
        <v>361</v>
      </c>
      <c r="C1094" s="1179"/>
      <c r="D1094" s="1179"/>
      <c r="E1094" s="1164">
        <f t="shared" si="1567"/>
        <v>0</v>
      </c>
      <c r="F1094" s="1164">
        <f t="shared" si="1567"/>
        <v>0</v>
      </c>
      <c r="G1094" s="1165">
        <f t="shared" si="1579"/>
        <v>0</v>
      </c>
      <c r="H1094" s="1266"/>
      <c r="I1094" s="1167">
        <f t="shared" si="1566"/>
        <v>0</v>
      </c>
      <c r="J1094" s="1167">
        <f t="shared" si="1580"/>
        <v>0</v>
      </c>
      <c r="K1094" s="1168">
        <f t="shared" si="1581"/>
        <v>0</v>
      </c>
      <c r="L1094" s="1128"/>
      <c r="M1094" s="1170"/>
      <c r="N1094" s="1175"/>
      <c r="O1094" s="1170"/>
      <c r="P1094" s="1169"/>
      <c r="Q1094" s="1170">
        <f t="shared" si="1582"/>
        <v>0</v>
      </c>
      <c r="R1094" s="1169"/>
      <c r="S1094" s="1170"/>
      <c r="T1094" s="1171"/>
      <c r="U1094" s="1128"/>
      <c r="V1094" s="1170"/>
      <c r="W1094" s="1175"/>
      <c r="X1094" s="1175"/>
      <c r="Y1094" s="1169"/>
      <c r="Z1094" s="1170">
        <f t="shared" si="1583"/>
        <v>0</v>
      </c>
      <c r="AA1094" s="1169"/>
      <c r="AB1094" s="1345"/>
      <c r="AC1094" s="1171"/>
      <c r="AD1094" s="1128"/>
      <c r="AE1094" s="1170"/>
      <c r="AF1094" s="1175"/>
      <c r="AG1094" s="1175"/>
      <c r="AH1094" s="1169"/>
      <c r="AI1094" s="1170">
        <f t="shared" si="1584"/>
        <v>0</v>
      </c>
      <c r="AJ1094" s="1169"/>
      <c r="AK1094" s="1170"/>
      <c r="AL1094" s="1171"/>
      <c r="AM1094" s="1128"/>
      <c r="AN1094" s="1170"/>
      <c r="AO1094" s="1175"/>
      <c r="AP1094" s="1175"/>
      <c r="AQ1094" s="1170"/>
      <c r="AR1094" s="1170">
        <f t="shared" si="1585"/>
        <v>0</v>
      </c>
      <c r="AS1094" s="1170"/>
      <c r="AT1094" s="1170"/>
      <c r="AU1094" s="1174"/>
      <c r="AV1094" s="1241"/>
      <c r="AW1094" s="1170"/>
      <c r="AX1094" s="1175"/>
      <c r="AY1094" s="1175"/>
      <c r="AZ1094" s="1169"/>
      <c r="BA1094" s="1170">
        <f t="shared" si="1586"/>
        <v>0</v>
      </c>
      <c r="BB1094" s="1170"/>
      <c r="BC1094" s="1029"/>
      <c r="BD1094" s="1027"/>
      <c r="BE1094" s="1029"/>
      <c r="BF1094" s="1029"/>
    </row>
    <row r="1095">
      <c r="A1095" s="999" t="str">
        <f t="shared" si="1578"/>
        <v xml:space="preserve">Осипова А.А.</v>
      </c>
      <c r="B1095" s="1176" t="s">
        <v>185</v>
      </c>
      <c r="C1095" s="1176"/>
      <c r="D1095" s="1176"/>
      <c r="E1095" s="1164">
        <f t="shared" si="1567"/>
        <v>0</v>
      </c>
      <c r="F1095" s="1164">
        <f t="shared" si="1567"/>
        <v>0</v>
      </c>
      <c r="G1095" s="1165">
        <f t="shared" si="1579"/>
        <v>0</v>
      </c>
      <c r="H1095" s="1166"/>
      <c r="I1095" s="1167">
        <f t="shared" si="1566"/>
        <v>0</v>
      </c>
      <c r="J1095" s="1167">
        <f t="shared" si="1580"/>
        <v>0</v>
      </c>
      <c r="K1095" s="1168">
        <f t="shared" si="1581"/>
        <v>0</v>
      </c>
      <c r="L1095" s="1128"/>
      <c r="M1095" s="1170"/>
      <c r="N1095" s="1175"/>
      <c r="O1095" s="1170"/>
      <c r="P1095" s="1169"/>
      <c r="Q1095" s="1170">
        <f t="shared" si="1582"/>
        <v>0</v>
      </c>
      <c r="R1095" s="1169"/>
      <c r="S1095" s="1170"/>
      <c r="T1095" s="1171"/>
      <c r="U1095" s="1128"/>
      <c r="V1095" s="1170"/>
      <c r="W1095" s="1175"/>
      <c r="X1095" s="1175"/>
      <c r="Y1095" s="1169"/>
      <c r="Z1095" s="1170">
        <f t="shared" si="1583"/>
        <v>0</v>
      </c>
      <c r="AA1095" s="1169"/>
      <c r="AB1095" s="1345"/>
      <c r="AC1095" s="1171"/>
      <c r="AD1095" s="1128"/>
      <c r="AE1095" s="1170"/>
      <c r="AF1095" s="1175"/>
      <c r="AG1095" s="1175"/>
      <c r="AH1095" s="1169"/>
      <c r="AI1095" s="1170">
        <f t="shared" si="1584"/>
        <v>0</v>
      </c>
      <c r="AJ1095" s="1169"/>
      <c r="AK1095" s="1170"/>
      <c r="AL1095" s="1171"/>
      <c r="AM1095" s="1128"/>
      <c r="AN1095" s="1170"/>
      <c r="AO1095" s="1175"/>
      <c r="AP1095" s="1175"/>
      <c r="AQ1095" s="1170"/>
      <c r="AR1095" s="1170">
        <f t="shared" si="1585"/>
        <v>0</v>
      </c>
      <c r="AS1095" s="1170"/>
      <c r="AT1095" s="1170"/>
      <c r="AU1095" s="1174"/>
      <c r="AV1095" s="1241"/>
      <c r="AW1095" s="1170"/>
      <c r="AX1095" s="1175"/>
      <c r="AY1095" s="1175"/>
      <c r="AZ1095" s="1169"/>
      <c r="BA1095" s="1170">
        <f t="shared" si="1586"/>
        <v>0</v>
      </c>
      <c r="BB1095" s="1170"/>
      <c r="BC1095" s="1029"/>
      <c r="BD1095" s="1027"/>
      <c r="BE1095" s="1029"/>
      <c r="BF1095" s="1029"/>
    </row>
    <row r="1096" s="1180" customFormat="1">
      <c r="A1096" s="999">
        <f t="shared" si="1578"/>
        <v>0</v>
      </c>
      <c r="B1096" s="1182" t="s">
        <v>363</v>
      </c>
      <c r="C1096" s="1182"/>
      <c r="D1096" s="1182"/>
      <c r="E1096" s="1183">
        <f>SUM(E1088:E1095)</f>
        <v>0</v>
      </c>
      <c r="F1096" s="1183">
        <f>SUM(F1088:F1095)</f>
        <v>0</v>
      </c>
      <c r="G1096" s="1184">
        <f>SUM(G1088:G1095)</f>
        <v>0</v>
      </c>
      <c r="H1096" s="1185"/>
      <c r="I1096" s="1167">
        <f t="shared" si="1566"/>
        <v>0</v>
      </c>
      <c r="J1096" s="1167">
        <f t="shared" si="1580"/>
        <v>0</v>
      </c>
      <c r="K1096" s="1187">
        <f>SUM(K1088:K1095)</f>
        <v>0</v>
      </c>
      <c r="L1096" s="1197"/>
      <c r="M1096" s="1190">
        <f t="shared" ref="M1096:R1096" si="1587">SUM(M1088:M1095)</f>
        <v>0</v>
      </c>
      <c r="N1096" s="1190">
        <f t="shared" si="1587"/>
        <v>0</v>
      </c>
      <c r="O1096" s="1190">
        <f t="shared" si="1587"/>
        <v>0</v>
      </c>
      <c r="P1096" s="1096">
        <f t="shared" si="1587"/>
        <v>0</v>
      </c>
      <c r="Q1096" s="1190">
        <f t="shared" si="1587"/>
        <v>0</v>
      </c>
      <c r="R1096" s="1096">
        <f t="shared" si="1587"/>
        <v>0</v>
      </c>
      <c r="S1096" s="1190"/>
      <c r="T1096" s="1189"/>
      <c r="U1096" s="1128"/>
      <c r="V1096" s="1190">
        <f t="shared" ref="V1096:AA1096" si="1588">SUM(V1088:V1095)</f>
        <v>0</v>
      </c>
      <c r="W1096" s="1190">
        <f t="shared" si="1588"/>
        <v>0</v>
      </c>
      <c r="X1096" s="1190">
        <f t="shared" si="1588"/>
        <v>0</v>
      </c>
      <c r="Y1096" s="1096">
        <f t="shared" si="1588"/>
        <v>0</v>
      </c>
      <c r="Z1096" s="1190">
        <f t="shared" si="1588"/>
        <v>0</v>
      </c>
      <c r="AA1096" s="1096">
        <f t="shared" si="1588"/>
        <v>0</v>
      </c>
      <c r="AB1096" s="1346"/>
      <c r="AC1096" s="1189"/>
      <c r="AD1096" s="1125"/>
      <c r="AE1096" s="1190">
        <f t="shared" ref="AE1096:AJ1096" si="1589">SUM(AE1088:AE1095)</f>
        <v>0</v>
      </c>
      <c r="AF1096" s="1190">
        <f t="shared" si="1589"/>
        <v>0</v>
      </c>
      <c r="AG1096" s="1190">
        <f t="shared" si="1589"/>
        <v>0</v>
      </c>
      <c r="AH1096" s="1096">
        <f t="shared" si="1589"/>
        <v>0</v>
      </c>
      <c r="AI1096" s="1190">
        <f t="shared" si="1589"/>
        <v>0</v>
      </c>
      <c r="AJ1096" s="1096">
        <f t="shared" si="1589"/>
        <v>0</v>
      </c>
      <c r="AK1096" s="1190"/>
      <c r="AL1096" s="1189"/>
      <c r="AM1096" s="1125"/>
      <c r="AN1096" s="1190">
        <f t="shared" ref="AN1096:AS1096" si="1590">SUM(AN1088:AN1095)</f>
        <v>0</v>
      </c>
      <c r="AO1096" s="1190">
        <f t="shared" si="1590"/>
        <v>0</v>
      </c>
      <c r="AP1096" s="1190">
        <f t="shared" si="1590"/>
        <v>0</v>
      </c>
      <c r="AQ1096" s="1190">
        <f t="shared" si="1590"/>
        <v>0</v>
      </c>
      <c r="AR1096" s="1190">
        <f t="shared" si="1590"/>
        <v>0</v>
      </c>
      <c r="AS1096" s="1190">
        <f t="shared" si="1590"/>
        <v>0</v>
      </c>
      <c r="AT1096" s="1190"/>
      <c r="AU1096" s="1191"/>
      <c r="AV1096" s="1245"/>
      <c r="AW1096" s="1190">
        <f t="shared" ref="AW1096:BB1096" si="1591">SUM(AW1088:AW1095)</f>
        <v>0</v>
      </c>
      <c r="AX1096" s="1190">
        <f t="shared" si="1591"/>
        <v>0</v>
      </c>
      <c r="AY1096" s="1190">
        <f t="shared" si="1591"/>
        <v>0</v>
      </c>
      <c r="AZ1096" s="1096">
        <f t="shared" si="1591"/>
        <v>0</v>
      </c>
      <c r="BA1096" s="1190">
        <f t="shared" si="1591"/>
        <v>0</v>
      </c>
      <c r="BB1096" s="1190">
        <f t="shared" si="1591"/>
        <v>0</v>
      </c>
      <c r="BC1096" s="1051"/>
      <c r="BD1096" s="1052"/>
      <c r="BE1096" s="1051"/>
      <c r="BF1096" s="1051"/>
      <c r="BG1096" s="1106"/>
      <c r="BH1096" s="1106"/>
      <c r="BI1096" s="1106"/>
      <c r="BJ1096" s="1106"/>
      <c r="BK1096" s="1106"/>
      <c r="BL1096" s="1106"/>
      <c r="BM1096" s="1106"/>
    </row>
    <row r="1097">
      <c r="A1097" s="999">
        <f t="shared" si="1578"/>
        <v>0</v>
      </c>
      <c r="B1097" s="1176" t="s">
        <v>364</v>
      </c>
      <c r="C1097" s="1176"/>
      <c r="D1097" s="1176"/>
      <c r="E1097" s="1164">
        <f t="shared" ref="E1097:F1109" si="1592">Q1097+Z1097+AI1097+AR1097+BA1097</f>
        <v>0</v>
      </c>
      <c r="F1097" s="1164">
        <f>R1097+AA1097+AJ1097+AS1097+BB1097</f>
        <v>0</v>
      </c>
      <c r="G1097" s="1165">
        <f t="shared" ref="G1097:G1109" si="1593">E1097+F1097</f>
        <v>0</v>
      </c>
      <c r="H1097" s="1166"/>
      <c r="I1097" s="1167">
        <f t="shared" si="1566"/>
        <v>0</v>
      </c>
      <c r="J1097" s="1167">
        <f t="shared" si="1580"/>
        <v>0</v>
      </c>
      <c r="K1097" s="1168">
        <f t="shared" ref="K1097:K1109" si="1594">I1097+J1097</f>
        <v>0</v>
      </c>
      <c r="L1097" s="1128"/>
      <c r="M1097" s="1170"/>
      <c r="N1097" s="1175"/>
      <c r="O1097" s="1170"/>
      <c r="P1097" s="1169"/>
      <c r="Q1097" s="1170">
        <f t="shared" ref="Q1097:Q1109" si="1595">SUM(M1097:P1097)</f>
        <v>0</v>
      </c>
      <c r="R1097" s="1169"/>
      <c r="S1097" s="1170"/>
      <c r="T1097" s="1171"/>
      <c r="U1097" s="1128"/>
      <c r="V1097" s="1170"/>
      <c r="W1097" s="1175"/>
      <c r="X1097" s="1175"/>
      <c r="Y1097" s="1169"/>
      <c r="Z1097" s="1170">
        <f t="shared" ref="Z1097:Z1109" si="1596">SUM(V1097:Y1097)</f>
        <v>0</v>
      </c>
      <c r="AA1097" s="1169"/>
      <c r="AB1097" s="1345"/>
      <c r="AC1097" s="1171"/>
      <c r="AD1097" s="1128"/>
      <c r="AE1097" s="1170"/>
      <c r="AF1097" s="1175"/>
      <c r="AG1097" s="1175"/>
      <c r="AH1097" s="1169"/>
      <c r="AI1097" s="1170">
        <f t="shared" ref="AI1097:AI1109" si="1597">SUM(AE1097:AH1097)</f>
        <v>0</v>
      </c>
      <c r="AJ1097" s="1169"/>
      <c r="AK1097" s="1170"/>
      <c r="AL1097" s="1171"/>
      <c r="AM1097" s="1128"/>
      <c r="AN1097" s="1170"/>
      <c r="AO1097" s="1175"/>
      <c r="AP1097" s="1175"/>
      <c r="AQ1097" s="1170"/>
      <c r="AR1097" s="1170">
        <f t="shared" ref="AR1097:AR1109" si="1598">SUM(AN1097:AQ1097)</f>
        <v>0</v>
      </c>
      <c r="AS1097" s="1170"/>
      <c r="AT1097" s="1170"/>
      <c r="AU1097" s="1174"/>
      <c r="AV1097" s="1241"/>
      <c r="AW1097" s="1170"/>
      <c r="AX1097" s="1175"/>
      <c r="AY1097" s="1175"/>
      <c r="AZ1097" s="1169"/>
      <c r="BA1097" s="1170">
        <f t="shared" ref="BA1097:BA1109" si="1599">SUM(AW1097:AZ1097)</f>
        <v>0</v>
      </c>
      <c r="BB1097" s="1169"/>
      <c r="BC1097" s="1029"/>
      <c r="BD1097" s="1027"/>
      <c r="BE1097" s="1029"/>
      <c r="BF1097" s="1029"/>
    </row>
    <row r="1098">
      <c r="A1098" s="999" t="str">
        <f t="shared" si="1578"/>
        <v xml:space="preserve">Сметанина О.В.</v>
      </c>
      <c r="B1098" s="1176" t="s">
        <v>195</v>
      </c>
      <c r="C1098" s="1176"/>
      <c r="D1098" s="1176"/>
      <c r="E1098" s="1164">
        <f t="shared" si="1592"/>
        <v>0</v>
      </c>
      <c r="F1098" s="1164">
        <f t="shared" si="1592"/>
        <v>0</v>
      </c>
      <c r="G1098" s="1165">
        <f t="shared" si="1593"/>
        <v>0</v>
      </c>
      <c r="H1098" s="1166"/>
      <c r="I1098" s="1167">
        <f t="shared" si="1566"/>
        <v>0</v>
      </c>
      <c r="J1098" s="1167">
        <f t="shared" si="1580"/>
        <v>0</v>
      </c>
      <c r="K1098" s="1168">
        <f t="shared" si="1594"/>
        <v>0</v>
      </c>
      <c r="L1098" s="1128"/>
      <c r="M1098" s="1170"/>
      <c r="N1098" s="1175"/>
      <c r="O1098" s="1170"/>
      <c r="P1098" s="1169"/>
      <c r="Q1098" s="1170">
        <f t="shared" si="1595"/>
        <v>0</v>
      </c>
      <c r="R1098" s="1169"/>
      <c r="S1098" s="1170"/>
      <c r="T1098" s="1171"/>
      <c r="U1098" s="1128"/>
      <c r="V1098" s="1170"/>
      <c r="W1098" s="1175"/>
      <c r="X1098" s="1175"/>
      <c r="Y1098" s="1169"/>
      <c r="Z1098" s="1170">
        <f t="shared" si="1596"/>
        <v>0</v>
      </c>
      <c r="AA1098" s="1169"/>
      <c r="AB1098" s="1345"/>
      <c r="AC1098" s="1171"/>
      <c r="AD1098" s="1128"/>
      <c r="AE1098" s="1170"/>
      <c r="AF1098" s="1175"/>
      <c r="AG1098" s="1175"/>
      <c r="AH1098" s="1169"/>
      <c r="AI1098" s="1170">
        <f t="shared" si="1597"/>
        <v>0</v>
      </c>
      <c r="AJ1098" s="1169"/>
      <c r="AK1098" s="1170"/>
      <c r="AL1098" s="1171"/>
      <c r="AM1098" s="1128"/>
      <c r="AN1098" s="1170"/>
      <c r="AO1098" s="1175"/>
      <c r="AP1098" s="1175"/>
      <c r="AQ1098" s="1170"/>
      <c r="AR1098" s="1170">
        <f t="shared" si="1598"/>
        <v>0</v>
      </c>
      <c r="AS1098" s="1170"/>
      <c r="AT1098" s="1170"/>
      <c r="AU1098" s="1174"/>
      <c r="AV1098" s="1241"/>
      <c r="AW1098" s="1170"/>
      <c r="AX1098" s="1175"/>
      <c r="AY1098" s="1175"/>
      <c r="AZ1098" s="1169"/>
      <c r="BA1098" s="1170">
        <f t="shared" si="1599"/>
        <v>0</v>
      </c>
      <c r="BB1098" s="1169"/>
      <c r="BC1098" s="1029"/>
      <c r="BD1098" s="1027"/>
      <c r="BE1098" s="1029"/>
      <c r="BF1098" s="1029"/>
    </row>
    <row r="1099">
      <c r="A1099" s="999" t="str">
        <f t="shared" si="1578"/>
        <v xml:space="preserve">Козенко С.С.</v>
      </c>
      <c r="B1099" s="1176" t="s">
        <v>196</v>
      </c>
      <c r="C1099" s="1176"/>
      <c r="D1099" s="1176"/>
      <c r="E1099" s="1164">
        <f t="shared" si="1592"/>
        <v>0</v>
      </c>
      <c r="F1099" s="1164">
        <f t="shared" si="1592"/>
        <v>0</v>
      </c>
      <c r="G1099" s="1165">
        <f t="shared" si="1593"/>
        <v>0</v>
      </c>
      <c r="H1099" s="1166"/>
      <c r="I1099" s="1167">
        <f t="shared" si="1566"/>
        <v>0</v>
      </c>
      <c r="J1099" s="1167">
        <f t="shared" si="1580"/>
        <v>0</v>
      </c>
      <c r="K1099" s="1168">
        <f t="shared" si="1594"/>
        <v>0</v>
      </c>
      <c r="L1099" s="1128"/>
      <c r="N1099" s="1170"/>
      <c r="O1099" s="1170"/>
      <c r="P1099" s="1169"/>
      <c r="Q1099" s="1170">
        <f>SUM(N1099:P1099)</f>
        <v>0</v>
      </c>
      <c r="R1099" s="1169"/>
      <c r="S1099" s="1170"/>
      <c r="T1099" s="1171"/>
      <c r="U1099" s="1128"/>
      <c r="V1099" s="1170"/>
      <c r="W1099" s="1175"/>
      <c r="X1099" s="1175"/>
      <c r="Y1099" s="1169"/>
      <c r="Z1099" s="1170">
        <f t="shared" si="1596"/>
        <v>0</v>
      </c>
      <c r="AA1099" s="1169"/>
      <c r="AB1099" s="1345"/>
      <c r="AC1099" s="1171"/>
      <c r="AD1099" s="1128"/>
      <c r="AE1099" s="1170"/>
      <c r="AF1099" s="1175"/>
      <c r="AG1099" s="1175"/>
      <c r="AH1099" s="1169"/>
      <c r="AI1099" s="1170">
        <f t="shared" si="1597"/>
        <v>0</v>
      </c>
      <c r="AJ1099" s="1169"/>
      <c r="AK1099" s="1170"/>
      <c r="AL1099" s="1171"/>
      <c r="AM1099" s="1128"/>
      <c r="AN1099" s="1170"/>
      <c r="AO1099" s="1175"/>
      <c r="AP1099" s="1175"/>
      <c r="AQ1099" s="1170"/>
      <c r="AR1099" s="1170">
        <f t="shared" si="1598"/>
        <v>0</v>
      </c>
      <c r="AS1099" s="1170"/>
      <c r="AT1099" s="1170"/>
      <c r="AU1099" s="1174"/>
      <c r="AV1099" s="1241"/>
      <c r="AW1099" s="1170"/>
      <c r="AX1099" s="1175"/>
      <c r="AY1099" s="1175"/>
      <c r="AZ1099" s="1169"/>
      <c r="BA1099" s="1170">
        <f t="shared" si="1599"/>
        <v>0</v>
      </c>
      <c r="BB1099" s="1169"/>
      <c r="BC1099" s="1029"/>
      <c r="BD1099" s="1027"/>
      <c r="BE1099" s="1029"/>
      <c r="BF1099" s="1029"/>
    </row>
    <row r="1100">
      <c r="A1100" s="999">
        <f t="shared" si="1578"/>
        <v>0</v>
      </c>
      <c r="B1100" s="1193" t="s">
        <v>367</v>
      </c>
      <c r="C1100" s="1193"/>
      <c r="D1100" s="1193"/>
      <c r="E1100" s="1164">
        <f t="shared" si="1592"/>
        <v>0</v>
      </c>
      <c r="F1100" s="1164">
        <f t="shared" si="1592"/>
        <v>0</v>
      </c>
      <c r="G1100" s="1165">
        <f t="shared" si="1593"/>
        <v>0</v>
      </c>
      <c r="H1100" s="1166"/>
      <c r="I1100" s="1167">
        <f t="shared" si="1566"/>
        <v>0</v>
      </c>
      <c r="J1100" s="1167">
        <f t="shared" si="1580"/>
        <v>0</v>
      </c>
      <c r="K1100" s="1168">
        <f t="shared" si="1594"/>
        <v>0</v>
      </c>
      <c r="L1100" s="1128"/>
      <c r="M1100" s="1170"/>
      <c r="N1100" s="1175"/>
      <c r="O1100" s="1170"/>
      <c r="P1100" s="1169"/>
      <c r="Q1100" s="1170">
        <f t="shared" si="1595"/>
        <v>0</v>
      </c>
      <c r="R1100" s="1169"/>
      <c r="S1100" s="1170"/>
      <c r="T1100" s="1171"/>
      <c r="U1100" s="1128"/>
      <c r="V1100" s="1170"/>
      <c r="W1100" s="1175"/>
      <c r="X1100" s="1175"/>
      <c r="Y1100" s="1169"/>
      <c r="Z1100" s="1170">
        <f t="shared" si="1596"/>
        <v>0</v>
      </c>
      <c r="AA1100" s="1169"/>
      <c r="AB1100" s="1345"/>
      <c r="AC1100" s="1171"/>
      <c r="AD1100" s="1128"/>
      <c r="AE1100" s="1170"/>
      <c r="AF1100" s="1175"/>
      <c r="AG1100" s="1175"/>
      <c r="AH1100" s="1169"/>
      <c r="AI1100" s="1170">
        <f t="shared" si="1597"/>
        <v>0</v>
      </c>
      <c r="AJ1100" s="1169"/>
      <c r="AK1100" s="1170"/>
      <c r="AL1100" s="1171"/>
      <c r="AM1100" s="1128"/>
      <c r="AN1100" s="1170"/>
      <c r="AO1100" s="1175"/>
      <c r="AP1100" s="1175"/>
      <c r="AQ1100" s="1170"/>
      <c r="AR1100" s="1170">
        <f t="shared" si="1598"/>
        <v>0</v>
      </c>
      <c r="AS1100" s="1170"/>
      <c r="AT1100" s="1170"/>
      <c r="AU1100" s="1174"/>
      <c r="AV1100" s="1241"/>
      <c r="AW1100" s="1170"/>
      <c r="AX1100" s="1175"/>
      <c r="AY1100" s="1175"/>
      <c r="AZ1100" s="1169"/>
      <c r="BA1100" s="1170">
        <f t="shared" si="1599"/>
        <v>0</v>
      </c>
      <c r="BB1100" s="1169"/>
      <c r="BC1100" s="1029"/>
      <c r="BD1100" s="1027"/>
      <c r="BE1100" s="1029"/>
      <c r="BF1100" s="1029"/>
    </row>
    <row r="1101" ht="19.5" customHeight="1">
      <c r="A1101" s="999" t="str">
        <f t="shared" si="1578"/>
        <v xml:space="preserve">Разумец Е.Г.</v>
      </c>
      <c r="B1101" s="1176" t="s">
        <v>201</v>
      </c>
      <c r="C1101" s="1176"/>
      <c r="D1101" s="1176"/>
      <c r="E1101" s="1164">
        <f t="shared" si="1592"/>
        <v>0</v>
      </c>
      <c r="F1101" s="1164">
        <f t="shared" si="1592"/>
        <v>0</v>
      </c>
      <c r="G1101" s="1165">
        <f t="shared" si="1593"/>
        <v>0</v>
      </c>
      <c r="H1101" s="1166"/>
      <c r="I1101" s="1167">
        <f t="shared" si="1566"/>
        <v>0</v>
      </c>
      <c r="J1101" s="1167">
        <f t="shared" si="1580"/>
        <v>0</v>
      </c>
      <c r="K1101" s="1168">
        <f t="shared" si="1594"/>
        <v>0</v>
      </c>
      <c r="L1101" s="1128"/>
      <c r="M1101" s="1170"/>
      <c r="N1101" s="1175"/>
      <c r="O1101" s="1170"/>
      <c r="P1101" s="1169"/>
      <c r="Q1101" s="1170">
        <f t="shared" si="1595"/>
        <v>0</v>
      </c>
      <c r="R1101" s="1169"/>
      <c r="S1101" s="1170"/>
      <c r="T1101" s="1171"/>
      <c r="U1101" s="1128"/>
      <c r="V1101" s="1170"/>
      <c r="W1101" s="1175"/>
      <c r="X1101" s="1175"/>
      <c r="Y1101" s="1169"/>
      <c r="Z1101" s="1170">
        <f t="shared" si="1596"/>
        <v>0</v>
      </c>
      <c r="AA1101" s="1169"/>
      <c r="AB1101" s="1345"/>
      <c r="AC1101" s="1171"/>
      <c r="AD1101" s="1128"/>
      <c r="AE1101" s="1170"/>
      <c r="AF1101" s="1175"/>
      <c r="AG1101" s="1175"/>
      <c r="AH1101" s="1169"/>
      <c r="AI1101" s="1170">
        <f t="shared" si="1597"/>
        <v>0</v>
      </c>
      <c r="AJ1101" s="1169"/>
      <c r="AK1101" s="1170"/>
      <c r="AL1101" s="1171"/>
      <c r="AM1101" s="1128"/>
      <c r="AN1101" s="1170"/>
      <c r="AO1101" s="1175"/>
      <c r="AP1101" s="1175"/>
      <c r="AQ1101" s="1170"/>
      <c r="AR1101" s="1170">
        <f t="shared" si="1598"/>
        <v>0</v>
      </c>
      <c r="AS1101" s="1170"/>
      <c r="AT1101" s="1170"/>
      <c r="AU1101" s="1174"/>
      <c r="AV1101" s="1241"/>
      <c r="AW1101" s="1170"/>
      <c r="AX1101" s="1175"/>
      <c r="AY1101" s="1175"/>
      <c r="AZ1101" s="1169"/>
      <c r="BA1101" s="1170">
        <f t="shared" si="1599"/>
        <v>0</v>
      </c>
      <c r="BB1101" s="1169"/>
      <c r="BC1101" s="1029"/>
      <c r="BD1101" s="1027"/>
      <c r="BE1101" s="1029"/>
      <c r="BF1101" s="1029"/>
    </row>
    <row r="1102" ht="19.5" customHeight="1">
      <c r="A1102" s="999" t="str">
        <f t="shared" si="1578"/>
        <v xml:space="preserve">Шарова Т.М.</v>
      </c>
      <c r="B1102" s="1176" t="s">
        <v>203</v>
      </c>
      <c r="C1102" s="1176"/>
      <c r="D1102" s="1176"/>
      <c r="E1102" s="1164">
        <f t="shared" si="1592"/>
        <v>0</v>
      </c>
      <c r="F1102" s="1164">
        <f t="shared" si="1592"/>
        <v>0</v>
      </c>
      <c r="G1102" s="1165">
        <f t="shared" si="1593"/>
        <v>0</v>
      </c>
      <c r="H1102" s="1166"/>
      <c r="I1102" s="1167">
        <f t="shared" si="1566"/>
        <v>0</v>
      </c>
      <c r="J1102" s="1167">
        <f t="shared" si="1580"/>
        <v>0</v>
      </c>
      <c r="K1102" s="1168">
        <f t="shared" si="1594"/>
        <v>0</v>
      </c>
      <c r="L1102" s="1128"/>
      <c r="M1102" s="1170"/>
      <c r="N1102" s="1175"/>
      <c r="O1102" s="1170"/>
      <c r="P1102" s="1169"/>
      <c r="Q1102" s="1170">
        <f t="shared" si="1595"/>
        <v>0</v>
      </c>
      <c r="R1102" s="1169"/>
      <c r="S1102" s="1170"/>
      <c r="T1102" s="1171"/>
      <c r="U1102" s="1128"/>
      <c r="V1102" s="1170"/>
      <c r="W1102" s="1175"/>
      <c r="X1102" s="1175"/>
      <c r="Y1102" s="1169"/>
      <c r="Z1102" s="1170">
        <f t="shared" si="1596"/>
        <v>0</v>
      </c>
      <c r="AA1102" s="1169"/>
      <c r="AB1102" s="1345"/>
      <c r="AC1102" s="1171"/>
      <c r="AD1102" s="1128"/>
      <c r="AE1102" s="1170"/>
      <c r="AF1102" s="1175"/>
      <c r="AG1102" s="1175"/>
      <c r="AH1102" s="1169"/>
      <c r="AI1102" s="1170">
        <f t="shared" si="1597"/>
        <v>0</v>
      </c>
      <c r="AJ1102" s="1169"/>
      <c r="AK1102" s="1170"/>
      <c r="AL1102" s="1171"/>
      <c r="AM1102" s="1128"/>
      <c r="AN1102" s="1170"/>
      <c r="AO1102" s="1175"/>
      <c r="AP1102" s="1175"/>
      <c r="AQ1102" s="1170"/>
      <c r="AR1102" s="1170">
        <f t="shared" si="1598"/>
        <v>0</v>
      </c>
      <c r="AS1102" s="1170"/>
      <c r="AT1102" s="1170"/>
      <c r="AU1102" s="1174"/>
      <c r="AV1102" s="1241"/>
      <c r="AW1102" s="1170"/>
      <c r="AX1102" s="1175"/>
      <c r="AY1102" s="1175"/>
      <c r="AZ1102" s="1169"/>
      <c r="BA1102" s="1170">
        <f t="shared" si="1599"/>
        <v>0</v>
      </c>
      <c r="BB1102" s="1169"/>
      <c r="BC1102" s="1029"/>
      <c r="BD1102" s="1027"/>
      <c r="BE1102" s="1029"/>
      <c r="BF1102" s="1029"/>
    </row>
    <row r="1103" ht="19.5" customHeight="1">
      <c r="A1103" s="999" t="str">
        <f t="shared" si="1578"/>
        <v xml:space="preserve">Крошка С.С.</v>
      </c>
      <c r="B1103" s="1176" t="s">
        <v>204</v>
      </c>
      <c r="C1103" s="1194"/>
      <c r="D1103" s="1194"/>
      <c r="E1103" s="1164">
        <f t="shared" si="1592"/>
        <v>0</v>
      </c>
      <c r="F1103" s="1164">
        <f t="shared" si="1592"/>
        <v>0</v>
      </c>
      <c r="G1103" s="1165">
        <f t="shared" si="1593"/>
        <v>0</v>
      </c>
      <c r="H1103" s="1166"/>
      <c r="I1103" s="1167">
        <f t="shared" si="1566"/>
        <v>0</v>
      </c>
      <c r="J1103" s="1167">
        <f t="shared" si="1580"/>
        <v>0</v>
      </c>
      <c r="K1103" s="1168">
        <f t="shared" si="1594"/>
        <v>0</v>
      </c>
      <c r="L1103" s="1128"/>
      <c r="M1103" s="1170"/>
      <c r="N1103" s="1175"/>
      <c r="O1103" s="1170"/>
      <c r="P1103" s="1169"/>
      <c r="Q1103" s="1170">
        <f t="shared" si="1595"/>
        <v>0</v>
      </c>
      <c r="R1103" s="1169"/>
      <c r="S1103" s="1170"/>
      <c r="T1103" s="1171"/>
      <c r="U1103" s="1128"/>
      <c r="V1103" s="1170"/>
      <c r="W1103" s="1175"/>
      <c r="X1103" s="1175"/>
      <c r="Y1103" s="1169"/>
      <c r="Z1103" s="1170">
        <f t="shared" si="1596"/>
        <v>0</v>
      </c>
      <c r="AA1103" s="1169"/>
      <c r="AB1103" s="1345"/>
      <c r="AC1103" s="1171"/>
      <c r="AD1103" s="1128"/>
      <c r="AE1103" s="1170"/>
      <c r="AF1103" s="1175"/>
      <c r="AG1103" s="1175"/>
      <c r="AH1103" s="1169"/>
      <c r="AI1103" s="1170">
        <f t="shared" si="1597"/>
        <v>0</v>
      </c>
      <c r="AJ1103" s="1169"/>
      <c r="AK1103" s="1170"/>
      <c r="AL1103" s="1171"/>
      <c r="AM1103" s="1128"/>
      <c r="AN1103" s="1170"/>
      <c r="AO1103" s="1175"/>
      <c r="AP1103" s="1175"/>
      <c r="AQ1103" s="1170"/>
      <c r="AR1103" s="1170">
        <f t="shared" si="1598"/>
        <v>0</v>
      </c>
      <c r="AS1103" s="1170"/>
      <c r="AT1103" s="1170"/>
      <c r="AU1103" s="1174"/>
      <c r="AV1103" s="1241"/>
      <c r="AW1103" s="1170"/>
      <c r="AX1103" s="1175"/>
      <c r="AY1103" s="1175"/>
      <c r="AZ1103" s="1169"/>
      <c r="BA1103" s="1170">
        <f t="shared" si="1599"/>
        <v>0</v>
      </c>
      <c r="BB1103" s="1169"/>
      <c r="BC1103" s="1029"/>
      <c r="BD1103" s="1027"/>
      <c r="BE1103" s="1029"/>
      <c r="BF1103" s="1029"/>
    </row>
    <row r="1104" ht="19.5" customHeight="1">
      <c r="A1104" s="999" t="str">
        <f t="shared" si="1578"/>
        <v xml:space="preserve">Козлитина Н.В.</v>
      </c>
      <c r="B1104" s="1176" t="s">
        <v>205</v>
      </c>
      <c r="C1104" s="1176"/>
      <c r="D1104" s="1176"/>
      <c r="E1104" s="1164">
        <f t="shared" si="1592"/>
        <v>0</v>
      </c>
      <c r="F1104" s="1164">
        <f t="shared" si="1592"/>
        <v>0</v>
      </c>
      <c r="G1104" s="1165">
        <f t="shared" si="1593"/>
        <v>0</v>
      </c>
      <c r="H1104" s="1166"/>
      <c r="I1104" s="1167">
        <f t="shared" si="1566"/>
        <v>0</v>
      </c>
      <c r="J1104" s="1167">
        <f t="shared" si="1580"/>
        <v>0</v>
      </c>
      <c r="K1104" s="1168">
        <f t="shared" si="1594"/>
        <v>0</v>
      </c>
      <c r="L1104" s="1128"/>
      <c r="M1104" s="1170"/>
      <c r="N1104" s="1175"/>
      <c r="O1104" s="1170"/>
      <c r="P1104" s="1169"/>
      <c r="Q1104" s="1170">
        <f t="shared" si="1595"/>
        <v>0</v>
      </c>
      <c r="R1104" s="1169"/>
      <c r="S1104" s="1170"/>
      <c r="T1104" s="1171"/>
      <c r="U1104" s="1128"/>
      <c r="V1104" s="1170"/>
      <c r="W1104" s="1175"/>
      <c r="X1104" s="1175"/>
      <c r="Y1104" s="1169"/>
      <c r="Z1104" s="1170">
        <f t="shared" si="1596"/>
        <v>0</v>
      </c>
      <c r="AA1104" s="1169"/>
      <c r="AB1104" s="1345"/>
      <c r="AC1104" s="1171"/>
      <c r="AD1104" s="1128"/>
      <c r="AE1104" s="1170"/>
      <c r="AF1104" s="1175"/>
      <c r="AG1104" s="1175"/>
      <c r="AH1104" s="1169"/>
      <c r="AI1104" s="1170">
        <f t="shared" si="1597"/>
        <v>0</v>
      </c>
      <c r="AJ1104" s="1169"/>
      <c r="AK1104" s="1170"/>
      <c r="AL1104" s="1171"/>
      <c r="AM1104" s="1128"/>
      <c r="AN1104" s="1170"/>
      <c r="AO1104" s="1175"/>
      <c r="AP1104" s="1175"/>
      <c r="AQ1104" s="1170"/>
      <c r="AR1104" s="1170">
        <f t="shared" si="1598"/>
        <v>0</v>
      </c>
      <c r="AS1104" s="1170"/>
      <c r="AT1104" s="1170"/>
      <c r="AU1104" s="1174"/>
      <c r="AV1104" s="1241"/>
      <c r="AW1104" s="1170"/>
      <c r="AX1104" s="1175"/>
      <c r="AY1104" s="1175"/>
      <c r="AZ1104" s="1169"/>
      <c r="BA1104" s="1170">
        <f t="shared" si="1599"/>
        <v>0</v>
      </c>
      <c r="BB1104" s="1169"/>
      <c r="BC1104" s="1029"/>
      <c r="BD1104" s="1027"/>
      <c r="BE1104" s="1029"/>
      <c r="BF1104" s="1029"/>
    </row>
    <row r="1105" ht="19.5" customHeight="1">
      <c r="A1105" s="999" t="str">
        <f t="shared" si="1578"/>
        <v xml:space="preserve">Баженова И.В.</v>
      </c>
      <c r="B1105" s="1176" t="s">
        <v>206</v>
      </c>
      <c r="C1105" s="1176"/>
      <c r="D1105" s="1176"/>
      <c r="E1105" s="1164">
        <f t="shared" si="1592"/>
        <v>0</v>
      </c>
      <c r="F1105" s="1164">
        <f t="shared" si="1592"/>
        <v>0</v>
      </c>
      <c r="G1105" s="1165">
        <f t="shared" si="1593"/>
        <v>0</v>
      </c>
      <c r="H1105" s="1166"/>
      <c r="I1105" s="1167">
        <f t="shared" si="1566"/>
        <v>0</v>
      </c>
      <c r="J1105" s="1167">
        <f t="shared" si="1580"/>
        <v>0</v>
      </c>
      <c r="K1105" s="1168">
        <f t="shared" si="1594"/>
        <v>0</v>
      </c>
      <c r="L1105" s="1128"/>
      <c r="M1105" s="1170"/>
      <c r="N1105" s="1175"/>
      <c r="O1105" s="1170"/>
      <c r="P1105" s="1169"/>
      <c r="Q1105" s="1170">
        <f t="shared" si="1595"/>
        <v>0</v>
      </c>
      <c r="R1105" s="1169"/>
      <c r="S1105" s="1170"/>
      <c r="T1105" s="1171"/>
      <c r="U1105" s="1128"/>
      <c r="V1105" s="1170"/>
      <c r="W1105" s="1175"/>
      <c r="X1105" s="1175"/>
      <c r="Y1105" s="1169"/>
      <c r="Z1105" s="1170">
        <f t="shared" si="1596"/>
        <v>0</v>
      </c>
      <c r="AA1105" s="1169"/>
      <c r="AB1105" s="1345"/>
      <c r="AC1105" s="1171"/>
      <c r="AD1105" s="1128"/>
      <c r="AE1105" s="1170"/>
      <c r="AF1105" s="1175"/>
      <c r="AG1105" s="1175"/>
      <c r="AH1105" s="1169"/>
      <c r="AI1105" s="1170">
        <f t="shared" si="1597"/>
        <v>0</v>
      </c>
      <c r="AJ1105" s="1169"/>
      <c r="AK1105" s="1170"/>
      <c r="AL1105" s="1171"/>
      <c r="AM1105" s="1128"/>
      <c r="AN1105" s="1170"/>
      <c r="AO1105" s="1175"/>
      <c r="AP1105" s="1175"/>
      <c r="AQ1105" s="1170"/>
      <c r="AR1105" s="1170">
        <f t="shared" si="1598"/>
        <v>0</v>
      </c>
      <c r="AS1105" s="1170"/>
      <c r="AT1105" s="1170"/>
      <c r="AU1105" s="1174"/>
      <c r="AV1105" s="1241"/>
      <c r="AW1105" s="1170"/>
      <c r="AX1105" s="1175"/>
      <c r="AY1105" s="1175"/>
      <c r="AZ1105" s="1169"/>
      <c r="BA1105" s="1170">
        <f t="shared" si="1599"/>
        <v>0</v>
      </c>
      <c r="BB1105" s="1169"/>
      <c r="BC1105" s="1029"/>
      <c r="BD1105" s="1027"/>
      <c r="BE1105" s="1029"/>
      <c r="BF1105" s="1029"/>
    </row>
    <row r="1106" ht="19.5" customHeight="1">
      <c r="A1106" s="999" t="str">
        <f t="shared" si="1578"/>
        <v xml:space="preserve">Герингер О.А.</v>
      </c>
      <c r="B1106" s="1176" t="s">
        <v>207</v>
      </c>
      <c r="C1106" s="1194"/>
      <c r="D1106" s="1194"/>
      <c r="E1106" s="1164">
        <f t="shared" si="1592"/>
        <v>0</v>
      </c>
      <c r="F1106" s="1164">
        <f t="shared" si="1592"/>
        <v>0</v>
      </c>
      <c r="G1106" s="1165">
        <f t="shared" si="1593"/>
        <v>0</v>
      </c>
      <c r="H1106" s="1166"/>
      <c r="I1106" s="1167">
        <f t="shared" si="1566"/>
        <v>0</v>
      </c>
      <c r="J1106" s="1167">
        <f t="shared" si="1580"/>
        <v>0</v>
      </c>
      <c r="K1106" s="1168">
        <f t="shared" si="1594"/>
        <v>0</v>
      </c>
      <c r="L1106" s="1128"/>
      <c r="M1106" s="1170"/>
      <c r="N1106" s="1175"/>
      <c r="O1106" s="1170"/>
      <c r="P1106" s="1169"/>
      <c r="Q1106" s="1170">
        <f t="shared" si="1595"/>
        <v>0</v>
      </c>
      <c r="R1106" s="1169"/>
      <c r="S1106" s="1170"/>
      <c r="T1106" s="1171"/>
      <c r="U1106" s="1128"/>
      <c r="V1106" s="1170"/>
      <c r="W1106" s="1175"/>
      <c r="X1106" s="1175"/>
      <c r="Y1106" s="1169"/>
      <c r="Z1106" s="1170">
        <f t="shared" si="1596"/>
        <v>0</v>
      </c>
      <c r="AA1106" s="1169"/>
      <c r="AB1106" s="1345"/>
      <c r="AC1106" s="1171"/>
      <c r="AD1106" s="1128"/>
      <c r="AE1106" s="1170"/>
      <c r="AF1106" s="1175"/>
      <c r="AG1106" s="1175"/>
      <c r="AH1106" s="1169"/>
      <c r="AI1106" s="1170">
        <f t="shared" si="1597"/>
        <v>0</v>
      </c>
      <c r="AJ1106" s="1169"/>
      <c r="AK1106" s="1170"/>
      <c r="AL1106" s="1171"/>
      <c r="AM1106" s="1128"/>
      <c r="AN1106" s="1170"/>
      <c r="AO1106" s="1175"/>
      <c r="AP1106" s="1175"/>
      <c r="AQ1106" s="1170"/>
      <c r="AR1106" s="1170">
        <f t="shared" si="1598"/>
        <v>0</v>
      </c>
      <c r="AS1106" s="1170"/>
      <c r="AT1106" s="1170"/>
      <c r="AU1106" s="1174"/>
      <c r="AV1106" s="1241"/>
      <c r="AW1106" s="1170"/>
      <c r="AX1106" s="1175"/>
      <c r="AY1106" s="1175"/>
      <c r="AZ1106" s="1169"/>
      <c r="BA1106" s="1170">
        <f t="shared" si="1599"/>
        <v>0</v>
      </c>
      <c r="BB1106" s="1169"/>
      <c r="BC1106" s="1029"/>
      <c r="BD1106" s="1027"/>
      <c r="BE1106" s="1029"/>
      <c r="BF1106" s="1029"/>
    </row>
    <row r="1107" ht="19.5" customHeight="1">
      <c r="A1107" s="999" t="str">
        <f t="shared" si="1578"/>
        <v xml:space="preserve">Ничипуренко И.А.</v>
      </c>
      <c r="B1107" s="1176" t="s">
        <v>375</v>
      </c>
      <c r="C1107" s="1176"/>
      <c r="D1107" s="1176"/>
      <c r="E1107" s="1164">
        <f t="shared" si="1592"/>
        <v>0</v>
      </c>
      <c r="F1107" s="1164">
        <f t="shared" si="1592"/>
        <v>0</v>
      </c>
      <c r="G1107" s="1165">
        <f t="shared" si="1593"/>
        <v>0</v>
      </c>
      <c r="H1107" s="1166"/>
      <c r="I1107" s="1167">
        <f t="shared" si="1566"/>
        <v>0</v>
      </c>
      <c r="J1107" s="1167">
        <f t="shared" si="1580"/>
        <v>0</v>
      </c>
      <c r="K1107" s="1168">
        <f t="shared" si="1594"/>
        <v>0</v>
      </c>
      <c r="L1107" s="1128"/>
      <c r="M1107" s="1170"/>
      <c r="N1107" s="1175"/>
      <c r="O1107" s="1170"/>
      <c r="P1107" s="1169"/>
      <c r="Q1107" s="1170">
        <f t="shared" si="1595"/>
        <v>0</v>
      </c>
      <c r="R1107" s="1169"/>
      <c r="S1107" s="1170"/>
      <c r="T1107" s="1171"/>
      <c r="U1107" s="1128"/>
      <c r="V1107" s="1170"/>
      <c r="W1107" s="1175"/>
      <c r="X1107" s="1175"/>
      <c r="Y1107" s="1169"/>
      <c r="Z1107" s="1170">
        <f t="shared" si="1596"/>
        <v>0</v>
      </c>
      <c r="AA1107" s="1169"/>
      <c r="AB1107" s="1345"/>
      <c r="AC1107" s="1171"/>
      <c r="AD1107" s="1128"/>
      <c r="AE1107" s="1170"/>
      <c r="AF1107" s="1175"/>
      <c r="AG1107" s="1175"/>
      <c r="AH1107" s="1169"/>
      <c r="AI1107" s="1170">
        <f t="shared" si="1597"/>
        <v>0</v>
      </c>
      <c r="AJ1107" s="1169"/>
      <c r="AK1107" s="1170"/>
      <c r="AL1107" s="1171"/>
      <c r="AM1107" s="1128"/>
      <c r="AN1107" s="1170"/>
      <c r="AO1107" s="1175"/>
      <c r="AP1107" s="1175"/>
      <c r="AQ1107" s="1170"/>
      <c r="AR1107" s="1170">
        <f t="shared" si="1598"/>
        <v>0</v>
      </c>
      <c r="AS1107" s="1170"/>
      <c r="AT1107" s="1170"/>
      <c r="AU1107" s="1174"/>
      <c r="AV1107" s="1241"/>
      <c r="AW1107" s="1170"/>
      <c r="AX1107" s="1175"/>
      <c r="AY1107" s="1175"/>
      <c r="AZ1107" s="1169"/>
      <c r="BA1107" s="1170">
        <f t="shared" si="1599"/>
        <v>0</v>
      </c>
      <c r="BB1107" s="1169"/>
      <c r="BC1107" s="1029"/>
      <c r="BD1107" s="1027"/>
      <c r="BE1107" s="1029"/>
      <c r="BF1107" s="1029"/>
    </row>
    <row r="1108" ht="19.5" customHeight="1">
      <c r="A1108" s="999" t="str">
        <f t="shared" si="1578"/>
        <v xml:space="preserve">Дылыкова А.А. Закусова О.А.  Фоменко Т.В., Бондаренко Н.Ф.</v>
      </c>
      <c r="B1108" s="1176" t="s">
        <v>210</v>
      </c>
      <c r="C1108" s="1176"/>
      <c r="D1108" s="1176"/>
      <c r="E1108" s="1164">
        <f t="shared" si="1592"/>
        <v>0</v>
      </c>
      <c r="F1108" s="1164">
        <f t="shared" si="1592"/>
        <v>0</v>
      </c>
      <c r="G1108" s="1165">
        <f t="shared" si="1593"/>
        <v>0</v>
      </c>
      <c r="H1108" s="1166"/>
      <c r="I1108" s="1167">
        <f t="shared" si="1566"/>
        <v>0</v>
      </c>
      <c r="J1108" s="1167">
        <f t="shared" si="1580"/>
        <v>0</v>
      </c>
      <c r="K1108" s="1168">
        <f t="shared" si="1594"/>
        <v>0</v>
      </c>
      <c r="L1108" s="1128"/>
      <c r="M1108" s="1170"/>
      <c r="N1108" s="1175"/>
      <c r="O1108" s="1170"/>
      <c r="P1108" s="1169"/>
      <c r="Q1108" s="1170">
        <f t="shared" si="1595"/>
        <v>0</v>
      </c>
      <c r="R1108" s="1169"/>
      <c r="S1108" s="1170"/>
      <c r="T1108" s="1171"/>
      <c r="U1108" s="1128"/>
      <c r="V1108" s="1170"/>
      <c r="W1108" s="1175"/>
      <c r="X1108" s="1175"/>
      <c r="Y1108" s="1169"/>
      <c r="Z1108" s="1170">
        <f t="shared" si="1596"/>
        <v>0</v>
      </c>
      <c r="AA1108" s="1169"/>
      <c r="AB1108" s="1345"/>
      <c r="AC1108" s="1171"/>
      <c r="AD1108" s="1128"/>
      <c r="AE1108" s="1170"/>
      <c r="AF1108" s="1175"/>
      <c r="AG1108" s="1175"/>
      <c r="AH1108" s="1169"/>
      <c r="AI1108" s="1170">
        <f t="shared" si="1597"/>
        <v>0</v>
      </c>
      <c r="AJ1108" s="1169"/>
      <c r="AK1108" s="1170"/>
      <c r="AL1108" s="1171"/>
      <c r="AM1108" s="1128"/>
      <c r="AN1108" s="1170"/>
      <c r="AO1108" s="1175"/>
      <c r="AP1108" s="1175"/>
      <c r="AQ1108" s="1170"/>
      <c r="AR1108" s="1170">
        <f t="shared" si="1598"/>
        <v>0</v>
      </c>
      <c r="AS1108" s="1170"/>
      <c r="AT1108" s="1170"/>
      <c r="AU1108" s="1174"/>
      <c r="AV1108" s="1241"/>
      <c r="AW1108" s="1170"/>
      <c r="AX1108" s="1175"/>
      <c r="AY1108" s="1175"/>
      <c r="AZ1108" s="1169"/>
      <c r="BA1108" s="1170">
        <f t="shared" si="1599"/>
        <v>0</v>
      </c>
      <c r="BB1108" s="1169"/>
      <c r="BC1108" s="1029"/>
      <c r="BD1108" s="1027"/>
      <c r="BE1108" s="1029"/>
      <c r="BF1108" s="1029"/>
    </row>
    <row r="1109" ht="19.5" customHeight="1">
      <c r="A1109" s="999" t="str">
        <f t="shared" si="1578"/>
        <v xml:space="preserve">Мазуренко А.Н.</v>
      </c>
      <c r="B1109" s="1176" t="s">
        <v>211</v>
      </c>
      <c r="C1109" s="1176"/>
      <c r="D1109" s="1176"/>
      <c r="E1109" s="1164">
        <f t="shared" si="1592"/>
        <v>0</v>
      </c>
      <c r="F1109" s="1164">
        <f t="shared" si="1592"/>
        <v>0</v>
      </c>
      <c r="G1109" s="1165">
        <f t="shared" si="1593"/>
        <v>0</v>
      </c>
      <c r="H1109" s="1166"/>
      <c r="I1109" s="1167">
        <f t="shared" si="1566"/>
        <v>0</v>
      </c>
      <c r="J1109" s="1167">
        <f t="shared" si="1580"/>
        <v>0</v>
      </c>
      <c r="K1109" s="1168">
        <f t="shared" si="1594"/>
        <v>0</v>
      </c>
      <c r="L1109" s="1128"/>
      <c r="M1109" s="1170"/>
      <c r="N1109" s="1175"/>
      <c r="O1109" s="1170"/>
      <c r="P1109" s="1169"/>
      <c r="Q1109" s="1170">
        <f t="shared" si="1595"/>
        <v>0</v>
      </c>
      <c r="R1109" s="1169"/>
      <c r="S1109" s="1170"/>
      <c r="T1109" s="1171"/>
      <c r="U1109" s="1128"/>
      <c r="V1109" s="1170"/>
      <c r="W1109" s="1175"/>
      <c r="X1109" s="1175"/>
      <c r="Y1109" s="1169"/>
      <c r="Z1109" s="1170">
        <f t="shared" si="1596"/>
        <v>0</v>
      </c>
      <c r="AA1109" s="1169"/>
      <c r="AB1109" s="1345"/>
      <c r="AC1109" s="1171"/>
      <c r="AD1109" s="1128"/>
      <c r="AE1109" s="1170"/>
      <c r="AF1109" s="1175"/>
      <c r="AG1109" s="1175"/>
      <c r="AH1109" s="1169"/>
      <c r="AI1109" s="1170">
        <f t="shared" si="1597"/>
        <v>0</v>
      </c>
      <c r="AJ1109" s="1169"/>
      <c r="AK1109" s="1170"/>
      <c r="AL1109" s="1171"/>
      <c r="AM1109" s="1128"/>
      <c r="AN1109" s="1170"/>
      <c r="AO1109" s="1175"/>
      <c r="AP1109" s="1175"/>
      <c r="AQ1109" s="1170"/>
      <c r="AR1109" s="1170">
        <f t="shared" si="1598"/>
        <v>0</v>
      </c>
      <c r="AS1109" s="1170"/>
      <c r="AT1109" s="1170"/>
      <c r="AU1109" s="1174"/>
      <c r="AV1109" s="1241"/>
      <c r="AW1109" s="1170"/>
      <c r="AX1109" s="1175"/>
      <c r="AY1109" s="1175"/>
      <c r="AZ1109" s="1169"/>
      <c r="BA1109" s="1170">
        <f t="shared" si="1599"/>
        <v>0</v>
      </c>
      <c r="BB1109" s="1169"/>
      <c r="BC1109" s="1029"/>
      <c r="BD1109" s="1027"/>
      <c r="BE1109" s="1029"/>
      <c r="BF1109" s="1029"/>
    </row>
    <row r="1110" s="1180" customFormat="1" ht="19.5" customHeight="1">
      <c r="A1110" s="999">
        <f t="shared" si="1578"/>
        <v>0</v>
      </c>
      <c r="B1110" s="1182" t="s">
        <v>363</v>
      </c>
      <c r="C1110" s="1182"/>
      <c r="D1110" s="1182"/>
      <c r="E1110" s="1183">
        <f>SUM(E1097:E1109)</f>
        <v>0</v>
      </c>
      <c r="F1110" s="1183">
        <f>SUM(F1097:F1109)</f>
        <v>0</v>
      </c>
      <c r="G1110" s="1184">
        <f>SUM(G1097:G1109)</f>
        <v>0</v>
      </c>
      <c r="H1110" s="1185"/>
      <c r="I1110" s="1167">
        <f t="shared" si="1566"/>
        <v>0</v>
      </c>
      <c r="J1110" s="1167">
        <f t="shared" si="1580"/>
        <v>0</v>
      </c>
      <c r="K1110" s="1187">
        <f>SUM(K1097:K1109)</f>
        <v>0</v>
      </c>
      <c r="L1110" s="1197"/>
      <c r="M1110" s="1190">
        <f t="shared" ref="M1110:R1110" si="1600">SUM(M1097:M1109)</f>
        <v>0</v>
      </c>
      <c r="N1110" s="1190">
        <f t="shared" si="1600"/>
        <v>0</v>
      </c>
      <c r="O1110" s="1190">
        <f t="shared" si="1600"/>
        <v>0</v>
      </c>
      <c r="P1110" s="1096">
        <f t="shared" si="1600"/>
        <v>0</v>
      </c>
      <c r="Q1110" s="1190">
        <f t="shared" si="1600"/>
        <v>0</v>
      </c>
      <c r="R1110" s="1096">
        <f t="shared" si="1600"/>
        <v>0</v>
      </c>
      <c r="S1110" s="1190"/>
      <c r="T1110" s="1189"/>
      <c r="U1110" s="1128"/>
      <c r="V1110" s="1190">
        <f t="shared" ref="V1110:AA1110" si="1601">SUM(V1097:V1109)</f>
        <v>0</v>
      </c>
      <c r="W1110" s="1190">
        <f t="shared" si="1601"/>
        <v>0</v>
      </c>
      <c r="X1110" s="1190">
        <f t="shared" si="1601"/>
        <v>0</v>
      </c>
      <c r="Y1110" s="1096">
        <f t="shared" si="1601"/>
        <v>0</v>
      </c>
      <c r="Z1110" s="1190">
        <f t="shared" si="1601"/>
        <v>0</v>
      </c>
      <c r="AA1110" s="1096">
        <f t="shared" si="1601"/>
        <v>0</v>
      </c>
      <c r="AB1110" s="1346"/>
      <c r="AC1110" s="1189"/>
      <c r="AD1110" s="1125"/>
      <c r="AE1110" s="1190">
        <f t="shared" ref="AE1110:AJ1110" si="1602">SUM(AE1097:AE1109)</f>
        <v>0</v>
      </c>
      <c r="AF1110" s="1190">
        <f t="shared" si="1602"/>
        <v>0</v>
      </c>
      <c r="AG1110" s="1190">
        <f t="shared" si="1602"/>
        <v>0</v>
      </c>
      <c r="AH1110" s="1096">
        <f t="shared" si="1602"/>
        <v>0</v>
      </c>
      <c r="AI1110" s="1190">
        <f t="shared" si="1602"/>
        <v>0</v>
      </c>
      <c r="AJ1110" s="1096">
        <f t="shared" si="1602"/>
        <v>0</v>
      </c>
      <c r="AK1110" s="1190"/>
      <c r="AL1110" s="1189"/>
      <c r="AM1110" s="1125"/>
      <c r="AN1110" s="1190">
        <f t="shared" ref="AN1110:AS1110" si="1603">SUM(AN1097:AN1109)</f>
        <v>0</v>
      </c>
      <c r="AO1110" s="1190">
        <f t="shared" si="1603"/>
        <v>0</v>
      </c>
      <c r="AP1110" s="1190">
        <f t="shared" si="1603"/>
        <v>0</v>
      </c>
      <c r="AQ1110" s="1190">
        <f t="shared" si="1603"/>
        <v>0</v>
      </c>
      <c r="AR1110" s="1190">
        <f t="shared" si="1603"/>
        <v>0</v>
      </c>
      <c r="AS1110" s="1190">
        <f t="shared" si="1603"/>
        <v>0</v>
      </c>
      <c r="AT1110" s="1190"/>
      <c r="AU1110" s="1191"/>
      <c r="AV1110" s="1245"/>
      <c r="AW1110" s="1190">
        <f t="shared" ref="AW1110:BB1110" si="1604">SUM(AW1097:AW1109)</f>
        <v>0</v>
      </c>
      <c r="AX1110" s="1190">
        <f t="shared" si="1604"/>
        <v>0</v>
      </c>
      <c r="AY1110" s="1190">
        <f t="shared" si="1604"/>
        <v>0</v>
      </c>
      <c r="AZ1110" s="1096">
        <f t="shared" si="1604"/>
        <v>0</v>
      </c>
      <c r="BA1110" s="1190">
        <f t="shared" si="1604"/>
        <v>0</v>
      </c>
      <c r="BB1110" s="1190">
        <f t="shared" si="1604"/>
        <v>0</v>
      </c>
      <c r="BC1110" s="1051"/>
      <c r="BD1110" s="1052"/>
      <c r="BE1110" s="1051"/>
      <c r="BF1110" s="1051"/>
      <c r="BG1110" s="1106"/>
      <c r="BH1110" s="1106"/>
      <c r="BI1110" s="1106"/>
      <c r="BJ1110" s="1106"/>
      <c r="BK1110" s="1106"/>
      <c r="BL1110" s="1106"/>
      <c r="BM1110" s="1106"/>
    </row>
    <row r="1111" ht="19.5" customHeight="1">
      <c r="A1111" s="999" t="str">
        <f t="shared" si="1578"/>
        <v xml:space="preserve">Румак В.Н,  Стоянова Е.П.</v>
      </c>
      <c r="B1111" s="1176" t="s">
        <v>379</v>
      </c>
      <c r="C1111" s="1176"/>
      <c r="D1111" s="1176"/>
      <c r="E1111" s="1164">
        <f t="shared" ref="E1111:F1115" si="1605">Q1111+Z1111+AI1111+AR1111+BA1111</f>
        <v>0</v>
      </c>
      <c r="F1111" s="1164">
        <f t="shared" si="1605"/>
        <v>0</v>
      </c>
      <c r="G1111" s="1165">
        <f t="shared" ref="G1111:G1115" si="1606">E1111+F1111</f>
        <v>0</v>
      </c>
      <c r="H1111" s="1166"/>
      <c r="I1111" s="1167">
        <f t="shared" si="1566"/>
        <v>0</v>
      </c>
      <c r="J1111" s="1167">
        <f t="shared" si="1580"/>
        <v>0</v>
      </c>
      <c r="K1111" s="1168">
        <f t="shared" ref="K1111:K1115" si="1607">I1111+J1111</f>
        <v>0</v>
      </c>
      <c r="L1111" s="1128"/>
      <c r="M1111" s="1170"/>
      <c r="N1111" s="1175"/>
      <c r="O1111" s="1170"/>
      <c r="P1111" s="1169"/>
      <c r="Q1111" s="1170">
        <f t="shared" ref="Q1111:Q1115" si="1608">SUM(M1111:P1111)</f>
        <v>0</v>
      </c>
      <c r="R1111" s="1169"/>
      <c r="S1111" s="1170"/>
      <c r="T1111" s="1171"/>
      <c r="U1111" s="1128"/>
      <c r="V1111" s="1170"/>
      <c r="W1111" s="1175"/>
      <c r="X1111" s="1175"/>
      <c r="Y1111" s="1169"/>
      <c r="Z1111" s="1170">
        <f t="shared" ref="Z1111:Z1115" si="1609">SUM(V1111:Y1111)</f>
        <v>0</v>
      </c>
      <c r="AA1111" s="1169"/>
      <c r="AB1111" s="1345"/>
      <c r="AC1111" s="1171"/>
      <c r="AD1111" s="1128"/>
      <c r="AE1111" s="1170"/>
      <c r="AF1111" s="1175"/>
      <c r="AG1111" s="1175"/>
      <c r="AH1111" s="1169"/>
      <c r="AI1111" s="1170">
        <f t="shared" ref="AI1111:AI1115" si="1610">SUM(AE1111:AH1111)</f>
        <v>0</v>
      </c>
      <c r="AJ1111" s="1169"/>
      <c r="AK1111" s="1170"/>
      <c r="AL1111" s="1171"/>
      <c r="AM1111" s="1128"/>
      <c r="AN1111" s="1170"/>
      <c r="AO1111" s="1175"/>
      <c r="AP1111" s="1175"/>
      <c r="AQ1111" s="1170"/>
      <c r="AR1111" s="1170">
        <f t="shared" ref="AR1111:AR1115" si="1611">SUM(AN1111:AQ1111)</f>
        <v>0</v>
      </c>
      <c r="AS1111" s="1170"/>
      <c r="AT1111" s="1170"/>
      <c r="AU1111" s="1174"/>
      <c r="AV1111" s="1241"/>
      <c r="AW1111" s="1170"/>
      <c r="AX1111" s="1175"/>
      <c r="AY1111" s="1175"/>
      <c r="AZ1111" s="1169"/>
      <c r="BA1111" s="1170">
        <f t="shared" ref="BA1111:BA1115" si="1612">SUM(AW1111:AZ1111)</f>
        <v>0</v>
      </c>
      <c r="BB1111" s="1170"/>
      <c r="BC1111" s="1029"/>
      <c r="BD1111" s="1027"/>
      <c r="BE1111" s="1029"/>
      <c r="BF1111" s="1029"/>
    </row>
    <row r="1112" s="1215" customFormat="1" ht="19.5" customHeight="1">
      <c r="A1112" s="999" t="str">
        <f t="shared" si="1578"/>
        <v xml:space="preserve">Голубцова О.В.</v>
      </c>
      <c r="B1112" s="1176" t="s">
        <v>381</v>
      </c>
      <c r="C1112" s="1176"/>
      <c r="D1112" s="1176"/>
      <c r="E1112" s="1164">
        <f t="shared" si="1605"/>
        <v>0</v>
      </c>
      <c r="F1112" s="1164">
        <f t="shared" si="1605"/>
        <v>0</v>
      </c>
      <c r="G1112" s="1165">
        <f t="shared" si="1606"/>
        <v>0</v>
      </c>
      <c r="H1112" s="1166"/>
      <c r="I1112" s="1167">
        <f t="shared" si="1566"/>
        <v>0</v>
      </c>
      <c r="J1112" s="1167">
        <f t="shared" si="1580"/>
        <v>0</v>
      </c>
      <c r="K1112" s="1168">
        <f t="shared" si="1607"/>
        <v>0</v>
      </c>
      <c r="L1112" s="1128"/>
      <c r="M1112" s="1170"/>
      <c r="N1112" s="1175"/>
      <c r="O1112" s="1170"/>
      <c r="P1112" s="1169"/>
      <c r="Q1112" s="1170">
        <f t="shared" si="1608"/>
        <v>0</v>
      </c>
      <c r="R1112" s="1169"/>
      <c r="S1112" s="1170"/>
      <c r="T1112" s="1171"/>
      <c r="U1112" s="1128"/>
      <c r="V1112" s="1170"/>
      <c r="W1112" s="1175"/>
      <c r="X1112" s="1175"/>
      <c r="Y1112" s="1169"/>
      <c r="Z1112" s="1170">
        <f t="shared" si="1609"/>
        <v>0</v>
      </c>
      <c r="AA1112" s="1169"/>
      <c r="AB1112" s="1345"/>
      <c r="AC1112" s="1171"/>
      <c r="AD1112" s="1128"/>
      <c r="AE1112" s="1170"/>
      <c r="AF1112" s="1175"/>
      <c r="AG1112" s="1175"/>
      <c r="AH1112" s="1169"/>
      <c r="AI1112" s="1170">
        <f t="shared" si="1610"/>
        <v>0</v>
      </c>
      <c r="AJ1112" s="1169"/>
      <c r="AK1112" s="1170"/>
      <c r="AL1112" s="1171"/>
      <c r="AM1112" s="1128"/>
      <c r="AN1112" s="1170"/>
      <c r="AO1112" s="1175"/>
      <c r="AP1112" s="1175"/>
      <c r="AQ1112" s="1170"/>
      <c r="AR1112" s="1170">
        <f t="shared" si="1611"/>
        <v>0</v>
      </c>
      <c r="AS1112" s="1170"/>
      <c r="AT1112" s="1170"/>
      <c r="AU1112" s="1174"/>
      <c r="AV1112" s="1241"/>
      <c r="AW1112" s="1170"/>
      <c r="AX1112" s="1175"/>
      <c r="AY1112" s="1175"/>
      <c r="AZ1112" s="1169"/>
      <c r="BA1112" s="1170">
        <f t="shared" si="1612"/>
        <v>0</v>
      </c>
      <c r="BB1112" s="1170"/>
      <c r="BC1112" s="1024"/>
      <c r="BD1112" s="1027"/>
      <c r="BE1112" s="1024"/>
      <c r="BF1112" s="1024"/>
      <c r="BG1112" s="1008"/>
      <c r="BH1112" s="1008"/>
      <c r="BI1112" s="1008"/>
      <c r="BJ1112" s="1008"/>
      <c r="BK1112" s="1008"/>
      <c r="BL1112" s="1008"/>
      <c r="BM1112" s="1008"/>
    </row>
    <row r="1113" ht="19.5" customHeight="1">
      <c r="A1113" s="999" t="str">
        <f t="shared" si="1578"/>
        <v xml:space="preserve">Бородулина М.П.</v>
      </c>
      <c r="B1113" s="1176" t="s">
        <v>383</v>
      </c>
      <c r="C1113" s="1176"/>
      <c r="D1113" s="1176"/>
      <c r="E1113" s="1164">
        <f t="shared" si="1605"/>
        <v>0</v>
      </c>
      <c r="F1113" s="1164">
        <f t="shared" si="1605"/>
        <v>0</v>
      </c>
      <c r="G1113" s="1165">
        <f t="shared" si="1606"/>
        <v>0</v>
      </c>
      <c r="H1113" s="1166"/>
      <c r="I1113" s="1167">
        <f t="shared" si="1566"/>
        <v>0</v>
      </c>
      <c r="J1113" s="1167">
        <f t="shared" si="1580"/>
        <v>0</v>
      </c>
      <c r="K1113" s="1168">
        <f t="shared" si="1607"/>
        <v>0</v>
      </c>
      <c r="L1113" s="1128"/>
      <c r="M1113" s="1170"/>
      <c r="N1113" s="1175"/>
      <c r="O1113" s="1170"/>
      <c r="P1113" s="1169"/>
      <c r="Q1113" s="1170">
        <f t="shared" si="1608"/>
        <v>0</v>
      </c>
      <c r="R1113" s="1169"/>
      <c r="S1113" s="1170"/>
      <c r="T1113" s="1171"/>
      <c r="U1113" s="1128"/>
      <c r="V1113" s="1170"/>
      <c r="W1113" s="1175"/>
      <c r="X1113" s="1175"/>
      <c r="Y1113" s="1169"/>
      <c r="Z1113" s="1170">
        <f t="shared" si="1609"/>
        <v>0</v>
      </c>
      <c r="AA1113" s="1169"/>
      <c r="AB1113" s="1345"/>
      <c r="AC1113" s="1171"/>
      <c r="AD1113" s="1128"/>
      <c r="AE1113" s="1170"/>
      <c r="AF1113" s="1175"/>
      <c r="AG1113" s="1175"/>
      <c r="AH1113" s="1169"/>
      <c r="AI1113" s="1170">
        <f t="shared" si="1610"/>
        <v>0</v>
      </c>
      <c r="AJ1113" s="1169"/>
      <c r="AK1113" s="1170"/>
      <c r="AL1113" s="1171"/>
      <c r="AM1113" s="1128"/>
      <c r="AN1113" s="1170"/>
      <c r="AO1113" s="1175"/>
      <c r="AP1113" s="1175"/>
      <c r="AQ1113" s="1170"/>
      <c r="AR1113" s="1170">
        <f t="shared" si="1611"/>
        <v>0</v>
      </c>
      <c r="AS1113" s="1170"/>
      <c r="AT1113" s="1170"/>
      <c r="AU1113" s="1174"/>
      <c r="AV1113" s="1241"/>
      <c r="AW1113" s="1170"/>
      <c r="AX1113" s="1175"/>
      <c r="AY1113" s="1175"/>
      <c r="AZ1113" s="1169"/>
      <c r="BA1113" s="1170">
        <f t="shared" si="1612"/>
        <v>0</v>
      </c>
      <c r="BB1113" s="1170"/>
      <c r="BC1113" s="1029"/>
      <c r="BD1113" s="1027"/>
      <c r="BE1113" s="1029"/>
      <c r="BF1113" s="1029"/>
    </row>
    <row r="1114" ht="19.5" customHeight="1">
      <c r="A1114" s="999" t="str">
        <f t="shared" si="1578"/>
        <v xml:space="preserve">Буханова Т.И. Мансурова А.Г.</v>
      </c>
      <c r="B1114" s="1176" t="s">
        <v>385</v>
      </c>
      <c r="C1114" s="1196"/>
      <c r="D1114" s="1196"/>
      <c r="E1114" s="1164">
        <f t="shared" si="1605"/>
        <v>0</v>
      </c>
      <c r="F1114" s="1164">
        <f t="shared" si="1605"/>
        <v>0</v>
      </c>
      <c r="G1114" s="1165">
        <f t="shared" si="1606"/>
        <v>0</v>
      </c>
      <c r="H1114" s="1166"/>
      <c r="I1114" s="1167">
        <f t="shared" si="1566"/>
        <v>0</v>
      </c>
      <c r="J1114" s="1167">
        <f t="shared" si="1580"/>
        <v>0</v>
      </c>
      <c r="K1114" s="1168">
        <f t="shared" si="1607"/>
        <v>0</v>
      </c>
      <c r="L1114" s="1128"/>
      <c r="M1114" s="1170"/>
      <c r="N1114" s="1175"/>
      <c r="O1114" s="1170"/>
      <c r="P1114" s="1169"/>
      <c r="Q1114" s="1170">
        <f t="shared" si="1608"/>
        <v>0</v>
      </c>
      <c r="R1114" s="1169"/>
      <c r="S1114" s="1170"/>
      <c r="T1114" s="1171"/>
      <c r="U1114" s="1128"/>
      <c r="V1114" s="1170"/>
      <c r="W1114" s="1175"/>
      <c r="X1114" s="1175"/>
      <c r="Y1114" s="1169"/>
      <c r="Z1114" s="1170">
        <f t="shared" si="1609"/>
        <v>0</v>
      </c>
      <c r="AA1114" s="1169"/>
      <c r="AB1114" s="1345"/>
      <c r="AC1114" s="1171"/>
      <c r="AD1114" s="1128"/>
      <c r="AE1114" s="1170"/>
      <c r="AF1114" s="1175"/>
      <c r="AG1114" s="1175"/>
      <c r="AH1114" s="1169"/>
      <c r="AI1114" s="1170">
        <f t="shared" si="1610"/>
        <v>0</v>
      </c>
      <c r="AJ1114" s="1169"/>
      <c r="AK1114" s="1170"/>
      <c r="AL1114" s="1171"/>
      <c r="AM1114" s="1128"/>
      <c r="AN1114" s="1170"/>
      <c r="AO1114" s="1175"/>
      <c r="AP1114" s="1175"/>
      <c r="AQ1114" s="1170"/>
      <c r="AR1114" s="1170">
        <f t="shared" si="1611"/>
        <v>0</v>
      </c>
      <c r="AS1114" s="1170"/>
      <c r="AT1114" s="1170"/>
      <c r="AU1114" s="1174"/>
      <c r="AV1114" s="1241"/>
      <c r="AW1114" s="1170"/>
      <c r="AX1114" s="1175"/>
      <c r="AY1114" s="1175"/>
      <c r="AZ1114" s="1169"/>
      <c r="BA1114" s="1170">
        <f t="shared" si="1612"/>
        <v>0</v>
      </c>
      <c r="BB1114" s="1170"/>
      <c r="BC1114" s="1029"/>
      <c r="BD1114" s="1027"/>
      <c r="BE1114" s="1029"/>
      <c r="BF1114" s="1029"/>
    </row>
    <row r="1115" ht="19.5" customHeight="1">
      <c r="A1115" s="999" t="str">
        <f t="shared" si="1578"/>
        <v xml:space="preserve">Мирошник ЕВ Степовая ЛН</v>
      </c>
      <c r="B1115" s="1176" t="s">
        <v>387</v>
      </c>
      <c r="C1115" s="1176"/>
      <c r="D1115" s="1176"/>
      <c r="E1115" s="1164">
        <f t="shared" si="1605"/>
        <v>0</v>
      </c>
      <c r="F1115" s="1164">
        <f t="shared" si="1605"/>
        <v>0</v>
      </c>
      <c r="G1115" s="1165">
        <f t="shared" si="1606"/>
        <v>0</v>
      </c>
      <c r="H1115" s="1166"/>
      <c r="I1115" s="1167">
        <f t="shared" si="1566"/>
        <v>0</v>
      </c>
      <c r="J1115" s="1167">
        <f t="shared" si="1580"/>
        <v>0</v>
      </c>
      <c r="K1115" s="1168">
        <f t="shared" si="1607"/>
        <v>0</v>
      </c>
      <c r="L1115" s="1128"/>
      <c r="M1115" s="1170"/>
      <c r="N1115" s="1175"/>
      <c r="O1115" s="1170"/>
      <c r="P1115" s="1169"/>
      <c r="Q1115" s="1170">
        <f t="shared" si="1608"/>
        <v>0</v>
      </c>
      <c r="R1115" s="1169"/>
      <c r="S1115" s="1170"/>
      <c r="T1115" s="1171"/>
      <c r="U1115" s="1128"/>
      <c r="V1115" s="1170"/>
      <c r="W1115" s="1175"/>
      <c r="X1115" s="1175"/>
      <c r="Y1115" s="1169"/>
      <c r="Z1115" s="1170">
        <f t="shared" si="1609"/>
        <v>0</v>
      </c>
      <c r="AA1115" s="1169"/>
      <c r="AB1115" s="1345"/>
      <c r="AC1115" s="1171"/>
      <c r="AD1115" s="1128"/>
      <c r="AE1115" s="1170"/>
      <c r="AF1115" s="1175"/>
      <c r="AG1115" s="1175"/>
      <c r="AH1115" s="1169"/>
      <c r="AI1115" s="1170">
        <f t="shared" si="1610"/>
        <v>0</v>
      </c>
      <c r="AJ1115" s="1169"/>
      <c r="AK1115" s="1170"/>
      <c r="AL1115" s="1171"/>
      <c r="AM1115" s="1128"/>
      <c r="AN1115" s="1170"/>
      <c r="AO1115" s="1175"/>
      <c r="AP1115" s="1175"/>
      <c r="AQ1115" s="1170"/>
      <c r="AR1115" s="1170">
        <f t="shared" si="1611"/>
        <v>0</v>
      </c>
      <c r="AS1115" s="1170"/>
      <c r="AT1115" s="1170"/>
      <c r="AU1115" s="1174"/>
      <c r="AV1115" s="1241"/>
      <c r="AW1115" s="1170"/>
      <c r="AX1115" s="1175"/>
      <c r="AY1115" s="1175"/>
      <c r="AZ1115" s="1169"/>
      <c r="BA1115" s="1170">
        <f t="shared" si="1612"/>
        <v>0</v>
      </c>
      <c r="BB1115" s="1170"/>
      <c r="BC1115" s="1029"/>
      <c r="BD1115" s="1027"/>
      <c r="BE1115" s="1029"/>
      <c r="BF1115" s="1029"/>
    </row>
    <row r="1116" s="1180" customFormat="1" ht="19.5" customHeight="1">
      <c r="A1116" s="999">
        <f t="shared" si="1578"/>
        <v>0</v>
      </c>
      <c r="B1116" s="1182" t="s">
        <v>388</v>
      </c>
      <c r="C1116" s="1182"/>
      <c r="D1116" s="1182"/>
      <c r="E1116" s="1183">
        <f>SUM(E1111:E1115)</f>
        <v>0</v>
      </c>
      <c r="F1116" s="1183">
        <f>SUM(F1111:F1115)</f>
        <v>0</v>
      </c>
      <c r="G1116" s="1184">
        <f>SUM(G1111:G1115)</f>
        <v>0</v>
      </c>
      <c r="H1116" s="1185"/>
      <c r="I1116" s="1167">
        <f t="shared" si="1566"/>
        <v>0</v>
      </c>
      <c r="J1116" s="1167">
        <f t="shared" si="1580"/>
        <v>0</v>
      </c>
      <c r="K1116" s="1187">
        <f>SUM(K1111:K1115)</f>
        <v>0</v>
      </c>
      <c r="L1116" s="1197"/>
      <c r="M1116" s="1190">
        <f t="shared" ref="M1116:R1116" si="1613">SUM(M1111:M1115)</f>
        <v>0</v>
      </c>
      <c r="N1116" s="1190">
        <f t="shared" si="1613"/>
        <v>0</v>
      </c>
      <c r="O1116" s="1190">
        <f t="shared" si="1613"/>
        <v>0</v>
      </c>
      <c r="P1116" s="1096">
        <f t="shared" si="1613"/>
        <v>0</v>
      </c>
      <c r="Q1116" s="1190">
        <f t="shared" si="1613"/>
        <v>0</v>
      </c>
      <c r="R1116" s="1096">
        <f t="shared" si="1613"/>
        <v>0</v>
      </c>
      <c r="S1116" s="1190"/>
      <c r="T1116" s="1189"/>
      <c r="U1116" s="1197"/>
      <c r="V1116" s="1190">
        <f t="shared" ref="V1116:AA1116" si="1614">SUM(V1111:V1115)</f>
        <v>0</v>
      </c>
      <c r="W1116" s="1190">
        <f t="shared" si="1614"/>
        <v>0</v>
      </c>
      <c r="X1116" s="1190">
        <f t="shared" si="1614"/>
        <v>0</v>
      </c>
      <c r="Y1116" s="1096">
        <f t="shared" si="1614"/>
        <v>0</v>
      </c>
      <c r="Z1116" s="1190">
        <f t="shared" si="1614"/>
        <v>0</v>
      </c>
      <c r="AA1116" s="1096">
        <f t="shared" si="1614"/>
        <v>0</v>
      </c>
      <c r="AB1116" s="1346"/>
      <c r="AC1116" s="1189"/>
      <c r="AD1116" s="1197"/>
      <c r="AE1116" s="1190">
        <f t="shared" ref="AE1116:AJ1116" si="1615">SUM(AE1111:AE1115)</f>
        <v>0</v>
      </c>
      <c r="AF1116" s="1190">
        <f t="shared" si="1615"/>
        <v>0</v>
      </c>
      <c r="AG1116" s="1190">
        <f t="shared" si="1615"/>
        <v>0</v>
      </c>
      <c r="AH1116" s="1096">
        <f t="shared" si="1615"/>
        <v>0</v>
      </c>
      <c r="AI1116" s="1190">
        <f t="shared" si="1615"/>
        <v>0</v>
      </c>
      <c r="AJ1116" s="1096">
        <f t="shared" si="1615"/>
        <v>0</v>
      </c>
      <c r="AK1116" s="1190"/>
      <c r="AL1116" s="1189"/>
      <c r="AM1116" s="1197"/>
      <c r="AN1116" s="1190">
        <f t="shared" ref="AN1116:AS1116" si="1616">SUM(AN1111:AN1115)</f>
        <v>0</v>
      </c>
      <c r="AO1116" s="1190">
        <f t="shared" si="1616"/>
        <v>0</v>
      </c>
      <c r="AP1116" s="1190">
        <f t="shared" si="1616"/>
        <v>0</v>
      </c>
      <c r="AQ1116" s="1190">
        <f t="shared" si="1616"/>
        <v>0</v>
      </c>
      <c r="AR1116" s="1190">
        <f t="shared" si="1616"/>
        <v>0</v>
      </c>
      <c r="AS1116" s="1190">
        <f t="shared" si="1616"/>
        <v>0</v>
      </c>
      <c r="AT1116" s="1190"/>
      <c r="AU1116" s="1191"/>
      <c r="AV1116" s="1197">
        <f t="shared" ref="AV1116:BB1116" si="1617">SUM(AV1111:AV1115)</f>
        <v>0</v>
      </c>
      <c r="AW1116" s="1190">
        <f t="shared" si="1617"/>
        <v>0</v>
      </c>
      <c r="AX1116" s="1190">
        <f t="shared" si="1617"/>
        <v>0</v>
      </c>
      <c r="AY1116" s="1190">
        <f t="shared" si="1617"/>
        <v>0</v>
      </c>
      <c r="AZ1116" s="1096">
        <f t="shared" si="1617"/>
        <v>0</v>
      </c>
      <c r="BA1116" s="1190">
        <f t="shared" si="1617"/>
        <v>0</v>
      </c>
      <c r="BB1116" s="1190">
        <f t="shared" si="1617"/>
        <v>0</v>
      </c>
      <c r="BC1116" s="1051"/>
      <c r="BD1116" s="1052"/>
      <c r="BE1116" s="1051"/>
      <c r="BF1116" s="1051"/>
      <c r="BG1116" s="1106"/>
      <c r="BH1116" s="1106"/>
      <c r="BI1116" s="1106"/>
      <c r="BJ1116" s="1106"/>
      <c r="BK1116" s="1106"/>
      <c r="BL1116" s="1106"/>
      <c r="BM1116" s="1106"/>
    </row>
    <row r="1117" ht="19.5" customHeight="1">
      <c r="A1117" s="999" t="str">
        <f t="shared" si="1578"/>
        <v xml:space="preserve">Зиненко Ю.А. Шаповалова Т.Ю.</v>
      </c>
      <c r="B1117" s="1176" t="s">
        <v>390</v>
      </c>
      <c r="C1117" s="1198"/>
      <c r="D1117" s="1198"/>
      <c r="E1117" s="1164">
        <f t="shared" ref="E1117:F1119" si="1618">Q1117+Z1117+AI1117+AR1117+BA1117</f>
        <v>0</v>
      </c>
      <c r="F1117" s="1164">
        <f t="shared" si="1618"/>
        <v>0</v>
      </c>
      <c r="G1117" s="1165">
        <f t="shared" ref="G1117:G1119" si="1619">E1117+F1117</f>
        <v>0</v>
      </c>
      <c r="H1117" s="1166"/>
      <c r="I1117" s="1167">
        <f t="shared" si="1566"/>
        <v>0</v>
      </c>
      <c r="J1117" s="1167">
        <f t="shared" si="1580"/>
        <v>0</v>
      </c>
      <c r="K1117" s="1168">
        <f t="shared" ref="K1117:K1119" si="1620">I1117+J1117</f>
        <v>0</v>
      </c>
      <c r="L1117" s="1197"/>
      <c r="M1117" s="1170"/>
      <c r="N1117" s="1200"/>
      <c r="O1117" s="1170"/>
      <c r="P1117" s="1169"/>
      <c r="Q1117" s="1170">
        <f t="shared" ref="Q1117:Q1119" si="1621">SUM(M1117:P1117)</f>
        <v>0</v>
      </c>
      <c r="R1117" s="1169"/>
      <c r="S1117" s="1170"/>
      <c r="T1117" s="1171"/>
      <c r="U1117" s="1128"/>
      <c r="V1117" s="1170"/>
      <c r="W1117" s="1200"/>
      <c r="X1117" s="1200"/>
      <c r="Y1117" s="1169"/>
      <c r="Z1117" s="1170">
        <f t="shared" ref="Z1117:Z1119" si="1622">SUM(V1117:Y1117)</f>
        <v>0</v>
      </c>
      <c r="AA1117" s="1169"/>
      <c r="AB1117" s="1345"/>
      <c r="AC1117" s="1171"/>
      <c r="AD1117" s="1128"/>
      <c r="AE1117" s="1170"/>
      <c r="AF1117" s="1200"/>
      <c r="AG1117" s="1200"/>
      <c r="AH1117" s="1169"/>
      <c r="AI1117" s="1170">
        <f t="shared" ref="AI1117:AI1119" si="1623">SUM(AE1117:AH1117)</f>
        <v>0</v>
      </c>
      <c r="AJ1117" s="1169"/>
      <c r="AK1117" s="1170"/>
      <c r="AL1117" s="1171"/>
      <c r="AM1117" s="1128"/>
      <c r="AN1117" s="1170"/>
      <c r="AO1117" s="1200"/>
      <c r="AP1117" s="1200"/>
      <c r="AQ1117" s="1170"/>
      <c r="AR1117" s="1170">
        <f t="shared" ref="AR1117:AR1119" si="1624">SUM(AN1117:AQ1117)</f>
        <v>0</v>
      </c>
      <c r="AS1117" s="1170"/>
      <c r="AT1117" s="1170"/>
      <c r="AU1117" s="1174"/>
      <c r="AV1117" s="1241"/>
      <c r="AW1117" s="1170"/>
      <c r="AX1117" s="1200"/>
      <c r="AY1117" s="1200"/>
      <c r="AZ1117" s="1169"/>
      <c r="BA1117" s="1170">
        <f t="shared" ref="BA1117:BA1119" si="1625">SUM(AW1117:AZ1117)</f>
        <v>0</v>
      </c>
      <c r="BB1117" s="1170"/>
      <c r="BC1117" s="1029"/>
      <c r="BD1117" s="1027"/>
      <c r="BE1117" s="1029"/>
      <c r="BF1117" s="1029"/>
    </row>
    <row r="1118" ht="19.5" customHeight="1">
      <c r="A1118" s="999" t="str">
        <f t="shared" si="1578"/>
        <v xml:space="preserve">Майорова И.В.</v>
      </c>
      <c r="B1118" s="1176" t="s">
        <v>392</v>
      </c>
      <c r="C1118" s="1198"/>
      <c r="D1118" s="1198"/>
      <c r="E1118" s="1164">
        <f t="shared" si="1618"/>
        <v>0</v>
      </c>
      <c r="F1118" s="1164">
        <f t="shared" si="1618"/>
        <v>0</v>
      </c>
      <c r="G1118" s="1165">
        <f t="shared" si="1619"/>
        <v>0</v>
      </c>
      <c r="H1118" s="1166"/>
      <c r="I1118" s="1167">
        <f t="shared" si="1566"/>
        <v>0</v>
      </c>
      <c r="J1118" s="1167">
        <f t="shared" si="1580"/>
        <v>0</v>
      </c>
      <c r="K1118" s="1168">
        <f t="shared" si="1620"/>
        <v>0</v>
      </c>
      <c r="L1118" s="1197"/>
      <c r="M1118" s="1170"/>
      <c r="N1118" s="1175"/>
      <c r="O1118" s="1170"/>
      <c r="P1118" s="1169"/>
      <c r="Q1118" s="1170">
        <f t="shared" si="1621"/>
        <v>0</v>
      </c>
      <c r="R1118" s="1169"/>
      <c r="S1118" s="1170"/>
      <c r="T1118" s="1171"/>
      <c r="U1118" s="1128"/>
      <c r="V1118" s="1170"/>
      <c r="W1118" s="1175"/>
      <c r="X1118" s="1175"/>
      <c r="Y1118" s="1169"/>
      <c r="Z1118" s="1170">
        <f t="shared" si="1622"/>
        <v>0</v>
      </c>
      <c r="AA1118" s="1169"/>
      <c r="AB1118" s="1345"/>
      <c r="AC1118" s="1171"/>
      <c r="AD1118" s="1128"/>
      <c r="AE1118" s="1170"/>
      <c r="AF1118" s="1175"/>
      <c r="AG1118" s="1175"/>
      <c r="AH1118" s="1169"/>
      <c r="AI1118" s="1170">
        <f t="shared" si="1623"/>
        <v>0</v>
      </c>
      <c r="AJ1118" s="1169"/>
      <c r="AK1118" s="1170"/>
      <c r="AL1118" s="1171"/>
      <c r="AM1118" s="1128"/>
      <c r="AN1118" s="1170"/>
      <c r="AO1118" s="1175"/>
      <c r="AP1118" s="1175"/>
      <c r="AQ1118" s="1170"/>
      <c r="AR1118" s="1170">
        <f t="shared" si="1624"/>
        <v>0</v>
      </c>
      <c r="AS1118" s="1170"/>
      <c r="AT1118" s="1170"/>
      <c r="AU1118" s="1174"/>
      <c r="AV1118" s="1241"/>
      <c r="AW1118" s="1170"/>
      <c r="AX1118" s="1175"/>
      <c r="AY1118" s="1175"/>
      <c r="AZ1118" s="1169"/>
      <c r="BA1118" s="1170">
        <f t="shared" si="1625"/>
        <v>0</v>
      </c>
      <c r="BB1118" s="1170"/>
      <c r="BC1118" s="1029"/>
      <c r="BD1118" s="1027"/>
      <c r="BE1118" s="1029"/>
      <c r="BF1118" s="1029"/>
    </row>
    <row r="1119" ht="19.5" customHeight="1">
      <c r="A1119" s="999" t="str">
        <f t="shared" si="1578"/>
        <v xml:space="preserve">Гребенюк Ю.С.,  Молчанова Н.М.</v>
      </c>
      <c r="B1119" s="1176" t="s">
        <v>265</v>
      </c>
      <c r="C1119" s="1176"/>
      <c r="D1119" s="1176"/>
      <c r="E1119" s="1164">
        <f t="shared" si="1618"/>
        <v>0</v>
      </c>
      <c r="F1119" s="1164">
        <f t="shared" si="1618"/>
        <v>0</v>
      </c>
      <c r="G1119" s="1165">
        <f t="shared" si="1619"/>
        <v>0</v>
      </c>
      <c r="H1119" s="1166"/>
      <c r="I1119" s="1167">
        <f t="shared" si="1566"/>
        <v>0</v>
      </c>
      <c r="J1119" s="1167">
        <f t="shared" si="1580"/>
        <v>0</v>
      </c>
      <c r="K1119" s="1168">
        <f t="shared" si="1620"/>
        <v>0</v>
      </c>
      <c r="L1119" s="1128"/>
      <c r="M1119" s="1170"/>
      <c r="N1119" s="1175"/>
      <c r="O1119" s="1170"/>
      <c r="P1119" s="1169"/>
      <c r="Q1119" s="1170">
        <f t="shared" si="1621"/>
        <v>0</v>
      </c>
      <c r="R1119" s="1169"/>
      <c r="S1119" s="1170"/>
      <c r="T1119" s="1171"/>
      <c r="U1119" s="1128"/>
      <c r="V1119" s="1170"/>
      <c r="W1119" s="1175"/>
      <c r="X1119" s="1175"/>
      <c r="Y1119" s="1169"/>
      <c r="Z1119" s="1170">
        <f t="shared" si="1622"/>
        <v>0</v>
      </c>
      <c r="AA1119" s="1169"/>
      <c r="AB1119" s="1345"/>
      <c r="AC1119" s="1171"/>
      <c r="AD1119" s="1128"/>
      <c r="AE1119" s="1170"/>
      <c r="AF1119" s="1175"/>
      <c r="AG1119" s="1175"/>
      <c r="AH1119" s="1169"/>
      <c r="AI1119" s="1170">
        <f t="shared" si="1623"/>
        <v>0</v>
      </c>
      <c r="AJ1119" s="1169"/>
      <c r="AK1119" s="1170"/>
      <c r="AL1119" s="1171"/>
      <c r="AM1119" s="1128"/>
      <c r="AN1119" s="1170"/>
      <c r="AO1119" s="1175"/>
      <c r="AP1119" s="1175"/>
      <c r="AQ1119" s="1170"/>
      <c r="AR1119" s="1170">
        <f t="shared" si="1624"/>
        <v>0</v>
      </c>
      <c r="AS1119" s="1170"/>
      <c r="AT1119" s="1170"/>
      <c r="AU1119" s="1174"/>
      <c r="AV1119" s="1241"/>
      <c r="AW1119" s="1170"/>
      <c r="AX1119" s="1175"/>
      <c r="AY1119" s="1175"/>
      <c r="AZ1119" s="1169"/>
      <c r="BA1119" s="1170">
        <f t="shared" si="1625"/>
        <v>0</v>
      </c>
      <c r="BB1119" s="1170"/>
      <c r="BC1119" s="1029"/>
      <c r="BD1119" s="1027"/>
      <c r="BE1119" s="1029"/>
      <c r="BF1119" s="1029"/>
    </row>
    <row r="1120" s="1180" customFormat="1" ht="19.5" customHeight="1">
      <c r="A1120" s="999">
        <f t="shared" si="1578"/>
        <v>0</v>
      </c>
      <c r="B1120" s="1182" t="s">
        <v>394</v>
      </c>
      <c r="C1120" s="1182"/>
      <c r="D1120" s="1182"/>
      <c r="E1120" s="1183">
        <f>SUM(E1117:E1119)</f>
        <v>0</v>
      </c>
      <c r="F1120" s="1183">
        <f>SUM(F1117:F1119)</f>
        <v>0</v>
      </c>
      <c r="G1120" s="1184">
        <f>SUM(G1117:G1119)</f>
        <v>0</v>
      </c>
      <c r="H1120" s="1185"/>
      <c r="I1120" s="1167">
        <f t="shared" si="1566"/>
        <v>0</v>
      </c>
      <c r="J1120" s="1167">
        <f t="shared" si="1580"/>
        <v>0</v>
      </c>
      <c r="K1120" s="1187">
        <f>SUM(K1117:K1119)</f>
        <v>0</v>
      </c>
      <c r="L1120" s="1197"/>
      <c r="M1120" s="1190">
        <f t="shared" ref="M1120:R1124" si="1626">SUM(M1117:M1119)</f>
        <v>0</v>
      </c>
      <c r="N1120" s="1190">
        <f t="shared" si="1626"/>
        <v>0</v>
      </c>
      <c r="O1120" s="1190">
        <f t="shared" si="1626"/>
        <v>0</v>
      </c>
      <c r="P1120" s="1096">
        <f t="shared" si="1626"/>
        <v>0</v>
      </c>
      <c r="Q1120" s="1190">
        <f t="shared" si="1626"/>
        <v>0</v>
      </c>
      <c r="R1120" s="1096">
        <f t="shared" si="1626"/>
        <v>0</v>
      </c>
      <c r="S1120" s="1190"/>
      <c r="T1120" s="1189"/>
      <c r="U1120" s="1128"/>
      <c r="V1120" s="1190">
        <f t="shared" ref="V1120:AA1124" si="1627">SUM(V1117:V1119)</f>
        <v>0</v>
      </c>
      <c r="W1120" s="1190">
        <f t="shared" si="1627"/>
        <v>0</v>
      </c>
      <c r="X1120" s="1190">
        <f t="shared" si="1627"/>
        <v>0</v>
      </c>
      <c r="Y1120" s="1096">
        <f t="shared" si="1627"/>
        <v>0</v>
      </c>
      <c r="Z1120" s="1190">
        <f t="shared" si="1627"/>
        <v>0</v>
      </c>
      <c r="AA1120" s="1096">
        <f t="shared" si="1627"/>
        <v>0</v>
      </c>
      <c r="AB1120" s="1346"/>
      <c r="AC1120" s="1189"/>
      <c r="AD1120" s="1125"/>
      <c r="AE1120" s="1190">
        <f t="shared" ref="AE1120:AJ1124" si="1628">SUM(AE1117:AE1119)</f>
        <v>0</v>
      </c>
      <c r="AF1120" s="1190">
        <f t="shared" si="1628"/>
        <v>0</v>
      </c>
      <c r="AG1120" s="1190">
        <f t="shared" si="1628"/>
        <v>0</v>
      </c>
      <c r="AH1120" s="1096">
        <f t="shared" si="1628"/>
        <v>0</v>
      </c>
      <c r="AI1120" s="1190">
        <f t="shared" si="1628"/>
        <v>0</v>
      </c>
      <c r="AJ1120" s="1096">
        <f t="shared" si="1628"/>
        <v>0</v>
      </c>
      <c r="AK1120" s="1190"/>
      <c r="AL1120" s="1189"/>
      <c r="AM1120" s="1125"/>
      <c r="AN1120" s="1190">
        <f t="shared" ref="AN1120:AS1124" si="1629">SUM(AN1117:AN1119)</f>
        <v>0</v>
      </c>
      <c r="AO1120" s="1190">
        <f t="shared" si="1629"/>
        <v>0</v>
      </c>
      <c r="AP1120" s="1190">
        <f t="shared" si="1629"/>
        <v>0</v>
      </c>
      <c r="AQ1120" s="1190">
        <f t="shared" si="1629"/>
        <v>0</v>
      </c>
      <c r="AR1120" s="1190">
        <f t="shared" si="1629"/>
        <v>0</v>
      </c>
      <c r="AS1120" s="1190">
        <f t="shared" si="1629"/>
        <v>0</v>
      </c>
      <c r="AT1120" s="1190"/>
      <c r="AU1120" s="1191"/>
      <c r="AV1120" s="1245"/>
      <c r="AW1120" s="1190">
        <f t="shared" ref="AW1120:BB1124" si="1630">SUM(AW1117:AW1119)</f>
        <v>0</v>
      </c>
      <c r="AX1120" s="1190">
        <f t="shared" si="1630"/>
        <v>0</v>
      </c>
      <c r="AY1120" s="1190">
        <f t="shared" si="1630"/>
        <v>0</v>
      </c>
      <c r="AZ1120" s="1096">
        <f t="shared" si="1630"/>
        <v>0</v>
      </c>
      <c r="BA1120" s="1190">
        <f t="shared" si="1630"/>
        <v>0</v>
      </c>
      <c r="BB1120" s="1190">
        <f t="shared" si="1630"/>
        <v>0</v>
      </c>
      <c r="BC1120" s="1051"/>
      <c r="BD1120" s="1052"/>
      <c r="BE1120" s="1051"/>
      <c r="BF1120" s="1051"/>
      <c r="BG1120" s="1106"/>
      <c r="BH1120" s="1106"/>
      <c r="BI1120" s="1106"/>
      <c r="BJ1120" s="1106"/>
      <c r="BK1120" s="1106"/>
      <c r="BL1120" s="1106"/>
      <c r="BM1120" s="1106"/>
    </row>
    <row r="1121" ht="19.5" customHeight="1">
      <c r="A1121" s="999" t="str">
        <f t="shared" si="1578"/>
        <v xml:space="preserve">Шевченко ЕА, Мацак ЕН,  Ворокова ВЕ</v>
      </c>
      <c r="B1121" s="1202" t="s">
        <v>50</v>
      </c>
      <c r="C1121" s="1202"/>
      <c r="D1121" s="1202"/>
      <c r="E1121" s="1164">
        <f t="shared" ref="E1121:F1123" si="1631">Q1121+Z1121+AI1121+AR1121+BA1121</f>
        <v>0</v>
      </c>
      <c r="F1121" s="1164">
        <f t="shared" si="1631"/>
        <v>0</v>
      </c>
      <c r="G1121" s="1165">
        <f t="shared" ref="G1121:G1123" si="1632">E1121+F1121</f>
        <v>0</v>
      </c>
      <c r="H1121" s="1166"/>
      <c r="I1121" s="1167">
        <f t="shared" si="1566"/>
        <v>0</v>
      </c>
      <c r="J1121" s="1167">
        <f t="shared" si="1580"/>
        <v>0</v>
      </c>
      <c r="K1121" s="1168">
        <f t="shared" ref="K1121:K1123" si="1633">I1121+J1121</f>
        <v>0</v>
      </c>
      <c r="L1121" s="1128"/>
      <c r="M1121" s="1170"/>
      <c r="N1121" s="1175"/>
      <c r="O1121" s="1170"/>
      <c r="P1121" s="1169"/>
      <c r="Q1121" s="1170">
        <f t="shared" ref="Q1121:Q1123" si="1634">SUM(M1121:P1121)</f>
        <v>0</v>
      </c>
      <c r="R1121" s="1169"/>
      <c r="S1121" s="1170"/>
      <c r="T1121" s="1171"/>
      <c r="U1121" s="1128"/>
      <c r="V1121" s="1170"/>
      <c r="W1121" s="1175"/>
      <c r="X1121" s="1175"/>
      <c r="Y1121" s="1169"/>
      <c r="Z1121" s="1170">
        <f t="shared" ref="Z1121:Z1123" si="1635">SUM(V1121:Y1121)</f>
        <v>0</v>
      </c>
      <c r="AA1121" s="1169"/>
      <c r="AB1121" s="1345"/>
      <c r="AC1121" s="1171"/>
      <c r="AD1121" s="1128"/>
      <c r="AE1121" s="1170"/>
      <c r="AF1121" s="1175"/>
      <c r="AG1121" s="1175"/>
      <c r="AH1121" s="1169"/>
      <c r="AI1121" s="1170">
        <f t="shared" ref="AI1121:AI1123" si="1636">SUM(AE1121:AH1121)</f>
        <v>0</v>
      </c>
      <c r="AJ1121" s="1169"/>
      <c r="AK1121" s="1170"/>
      <c r="AL1121" s="1171"/>
      <c r="AM1121" s="1128"/>
      <c r="AN1121" s="1170"/>
      <c r="AO1121" s="1175"/>
      <c r="AP1121" s="1175"/>
      <c r="AQ1121" s="1170"/>
      <c r="AR1121" s="1170">
        <f t="shared" ref="AR1121:AR1123" si="1637">SUM(AN1121:AQ1121)</f>
        <v>0</v>
      </c>
      <c r="AS1121" s="1170"/>
      <c r="AT1121" s="1170"/>
      <c r="AU1121" s="1174"/>
      <c r="AV1121" s="1241"/>
      <c r="AW1121" s="1170"/>
      <c r="AX1121" s="1175"/>
      <c r="AY1121" s="1175"/>
      <c r="AZ1121" s="1169"/>
      <c r="BA1121" s="1170">
        <f t="shared" ref="BA1121:BA1123" si="1638">SUM(AW1121:AZ1121)</f>
        <v>0</v>
      </c>
      <c r="BB1121" s="1170"/>
      <c r="BC1121" s="1029"/>
      <c r="BD1121" s="1027"/>
      <c r="BE1121" s="1029"/>
      <c r="BF1121" s="1029"/>
    </row>
    <row r="1122" ht="19.5" customHeight="1">
      <c r="A1122" s="999" t="str">
        <f t="shared" si="1578"/>
        <v xml:space="preserve">Лещенко О.А.</v>
      </c>
      <c r="B1122" s="1202" t="s">
        <v>397</v>
      </c>
      <c r="C1122" s="1202"/>
      <c r="D1122" s="1202"/>
      <c r="E1122" s="1164">
        <f t="shared" si="1631"/>
        <v>0</v>
      </c>
      <c r="F1122" s="1164">
        <f t="shared" si="1631"/>
        <v>0</v>
      </c>
      <c r="G1122" s="1165">
        <f t="shared" si="1632"/>
        <v>0</v>
      </c>
      <c r="H1122" s="1166"/>
      <c r="I1122" s="1167">
        <f t="shared" si="1566"/>
        <v>0</v>
      </c>
      <c r="J1122" s="1167">
        <f t="shared" si="1580"/>
        <v>0</v>
      </c>
      <c r="K1122" s="1168">
        <f t="shared" si="1633"/>
        <v>0</v>
      </c>
      <c r="L1122" s="1128"/>
      <c r="M1122" s="1170"/>
      <c r="N1122" s="1175"/>
      <c r="O1122" s="1170"/>
      <c r="P1122" s="1169"/>
      <c r="Q1122" s="1170">
        <f t="shared" si="1634"/>
        <v>0</v>
      </c>
      <c r="R1122" s="1169"/>
      <c r="S1122" s="1170"/>
      <c r="T1122" s="1171"/>
      <c r="U1122" s="1128"/>
      <c r="V1122" s="1170"/>
      <c r="W1122" s="1175"/>
      <c r="X1122" s="1175"/>
      <c r="Y1122" s="1169"/>
      <c r="Z1122" s="1170">
        <f t="shared" si="1635"/>
        <v>0</v>
      </c>
      <c r="AA1122" s="1169"/>
      <c r="AB1122" s="1345"/>
      <c r="AC1122" s="1171"/>
      <c r="AD1122" s="1128"/>
      <c r="AE1122" s="1170"/>
      <c r="AF1122" s="1175"/>
      <c r="AG1122" s="1175"/>
      <c r="AH1122" s="1169"/>
      <c r="AI1122" s="1170">
        <f t="shared" si="1636"/>
        <v>0</v>
      </c>
      <c r="AJ1122" s="1169"/>
      <c r="AK1122" s="1170"/>
      <c r="AL1122" s="1171"/>
      <c r="AM1122" s="1128"/>
      <c r="AN1122" s="1170"/>
      <c r="AO1122" s="1175"/>
      <c r="AP1122" s="1175"/>
      <c r="AQ1122" s="1170"/>
      <c r="AR1122" s="1170">
        <f t="shared" si="1637"/>
        <v>0</v>
      </c>
      <c r="AS1122" s="1170"/>
      <c r="AT1122" s="1170"/>
      <c r="AU1122" s="1174"/>
      <c r="AV1122" s="1241"/>
      <c r="AW1122" s="1170"/>
      <c r="AX1122" s="1175"/>
      <c r="AY1122" s="1175"/>
      <c r="AZ1122" s="1169"/>
      <c r="BA1122" s="1170">
        <f t="shared" si="1638"/>
        <v>0</v>
      </c>
      <c r="BB1122" s="1170"/>
      <c r="BC1122" s="1029"/>
      <c r="BD1122" s="1027"/>
      <c r="BE1122" s="1029"/>
      <c r="BF1122" s="1029"/>
    </row>
    <row r="1123" ht="19.5" customHeight="1">
      <c r="A1123" s="999" t="str">
        <f t="shared" si="1578"/>
        <v xml:space="preserve">Павленко И.В.</v>
      </c>
      <c r="B1123" s="1202" t="s">
        <v>399</v>
      </c>
      <c r="C1123" s="1202"/>
      <c r="D1123" s="1202"/>
      <c r="E1123" s="1164">
        <f t="shared" si="1631"/>
        <v>0</v>
      </c>
      <c r="F1123" s="1164">
        <f t="shared" si="1631"/>
        <v>0</v>
      </c>
      <c r="G1123" s="1165">
        <f t="shared" si="1632"/>
        <v>0</v>
      </c>
      <c r="H1123" s="1166"/>
      <c r="I1123" s="1167">
        <f t="shared" si="1566"/>
        <v>0</v>
      </c>
      <c r="J1123" s="1167">
        <f t="shared" si="1580"/>
        <v>0</v>
      </c>
      <c r="K1123" s="1168">
        <f t="shared" si="1633"/>
        <v>0</v>
      </c>
      <c r="L1123" s="1128"/>
      <c r="M1123" s="1170"/>
      <c r="N1123" s="1175"/>
      <c r="O1123" s="1170"/>
      <c r="P1123" s="1169"/>
      <c r="Q1123" s="1170">
        <f t="shared" si="1634"/>
        <v>0</v>
      </c>
      <c r="R1123" s="1169"/>
      <c r="S1123" s="1170"/>
      <c r="T1123" s="1171"/>
      <c r="U1123" s="1128"/>
      <c r="V1123" s="1170"/>
      <c r="W1123" s="1175"/>
      <c r="X1123" s="1175"/>
      <c r="Y1123" s="1169"/>
      <c r="Z1123" s="1170">
        <f t="shared" si="1635"/>
        <v>0</v>
      </c>
      <c r="AA1123" s="1169"/>
      <c r="AB1123" s="1345"/>
      <c r="AC1123" s="1171"/>
      <c r="AD1123" s="1128"/>
      <c r="AE1123" s="1170"/>
      <c r="AF1123" s="1175"/>
      <c r="AG1123" s="1175"/>
      <c r="AH1123" s="1169"/>
      <c r="AI1123" s="1170">
        <f t="shared" si="1636"/>
        <v>0</v>
      </c>
      <c r="AJ1123" s="1169"/>
      <c r="AK1123" s="1170"/>
      <c r="AL1123" s="1171"/>
      <c r="AM1123" s="1128"/>
      <c r="AN1123" s="1170"/>
      <c r="AO1123" s="1175"/>
      <c r="AP1123" s="1175"/>
      <c r="AQ1123" s="1170"/>
      <c r="AR1123" s="1170">
        <f t="shared" si="1637"/>
        <v>0</v>
      </c>
      <c r="AS1123" s="1170"/>
      <c r="AT1123" s="1170"/>
      <c r="AU1123" s="1174"/>
      <c r="AV1123" s="1241"/>
      <c r="AW1123" s="1170"/>
      <c r="AX1123" s="1175"/>
      <c r="AY1123" s="1175"/>
      <c r="AZ1123" s="1169"/>
      <c r="BA1123" s="1170">
        <f t="shared" si="1638"/>
        <v>0</v>
      </c>
      <c r="BB1123" s="1170"/>
      <c r="BC1123" s="1029"/>
      <c r="BD1123" s="1027"/>
      <c r="BE1123" s="1029"/>
      <c r="BF1123" s="1029"/>
    </row>
    <row r="1124" s="1180" customFormat="1" ht="19.5" customHeight="1">
      <c r="A1124" s="999">
        <f t="shared" si="1578"/>
        <v>0</v>
      </c>
      <c r="B1124" s="1205" t="s">
        <v>363</v>
      </c>
      <c r="C1124" s="1205"/>
      <c r="D1124" s="1205"/>
      <c r="E1124" s="1183">
        <f>SUM(E1121:E1123)</f>
        <v>0</v>
      </c>
      <c r="F1124" s="1183">
        <f>SUM(F1121:F1123)</f>
        <v>0</v>
      </c>
      <c r="G1124" s="1184">
        <f>SUM(G1121:G1123)</f>
        <v>0</v>
      </c>
      <c r="H1124" s="1185"/>
      <c r="I1124" s="1167">
        <f t="shared" si="1566"/>
        <v>0</v>
      </c>
      <c r="J1124" s="1167">
        <f t="shared" si="1580"/>
        <v>0</v>
      </c>
      <c r="K1124" s="1187">
        <f>SUM(K1121:K1123)</f>
        <v>0</v>
      </c>
      <c r="L1124" s="1197"/>
      <c r="M1124" s="1190">
        <f t="shared" si="1626"/>
        <v>0</v>
      </c>
      <c r="N1124" s="1190">
        <f t="shared" si="1626"/>
        <v>0</v>
      </c>
      <c r="O1124" s="1190">
        <f t="shared" si="1626"/>
        <v>0</v>
      </c>
      <c r="P1124" s="1096">
        <f t="shared" si="1626"/>
        <v>0</v>
      </c>
      <c r="Q1124" s="1190">
        <f t="shared" si="1626"/>
        <v>0</v>
      </c>
      <c r="R1124" s="1096">
        <f t="shared" si="1626"/>
        <v>0</v>
      </c>
      <c r="S1124" s="1190"/>
      <c r="T1124" s="1189"/>
      <c r="U1124" s="1128"/>
      <c r="V1124" s="1190">
        <f t="shared" si="1627"/>
        <v>0</v>
      </c>
      <c r="W1124" s="1190">
        <f t="shared" si="1627"/>
        <v>0</v>
      </c>
      <c r="X1124" s="1190">
        <f t="shared" si="1627"/>
        <v>0</v>
      </c>
      <c r="Y1124" s="1096">
        <f t="shared" si="1627"/>
        <v>0</v>
      </c>
      <c r="Z1124" s="1190">
        <f t="shared" si="1627"/>
        <v>0</v>
      </c>
      <c r="AA1124" s="1096">
        <f t="shared" si="1627"/>
        <v>0</v>
      </c>
      <c r="AB1124" s="1346"/>
      <c r="AC1124" s="1189"/>
      <c r="AD1124" s="1125"/>
      <c r="AE1124" s="1190">
        <f t="shared" si="1628"/>
        <v>0</v>
      </c>
      <c r="AF1124" s="1190">
        <f t="shared" si="1628"/>
        <v>0</v>
      </c>
      <c r="AG1124" s="1190">
        <f t="shared" si="1628"/>
        <v>0</v>
      </c>
      <c r="AH1124" s="1096">
        <f t="shared" si="1628"/>
        <v>0</v>
      </c>
      <c r="AI1124" s="1190">
        <f t="shared" si="1628"/>
        <v>0</v>
      </c>
      <c r="AJ1124" s="1096">
        <f t="shared" si="1628"/>
        <v>0</v>
      </c>
      <c r="AK1124" s="1190"/>
      <c r="AL1124" s="1189"/>
      <c r="AM1124" s="1125"/>
      <c r="AN1124" s="1190">
        <f t="shared" si="1629"/>
        <v>0</v>
      </c>
      <c r="AO1124" s="1190">
        <f t="shared" si="1629"/>
        <v>0</v>
      </c>
      <c r="AP1124" s="1190">
        <f t="shared" si="1629"/>
        <v>0</v>
      </c>
      <c r="AQ1124" s="1190">
        <f t="shared" si="1629"/>
        <v>0</v>
      </c>
      <c r="AR1124" s="1190">
        <f t="shared" si="1629"/>
        <v>0</v>
      </c>
      <c r="AS1124" s="1190">
        <f t="shared" si="1629"/>
        <v>0</v>
      </c>
      <c r="AT1124" s="1190"/>
      <c r="AU1124" s="1191"/>
      <c r="AV1124" s="1245"/>
      <c r="AW1124" s="1190">
        <f t="shared" si="1630"/>
        <v>0</v>
      </c>
      <c r="AX1124" s="1190">
        <f t="shared" si="1630"/>
        <v>0</v>
      </c>
      <c r="AY1124" s="1190">
        <f t="shared" si="1630"/>
        <v>0</v>
      </c>
      <c r="AZ1124" s="1096">
        <f t="shared" si="1630"/>
        <v>0</v>
      </c>
      <c r="BA1124" s="1190">
        <f t="shared" si="1630"/>
        <v>0</v>
      </c>
      <c r="BB1124" s="1190">
        <f t="shared" si="1630"/>
        <v>0</v>
      </c>
      <c r="BC1124" s="1051"/>
      <c r="BD1124" s="1052"/>
      <c r="BE1124" s="1051"/>
      <c r="BF1124" s="1051"/>
      <c r="BG1124" s="1106"/>
      <c r="BH1124" s="1106"/>
      <c r="BI1124" s="1106"/>
      <c r="BJ1124" s="1106"/>
      <c r="BK1124" s="1106"/>
      <c r="BL1124" s="1106"/>
      <c r="BM1124" s="1106"/>
    </row>
    <row r="1125" s="1180" customFormat="1" ht="19.5" customHeight="1">
      <c r="A1125" s="999">
        <f t="shared" si="1578"/>
        <v>0</v>
      </c>
      <c r="B1125" s="1205" t="s">
        <v>400</v>
      </c>
      <c r="C1125" s="1205"/>
      <c r="D1125" s="1205"/>
      <c r="E1125" s="1183">
        <f>E1124+E1120+E1116+E1110+E1096</f>
        <v>0</v>
      </c>
      <c r="F1125" s="1183">
        <f>F1124+F1120+F1116+F1110+F1096</f>
        <v>0</v>
      </c>
      <c r="G1125" s="1184">
        <f>G1124+G1120+G1116+G1110+G1096</f>
        <v>0</v>
      </c>
      <c r="H1125" s="1185"/>
      <c r="I1125" s="1167">
        <f t="shared" si="1566"/>
        <v>0</v>
      </c>
      <c r="J1125" s="1167">
        <f t="shared" si="1580"/>
        <v>0</v>
      </c>
      <c r="K1125" s="1187">
        <f>K1124+K1120+K1116+K1110+K1096</f>
        <v>0</v>
      </c>
      <c r="L1125" s="1210">
        <f t="shared" ref="L1125:R1125" si="1639">L1124+L1120+L1116+L1110+L1096</f>
        <v>0</v>
      </c>
      <c r="M1125" s="1211">
        <f t="shared" si="1639"/>
        <v>0</v>
      </c>
      <c r="N1125" s="1211">
        <f t="shared" si="1639"/>
        <v>0</v>
      </c>
      <c r="O1125" s="1211">
        <f t="shared" si="1639"/>
        <v>0</v>
      </c>
      <c r="P1125" s="1209">
        <f t="shared" si="1639"/>
        <v>0</v>
      </c>
      <c r="Q1125" s="1211">
        <f t="shared" si="1639"/>
        <v>0</v>
      </c>
      <c r="R1125" s="1209">
        <f t="shared" si="1639"/>
        <v>0</v>
      </c>
      <c r="S1125" s="1211"/>
      <c r="T1125" s="1208"/>
      <c r="U1125" s="1211">
        <f t="shared" ref="U1125:AA1125" si="1640">U1124+U1120+U1116+U1110+U1096</f>
        <v>0</v>
      </c>
      <c r="V1125" s="1211">
        <f t="shared" si="1640"/>
        <v>0</v>
      </c>
      <c r="W1125" s="1211">
        <f t="shared" si="1640"/>
        <v>0</v>
      </c>
      <c r="X1125" s="1211">
        <f t="shared" si="1640"/>
        <v>0</v>
      </c>
      <c r="Y1125" s="1209">
        <f t="shared" si="1640"/>
        <v>0</v>
      </c>
      <c r="Z1125" s="1211">
        <f t="shared" si="1640"/>
        <v>0</v>
      </c>
      <c r="AA1125" s="1209">
        <f t="shared" si="1640"/>
        <v>0</v>
      </c>
      <c r="AB1125" s="1347"/>
      <c r="AC1125" s="1208"/>
      <c r="AD1125" s="1210">
        <f t="shared" ref="AD1125:AJ1125" si="1641">AD1124+AD1120+AD1116+AD1110+AD1096</f>
        <v>0</v>
      </c>
      <c r="AE1125" s="1211">
        <f t="shared" si="1641"/>
        <v>0</v>
      </c>
      <c r="AF1125" s="1211">
        <f t="shared" si="1641"/>
        <v>0</v>
      </c>
      <c r="AG1125" s="1211">
        <f t="shared" si="1641"/>
        <v>0</v>
      </c>
      <c r="AH1125" s="1209">
        <f t="shared" si="1641"/>
        <v>0</v>
      </c>
      <c r="AI1125" s="1211">
        <f t="shared" si="1641"/>
        <v>0</v>
      </c>
      <c r="AJ1125" s="1209">
        <f t="shared" si="1641"/>
        <v>0</v>
      </c>
      <c r="AK1125" s="1211"/>
      <c r="AL1125" s="1208"/>
      <c r="AM1125" s="1210">
        <f t="shared" ref="AM1125:AS1125" si="1642">AM1124+AM1120+AM1116+AM1110+AM1096</f>
        <v>0</v>
      </c>
      <c r="AN1125" s="1211">
        <f t="shared" si="1642"/>
        <v>0</v>
      </c>
      <c r="AO1125" s="1211">
        <f t="shared" si="1642"/>
        <v>0</v>
      </c>
      <c r="AP1125" s="1211">
        <f t="shared" si="1642"/>
        <v>0</v>
      </c>
      <c r="AQ1125" s="1211">
        <f t="shared" si="1642"/>
        <v>0</v>
      </c>
      <c r="AR1125" s="1211">
        <f t="shared" si="1642"/>
        <v>0</v>
      </c>
      <c r="AS1125" s="1211">
        <f t="shared" si="1642"/>
        <v>0</v>
      </c>
      <c r="AT1125" s="1211"/>
      <c r="AU1125" s="1212"/>
      <c r="AV1125" s="1211">
        <f t="shared" ref="AV1125:BB1125" si="1643">AV1124+AV1120+AV1116+AV1110+AV1096</f>
        <v>0</v>
      </c>
      <c r="AW1125" s="1211">
        <f t="shared" si="1643"/>
        <v>0</v>
      </c>
      <c r="AX1125" s="1211">
        <f t="shared" si="1643"/>
        <v>0</v>
      </c>
      <c r="AY1125" s="1211">
        <f t="shared" si="1643"/>
        <v>0</v>
      </c>
      <c r="AZ1125" s="1209">
        <f t="shared" si="1643"/>
        <v>0</v>
      </c>
      <c r="BA1125" s="1211">
        <f t="shared" si="1643"/>
        <v>0</v>
      </c>
      <c r="BB1125" s="1211">
        <f t="shared" si="1643"/>
        <v>0</v>
      </c>
      <c r="BC1125" s="1051"/>
      <c r="BD1125" s="1052"/>
      <c r="BE1125" s="1051"/>
      <c r="BF1125" s="1051"/>
      <c r="BG1125" s="1106"/>
      <c r="BH1125" s="1106"/>
      <c r="BI1125" s="1106"/>
      <c r="BJ1125" s="1106"/>
      <c r="BK1125" s="1106"/>
      <c r="BL1125" s="1106"/>
      <c r="BM1125" s="1106"/>
    </row>
    <row r="1126" ht="19.5" customHeight="1">
      <c r="A1126" s="999" t="str">
        <f t="shared" si="1578"/>
        <v xml:space="preserve">Куприянова А.В.</v>
      </c>
      <c r="B1126" s="1202" t="s">
        <v>402</v>
      </c>
      <c r="C1126" s="1202"/>
      <c r="D1126" s="1202"/>
      <c r="E1126" s="1164">
        <f t="shared" ref="E1126:E1127" si="1644">Q1126+Z1126+AI1126+AR1126+BA1126</f>
        <v>0</v>
      </c>
      <c r="F1126" s="1164">
        <f t="shared" ref="F1126:F1127" si="1645">R1126+AA1126+AJ1126+AS1126+BB1126</f>
        <v>0</v>
      </c>
      <c r="G1126" s="1165">
        <f t="shared" ref="G1126:G1127" si="1646">E1126+F1126</f>
        <v>0</v>
      </c>
      <c r="H1126" s="1166"/>
      <c r="I1126" s="1167">
        <f t="shared" si="1566"/>
        <v>0</v>
      </c>
      <c r="J1126" s="1167">
        <f t="shared" si="1580"/>
        <v>0</v>
      </c>
      <c r="K1126" s="1168">
        <f t="shared" ref="K1126:K1127" si="1647">I1126+J1126</f>
        <v>0</v>
      </c>
      <c r="L1126" s="1128"/>
      <c r="M1126" s="1170"/>
      <c r="N1126" s="1175"/>
      <c r="O1126" s="1170"/>
      <c r="P1126" s="1169"/>
      <c r="Q1126" s="1170">
        <f t="shared" ref="Q1126:Q1127" si="1648">SUM(M1126:P1126)</f>
        <v>0</v>
      </c>
      <c r="R1126" s="1169"/>
      <c r="S1126" s="1170"/>
      <c r="T1126" s="1171"/>
      <c r="U1126" s="1128"/>
      <c r="V1126" s="1170"/>
      <c r="W1126" s="1175"/>
      <c r="X1126" s="1175"/>
      <c r="Y1126" s="1169"/>
      <c r="Z1126" s="1170">
        <f t="shared" ref="Z1126:Z1127" si="1649">SUM(V1126:Y1126)</f>
        <v>0</v>
      </c>
      <c r="AA1126" s="1169"/>
      <c r="AB1126" s="1345"/>
      <c r="AC1126" s="1171"/>
      <c r="AD1126" s="1128"/>
      <c r="AE1126" s="1170"/>
      <c r="AF1126" s="1175"/>
      <c r="AG1126" s="1175"/>
      <c r="AH1126" s="1169"/>
      <c r="AI1126" s="1170">
        <f t="shared" ref="AI1126:AI1127" si="1650">SUM(AE1126:AH1126)</f>
        <v>0</v>
      </c>
      <c r="AJ1126" s="1169"/>
      <c r="AK1126" s="1170"/>
      <c r="AL1126" s="1171"/>
      <c r="AM1126" s="1128"/>
      <c r="AN1126" s="1170"/>
      <c r="AO1126" s="1175"/>
      <c r="AP1126" s="1175"/>
      <c r="AQ1126" s="1170"/>
      <c r="AR1126" s="1170">
        <f t="shared" ref="AR1126:AR1127" si="1651">SUM(AN1126:AQ1126)</f>
        <v>0</v>
      </c>
      <c r="AS1126" s="1170"/>
      <c r="AT1126" s="1170"/>
      <c r="AU1126" s="1174"/>
      <c r="AV1126" s="1241"/>
      <c r="AW1126" s="1170"/>
      <c r="AX1126" s="1175"/>
      <c r="AY1126" s="1175"/>
      <c r="AZ1126" s="1169"/>
      <c r="BA1126" s="1170">
        <f t="shared" ref="BA1126:BA1127" si="1652">SUM(AW1126:AZ1126)</f>
        <v>0</v>
      </c>
      <c r="BB1126" s="1170"/>
      <c r="BC1126" s="1029"/>
      <c r="BD1126" s="1027"/>
      <c r="BE1126" s="1029"/>
      <c r="BF1126" s="1029"/>
    </row>
    <row r="1127" ht="19.5" customHeight="1">
      <c r="A1127" s="999" t="str">
        <f t="shared" si="1578"/>
        <v xml:space="preserve">Попова И.Ю.</v>
      </c>
      <c r="B1127" s="1202" t="s">
        <v>404</v>
      </c>
      <c r="C1127" s="1202"/>
      <c r="D1127" s="1202"/>
      <c r="E1127" s="1164">
        <f t="shared" si="1644"/>
        <v>0</v>
      </c>
      <c r="F1127" s="1164">
        <f t="shared" si="1645"/>
        <v>0</v>
      </c>
      <c r="G1127" s="1165">
        <f t="shared" si="1646"/>
        <v>0</v>
      </c>
      <c r="H1127" s="1166"/>
      <c r="I1127" s="1167">
        <f t="shared" si="1566"/>
        <v>0</v>
      </c>
      <c r="J1127" s="1167">
        <f t="shared" si="1580"/>
        <v>0</v>
      </c>
      <c r="K1127" s="1168">
        <f t="shared" si="1647"/>
        <v>0</v>
      </c>
      <c r="L1127" s="1128"/>
      <c r="M1127" s="1170"/>
      <c r="N1127" s="1175"/>
      <c r="O1127" s="1170"/>
      <c r="P1127" s="1169"/>
      <c r="Q1127" s="1170">
        <f t="shared" si="1648"/>
        <v>0</v>
      </c>
      <c r="R1127" s="1169"/>
      <c r="S1127" s="1170"/>
      <c r="T1127" s="1171"/>
      <c r="U1127" s="1128"/>
      <c r="V1127" s="1170"/>
      <c r="W1127" s="1175"/>
      <c r="X1127" s="1175"/>
      <c r="Y1127" s="1169"/>
      <c r="Z1127" s="1170">
        <f t="shared" si="1649"/>
        <v>0</v>
      </c>
      <c r="AA1127" s="1169"/>
      <c r="AB1127" s="1345"/>
      <c r="AC1127" s="1171"/>
      <c r="AD1127" s="1128"/>
      <c r="AE1127" s="1170"/>
      <c r="AF1127" s="1175"/>
      <c r="AG1127" s="1175"/>
      <c r="AH1127" s="1169"/>
      <c r="AI1127" s="1170">
        <f t="shared" si="1650"/>
        <v>0</v>
      </c>
      <c r="AJ1127" s="1169"/>
      <c r="AK1127" s="1170"/>
      <c r="AL1127" s="1171"/>
      <c r="AM1127" s="1128"/>
      <c r="AN1127" s="1170"/>
      <c r="AO1127" s="1175"/>
      <c r="AP1127" s="1175"/>
      <c r="AQ1127" s="1170"/>
      <c r="AR1127" s="1170">
        <f t="shared" si="1651"/>
        <v>0</v>
      </c>
      <c r="AS1127" s="1170"/>
      <c r="AT1127" s="1170"/>
      <c r="AU1127" s="1174"/>
      <c r="AV1127" s="1241"/>
      <c r="AW1127" s="1170"/>
      <c r="AX1127" s="1175"/>
      <c r="AY1127" s="1175"/>
      <c r="AZ1127" s="1169"/>
      <c r="BA1127" s="1170">
        <f t="shared" si="1652"/>
        <v>0</v>
      </c>
      <c r="BB1127" s="1170"/>
      <c r="BC1127" s="1029"/>
      <c r="BD1127" s="1027"/>
      <c r="BE1127" s="1029"/>
      <c r="BF1127" s="1029"/>
    </row>
    <row r="1128" s="1180" customFormat="1" ht="19.5" customHeight="1">
      <c r="A1128" s="999">
        <f t="shared" si="1578"/>
        <v>0</v>
      </c>
      <c r="B1128" s="1205" t="s">
        <v>405</v>
      </c>
      <c r="C1128" s="1205"/>
      <c r="D1128" s="1205"/>
      <c r="E1128" s="1183">
        <f>E1126+E1127</f>
        <v>0</v>
      </c>
      <c r="F1128" s="1183">
        <f>F1126+F1127</f>
        <v>0</v>
      </c>
      <c r="G1128" s="1184">
        <f>G1126+G1127</f>
        <v>0</v>
      </c>
      <c r="H1128" s="1185"/>
      <c r="I1128" s="1167">
        <f t="shared" si="1566"/>
        <v>0</v>
      </c>
      <c r="J1128" s="1167">
        <f t="shared" si="1580"/>
        <v>0</v>
      </c>
      <c r="K1128" s="1187">
        <f>K1126+K1127</f>
        <v>0</v>
      </c>
      <c r="L1128" s="1210"/>
      <c r="M1128" s="1304">
        <f t="shared" ref="M1128:R1128" si="1653">M1126+M1127</f>
        <v>0</v>
      </c>
      <c r="N1128" s="1304">
        <f t="shared" si="1653"/>
        <v>0</v>
      </c>
      <c r="O1128" s="1304">
        <f t="shared" si="1653"/>
        <v>0</v>
      </c>
      <c r="P1128" s="1213">
        <f t="shared" si="1653"/>
        <v>0</v>
      </c>
      <c r="Q1128" s="1304">
        <f t="shared" si="1653"/>
        <v>0</v>
      </c>
      <c r="R1128" s="1213">
        <f t="shared" si="1653"/>
        <v>0</v>
      </c>
      <c r="S1128" s="1304"/>
      <c r="T1128" s="1214"/>
      <c r="U1128" s="1210"/>
      <c r="V1128" s="1211">
        <f t="shared" ref="V1128:AA1128" si="1654">V1126+V1127</f>
        <v>0</v>
      </c>
      <c r="W1128" s="1211">
        <f t="shared" si="1654"/>
        <v>0</v>
      </c>
      <c r="X1128" s="1211">
        <f t="shared" si="1654"/>
        <v>0</v>
      </c>
      <c r="Y1128" s="1209">
        <f t="shared" si="1654"/>
        <v>0</v>
      </c>
      <c r="Z1128" s="1211">
        <f t="shared" si="1654"/>
        <v>0</v>
      </c>
      <c r="AA1128" s="1209">
        <f t="shared" si="1654"/>
        <v>0</v>
      </c>
      <c r="AB1128" s="1347"/>
      <c r="AC1128" s="1208"/>
      <c r="AD1128" s="1210"/>
      <c r="AE1128" s="1211">
        <f t="shared" ref="AE1128:AJ1128" si="1655">AE1126+AE1127</f>
        <v>0</v>
      </c>
      <c r="AF1128" s="1211">
        <f t="shared" si="1655"/>
        <v>0</v>
      </c>
      <c r="AG1128" s="1211">
        <f t="shared" si="1655"/>
        <v>0</v>
      </c>
      <c r="AH1128" s="1209">
        <f t="shared" si="1655"/>
        <v>0</v>
      </c>
      <c r="AI1128" s="1211">
        <f t="shared" si="1655"/>
        <v>0</v>
      </c>
      <c r="AJ1128" s="1209">
        <f t="shared" si="1655"/>
        <v>0</v>
      </c>
      <c r="AK1128" s="1211"/>
      <c r="AL1128" s="1208"/>
      <c r="AM1128" s="1210"/>
      <c r="AN1128" s="1211">
        <f t="shared" ref="AN1128:AS1128" si="1656">AN1126+AN1127</f>
        <v>0</v>
      </c>
      <c r="AO1128" s="1211">
        <f t="shared" si="1656"/>
        <v>0</v>
      </c>
      <c r="AP1128" s="1211">
        <f t="shared" si="1656"/>
        <v>0</v>
      </c>
      <c r="AQ1128" s="1211">
        <f t="shared" si="1656"/>
        <v>0</v>
      </c>
      <c r="AR1128" s="1211">
        <f t="shared" si="1656"/>
        <v>0</v>
      </c>
      <c r="AS1128" s="1211">
        <f t="shared" si="1656"/>
        <v>0</v>
      </c>
      <c r="AT1128" s="1211"/>
      <c r="AU1128" s="1212"/>
      <c r="AV1128" s="1210">
        <f t="shared" ref="AV1128:BB1128" si="1657">AV1126+AV1127</f>
        <v>0</v>
      </c>
      <c r="AW1128" s="1211">
        <f t="shared" si="1657"/>
        <v>0</v>
      </c>
      <c r="AX1128" s="1211">
        <f t="shared" si="1657"/>
        <v>0</v>
      </c>
      <c r="AY1128" s="1211">
        <f t="shared" si="1657"/>
        <v>0</v>
      </c>
      <c r="AZ1128" s="1209">
        <f t="shared" si="1657"/>
        <v>0</v>
      </c>
      <c r="BA1128" s="1211">
        <f t="shared" si="1657"/>
        <v>0</v>
      </c>
      <c r="BB1128" s="1211">
        <f t="shared" si="1657"/>
        <v>0</v>
      </c>
      <c r="BC1128" s="1051"/>
      <c r="BD1128" s="1052"/>
      <c r="BE1128" s="1051"/>
      <c r="BF1128" s="1051"/>
      <c r="BG1128" s="1106"/>
      <c r="BH1128" s="1106"/>
      <c r="BI1128" s="1106"/>
      <c r="BJ1128" s="1106"/>
      <c r="BK1128" s="1106"/>
      <c r="BL1128" s="1106"/>
      <c r="BM1128" s="1106"/>
    </row>
    <row r="1129" s="1180" customFormat="1" ht="19.5" customHeight="1">
      <c r="A1129" s="999">
        <f t="shared" si="1578"/>
        <v>0</v>
      </c>
      <c r="B1129" s="1205" t="s">
        <v>406</v>
      </c>
      <c r="C1129" s="1205"/>
      <c r="D1129" s="1205"/>
      <c r="E1129" s="1183">
        <f>E1125+E1128</f>
        <v>0</v>
      </c>
      <c r="F1129" s="1183">
        <f>F1125+F1128</f>
        <v>0</v>
      </c>
      <c r="G1129" s="1184">
        <f>G1125+G1128</f>
        <v>0</v>
      </c>
      <c r="H1129" s="1185"/>
      <c r="I1129" s="1167">
        <f t="shared" si="1566"/>
        <v>0</v>
      </c>
      <c r="J1129" s="1167">
        <f t="shared" si="1580"/>
        <v>0</v>
      </c>
      <c r="K1129" s="1187">
        <f>K1125+K1128</f>
        <v>0</v>
      </c>
      <c r="L1129" s="1210">
        <f t="shared" ref="L1129:R1129" si="1658">L1125+L1128</f>
        <v>0</v>
      </c>
      <c r="M1129" s="1211">
        <f t="shared" si="1658"/>
        <v>0</v>
      </c>
      <c r="N1129" s="1211">
        <f t="shared" si="1658"/>
        <v>0</v>
      </c>
      <c r="O1129" s="1211">
        <f t="shared" si="1658"/>
        <v>0</v>
      </c>
      <c r="P1129" s="1209">
        <f t="shared" si="1658"/>
        <v>0</v>
      </c>
      <c r="Q1129" s="1211">
        <f t="shared" si="1658"/>
        <v>0</v>
      </c>
      <c r="R1129" s="1209">
        <f t="shared" si="1658"/>
        <v>0</v>
      </c>
      <c r="S1129" s="1211"/>
      <c r="T1129" s="1208"/>
      <c r="U1129" s="1211">
        <f t="shared" ref="U1129:AA1129" si="1659">U1125+U1128</f>
        <v>0</v>
      </c>
      <c r="V1129" s="1211">
        <f t="shared" si="1659"/>
        <v>0</v>
      </c>
      <c r="W1129" s="1211">
        <f t="shared" si="1659"/>
        <v>0</v>
      </c>
      <c r="X1129" s="1211">
        <f t="shared" si="1659"/>
        <v>0</v>
      </c>
      <c r="Y1129" s="1209">
        <f t="shared" si="1659"/>
        <v>0</v>
      </c>
      <c r="Z1129" s="1211">
        <f t="shared" si="1659"/>
        <v>0</v>
      </c>
      <c r="AA1129" s="1209">
        <f t="shared" si="1659"/>
        <v>0</v>
      </c>
      <c r="AB1129" s="1347"/>
      <c r="AC1129" s="1208"/>
      <c r="AD1129" s="1210">
        <f t="shared" ref="AD1129:AJ1129" si="1660">AD1125+AD1128</f>
        <v>0</v>
      </c>
      <c r="AE1129" s="1211">
        <f t="shared" si="1660"/>
        <v>0</v>
      </c>
      <c r="AF1129" s="1211">
        <f t="shared" si="1660"/>
        <v>0</v>
      </c>
      <c r="AG1129" s="1211">
        <f t="shared" si="1660"/>
        <v>0</v>
      </c>
      <c r="AH1129" s="1209">
        <f t="shared" si="1660"/>
        <v>0</v>
      </c>
      <c r="AI1129" s="1211">
        <f t="shared" si="1660"/>
        <v>0</v>
      </c>
      <c r="AJ1129" s="1209">
        <f t="shared" si="1660"/>
        <v>0</v>
      </c>
      <c r="AK1129" s="1211"/>
      <c r="AL1129" s="1208"/>
      <c r="AM1129" s="1210">
        <f t="shared" ref="AM1129:AS1129" si="1661">AM1125+AM1128</f>
        <v>0</v>
      </c>
      <c r="AN1129" s="1211">
        <f t="shared" si="1661"/>
        <v>0</v>
      </c>
      <c r="AO1129" s="1211">
        <f t="shared" si="1661"/>
        <v>0</v>
      </c>
      <c r="AP1129" s="1211">
        <f t="shared" si="1661"/>
        <v>0</v>
      </c>
      <c r="AQ1129" s="1211">
        <f t="shared" si="1661"/>
        <v>0</v>
      </c>
      <c r="AR1129" s="1211">
        <f t="shared" si="1661"/>
        <v>0</v>
      </c>
      <c r="AS1129" s="1211">
        <f t="shared" si="1661"/>
        <v>0</v>
      </c>
      <c r="AT1129" s="1211"/>
      <c r="AU1129" s="1212"/>
      <c r="AV1129" s="1211">
        <f t="shared" ref="AV1129:BB1129" si="1662">AV1125+AV1128</f>
        <v>0</v>
      </c>
      <c r="AW1129" s="1211">
        <f t="shared" si="1662"/>
        <v>0</v>
      </c>
      <c r="AX1129" s="1211">
        <f t="shared" si="1662"/>
        <v>0</v>
      </c>
      <c r="AY1129" s="1211">
        <f t="shared" si="1662"/>
        <v>0</v>
      </c>
      <c r="AZ1129" s="1209">
        <f t="shared" si="1662"/>
        <v>0</v>
      </c>
      <c r="BA1129" s="1211">
        <f t="shared" si="1662"/>
        <v>0</v>
      </c>
      <c r="BB1129" s="1211">
        <f t="shared" si="1662"/>
        <v>0</v>
      </c>
      <c r="BC1129" s="1051"/>
      <c r="BD1129" s="1052"/>
      <c r="BE1129" s="1051"/>
      <c r="BF1129" s="1051"/>
      <c r="BG1129" s="1106"/>
      <c r="BH1129" s="1106"/>
      <c r="BI1129" s="1106"/>
      <c r="BJ1129" s="1106"/>
      <c r="BK1129" s="1106"/>
      <c r="BL1129" s="1106"/>
      <c r="BM1129" s="1106"/>
    </row>
    <row r="1130" ht="19.5" customHeight="1">
      <c r="A1130" s="999">
        <f t="shared" si="1578"/>
        <v>0</v>
      </c>
      <c r="B1130" s="1202" t="s">
        <v>407</v>
      </c>
      <c r="C1130" s="1202"/>
      <c r="D1130" s="1202"/>
      <c r="E1130" s="1164">
        <f t="shared" ref="E1130:F1137" si="1663">Q1130+Z1130+AI1130+AR1130+BA1130</f>
        <v>0</v>
      </c>
      <c r="F1130" s="1164">
        <f t="shared" si="1663"/>
        <v>0</v>
      </c>
      <c r="G1130" s="1165">
        <f t="shared" ref="G1130:G1137" si="1664">E1130+F1130</f>
        <v>0</v>
      </c>
      <c r="H1130" s="1166"/>
      <c r="I1130" s="1167">
        <f t="shared" si="1566"/>
        <v>0</v>
      </c>
      <c r="J1130" s="1167">
        <f t="shared" si="1580"/>
        <v>0</v>
      </c>
      <c r="K1130" s="1168">
        <f t="shared" ref="K1130:K1137" si="1665">I1130+J1130</f>
        <v>0</v>
      </c>
      <c r="L1130" s="1128"/>
      <c r="M1130" s="1170"/>
      <c r="N1130" s="1175"/>
      <c r="O1130" s="1170"/>
      <c r="P1130" s="1169"/>
      <c r="Q1130" s="1170">
        <f t="shared" ref="Q1130:Q1137" si="1666">SUM(M1130:P1130)</f>
        <v>0</v>
      </c>
      <c r="R1130" s="1169"/>
      <c r="S1130" s="1170"/>
      <c r="T1130" s="1171"/>
      <c r="U1130" s="1128"/>
      <c r="V1130" s="1170"/>
      <c r="W1130" s="1175"/>
      <c r="X1130" s="1175"/>
      <c r="Y1130" s="1169"/>
      <c r="Z1130" s="1170">
        <f t="shared" ref="Z1130:Z1137" si="1667">SUM(V1130:Y1130)</f>
        <v>0</v>
      </c>
      <c r="AA1130" s="1169"/>
      <c r="AB1130" s="1345"/>
      <c r="AC1130" s="1171"/>
      <c r="AD1130" s="1128"/>
      <c r="AE1130" s="1170"/>
      <c r="AF1130" s="1175"/>
      <c r="AG1130" s="1175"/>
      <c r="AH1130" s="1169"/>
      <c r="AI1130" s="1170">
        <f t="shared" ref="AI1130:AI1137" si="1668">SUM(AE1130:AH1130)</f>
        <v>0</v>
      </c>
      <c r="AJ1130" s="1169"/>
      <c r="AK1130" s="1170"/>
      <c r="AL1130" s="1171"/>
      <c r="AM1130" s="1128"/>
      <c r="AN1130" s="1170"/>
      <c r="AO1130" s="1175"/>
      <c r="AP1130" s="1175"/>
      <c r="AQ1130" s="1170"/>
      <c r="AR1130" s="1170">
        <f t="shared" ref="AR1130:AR1137" si="1669">SUM(AN1130:AQ1130)</f>
        <v>0</v>
      </c>
      <c r="AS1130" s="1170"/>
      <c r="AT1130" s="1170"/>
      <c r="AU1130" s="1174"/>
      <c r="AV1130" s="1241"/>
      <c r="AW1130" s="1170"/>
      <c r="AX1130" s="1175"/>
      <c r="AY1130" s="1175"/>
      <c r="AZ1130" s="1169"/>
      <c r="BA1130" s="1170">
        <f t="shared" ref="BA1130:BA1137" si="1670">SUM(AW1130:AZ1130)</f>
        <v>0</v>
      </c>
      <c r="BB1130" s="1170"/>
      <c r="BC1130" s="1029"/>
      <c r="BD1130" s="1027"/>
      <c r="BE1130" s="1029"/>
      <c r="BF1130" s="1029"/>
    </row>
    <row r="1131" ht="19.5" customHeight="1">
      <c r="A1131" s="999" t="str">
        <f t="shared" si="1578"/>
        <v xml:space="preserve">Леоненко Г.Н</v>
      </c>
      <c r="B1131" s="1202" t="s">
        <v>409</v>
      </c>
      <c r="C1131" s="1202"/>
      <c r="D1131" s="1202"/>
      <c r="E1131" s="1164">
        <f t="shared" si="1663"/>
        <v>0</v>
      </c>
      <c r="F1131" s="1164">
        <f t="shared" si="1663"/>
        <v>0</v>
      </c>
      <c r="G1131" s="1165">
        <f t="shared" si="1664"/>
        <v>0</v>
      </c>
      <c r="H1131" s="1166"/>
      <c r="I1131" s="1167">
        <f t="shared" si="1566"/>
        <v>0</v>
      </c>
      <c r="J1131" s="1167">
        <f t="shared" si="1580"/>
        <v>0</v>
      </c>
      <c r="K1131" s="1168">
        <f t="shared" si="1665"/>
        <v>0</v>
      </c>
      <c r="L1131" s="1128"/>
      <c r="M1131" s="1170"/>
      <c r="N1131" s="1175"/>
      <c r="O1131" s="1170"/>
      <c r="P1131" s="1169"/>
      <c r="Q1131" s="1170">
        <f t="shared" si="1666"/>
        <v>0</v>
      </c>
      <c r="R1131" s="1169"/>
      <c r="S1131" s="1170"/>
      <c r="T1131" s="1171"/>
      <c r="U1131" s="1128"/>
      <c r="V1131" s="1170"/>
      <c r="W1131" s="1175"/>
      <c r="X1131" s="1175"/>
      <c r="Y1131" s="1169"/>
      <c r="Z1131" s="1170">
        <f t="shared" si="1667"/>
        <v>0</v>
      </c>
      <c r="AA1131" s="1169"/>
      <c r="AB1131" s="1345"/>
      <c r="AC1131" s="1171"/>
      <c r="AD1131" s="1128"/>
      <c r="AE1131" s="1170"/>
      <c r="AF1131" s="1175"/>
      <c r="AG1131" s="1175"/>
      <c r="AH1131" s="1169"/>
      <c r="AI1131" s="1170">
        <f t="shared" si="1668"/>
        <v>0</v>
      </c>
      <c r="AJ1131" s="1169"/>
      <c r="AK1131" s="1170"/>
      <c r="AL1131" s="1171"/>
      <c r="AM1131" s="1128"/>
      <c r="AN1131" s="1170"/>
      <c r="AO1131" s="1175"/>
      <c r="AP1131" s="1175"/>
      <c r="AQ1131" s="1170"/>
      <c r="AR1131" s="1170">
        <f t="shared" si="1669"/>
        <v>0</v>
      </c>
      <c r="AS1131" s="1170"/>
      <c r="AT1131" s="1170"/>
      <c r="AU1131" s="1174"/>
      <c r="AV1131" s="1241"/>
      <c r="AW1131" s="1170"/>
      <c r="AX1131" s="1175"/>
      <c r="AY1131" s="1175"/>
      <c r="AZ1131" s="1169"/>
      <c r="BA1131" s="1170">
        <f t="shared" si="1670"/>
        <v>0</v>
      </c>
      <c r="BB1131" s="1170"/>
      <c r="BC1131" s="1029"/>
      <c r="BD1131" s="1027"/>
      <c r="BE1131" s="1029"/>
      <c r="BF1131" s="1029"/>
    </row>
    <row r="1132" s="1215" customFormat="1" ht="19.5" customHeight="1">
      <c r="A1132" s="999" t="str">
        <f t="shared" si="1578"/>
        <v xml:space="preserve">Саяпина О.А.</v>
      </c>
      <c r="B1132" s="1202" t="s">
        <v>411</v>
      </c>
      <c r="C1132" s="1217"/>
      <c r="D1132" s="1217"/>
      <c r="E1132" s="1164">
        <f t="shared" si="1663"/>
        <v>0</v>
      </c>
      <c r="F1132" s="1164">
        <f t="shared" si="1663"/>
        <v>0</v>
      </c>
      <c r="G1132" s="1165">
        <f t="shared" si="1664"/>
        <v>0</v>
      </c>
      <c r="H1132" s="1166"/>
      <c r="I1132" s="1167">
        <f t="shared" si="1566"/>
        <v>0</v>
      </c>
      <c r="J1132" s="1167">
        <f t="shared" si="1580"/>
        <v>0</v>
      </c>
      <c r="K1132" s="1168">
        <f t="shared" si="1665"/>
        <v>0</v>
      </c>
      <c r="L1132" s="1128"/>
      <c r="M1132" s="1170"/>
      <c r="N1132" s="1175"/>
      <c r="O1132" s="1170"/>
      <c r="P1132" s="1169"/>
      <c r="Q1132" s="1170">
        <f t="shared" si="1666"/>
        <v>0</v>
      </c>
      <c r="R1132" s="1169"/>
      <c r="S1132" s="1170"/>
      <c r="T1132" s="1171"/>
      <c r="U1132" s="1128"/>
      <c r="V1132" s="1170"/>
      <c r="W1132" s="1175"/>
      <c r="X1132" s="1175"/>
      <c r="Y1132" s="1169"/>
      <c r="Z1132" s="1170">
        <f t="shared" si="1667"/>
        <v>0</v>
      </c>
      <c r="AA1132" s="1169"/>
      <c r="AB1132" s="1345"/>
      <c r="AC1132" s="1171"/>
      <c r="AD1132" s="1128"/>
      <c r="AE1132" s="1170"/>
      <c r="AF1132" s="1175"/>
      <c r="AG1132" s="1175"/>
      <c r="AH1132" s="1169"/>
      <c r="AI1132" s="1170">
        <f t="shared" si="1668"/>
        <v>0</v>
      </c>
      <c r="AJ1132" s="1169"/>
      <c r="AK1132" s="1170"/>
      <c r="AL1132" s="1171"/>
      <c r="AM1132" s="1128"/>
      <c r="AN1132" s="1170"/>
      <c r="AO1132" s="1175"/>
      <c r="AP1132" s="1175"/>
      <c r="AQ1132" s="1170"/>
      <c r="AR1132" s="1170">
        <f t="shared" si="1669"/>
        <v>0</v>
      </c>
      <c r="AS1132" s="1170"/>
      <c r="AT1132" s="1170"/>
      <c r="AU1132" s="1174"/>
      <c r="AV1132" s="1128"/>
      <c r="AW1132" s="1170"/>
      <c r="AX1132" s="1175"/>
      <c r="AY1132" s="1175"/>
      <c r="AZ1132" s="1169"/>
      <c r="BA1132" s="1170">
        <f t="shared" si="1670"/>
        <v>0</v>
      </c>
      <c r="BB1132" s="1170"/>
      <c r="BC1132" s="1024"/>
      <c r="BD1132" s="1027"/>
      <c r="BE1132" s="1024"/>
      <c r="BF1132" s="1024"/>
      <c r="BG1132" s="1008"/>
      <c r="BH1132" s="1008"/>
      <c r="BI1132" s="1008"/>
      <c r="BJ1132" s="1008"/>
      <c r="BK1132" s="1008"/>
      <c r="BL1132" s="1008"/>
      <c r="BM1132" s="1008"/>
    </row>
    <row r="1133" s="1215" customFormat="1" ht="19.5" customHeight="1">
      <c r="A1133" s="999" t="str">
        <f t="shared" si="1578"/>
        <v xml:space="preserve">Дегтярева Е.И. Акилова С.В.</v>
      </c>
      <c r="B1133" s="1202" t="s">
        <v>413</v>
      </c>
      <c r="C1133" s="1217"/>
      <c r="D1133" s="1217"/>
      <c r="E1133" s="1164">
        <f t="shared" si="1663"/>
        <v>0</v>
      </c>
      <c r="F1133" s="1164">
        <f t="shared" si="1663"/>
        <v>0</v>
      </c>
      <c r="G1133" s="1165">
        <f t="shared" si="1664"/>
        <v>0</v>
      </c>
      <c r="H1133" s="1166"/>
      <c r="I1133" s="1167">
        <f t="shared" ref="I1133:J1196" si="1671">E1133-Z1133</f>
        <v>0</v>
      </c>
      <c r="J1133" s="1167">
        <f t="shared" si="1580"/>
        <v>0</v>
      </c>
      <c r="K1133" s="1168">
        <f t="shared" si="1665"/>
        <v>0</v>
      </c>
      <c r="L1133" s="1128"/>
      <c r="M1133" s="1170"/>
      <c r="N1133" s="1175"/>
      <c r="O1133" s="1170"/>
      <c r="P1133" s="1169"/>
      <c r="Q1133" s="1170">
        <f t="shared" si="1666"/>
        <v>0</v>
      </c>
      <c r="R1133" s="1169"/>
      <c r="S1133" s="1170"/>
      <c r="T1133" s="1171"/>
      <c r="U1133" s="1128"/>
      <c r="V1133" s="1170"/>
      <c r="W1133" s="1175"/>
      <c r="X1133" s="1175"/>
      <c r="Y1133" s="1169"/>
      <c r="Z1133" s="1170">
        <f t="shared" si="1667"/>
        <v>0</v>
      </c>
      <c r="AA1133" s="1169"/>
      <c r="AB1133" s="1345"/>
      <c r="AC1133" s="1171"/>
      <c r="AD1133" s="1128"/>
      <c r="AE1133" s="1170"/>
      <c r="AF1133" s="1175"/>
      <c r="AG1133" s="1175"/>
      <c r="AH1133" s="1169"/>
      <c r="AI1133" s="1170">
        <f t="shared" si="1668"/>
        <v>0</v>
      </c>
      <c r="AJ1133" s="1169"/>
      <c r="AK1133" s="1170"/>
      <c r="AL1133" s="1171"/>
      <c r="AM1133" s="1128"/>
      <c r="AN1133" s="1170"/>
      <c r="AO1133" s="1175"/>
      <c r="AP1133" s="1175"/>
      <c r="AQ1133" s="1170"/>
      <c r="AR1133" s="1170">
        <f t="shared" si="1669"/>
        <v>0</v>
      </c>
      <c r="AS1133" s="1170"/>
      <c r="AT1133" s="1170"/>
      <c r="AU1133" s="1174"/>
      <c r="AV1133" s="1128"/>
      <c r="AW1133" s="1170"/>
      <c r="AX1133" s="1175"/>
      <c r="AY1133" s="1175"/>
      <c r="AZ1133" s="1169"/>
      <c r="BA1133" s="1170">
        <f t="shared" si="1670"/>
        <v>0</v>
      </c>
      <c r="BB1133" s="1170"/>
      <c r="BC1133" s="1024"/>
      <c r="BD1133" s="1027"/>
      <c r="BE1133" s="1024"/>
      <c r="BF1133" s="1024"/>
      <c r="BG1133" s="1008"/>
      <c r="BH1133" s="1008"/>
      <c r="BI1133" s="1008"/>
      <c r="BJ1133" s="1008"/>
      <c r="BK1133" s="1008"/>
      <c r="BL1133" s="1008"/>
      <c r="BM1133" s="1008"/>
    </row>
    <row r="1134" s="1215" customFormat="1" ht="19.5" customHeight="1">
      <c r="A1134" s="999">
        <f t="shared" si="1578"/>
        <v>0</v>
      </c>
      <c r="B1134" s="1202" t="s">
        <v>504</v>
      </c>
      <c r="C1134" s="1202"/>
      <c r="D1134" s="1202"/>
      <c r="E1134" s="1164"/>
      <c r="F1134" s="1164"/>
      <c r="G1134" s="1165"/>
      <c r="H1134" s="1166"/>
      <c r="I1134" s="1167">
        <f t="shared" si="1671"/>
        <v>0</v>
      </c>
      <c r="J1134" s="1167">
        <f t="shared" si="1580"/>
        <v>0</v>
      </c>
      <c r="K1134" s="1168"/>
      <c r="L1134" s="1128"/>
      <c r="M1134" s="1170"/>
      <c r="N1134" s="1175"/>
      <c r="O1134" s="1170"/>
      <c r="P1134" s="1169"/>
      <c r="Q1134" s="1170">
        <f t="shared" si="1666"/>
        <v>0</v>
      </c>
      <c r="R1134" s="1169"/>
      <c r="S1134" s="1170"/>
      <c r="T1134" s="1171"/>
      <c r="U1134" s="1128"/>
      <c r="V1134" s="1170"/>
      <c r="W1134" s="1175"/>
      <c r="X1134" s="1175"/>
      <c r="Y1134" s="1169"/>
      <c r="Z1134" s="1170">
        <f t="shared" si="1667"/>
        <v>0</v>
      </c>
      <c r="AA1134" s="1169"/>
      <c r="AB1134" s="1345"/>
      <c r="AC1134" s="1171"/>
      <c r="AD1134" s="1128"/>
      <c r="AE1134" s="1170"/>
      <c r="AF1134" s="1175"/>
      <c r="AG1134" s="1175"/>
      <c r="AH1134" s="1169"/>
      <c r="AI1134" s="1170">
        <f t="shared" si="1668"/>
        <v>0</v>
      </c>
      <c r="AJ1134" s="1169"/>
      <c r="AK1134" s="1170"/>
      <c r="AL1134" s="1171"/>
      <c r="AM1134" s="1128"/>
      <c r="AN1134" s="1170"/>
      <c r="AO1134" s="1175"/>
      <c r="AP1134" s="1175"/>
      <c r="AQ1134" s="1170"/>
      <c r="AR1134" s="1170">
        <f t="shared" si="1669"/>
        <v>0</v>
      </c>
      <c r="AS1134" s="1170"/>
      <c r="AT1134" s="1170"/>
      <c r="AU1134" s="1174"/>
      <c r="AV1134" s="1128"/>
      <c r="AW1134" s="1170"/>
      <c r="AX1134" s="1175"/>
      <c r="AY1134" s="1175"/>
      <c r="AZ1134" s="1169"/>
      <c r="BA1134" s="1170">
        <f t="shared" si="1670"/>
        <v>0</v>
      </c>
      <c r="BB1134" s="1170"/>
      <c r="BC1134" s="1024"/>
      <c r="BD1134" s="1027"/>
      <c r="BE1134" s="1024"/>
      <c r="BF1134" s="1024"/>
      <c r="BG1134" s="1008"/>
      <c r="BH1134" s="1008"/>
      <c r="BI1134" s="1008"/>
      <c r="BJ1134" s="1008"/>
      <c r="BK1134" s="1008"/>
      <c r="BL1134" s="1008"/>
      <c r="BM1134" s="1008"/>
    </row>
    <row r="1135" s="1215" customFormat="1" ht="19.5" customHeight="1">
      <c r="A1135" s="999" t="str">
        <f t="shared" si="1578"/>
        <v xml:space="preserve">Ковалевская ОА,  Горнухина НЕ</v>
      </c>
      <c r="B1135" s="1202" t="s">
        <v>416</v>
      </c>
      <c r="C1135" s="1202"/>
      <c r="D1135" s="1202"/>
      <c r="E1135" s="1164">
        <f t="shared" si="1663"/>
        <v>0</v>
      </c>
      <c r="F1135" s="1164">
        <f t="shared" si="1663"/>
        <v>0</v>
      </c>
      <c r="G1135" s="1165">
        <f t="shared" si="1664"/>
        <v>0</v>
      </c>
      <c r="H1135" s="1166"/>
      <c r="I1135" s="1167">
        <f t="shared" si="1671"/>
        <v>0</v>
      </c>
      <c r="J1135" s="1167">
        <f t="shared" si="1580"/>
        <v>0</v>
      </c>
      <c r="K1135" s="1168">
        <f t="shared" si="1665"/>
        <v>0</v>
      </c>
      <c r="L1135" s="1128"/>
      <c r="M1135" s="1170"/>
      <c r="N1135" s="1175"/>
      <c r="O1135" s="1170"/>
      <c r="P1135" s="1169"/>
      <c r="Q1135" s="1170">
        <f t="shared" si="1666"/>
        <v>0</v>
      </c>
      <c r="R1135" s="1169"/>
      <c r="S1135" s="1170"/>
      <c r="T1135" s="1171"/>
      <c r="U1135" s="1128"/>
      <c r="V1135" s="1170"/>
      <c r="W1135" s="1175"/>
      <c r="X1135" s="1175"/>
      <c r="Y1135" s="1169"/>
      <c r="Z1135" s="1170">
        <f t="shared" si="1667"/>
        <v>0</v>
      </c>
      <c r="AA1135" s="1169"/>
      <c r="AB1135" s="1345"/>
      <c r="AC1135" s="1171"/>
      <c r="AD1135" s="1128"/>
      <c r="AE1135" s="1170"/>
      <c r="AF1135" s="1175"/>
      <c r="AG1135" s="1175"/>
      <c r="AH1135" s="1169"/>
      <c r="AI1135" s="1170">
        <f t="shared" si="1668"/>
        <v>0</v>
      </c>
      <c r="AJ1135" s="1169"/>
      <c r="AK1135" s="1170"/>
      <c r="AL1135" s="1171"/>
      <c r="AM1135" s="1128"/>
      <c r="AN1135" s="1170"/>
      <c r="AO1135" s="1175"/>
      <c r="AP1135" s="1175"/>
      <c r="AQ1135" s="1170"/>
      <c r="AR1135" s="1170">
        <f t="shared" si="1669"/>
        <v>0</v>
      </c>
      <c r="AS1135" s="1170"/>
      <c r="AT1135" s="1170"/>
      <c r="AU1135" s="1174"/>
      <c r="AV1135" s="1128"/>
      <c r="AW1135" s="1170"/>
      <c r="AX1135" s="1175"/>
      <c r="AY1135" s="1175"/>
      <c r="AZ1135" s="1169"/>
      <c r="BA1135" s="1170">
        <f t="shared" si="1670"/>
        <v>0</v>
      </c>
      <c r="BB1135" s="1170"/>
      <c r="BC1135" s="1024"/>
      <c r="BD1135" s="1027"/>
      <c r="BE1135" s="1024"/>
      <c r="BF1135" s="1024"/>
      <c r="BG1135" s="1008"/>
      <c r="BH1135" s="1008"/>
      <c r="BI1135" s="1008"/>
      <c r="BJ1135" s="1008"/>
      <c r="BK1135" s="1008"/>
      <c r="BL1135" s="1008"/>
      <c r="BM1135" s="1008"/>
    </row>
    <row r="1136" s="1215" customFormat="1" ht="19.5" customHeight="1">
      <c r="A1136" s="999" t="str">
        <f t="shared" si="1578"/>
        <v xml:space="preserve">Никонова-Цыганова Н.А. Столберова МИ</v>
      </c>
      <c r="B1136" s="1202" t="s">
        <v>80</v>
      </c>
      <c r="C1136" s="1217"/>
      <c r="D1136" s="1217"/>
      <c r="E1136" s="1164">
        <f t="shared" si="1663"/>
        <v>0</v>
      </c>
      <c r="F1136" s="1164">
        <f t="shared" si="1663"/>
        <v>0</v>
      </c>
      <c r="G1136" s="1165">
        <f t="shared" si="1664"/>
        <v>0</v>
      </c>
      <c r="H1136" s="1166"/>
      <c r="I1136" s="1167">
        <f t="shared" si="1671"/>
        <v>0</v>
      </c>
      <c r="J1136" s="1167">
        <f t="shared" si="1580"/>
        <v>0</v>
      </c>
      <c r="K1136" s="1168">
        <f t="shared" si="1665"/>
        <v>0</v>
      </c>
      <c r="L1136" s="1128"/>
      <c r="M1136" s="1170"/>
      <c r="N1136" s="1200"/>
      <c r="O1136" s="1170"/>
      <c r="P1136" s="1169"/>
      <c r="Q1136" s="1170">
        <f t="shared" si="1666"/>
        <v>0</v>
      </c>
      <c r="R1136" s="1169"/>
      <c r="S1136" s="1170"/>
      <c r="T1136" s="1171"/>
      <c r="U1136" s="1128"/>
      <c r="V1136" s="1170"/>
      <c r="W1136" s="1200"/>
      <c r="X1136" s="1175"/>
      <c r="Y1136" s="1169"/>
      <c r="Z1136" s="1170">
        <f t="shared" si="1667"/>
        <v>0</v>
      </c>
      <c r="AA1136" s="1169"/>
      <c r="AB1136" s="1345"/>
      <c r="AC1136" s="1171"/>
      <c r="AD1136" s="1128"/>
      <c r="AE1136" s="1170"/>
      <c r="AF1136" s="1200"/>
      <c r="AG1136" s="1175"/>
      <c r="AH1136" s="1169"/>
      <c r="AI1136" s="1170">
        <f t="shared" si="1668"/>
        <v>0</v>
      </c>
      <c r="AJ1136" s="1169"/>
      <c r="AK1136" s="1170"/>
      <c r="AL1136" s="1171"/>
      <c r="AM1136" s="1128"/>
      <c r="AN1136" s="1170"/>
      <c r="AO1136" s="1200"/>
      <c r="AP1136" s="1175"/>
      <c r="AQ1136" s="1170"/>
      <c r="AR1136" s="1170">
        <f t="shared" si="1669"/>
        <v>0</v>
      </c>
      <c r="AS1136" s="1170"/>
      <c r="AT1136" s="1170"/>
      <c r="AU1136" s="1174"/>
      <c r="AV1136" s="1128"/>
      <c r="AW1136" s="1170"/>
      <c r="AX1136" s="1200"/>
      <c r="AY1136" s="1175"/>
      <c r="AZ1136" s="1169"/>
      <c r="BA1136" s="1170">
        <f t="shared" si="1670"/>
        <v>0</v>
      </c>
      <c r="BB1136" s="1170"/>
      <c r="BC1136" s="1024"/>
      <c r="BD1136" s="1027"/>
      <c r="BE1136" s="1024"/>
      <c r="BF1136" s="1024"/>
      <c r="BG1136" s="1008"/>
      <c r="BH1136" s="1008"/>
      <c r="BI1136" s="1008"/>
      <c r="BJ1136" s="1008"/>
      <c r="BK1136" s="1008"/>
      <c r="BL1136" s="1008"/>
      <c r="BM1136" s="1008"/>
    </row>
    <row r="1137" s="1215" customFormat="1" ht="19.5" customHeight="1">
      <c r="A1137" s="999" t="str">
        <f t="shared" si="1578"/>
        <v xml:space="preserve">Шевкунова С.А.</v>
      </c>
      <c r="B1137" s="1202" t="s">
        <v>419</v>
      </c>
      <c r="C1137" s="1202"/>
      <c r="D1137" s="1202"/>
      <c r="E1137" s="1164">
        <f t="shared" si="1663"/>
        <v>0</v>
      </c>
      <c r="F1137" s="1164">
        <f t="shared" si="1663"/>
        <v>0</v>
      </c>
      <c r="G1137" s="1165">
        <f t="shared" si="1664"/>
        <v>0</v>
      </c>
      <c r="H1137" s="1166"/>
      <c r="I1137" s="1167">
        <f t="shared" si="1671"/>
        <v>0</v>
      </c>
      <c r="J1137" s="1167">
        <f t="shared" si="1580"/>
        <v>0</v>
      </c>
      <c r="K1137" s="1168">
        <f t="shared" si="1665"/>
        <v>0</v>
      </c>
      <c r="L1137" s="1128"/>
      <c r="M1137" s="1170"/>
      <c r="N1137" s="1175"/>
      <c r="O1137" s="1170"/>
      <c r="P1137" s="1169"/>
      <c r="Q1137" s="1170">
        <f t="shared" si="1666"/>
        <v>0</v>
      </c>
      <c r="R1137" s="1169"/>
      <c r="S1137" s="1170"/>
      <c r="T1137" s="1171"/>
      <c r="U1137" s="1128"/>
      <c r="V1137" s="1170"/>
      <c r="W1137" s="1175"/>
      <c r="X1137" s="1175"/>
      <c r="Y1137" s="1169"/>
      <c r="Z1137" s="1170">
        <f t="shared" si="1667"/>
        <v>0</v>
      </c>
      <c r="AA1137" s="1169"/>
      <c r="AB1137" s="1345"/>
      <c r="AC1137" s="1171"/>
      <c r="AD1137" s="1128"/>
      <c r="AE1137" s="1170"/>
      <c r="AF1137" s="1175"/>
      <c r="AG1137" s="1175"/>
      <c r="AH1137" s="1169"/>
      <c r="AI1137" s="1170">
        <f t="shared" si="1668"/>
        <v>0</v>
      </c>
      <c r="AJ1137" s="1169"/>
      <c r="AK1137" s="1170"/>
      <c r="AL1137" s="1171"/>
      <c r="AM1137" s="1128"/>
      <c r="AN1137" s="1170"/>
      <c r="AO1137" s="1175"/>
      <c r="AP1137" s="1175"/>
      <c r="AQ1137" s="1170"/>
      <c r="AR1137" s="1170">
        <f t="shared" si="1669"/>
        <v>0</v>
      </c>
      <c r="AS1137" s="1170"/>
      <c r="AT1137" s="1170"/>
      <c r="AU1137" s="1174"/>
      <c r="AV1137" s="1128"/>
      <c r="AW1137" s="1170"/>
      <c r="AX1137" s="1175"/>
      <c r="AY1137" s="1175"/>
      <c r="AZ1137" s="1169"/>
      <c r="BA1137" s="1170">
        <f t="shared" si="1670"/>
        <v>0</v>
      </c>
      <c r="BB1137" s="1170"/>
      <c r="BC1137" s="1024"/>
      <c r="BD1137" s="1027"/>
      <c r="BE1137" s="1024"/>
      <c r="BF1137" s="1024"/>
      <c r="BG1137" s="1008"/>
      <c r="BH1137" s="1008"/>
      <c r="BI1137" s="1008"/>
      <c r="BJ1137" s="1008"/>
      <c r="BK1137" s="1008"/>
      <c r="BL1137" s="1008"/>
      <c r="BM1137" s="1008"/>
    </row>
    <row r="1138" s="1215" customFormat="1" ht="19.5" customHeight="1">
      <c r="A1138" s="999"/>
      <c r="B1138" s="1205" t="s">
        <v>363</v>
      </c>
      <c r="C1138" s="1205"/>
      <c r="D1138" s="1205"/>
      <c r="E1138" s="1302">
        <f>SUM(E1130:E1137)</f>
        <v>0</v>
      </c>
      <c r="F1138" s="1302">
        <f>SUM(F1130:F1137)</f>
        <v>0</v>
      </c>
      <c r="G1138" s="1220">
        <f>SUM(G1130:G1137)</f>
        <v>0</v>
      </c>
      <c r="H1138" s="1221"/>
      <c r="I1138" s="1167">
        <f t="shared" si="1671"/>
        <v>0</v>
      </c>
      <c r="J1138" s="1167">
        <f t="shared" si="1580"/>
        <v>0</v>
      </c>
      <c r="K1138" s="1222">
        <f>SUM(K1130:K1137)</f>
        <v>0</v>
      </c>
      <c r="L1138" s="1197"/>
      <c r="M1138" s="1190">
        <f t="shared" ref="M1138:R1138" si="1672">SUM(M1130:M1137)</f>
        <v>0</v>
      </c>
      <c r="N1138" s="1190">
        <f t="shared" si="1672"/>
        <v>0</v>
      </c>
      <c r="O1138" s="1190">
        <f t="shared" si="1672"/>
        <v>0</v>
      </c>
      <c r="P1138" s="1096">
        <f t="shared" si="1672"/>
        <v>0</v>
      </c>
      <c r="Q1138" s="1190">
        <f t="shared" si="1672"/>
        <v>0</v>
      </c>
      <c r="R1138" s="1096">
        <f t="shared" si="1672"/>
        <v>0</v>
      </c>
      <c r="S1138" s="1190"/>
      <c r="T1138" s="1189"/>
      <c r="U1138" s="1197"/>
      <c r="V1138" s="1190">
        <f t="shared" ref="V1138:AA1138" si="1673">SUM(V1130:V1137)</f>
        <v>0</v>
      </c>
      <c r="W1138" s="1190">
        <f t="shared" si="1673"/>
        <v>0</v>
      </c>
      <c r="X1138" s="1190">
        <f t="shared" si="1673"/>
        <v>0</v>
      </c>
      <c r="Y1138" s="1096">
        <f t="shared" si="1673"/>
        <v>0</v>
      </c>
      <c r="Z1138" s="1190">
        <f t="shared" si="1673"/>
        <v>0</v>
      </c>
      <c r="AA1138" s="1096">
        <f t="shared" si="1673"/>
        <v>0</v>
      </c>
      <c r="AB1138" s="1346"/>
      <c r="AC1138" s="1189"/>
      <c r="AD1138" s="1197"/>
      <c r="AE1138" s="1190">
        <f t="shared" ref="AE1138:AJ1138" si="1674">SUM(AE1130:AE1137)</f>
        <v>0</v>
      </c>
      <c r="AF1138" s="1190">
        <f t="shared" si="1674"/>
        <v>0</v>
      </c>
      <c r="AG1138" s="1190">
        <f t="shared" si="1674"/>
        <v>0</v>
      </c>
      <c r="AH1138" s="1096">
        <f t="shared" si="1674"/>
        <v>0</v>
      </c>
      <c r="AI1138" s="1190">
        <f t="shared" si="1674"/>
        <v>0</v>
      </c>
      <c r="AJ1138" s="1096">
        <f t="shared" si="1674"/>
        <v>0</v>
      </c>
      <c r="AK1138" s="1190"/>
      <c r="AL1138" s="1189"/>
      <c r="AM1138" s="1197"/>
      <c r="AN1138" s="1190">
        <f t="shared" ref="AN1138:AS1138" si="1675">SUM(AN1130:AN1137)</f>
        <v>0</v>
      </c>
      <c r="AO1138" s="1190">
        <f t="shared" si="1675"/>
        <v>0</v>
      </c>
      <c r="AP1138" s="1190">
        <f t="shared" si="1675"/>
        <v>0</v>
      </c>
      <c r="AQ1138" s="1190">
        <f t="shared" si="1675"/>
        <v>0</v>
      </c>
      <c r="AR1138" s="1190">
        <f t="shared" si="1675"/>
        <v>0</v>
      </c>
      <c r="AS1138" s="1190">
        <f t="shared" si="1675"/>
        <v>0</v>
      </c>
      <c r="AT1138" s="1190"/>
      <c r="AU1138" s="1191"/>
      <c r="AV1138" s="1197">
        <f t="shared" ref="AV1138:BB1138" si="1676">SUM(AV1130:AV1137)</f>
        <v>0</v>
      </c>
      <c r="AW1138" s="1190">
        <f t="shared" si="1676"/>
        <v>0</v>
      </c>
      <c r="AX1138" s="1190">
        <f t="shared" si="1676"/>
        <v>0</v>
      </c>
      <c r="AY1138" s="1190">
        <f t="shared" si="1676"/>
        <v>0</v>
      </c>
      <c r="AZ1138" s="1096">
        <f t="shared" si="1676"/>
        <v>0</v>
      </c>
      <c r="BA1138" s="1190">
        <f t="shared" si="1676"/>
        <v>0</v>
      </c>
      <c r="BB1138" s="1190">
        <f t="shared" si="1676"/>
        <v>0</v>
      </c>
      <c r="BC1138" s="1024"/>
      <c r="BD1138" s="1027"/>
      <c r="BE1138" s="1024"/>
      <c r="BF1138" s="1024"/>
      <c r="BG1138" s="1008"/>
      <c r="BH1138" s="1008"/>
      <c r="BI1138" s="1008"/>
      <c r="BJ1138" s="1008"/>
      <c r="BK1138" s="1008"/>
      <c r="BL1138" s="1008"/>
      <c r="BM1138" s="1008"/>
    </row>
    <row r="1139" s="1215" customFormat="1" ht="19.5" customHeight="1">
      <c r="A1139" s="999" t="str">
        <f t="shared" si="1578"/>
        <v xml:space="preserve">Шеламкова Н.В.</v>
      </c>
      <c r="B1139" s="1202" t="s">
        <v>421</v>
      </c>
      <c r="C1139" s="1202"/>
      <c r="D1139" s="1202"/>
      <c r="E1139" s="1164">
        <f t="shared" ref="E1139:F1151" si="1677">Q1139+Z1139+AI1139+AR1139+BA1139</f>
        <v>0</v>
      </c>
      <c r="F1139" s="1164">
        <f t="shared" si="1677"/>
        <v>0</v>
      </c>
      <c r="G1139" s="1165">
        <f t="shared" ref="G1139:G1151" si="1678">E1139+F1139</f>
        <v>0</v>
      </c>
      <c r="H1139" s="1166"/>
      <c r="I1139" s="1167">
        <f t="shared" si="1671"/>
        <v>0</v>
      </c>
      <c r="J1139" s="1167">
        <f t="shared" si="1580"/>
        <v>0</v>
      </c>
      <c r="K1139" s="1168">
        <f t="shared" ref="K1139:K1151" si="1679">I1139+J1139</f>
        <v>0</v>
      </c>
      <c r="L1139" s="1128"/>
      <c r="M1139" s="1170"/>
      <c r="N1139" s="1175"/>
      <c r="O1139" s="1170"/>
      <c r="P1139" s="1169"/>
      <c r="Q1139" s="1170">
        <f t="shared" ref="Q1139:Q1151" si="1680">SUM(M1139:P1139)</f>
        <v>0</v>
      </c>
      <c r="R1139" s="1169"/>
      <c r="S1139" s="1170"/>
      <c r="T1139" s="1171"/>
      <c r="U1139" s="1128"/>
      <c r="V1139" s="1170"/>
      <c r="W1139" s="1175"/>
      <c r="X1139" s="1175"/>
      <c r="Y1139" s="1169"/>
      <c r="Z1139" s="1170">
        <f t="shared" ref="Z1139:Z1151" si="1681">SUM(V1139:Y1139)</f>
        <v>0</v>
      </c>
      <c r="AA1139" s="1169"/>
      <c r="AB1139" s="1345"/>
      <c r="AC1139" s="1171"/>
      <c r="AD1139" s="1128"/>
      <c r="AE1139" s="1170"/>
      <c r="AF1139" s="1175"/>
      <c r="AG1139" s="1175"/>
      <c r="AH1139" s="1169"/>
      <c r="AI1139" s="1170">
        <f t="shared" ref="AI1139:AI1151" si="1682">SUM(AE1139:AH1139)</f>
        <v>0</v>
      </c>
      <c r="AJ1139" s="1169"/>
      <c r="AK1139" s="1170"/>
      <c r="AL1139" s="1171"/>
      <c r="AM1139" s="1128"/>
      <c r="AN1139" s="1170"/>
      <c r="AO1139" s="1175"/>
      <c r="AP1139" s="1175"/>
      <c r="AQ1139" s="1170"/>
      <c r="AR1139" s="1170">
        <f t="shared" ref="AR1139:AR1151" si="1683">SUM(AN1139:AQ1139)</f>
        <v>0</v>
      </c>
      <c r="AS1139" s="1170"/>
      <c r="AT1139" s="1170"/>
      <c r="AU1139" s="1174"/>
      <c r="AV1139" s="1128"/>
      <c r="AW1139" s="1170"/>
      <c r="AX1139" s="1175"/>
      <c r="AY1139" s="1175"/>
      <c r="AZ1139" s="1169"/>
      <c r="BA1139" s="1170">
        <f t="shared" ref="BA1139:BA1151" si="1684">SUM(AW1139:AZ1139)</f>
        <v>0</v>
      </c>
      <c r="BB1139" s="1169"/>
      <c r="BC1139" s="1024"/>
      <c r="BD1139" s="1027"/>
      <c r="BE1139" s="1024"/>
      <c r="BF1139" s="1024"/>
      <c r="BG1139" s="1008"/>
      <c r="BH1139" s="1008"/>
      <c r="BI1139" s="1008"/>
      <c r="BJ1139" s="1008"/>
      <c r="BK1139" s="1008"/>
      <c r="BL1139" s="1008"/>
      <c r="BM1139" s="1008"/>
    </row>
    <row r="1140" s="1215" customFormat="1" ht="19.5" customHeight="1">
      <c r="A1140" s="999" t="str">
        <f t="shared" si="1578"/>
        <v xml:space="preserve">Буланова О.Н. Сычева Ю.В.</v>
      </c>
      <c r="B1140" s="1202" t="s">
        <v>68</v>
      </c>
      <c r="C1140" s="1202"/>
      <c r="D1140" s="1202"/>
      <c r="E1140" s="1164">
        <f t="shared" si="1677"/>
        <v>0</v>
      </c>
      <c r="F1140" s="1164">
        <f t="shared" si="1677"/>
        <v>0</v>
      </c>
      <c r="G1140" s="1165">
        <f t="shared" si="1678"/>
        <v>0</v>
      </c>
      <c r="H1140" s="1166"/>
      <c r="I1140" s="1167">
        <f t="shared" si="1671"/>
        <v>0</v>
      </c>
      <c r="J1140" s="1167">
        <f t="shared" si="1580"/>
        <v>0</v>
      </c>
      <c r="K1140" s="1168">
        <f t="shared" si="1679"/>
        <v>0</v>
      </c>
      <c r="L1140" s="1128"/>
      <c r="M1140" s="1170"/>
      <c r="N1140" s="1175"/>
      <c r="O1140" s="1170"/>
      <c r="P1140" s="1169"/>
      <c r="Q1140" s="1170">
        <f t="shared" si="1680"/>
        <v>0</v>
      </c>
      <c r="R1140" s="1169"/>
      <c r="S1140" s="1170"/>
      <c r="T1140" s="1171"/>
      <c r="U1140" s="1128"/>
      <c r="V1140" s="1170"/>
      <c r="W1140" s="1175"/>
      <c r="X1140" s="1175"/>
      <c r="Y1140" s="1169"/>
      <c r="Z1140" s="1170">
        <f t="shared" si="1681"/>
        <v>0</v>
      </c>
      <c r="AA1140" s="1169"/>
      <c r="AB1140" s="1345"/>
      <c r="AC1140" s="1171"/>
      <c r="AD1140" s="1128"/>
      <c r="AE1140" s="1170"/>
      <c r="AF1140" s="1175"/>
      <c r="AG1140" s="1175"/>
      <c r="AH1140" s="1169"/>
      <c r="AI1140" s="1170">
        <f t="shared" si="1682"/>
        <v>0</v>
      </c>
      <c r="AJ1140" s="1169"/>
      <c r="AK1140" s="1170"/>
      <c r="AL1140" s="1171"/>
      <c r="AM1140" s="1128"/>
      <c r="AN1140" s="1170"/>
      <c r="AO1140" s="1175"/>
      <c r="AP1140" s="1175"/>
      <c r="AQ1140" s="1170"/>
      <c r="AR1140" s="1170">
        <f t="shared" si="1683"/>
        <v>0</v>
      </c>
      <c r="AS1140" s="1170"/>
      <c r="AT1140" s="1170"/>
      <c r="AU1140" s="1174"/>
      <c r="AV1140" s="1128"/>
      <c r="AW1140" s="1170"/>
      <c r="AX1140" s="1175"/>
      <c r="AY1140" s="1175"/>
      <c r="AZ1140" s="1169"/>
      <c r="BA1140" s="1170">
        <f t="shared" si="1684"/>
        <v>0</v>
      </c>
      <c r="BB1140" s="1169"/>
      <c r="BC1140" s="1024"/>
      <c r="BD1140" s="1027"/>
      <c r="BE1140" s="1024"/>
      <c r="BF1140" s="1024"/>
      <c r="BG1140" s="1008"/>
      <c r="BH1140" s="1008"/>
      <c r="BI1140" s="1008"/>
      <c r="BJ1140" s="1008"/>
      <c r="BK1140" s="1008"/>
      <c r="BL1140" s="1008"/>
      <c r="BM1140" s="1008"/>
    </row>
    <row r="1141" s="1215" customFormat="1" ht="19.5" customHeight="1">
      <c r="A1141" s="999" t="str">
        <f t="shared" si="1578"/>
        <v xml:space="preserve">Бояринцева Н.А.</v>
      </c>
      <c r="B1141" s="1202" t="s">
        <v>289</v>
      </c>
      <c r="C1141" s="1202"/>
      <c r="D1141" s="1202"/>
      <c r="E1141" s="1164">
        <f t="shared" si="1677"/>
        <v>0</v>
      </c>
      <c r="F1141" s="1164">
        <f t="shared" si="1677"/>
        <v>0</v>
      </c>
      <c r="G1141" s="1165">
        <f t="shared" si="1678"/>
        <v>0</v>
      </c>
      <c r="H1141" s="1166"/>
      <c r="I1141" s="1167">
        <f t="shared" si="1671"/>
        <v>0</v>
      </c>
      <c r="J1141" s="1167">
        <f t="shared" si="1580"/>
        <v>0</v>
      </c>
      <c r="K1141" s="1168">
        <f t="shared" si="1679"/>
        <v>0</v>
      </c>
      <c r="L1141" s="1128"/>
      <c r="M1141" s="1170"/>
      <c r="N1141" s="1175"/>
      <c r="O1141" s="1170"/>
      <c r="P1141" s="1169"/>
      <c r="Q1141" s="1170">
        <f t="shared" si="1680"/>
        <v>0</v>
      </c>
      <c r="R1141" s="1169"/>
      <c r="S1141" s="1170"/>
      <c r="T1141" s="1171"/>
      <c r="U1141" s="1128"/>
      <c r="V1141" s="1170"/>
      <c r="W1141" s="1175"/>
      <c r="X1141" s="1175"/>
      <c r="Y1141" s="1169"/>
      <c r="Z1141" s="1170">
        <f t="shared" si="1681"/>
        <v>0</v>
      </c>
      <c r="AA1141" s="1169"/>
      <c r="AB1141" s="1345"/>
      <c r="AC1141" s="1171"/>
      <c r="AD1141" s="1128"/>
      <c r="AE1141" s="1170"/>
      <c r="AF1141" s="1175"/>
      <c r="AG1141" s="1175"/>
      <c r="AH1141" s="1169"/>
      <c r="AI1141" s="1170">
        <f t="shared" si="1682"/>
        <v>0</v>
      </c>
      <c r="AJ1141" s="1169"/>
      <c r="AK1141" s="1170"/>
      <c r="AL1141" s="1171"/>
      <c r="AM1141" s="1128"/>
      <c r="AN1141" s="1170"/>
      <c r="AO1141" s="1175"/>
      <c r="AP1141" s="1175"/>
      <c r="AQ1141" s="1170"/>
      <c r="AR1141" s="1170">
        <f t="shared" si="1683"/>
        <v>0</v>
      </c>
      <c r="AS1141" s="1170"/>
      <c r="AT1141" s="1170"/>
      <c r="AU1141" s="1174"/>
      <c r="AV1141" s="1128"/>
      <c r="AW1141" s="1170"/>
      <c r="AX1141" s="1175"/>
      <c r="AY1141" s="1175"/>
      <c r="AZ1141" s="1169"/>
      <c r="BA1141" s="1170">
        <f t="shared" si="1684"/>
        <v>0</v>
      </c>
      <c r="BB1141" s="1169"/>
      <c r="BC1141" s="1024"/>
      <c r="BD1141" s="1027"/>
      <c r="BE1141" s="1024"/>
      <c r="BF1141" s="1024"/>
      <c r="BG1141" s="1008"/>
      <c r="BH1141" s="1008"/>
      <c r="BI1141" s="1008"/>
      <c r="BJ1141" s="1008"/>
      <c r="BK1141" s="1008"/>
      <c r="BL1141" s="1008"/>
      <c r="BM1141" s="1008"/>
    </row>
    <row r="1142" s="1215" customFormat="1" ht="19.5" customHeight="1">
      <c r="A1142" s="999">
        <f t="shared" si="1578"/>
        <v>0</v>
      </c>
      <c r="B1142" s="1202" t="s">
        <v>424</v>
      </c>
      <c r="C1142" s="1202"/>
      <c r="D1142" s="1202"/>
      <c r="E1142" s="1164">
        <f t="shared" si="1677"/>
        <v>0</v>
      </c>
      <c r="F1142" s="1164">
        <f t="shared" si="1677"/>
        <v>0</v>
      </c>
      <c r="G1142" s="1165">
        <f t="shared" si="1678"/>
        <v>0</v>
      </c>
      <c r="H1142" s="1166"/>
      <c r="I1142" s="1167">
        <f t="shared" si="1671"/>
        <v>0</v>
      </c>
      <c r="J1142" s="1167">
        <f t="shared" si="1580"/>
        <v>0</v>
      </c>
      <c r="K1142" s="1168">
        <f t="shared" si="1679"/>
        <v>0</v>
      </c>
      <c r="L1142" s="1128"/>
      <c r="M1142" s="1170"/>
      <c r="N1142" s="1175"/>
      <c r="O1142" s="1170"/>
      <c r="P1142" s="1169"/>
      <c r="Q1142" s="1170">
        <f t="shared" si="1680"/>
        <v>0</v>
      </c>
      <c r="R1142" s="1169"/>
      <c r="S1142" s="1170"/>
      <c r="T1142" s="1171"/>
      <c r="U1142" s="1128"/>
      <c r="V1142" s="1170"/>
      <c r="W1142" s="1175"/>
      <c r="X1142" s="1175"/>
      <c r="Y1142" s="1169"/>
      <c r="Z1142" s="1170">
        <f t="shared" si="1681"/>
        <v>0</v>
      </c>
      <c r="AA1142" s="1169"/>
      <c r="AB1142" s="1345"/>
      <c r="AC1142" s="1171"/>
      <c r="AD1142" s="1128"/>
      <c r="AE1142" s="1170"/>
      <c r="AF1142" s="1175"/>
      <c r="AG1142" s="1175"/>
      <c r="AH1142" s="1169"/>
      <c r="AI1142" s="1170">
        <f t="shared" si="1682"/>
        <v>0</v>
      </c>
      <c r="AJ1142" s="1169"/>
      <c r="AK1142" s="1170"/>
      <c r="AL1142" s="1171"/>
      <c r="AM1142" s="1128"/>
      <c r="AN1142" s="1170"/>
      <c r="AO1142" s="1175"/>
      <c r="AP1142" s="1175"/>
      <c r="AQ1142" s="1170"/>
      <c r="AR1142" s="1170">
        <f t="shared" si="1683"/>
        <v>0</v>
      </c>
      <c r="AS1142" s="1170"/>
      <c r="AT1142" s="1170"/>
      <c r="AU1142" s="1174"/>
      <c r="AV1142" s="1128"/>
      <c r="AW1142" s="1170"/>
      <c r="AX1142" s="1175"/>
      <c r="AY1142" s="1175"/>
      <c r="AZ1142" s="1169"/>
      <c r="BA1142" s="1170">
        <f t="shared" si="1684"/>
        <v>0</v>
      </c>
      <c r="BB1142" s="1169"/>
      <c r="BC1142" s="1024"/>
      <c r="BD1142" s="1027"/>
      <c r="BE1142" s="1024"/>
      <c r="BF1142" s="1024"/>
      <c r="BG1142" s="1008"/>
      <c r="BH1142" s="1008"/>
      <c r="BI1142" s="1008"/>
      <c r="BJ1142" s="1008"/>
      <c r="BK1142" s="1008"/>
      <c r="BL1142" s="1008"/>
      <c r="BM1142" s="1008"/>
    </row>
    <row r="1143" s="1215" customFormat="1" ht="19.5" customHeight="1">
      <c r="A1143" s="999" t="str">
        <f t="shared" si="1578"/>
        <v xml:space="preserve">Соболева Т.Ю.</v>
      </c>
      <c r="B1143" s="1202" t="s">
        <v>426</v>
      </c>
      <c r="C1143" s="1202"/>
      <c r="D1143" s="1202"/>
      <c r="E1143" s="1164">
        <f t="shared" si="1677"/>
        <v>0</v>
      </c>
      <c r="F1143" s="1164">
        <f t="shared" si="1677"/>
        <v>0</v>
      </c>
      <c r="G1143" s="1165">
        <f t="shared" si="1678"/>
        <v>0</v>
      </c>
      <c r="H1143" s="1166"/>
      <c r="I1143" s="1167">
        <f t="shared" si="1671"/>
        <v>0</v>
      </c>
      <c r="J1143" s="1167">
        <f t="shared" si="1580"/>
        <v>0</v>
      </c>
      <c r="K1143" s="1168">
        <f t="shared" si="1679"/>
        <v>0</v>
      </c>
      <c r="L1143" s="1128"/>
      <c r="M1143" s="1170"/>
      <c r="N1143" s="1175"/>
      <c r="O1143" s="1170"/>
      <c r="P1143" s="1169"/>
      <c r="Q1143" s="1170">
        <f t="shared" si="1680"/>
        <v>0</v>
      </c>
      <c r="R1143" s="1169"/>
      <c r="S1143" s="1170"/>
      <c r="T1143" s="1171"/>
      <c r="U1143" s="1128"/>
      <c r="V1143" s="1170"/>
      <c r="W1143" s="1175"/>
      <c r="X1143" s="1175"/>
      <c r="Y1143" s="1169"/>
      <c r="Z1143" s="1170">
        <f t="shared" si="1681"/>
        <v>0</v>
      </c>
      <c r="AA1143" s="1169"/>
      <c r="AB1143" s="1345"/>
      <c r="AC1143" s="1171"/>
      <c r="AD1143" s="1128"/>
      <c r="AE1143" s="1170"/>
      <c r="AF1143" s="1175"/>
      <c r="AG1143" s="1175"/>
      <c r="AH1143" s="1169"/>
      <c r="AI1143" s="1170">
        <f t="shared" si="1682"/>
        <v>0</v>
      </c>
      <c r="AJ1143" s="1169"/>
      <c r="AK1143" s="1170"/>
      <c r="AL1143" s="1171"/>
      <c r="AM1143" s="1128"/>
      <c r="AN1143" s="1170"/>
      <c r="AO1143" s="1175"/>
      <c r="AP1143" s="1175"/>
      <c r="AQ1143" s="1170"/>
      <c r="AR1143" s="1170">
        <f t="shared" si="1683"/>
        <v>0</v>
      </c>
      <c r="AS1143" s="1170"/>
      <c r="AT1143" s="1170"/>
      <c r="AU1143" s="1174"/>
      <c r="AV1143" s="1128"/>
      <c r="AW1143" s="1170"/>
      <c r="AX1143" s="1175"/>
      <c r="AY1143" s="1175"/>
      <c r="AZ1143" s="1169"/>
      <c r="BA1143" s="1170">
        <f t="shared" si="1684"/>
        <v>0</v>
      </c>
      <c r="BB1143" s="1169"/>
      <c r="BC1143" s="1024"/>
      <c r="BD1143" s="1027"/>
      <c r="BE1143" s="1024"/>
      <c r="BF1143" s="1024"/>
      <c r="BG1143" s="1008"/>
      <c r="BH1143" s="1008"/>
      <c r="BI1143" s="1008"/>
      <c r="BJ1143" s="1008"/>
      <c r="BK1143" s="1008"/>
      <c r="BL1143" s="1008"/>
      <c r="BM1143" s="1008"/>
    </row>
    <row r="1144" s="1215" customFormat="1" ht="19.5" customHeight="1">
      <c r="A1144" s="999">
        <f t="shared" si="1578"/>
        <v>0</v>
      </c>
      <c r="B1144" s="1202" t="s">
        <v>427</v>
      </c>
      <c r="C1144" s="1202"/>
      <c r="D1144" s="1202"/>
      <c r="E1144" s="1164">
        <f t="shared" si="1677"/>
        <v>0</v>
      </c>
      <c r="F1144" s="1164">
        <f t="shared" si="1677"/>
        <v>0</v>
      </c>
      <c r="G1144" s="1165">
        <f t="shared" si="1678"/>
        <v>0</v>
      </c>
      <c r="H1144" s="1166"/>
      <c r="I1144" s="1167">
        <f t="shared" si="1671"/>
        <v>0</v>
      </c>
      <c r="J1144" s="1167">
        <f t="shared" si="1580"/>
        <v>0</v>
      </c>
      <c r="K1144" s="1168">
        <f t="shared" si="1679"/>
        <v>0</v>
      </c>
      <c r="L1144" s="1128"/>
      <c r="M1144" s="1170"/>
      <c r="N1144" s="1175"/>
      <c r="O1144" s="1170"/>
      <c r="P1144" s="1169"/>
      <c r="Q1144" s="1170">
        <f t="shared" si="1680"/>
        <v>0</v>
      </c>
      <c r="R1144" s="1169"/>
      <c r="S1144" s="1170"/>
      <c r="T1144" s="1171"/>
      <c r="U1144" s="1128"/>
      <c r="V1144" s="1170"/>
      <c r="W1144" s="1175"/>
      <c r="X1144" s="1175"/>
      <c r="Y1144" s="1169"/>
      <c r="Z1144" s="1170">
        <f t="shared" si="1681"/>
        <v>0</v>
      </c>
      <c r="AA1144" s="1169"/>
      <c r="AB1144" s="1345"/>
      <c r="AC1144" s="1171"/>
      <c r="AD1144" s="1128"/>
      <c r="AE1144" s="1170"/>
      <c r="AF1144" s="1175"/>
      <c r="AG1144" s="1175"/>
      <c r="AH1144" s="1169"/>
      <c r="AI1144" s="1170">
        <f t="shared" si="1682"/>
        <v>0</v>
      </c>
      <c r="AJ1144" s="1169"/>
      <c r="AK1144" s="1170"/>
      <c r="AL1144" s="1171"/>
      <c r="AM1144" s="1128"/>
      <c r="AN1144" s="1170"/>
      <c r="AO1144" s="1175"/>
      <c r="AP1144" s="1175"/>
      <c r="AQ1144" s="1170"/>
      <c r="AR1144" s="1170">
        <f t="shared" si="1683"/>
        <v>0</v>
      </c>
      <c r="AS1144" s="1170"/>
      <c r="AT1144" s="1170"/>
      <c r="AU1144" s="1174"/>
      <c r="AV1144" s="1128"/>
      <c r="AW1144" s="1170"/>
      <c r="AX1144" s="1175"/>
      <c r="AY1144" s="1175"/>
      <c r="AZ1144" s="1169"/>
      <c r="BA1144" s="1170">
        <f t="shared" si="1684"/>
        <v>0</v>
      </c>
      <c r="BB1144" s="1169"/>
      <c r="BC1144" s="1024"/>
      <c r="BD1144" s="1027"/>
      <c r="BE1144" s="1024"/>
      <c r="BF1144" s="1024"/>
      <c r="BG1144" s="1008"/>
      <c r="BH1144" s="1008"/>
      <c r="BI1144" s="1008"/>
      <c r="BJ1144" s="1008"/>
      <c r="BK1144" s="1008"/>
      <c r="BL1144" s="1008"/>
      <c r="BM1144" s="1008"/>
    </row>
    <row r="1145" s="1215" customFormat="1" ht="19.5" customHeight="1">
      <c r="A1145" s="999" t="str">
        <f t="shared" si="1578"/>
        <v xml:space="preserve">Астапова С.А.</v>
      </c>
      <c r="B1145" s="1202" t="s">
        <v>73</v>
      </c>
      <c r="C1145" s="1202"/>
      <c r="D1145" s="1202"/>
      <c r="E1145" s="1164">
        <f t="shared" si="1677"/>
        <v>0</v>
      </c>
      <c r="F1145" s="1164">
        <f t="shared" si="1677"/>
        <v>0</v>
      </c>
      <c r="G1145" s="1165">
        <f t="shared" si="1678"/>
        <v>0</v>
      </c>
      <c r="H1145" s="1166"/>
      <c r="I1145" s="1167">
        <f t="shared" si="1671"/>
        <v>0</v>
      </c>
      <c r="J1145" s="1167">
        <f t="shared" si="1580"/>
        <v>0</v>
      </c>
      <c r="K1145" s="1168">
        <f t="shared" si="1679"/>
        <v>0</v>
      </c>
      <c r="L1145" s="1128"/>
      <c r="M1145" s="1170"/>
      <c r="N1145" s="1175"/>
      <c r="O1145" s="1170"/>
      <c r="P1145" s="1169"/>
      <c r="Q1145" s="1170">
        <f t="shared" si="1680"/>
        <v>0</v>
      </c>
      <c r="R1145" s="1169"/>
      <c r="S1145" s="1170"/>
      <c r="T1145" s="1171"/>
      <c r="U1145" s="1128"/>
      <c r="V1145" s="1170"/>
      <c r="W1145" s="1175"/>
      <c r="X1145" s="1175"/>
      <c r="Y1145" s="1169"/>
      <c r="Z1145" s="1170">
        <f t="shared" si="1681"/>
        <v>0</v>
      </c>
      <c r="AA1145" s="1169"/>
      <c r="AB1145" s="1345"/>
      <c r="AC1145" s="1171"/>
      <c r="AD1145" s="1128"/>
      <c r="AE1145" s="1170"/>
      <c r="AF1145" s="1175"/>
      <c r="AG1145" s="1175"/>
      <c r="AH1145" s="1169"/>
      <c r="AI1145" s="1170">
        <f t="shared" si="1682"/>
        <v>0</v>
      </c>
      <c r="AJ1145" s="1169"/>
      <c r="AK1145" s="1170"/>
      <c r="AL1145" s="1171"/>
      <c r="AM1145" s="1128"/>
      <c r="AN1145" s="1170"/>
      <c r="AO1145" s="1175"/>
      <c r="AP1145" s="1175"/>
      <c r="AQ1145" s="1170"/>
      <c r="AR1145" s="1170">
        <f t="shared" si="1683"/>
        <v>0</v>
      </c>
      <c r="AS1145" s="1170"/>
      <c r="AT1145" s="1170"/>
      <c r="AU1145" s="1174"/>
      <c r="AV1145" s="1128"/>
      <c r="AW1145" s="1170"/>
      <c r="AX1145" s="1175"/>
      <c r="AY1145" s="1175"/>
      <c r="AZ1145" s="1169"/>
      <c r="BA1145" s="1170">
        <f t="shared" si="1684"/>
        <v>0</v>
      </c>
      <c r="BB1145" s="1170"/>
      <c r="BC1145" s="1024"/>
      <c r="BD1145" s="1027"/>
      <c r="BE1145" s="1024"/>
      <c r="BF1145" s="1024"/>
      <c r="BG1145" s="1008"/>
      <c r="BH1145" s="1008"/>
      <c r="BI1145" s="1008"/>
      <c r="BJ1145" s="1008"/>
      <c r="BK1145" s="1008"/>
      <c r="BL1145" s="1008"/>
      <c r="BM1145" s="1008"/>
    </row>
    <row r="1146" s="1215" customFormat="1" ht="19.5" customHeight="1">
      <c r="A1146" s="999" t="str">
        <f t="shared" si="1578"/>
        <v xml:space="preserve">Кирпа Е.Д.</v>
      </c>
      <c r="B1146" s="1202" t="s">
        <v>75</v>
      </c>
      <c r="C1146" s="1202"/>
      <c r="D1146" s="1202"/>
      <c r="E1146" s="1164">
        <f t="shared" si="1677"/>
        <v>0</v>
      </c>
      <c r="F1146" s="1164">
        <f t="shared" si="1677"/>
        <v>0</v>
      </c>
      <c r="G1146" s="1165">
        <f t="shared" si="1678"/>
        <v>0</v>
      </c>
      <c r="H1146" s="1166"/>
      <c r="I1146" s="1167">
        <f t="shared" si="1671"/>
        <v>0</v>
      </c>
      <c r="J1146" s="1167">
        <f t="shared" si="1580"/>
        <v>0</v>
      </c>
      <c r="K1146" s="1168">
        <f t="shared" si="1679"/>
        <v>0</v>
      </c>
      <c r="L1146" s="1128"/>
      <c r="M1146" s="1170"/>
      <c r="N1146" s="1175"/>
      <c r="O1146" s="1170"/>
      <c r="P1146" s="1169"/>
      <c r="Q1146" s="1170">
        <f t="shared" si="1680"/>
        <v>0</v>
      </c>
      <c r="R1146" s="1169"/>
      <c r="S1146" s="1170"/>
      <c r="T1146" s="1171"/>
      <c r="U1146" s="1128"/>
      <c r="V1146" s="1170"/>
      <c r="W1146" s="1175"/>
      <c r="X1146" s="1175"/>
      <c r="Y1146" s="1169"/>
      <c r="Z1146" s="1170">
        <f t="shared" si="1681"/>
        <v>0</v>
      </c>
      <c r="AA1146" s="1169"/>
      <c r="AB1146" s="1345"/>
      <c r="AC1146" s="1171"/>
      <c r="AD1146" s="1128"/>
      <c r="AE1146" s="1170"/>
      <c r="AF1146" s="1175"/>
      <c r="AG1146" s="1175"/>
      <c r="AH1146" s="1169"/>
      <c r="AI1146" s="1170">
        <f t="shared" si="1682"/>
        <v>0</v>
      </c>
      <c r="AJ1146" s="1169"/>
      <c r="AK1146" s="1170"/>
      <c r="AL1146" s="1171"/>
      <c r="AM1146" s="1128"/>
      <c r="AN1146" s="1170"/>
      <c r="AO1146" s="1175"/>
      <c r="AP1146" s="1175"/>
      <c r="AQ1146" s="1170"/>
      <c r="AR1146" s="1170">
        <f t="shared" si="1683"/>
        <v>0</v>
      </c>
      <c r="AS1146" s="1170"/>
      <c r="AT1146" s="1170"/>
      <c r="AU1146" s="1174"/>
      <c r="AV1146" s="1128"/>
      <c r="AW1146" s="1170"/>
      <c r="AX1146" s="1175"/>
      <c r="AY1146" s="1175"/>
      <c r="AZ1146" s="1169"/>
      <c r="BA1146" s="1170">
        <f t="shared" si="1684"/>
        <v>0</v>
      </c>
      <c r="BB1146" s="1170"/>
      <c r="BC1146" s="1024"/>
      <c r="BD1146" s="1027"/>
      <c r="BE1146" s="1024"/>
      <c r="BF1146" s="1024"/>
      <c r="BG1146" s="1008"/>
      <c r="BH1146" s="1008"/>
      <c r="BI1146" s="1008"/>
      <c r="BJ1146" s="1008"/>
      <c r="BK1146" s="1008"/>
      <c r="BL1146" s="1008"/>
      <c r="BM1146" s="1008"/>
    </row>
    <row r="1147" s="1215" customFormat="1" ht="19.5" customHeight="1">
      <c r="A1147" s="999" t="str">
        <f t="shared" si="1578"/>
        <v xml:space="preserve">Трофимкина Н.В.</v>
      </c>
      <c r="B1147" s="1202" t="s">
        <v>431</v>
      </c>
      <c r="C1147" s="1202"/>
      <c r="D1147" s="1202"/>
      <c r="E1147" s="1164">
        <f t="shared" si="1677"/>
        <v>0</v>
      </c>
      <c r="F1147" s="1164">
        <f t="shared" si="1677"/>
        <v>0</v>
      </c>
      <c r="G1147" s="1165">
        <f t="shared" si="1678"/>
        <v>0</v>
      </c>
      <c r="H1147" s="1166"/>
      <c r="I1147" s="1167">
        <f t="shared" si="1671"/>
        <v>0</v>
      </c>
      <c r="J1147" s="1167">
        <f t="shared" si="1580"/>
        <v>0</v>
      </c>
      <c r="K1147" s="1168">
        <f t="shared" si="1679"/>
        <v>0</v>
      </c>
      <c r="L1147" s="1128"/>
      <c r="M1147" s="1170"/>
      <c r="N1147" s="1175"/>
      <c r="O1147" s="1170"/>
      <c r="P1147" s="1169"/>
      <c r="Q1147" s="1170">
        <f t="shared" si="1680"/>
        <v>0</v>
      </c>
      <c r="R1147" s="1169"/>
      <c r="S1147" s="1170"/>
      <c r="T1147" s="1171"/>
      <c r="U1147" s="1128"/>
      <c r="V1147" s="1170"/>
      <c r="W1147" s="1175"/>
      <c r="X1147" s="1175"/>
      <c r="Y1147" s="1169"/>
      <c r="Z1147" s="1170">
        <f t="shared" si="1681"/>
        <v>0</v>
      </c>
      <c r="AA1147" s="1169"/>
      <c r="AB1147" s="1345"/>
      <c r="AC1147" s="1171"/>
      <c r="AD1147" s="1128"/>
      <c r="AE1147" s="1170"/>
      <c r="AF1147" s="1175"/>
      <c r="AG1147" s="1175"/>
      <c r="AH1147" s="1169"/>
      <c r="AI1147" s="1170">
        <f t="shared" si="1682"/>
        <v>0</v>
      </c>
      <c r="AJ1147" s="1169"/>
      <c r="AK1147" s="1170"/>
      <c r="AL1147" s="1171"/>
      <c r="AM1147" s="1128"/>
      <c r="AN1147" s="1170"/>
      <c r="AO1147" s="1175"/>
      <c r="AP1147" s="1175"/>
      <c r="AQ1147" s="1170"/>
      <c r="AR1147" s="1170">
        <f t="shared" si="1683"/>
        <v>0</v>
      </c>
      <c r="AS1147" s="1170"/>
      <c r="AT1147" s="1170"/>
      <c r="AU1147" s="1174"/>
      <c r="AV1147" s="1128"/>
      <c r="AW1147" s="1170"/>
      <c r="AX1147" s="1175"/>
      <c r="AY1147" s="1175"/>
      <c r="AZ1147" s="1169"/>
      <c r="BA1147" s="1170">
        <f t="shared" si="1684"/>
        <v>0</v>
      </c>
      <c r="BB1147" s="1170"/>
      <c r="BC1147" s="1024"/>
      <c r="BD1147" s="1027"/>
      <c r="BE1147" s="1024"/>
      <c r="BF1147" s="1024"/>
      <c r="BG1147" s="1008"/>
      <c r="BH1147" s="1008"/>
      <c r="BI1147" s="1008"/>
      <c r="BJ1147" s="1008"/>
      <c r="BK1147" s="1008"/>
      <c r="BL1147" s="1008"/>
      <c r="BM1147" s="1008"/>
    </row>
    <row r="1148" s="1215" customFormat="1" ht="19.5" customHeight="1">
      <c r="A1148" s="999" t="str">
        <f t="shared" si="1578"/>
        <v xml:space="preserve">Жилкина В.В.</v>
      </c>
      <c r="B1148" s="1202" t="s">
        <v>433</v>
      </c>
      <c r="C1148" s="1217"/>
      <c r="D1148" s="1217"/>
      <c r="E1148" s="1164">
        <f t="shared" si="1677"/>
        <v>0</v>
      </c>
      <c r="F1148" s="1164">
        <f t="shared" si="1677"/>
        <v>0</v>
      </c>
      <c r="G1148" s="1165">
        <f t="shared" si="1678"/>
        <v>0</v>
      </c>
      <c r="H1148" s="1166"/>
      <c r="I1148" s="1167">
        <f t="shared" si="1671"/>
        <v>0</v>
      </c>
      <c r="J1148" s="1167">
        <f t="shared" si="1580"/>
        <v>0</v>
      </c>
      <c r="K1148" s="1168">
        <f t="shared" si="1679"/>
        <v>0</v>
      </c>
      <c r="L1148" s="1128"/>
      <c r="M1148" s="1170"/>
      <c r="N1148" s="1175"/>
      <c r="O1148" s="1170"/>
      <c r="P1148" s="1169"/>
      <c r="Q1148" s="1170">
        <f t="shared" si="1680"/>
        <v>0</v>
      </c>
      <c r="R1148" s="1169"/>
      <c r="S1148" s="1170"/>
      <c r="T1148" s="1171"/>
      <c r="U1148" s="1128"/>
      <c r="V1148" s="1170"/>
      <c r="W1148" s="1175"/>
      <c r="X1148" s="1175"/>
      <c r="Y1148" s="1169"/>
      <c r="Z1148" s="1170">
        <f t="shared" si="1681"/>
        <v>0</v>
      </c>
      <c r="AA1148" s="1169"/>
      <c r="AB1148" s="1345"/>
      <c r="AC1148" s="1171"/>
      <c r="AD1148" s="1128"/>
      <c r="AE1148" s="1170"/>
      <c r="AF1148" s="1175"/>
      <c r="AG1148" s="1175"/>
      <c r="AH1148" s="1169"/>
      <c r="AI1148" s="1170">
        <f t="shared" si="1682"/>
        <v>0</v>
      </c>
      <c r="AJ1148" s="1169"/>
      <c r="AK1148" s="1170"/>
      <c r="AL1148" s="1171"/>
      <c r="AM1148" s="1128"/>
      <c r="AN1148" s="1170"/>
      <c r="AO1148" s="1175"/>
      <c r="AP1148" s="1175"/>
      <c r="AQ1148" s="1170"/>
      <c r="AR1148" s="1170">
        <f t="shared" si="1683"/>
        <v>0</v>
      </c>
      <c r="AS1148" s="1170"/>
      <c r="AT1148" s="1170"/>
      <c r="AU1148" s="1174"/>
      <c r="AV1148" s="1128"/>
      <c r="AW1148" s="1170"/>
      <c r="AX1148" s="1175"/>
      <c r="AY1148" s="1175"/>
      <c r="AZ1148" s="1169"/>
      <c r="BA1148" s="1170">
        <f t="shared" si="1684"/>
        <v>0</v>
      </c>
      <c r="BB1148" s="1170"/>
      <c r="BC1148" s="1024"/>
      <c r="BD1148" s="1027"/>
      <c r="BE1148" s="1024"/>
      <c r="BF1148" s="1024"/>
      <c r="BG1148" s="1008"/>
      <c r="BH1148" s="1008"/>
      <c r="BI1148" s="1008"/>
      <c r="BJ1148" s="1008"/>
      <c r="BK1148" s="1008"/>
      <c r="BL1148" s="1008"/>
      <c r="BM1148" s="1008"/>
    </row>
    <row r="1149" s="1215" customFormat="1" ht="19.5" customHeight="1">
      <c r="A1149" s="999" t="str">
        <f t="shared" si="1578"/>
        <v xml:space="preserve">Марушенко В.Н. Донцова Н.Г.</v>
      </c>
      <c r="B1149" s="1202" t="s">
        <v>435</v>
      </c>
      <c r="C1149" s="1202"/>
      <c r="D1149" s="1202"/>
      <c r="E1149" s="1164">
        <f t="shared" si="1677"/>
        <v>0</v>
      </c>
      <c r="F1149" s="1164">
        <f t="shared" si="1677"/>
        <v>0</v>
      </c>
      <c r="G1149" s="1165">
        <f t="shared" si="1678"/>
        <v>0</v>
      </c>
      <c r="H1149" s="1166"/>
      <c r="I1149" s="1167">
        <f t="shared" si="1671"/>
        <v>0</v>
      </c>
      <c r="J1149" s="1167">
        <f t="shared" si="1580"/>
        <v>0</v>
      </c>
      <c r="K1149" s="1168">
        <f t="shared" si="1679"/>
        <v>0</v>
      </c>
      <c r="L1149" s="1128"/>
      <c r="M1149" s="1170"/>
      <c r="N1149" s="1175"/>
      <c r="O1149" s="1170"/>
      <c r="P1149" s="1169"/>
      <c r="Q1149" s="1170">
        <f t="shared" si="1680"/>
        <v>0</v>
      </c>
      <c r="R1149" s="1169"/>
      <c r="S1149" s="1170"/>
      <c r="T1149" s="1171"/>
      <c r="U1149" s="1128"/>
      <c r="V1149" s="1170"/>
      <c r="W1149" s="1175"/>
      <c r="X1149" s="1175"/>
      <c r="Y1149" s="1169"/>
      <c r="Z1149" s="1170">
        <f t="shared" si="1681"/>
        <v>0</v>
      </c>
      <c r="AA1149" s="1169"/>
      <c r="AB1149" s="1345"/>
      <c r="AC1149" s="1171"/>
      <c r="AD1149" s="1128"/>
      <c r="AE1149" s="1170"/>
      <c r="AF1149" s="1175"/>
      <c r="AG1149" s="1175"/>
      <c r="AH1149" s="1169"/>
      <c r="AI1149" s="1170">
        <f t="shared" si="1682"/>
        <v>0</v>
      </c>
      <c r="AJ1149" s="1169"/>
      <c r="AK1149" s="1170"/>
      <c r="AL1149" s="1171"/>
      <c r="AM1149" s="1128"/>
      <c r="AN1149" s="1170"/>
      <c r="AO1149" s="1175"/>
      <c r="AP1149" s="1175"/>
      <c r="AQ1149" s="1170"/>
      <c r="AR1149" s="1170">
        <f t="shared" si="1683"/>
        <v>0</v>
      </c>
      <c r="AS1149" s="1170"/>
      <c r="AT1149" s="1170"/>
      <c r="AU1149" s="1174"/>
      <c r="AV1149" s="1128"/>
      <c r="AW1149" s="1170"/>
      <c r="AX1149" s="1175"/>
      <c r="AY1149" s="1175"/>
      <c r="AZ1149" s="1169"/>
      <c r="BA1149" s="1170">
        <f t="shared" si="1684"/>
        <v>0</v>
      </c>
      <c r="BB1149" s="1170"/>
      <c r="BC1149" s="1024"/>
      <c r="BD1149" s="1027"/>
      <c r="BE1149" s="1024"/>
      <c r="BF1149" s="1024"/>
      <c r="BG1149" s="1008"/>
      <c r="BH1149" s="1008"/>
      <c r="BI1149" s="1008"/>
      <c r="BJ1149" s="1008"/>
      <c r="BK1149" s="1008"/>
      <c r="BL1149" s="1008"/>
      <c r="BM1149" s="1008"/>
    </row>
    <row r="1150" s="1215" customFormat="1">
      <c r="A1150" s="999">
        <f t="shared" si="1578"/>
        <v>0</v>
      </c>
      <c r="B1150" s="1202" t="s">
        <v>436</v>
      </c>
      <c r="C1150" s="1202"/>
      <c r="D1150" s="1202"/>
      <c r="E1150" s="1164">
        <f t="shared" si="1677"/>
        <v>0</v>
      </c>
      <c r="F1150" s="1164">
        <f t="shared" si="1677"/>
        <v>0</v>
      </c>
      <c r="G1150" s="1165">
        <f t="shared" si="1678"/>
        <v>0</v>
      </c>
      <c r="H1150" s="1166"/>
      <c r="I1150" s="1167">
        <f t="shared" si="1671"/>
        <v>0</v>
      </c>
      <c r="J1150" s="1167">
        <f t="shared" si="1580"/>
        <v>0</v>
      </c>
      <c r="K1150" s="1168">
        <f t="shared" si="1679"/>
        <v>0</v>
      </c>
      <c r="L1150" s="1128"/>
      <c r="M1150" s="1170"/>
      <c r="N1150" s="1175"/>
      <c r="O1150" s="1170"/>
      <c r="P1150" s="1169"/>
      <c r="Q1150" s="1170">
        <f t="shared" si="1680"/>
        <v>0</v>
      </c>
      <c r="R1150" s="1169"/>
      <c r="S1150" s="1170"/>
      <c r="T1150" s="1171"/>
      <c r="U1150" s="1128"/>
      <c r="V1150" s="1170"/>
      <c r="W1150" s="1175"/>
      <c r="X1150" s="1175"/>
      <c r="Y1150" s="1169"/>
      <c r="Z1150" s="1170">
        <f t="shared" si="1681"/>
        <v>0</v>
      </c>
      <c r="AA1150" s="1169"/>
      <c r="AB1150" s="1345"/>
      <c r="AC1150" s="1171"/>
      <c r="AD1150" s="1128"/>
      <c r="AE1150" s="1170"/>
      <c r="AF1150" s="1175"/>
      <c r="AG1150" s="1175"/>
      <c r="AH1150" s="1169"/>
      <c r="AI1150" s="1170">
        <f t="shared" si="1682"/>
        <v>0</v>
      </c>
      <c r="AJ1150" s="1169"/>
      <c r="AK1150" s="1170"/>
      <c r="AL1150" s="1171"/>
      <c r="AM1150" s="1128"/>
      <c r="AN1150" s="1170"/>
      <c r="AO1150" s="1175"/>
      <c r="AP1150" s="1175"/>
      <c r="AQ1150" s="1170"/>
      <c r="AR1150" s="1170">
        <f t="shared" si="1683"/>
        <v>0</v>
      </c>
      <c r="AS1150" s="1170"/>
      <c r="AT1150" s="1170"/>
      <c r="AU1150" s="1174"/>
      <c r="AV1150" s="1128"/>
      <c r="AW1150" s="1170"/>
      <c r="AX1150" s="1175"/>
      <c r="AY1150" s="1175"/>
      <c r="AZ1150" s="1169"/>
      <c r="BA1150" s="1170">
        <f t="shared" si="1684"/>
        <v>0</v>
      </c>
      <c r="BB1150" s="1170"/>
      <c r="BC1150" s="1024"/>
      <c r="BD1150" s="1027"/>
      <c r="BE1150" s="1024"/>
      <c r="BF1150" s="1024"/>
      <c r="BG1150" s="1008"/>
      <c r="BH1150" s="1008"/>
      <c r="BI1150" s="1008"/>
      <c r="BJ1150" s="1008"/>
      <c r="BK1150" s="1008"/>
      <c r="BL1150" s="1008"/>
      <c r="BM1150" s="1008"/>
    </row>
    <row r="1151" s="1215" customFormat="1">
      <c r="A1151" s="999" t="str">
        <f t="shared" si="1578"/>
        <v xml:space="preserve">Кузнецова Е.В.</v>
      </c>
      <c r="B1151" s="1202" t="s">
        <v>78</v>
      </c>
      <c r="C1151" s="1223"/>
      <c r="D1151" s="1223"/>
      <c r="E1151" s="1164">
        <f t="shared" si="1677"/>
        <v>0</v>
      </c>
      <c r="F1151" s="1164">
        <f t="shared" si="1677"/>
        <v>0</v>
      </c>
      <c r="G1151" s="1165">
        <f t="shared" si="1678"/>
        <v>0</v>
      </c>
      <c r="H1151" s="1166"/>
      <c r="I1151" s="1167">
        <f t="shared" si="1671"/>
        <v>0</v>
      </c>
      <c r="J1151" s="1167">
        <f t="shared" si="1580"/>
        <v>0</v>
      </c>
      <c r="K1151" s="1168">
        <f t="shared" si="1679"/>
        <v>0</v>
      </c>
      <c r="L1151" s="1128"/>
      <c r="M1151" s="1170"/>
      <c r="N1151" s="1175"/>
      <c r="O1151" s="1170"/>
      <c r="P1151" s="1169"/>
      <c r="Q1151" s="1170">
        <f t="shared" si="1680"/>
        <v>0</v>
      </c>
      <c r="R1151" s="1169"/>
      <c r="S1151" s="1170"/>
      <c r="T1151" s="1171"/>
      <c r="U1151" s="1128"/>
      <c r="V1151" s="1170"/>
      <c r="W1151" s="1175"/>
      <c r="X1151" s="1175"/>
      <c r="Y1151" s="1169"/>
      <c r="Z1151" s="1170">
        <f t="shared" si="1681"/>
        <v>0</v>
      </c>
      <c r="AA1151" s="1169"/>
      <c r="AB1151" s="1345"/>
      <c r="AC1151" s="1171"/>
      <c r="AD1151" s="1128"/>
      <c r="AE1151" s="1170"/>
      <c r="AF1151" s="1175"/>
      <c r="AG1151" s="1175"/>
      <c r="AH1151" s="1169"/>
      <c r="AI1151" s="1170">
        <f t="shared" si="1682"/>
        <v>0</v>
      </c>
      <c r="AJ1151" s="1169"/>
      <c r="AK1151" s="1170"/>
      <c r="AL1151" s="1171"/>
      <c r="AM1151" s="1128"/>
      <c r="AN1151" s="1170"/>
      <c r="AO1151" s="1175"/>
      <c r="AP1151" s="1175"/>
      <c r="AQ1151" s="1170"/>
      <c r="AR1151" s="1170">
        <f t="shared" si="1683"/>
        <v>0</v>
      </c>
      <c r="AS1151" s="1170"/>
      <c r="AT1151" s="1170"/>
      <c r="AU1151" s="1174"/>
      <c r="AV1151" s="1128"/>
      <c r="AW1151" s="1170"/>
      <c r="AX1151" s="1175"/>
      <c r="AY1151" s="1175"/>
      <c r="AZ1151" s="1169"/>
      <c r="BA1151" s="1170">
        <f t="shared" si="1684"/>
        <v>0</v>
      </c>
      <c r="BB1151" s="1170"/>
      <c r="BC1151" s="1024"/>
      <c r="BD1151" s="1027"/>
      <c r="BE1151" s="1024"/>
      <c r="BF1151" s="1024"/>
      <c r="BG1151" s="1008"/>
      <c r="BH1151" s="1008"/>
      <c r="BI1151" s="1008"/>
      <c r="BJ1151" s="1008"/>
      <c r="BK1151" s="1008"/>
      <c r="BL1151" s="1008"/>
      <c r="BM1151" s="1008"/>
    </row>
    <row r="1152" s="1215" customFormat="1">
      <c r="A1152" s="999">
        <f t="shared" ref="A1152:A1178" si="1685">A1055</f>
        <v>0</v>
      </c>
      <c r="B1152" s="1205" t="s">
        <v>22</v>
      </c>
      <c r="C1152" s="1205"/>
      <c r="D1152" s="1205"/>
      <c r="E1152" s="1183">
        <f>SUM(E1139:E1151)</f>
        <v>0</v>
      </c>
      <c r="F1152" s="1183">
        <f>SUM(F1139:F1151)</f>
        <v>0</v>
      </c>
      <c r="G1152" s="1184">
        <f>SUM(G1139:G1151)</f>
        <v>0</v>
      </c>
      <c r="H1152" s="1185"/>
      <c r="I1152" s="1167">
        <f t="shared" si="1671"/>
        <v>0</v>
      </c>
      <c r="J1152" s="1167">
        <f t="shared" ref="J1152:J1215" si="1686">F1152-AA1152</f>
        <v>0</v>
      </c>
      <c r="K1152" s="1187">
        <f>SUM(K1139:K1151)</f>
        <v>0</v>
      </c>
      <c r="L1152" s="1128"/>
      <c r="M1152" s="1190">
        <f t="shared" ref="M1152:R1152" si="1687">SUM(M1139:M1151)</f>
        <v>0</v>
      </c>
      <c r="N1152" s="1190">
        <f t="shared" si="1687"/>
        <v>0</v>
      </c>
      <c r="O1152" s="1190">
        <f t="shared" si="1687"/>
        <v>0</v>
      </c>
      <c r="P1152" s="1096">
        <f t="shared" si="1687"/>
        <v>0</v>
      </c>
      <c r="Q1152" s="1190">
        <f t="shared" si="1687"/>
        <v>0</v>
      </c>
      <c r="R1152" s="1096">
        <f t="shared" si="1687"/>
        <v>0</v>
      </c>
      <c r="S1152" s="1190"/>
      <c r="T1152" s="1189"/>
      <c r="U1152" s="1128"/>
      <c r="V1152" s="1190">
        <f t="shared" ref="V1152:AA1152" si="1688">SUM(V1139:V1151)</f>
        <v>0</v>
      </c>
      <c r="W1152" s="1190">
        <f t="shared" si="1688"/>
        <v>0</v>
      </c>
      <c r="X1152" s="1190">
        <f t="shared" si="1688"/>
        <v>0</v>
      </c>
      <c r="Y1152" s="1096">
        <f t="shared" si="1688"/>
        <v>0</v>
      </c>
      <c r="Z1152" s="1190">
        <f t="shared" si="1688"/>
        <v>0</v>
      </c>
      <c r="AA1152" s="1096">
        <f t="shared" si="1688"/>
        <v>0</v>
      </c>
      <c r="AB1152" s="1346"/>
      <c r="AC1152" s="1189"/>
      <c r="AD1152" s="1128"/>
      <c r="AE1152" s="1190">
        <f t="shared" ref="AE1152:AJ1152" si="1689">SUM(AE1139:AE1151)</f>
        <v>0</v>
      </c>
      <c r="AF1152" s="1190">
        <f t="shared" si="1689"/>
        <v>0</v>
      </c>
      <c r="AG1152" s="1190">
        <f t="shared" si="1689"/>
        <v>0</v>
      </c>
      <c r="AH1152" s="1096">
        <f t="shared" si="1689"/>
        <v>0</v>
      </c>
      <c r="AI1152" s="1190">
        <f t="shared" si="1689"/>
        <v>0</v>
      </c>
      <c r="AJ1152" s="1096">
        <f t="shared" si="1689"/>
        <v>0</v>
      </c>
      <c r="AK1152" s="1190"/>
      <c r="AL1152" s="1189"/>
      <c r="AM1152" s="1128"/>
      <c r="AN1152" s="1190">
        <f t="shared" ref="AN1152:AS1152" si="1690">SUM(AN1139:AN1151)</f>
        <v>0</v>
      </c>
      <c r="AO1152" s="1190">
        <f t="shared" si="1690"/>
        <v>0</v>
      </c>
      <c r="AP1152" s="1190">
        <f t="shared" si="1690"/>
        <v>0</v>
      </c>
      <c r="AQ1152" s="1190">
        <f t="shared" si="1690"/>
        <v>0</v>
      </c>
      <c r="AR1152" s="1190">
        <f t="shared" si="1690"/>
        <v>0</v>
      </c>
      <c r="AS1152" s="1190">
        <f t="shared" si="1690"/>
        <v>0</v>
      </c>
      <c r="AT1152" s="1190"/>
      <c r="AU1152" s="1191"/>
      <c r="AV1152" s="1128"/>
      <c r="AW1152" s="1190">
        <f t="shared" ref="AW1152:BB1152" si="1691">SUM(AW1139:AW1151)</f>
        <v>0</v>
      </c>
      <c r="AX1152" s="1190">
        <f t="shared" si="1691"/>
        <v>0</v>
      </c>
      <c r="AY1152" s="1190">
        <f t="shared" si="1691"/>
        <v>0</v>
      </c>
      <c r="AZ1152" s="1096">
        <f t="shared" si="1691"/>
        <v>0</v>
      </c>
      <c r="BA1152" s="1190">
        <f t="shared" si="1691"/>
        <v>0</v>
      </c>
      <c r="BB1152" s="1190">
        <f t="shared" si="1691"/>
        <v>0</v>
      </c>
      <c r="BC1152" s="1024"/>
      <c r="BD1152" s="1027"/>
      <c r="BE1152" s="1024"/>
      <c r="BF1152" s="1024"/>
      <c r="BG1152" s="1008"/>
      <c r="BH1152" s="1008"/>
      <c r="BI1152" s="1008"/>
      <c r="BJ1152" s="1008"/>
      <c r="BK1152" s="1008"/>
      <c r="BL1152" s="1008"/>
      <c r="BM1152" s="1008"/>
    </row>
    <row r="1153" s="1215" customFormat="1">
      <c r="A1153" s="999" t="str">
        <f t="shared" si="1685"/>
        <v xml:space="preserve">Титякова Т.А.</v>
      </c>
      <c r="B1153" s="1202" t="s">
        <v>26</v>
      </c>
      <c r="C1153" s="1202"/>
      <c r="D1153" s="1202"/>
      <c r="E1153" s="1164">
        <f t="shared" ref="E1153:F1178" si="1692">Q1153+Z1153+AI1153+AR1153+BA1153</f>
        <v>0</v>
      </c>
      <c r="F1153" s="1164">
        <f t="shared" si="1692"/>
        <v>0</v>
      </c>
      <c r="G1153" s="1165">
        <f t="shared" ref="G1153:G1178" si="1693">E1153+F1153</f>
        <v>0</v>
      </c>
      <c r="H1153" s="1166"/>
      <c r="I1153" s="1167">
        <f t="shared" si="1671"/>
        <v>0</v>
      </c>
      <c r="J1153" s="1167">
        <f t="shared" si="1686"/>
        <v>0</v>
      </c>
      <c r="K1153" s="1168">
        <f t="shared" ref="K1153:K1178" si="1694">I1153+J1153</f>
        <v>0</v>
      </c>
      <c r="L1153" s="1128"/>
      <c r="M1153" s="1170"/>
      <c r="N1153" s="1175"/>
      <c r="O1153" s="1170"/>
      <c r="P1153" s="1169"/>
      <c r="Q1153" s="1170">
        <f t="shared" ref="Q1153:Q1178" si="1695">SUM(M1153:P1153)</f>
        <v>0</v>
      </c>
      <c r="R1153" s="1169"/>
      <c r="S1153" s="1170"/>
      <c r="T1153" s="1171"/>
      <c r="U1153" s="1128"/>
      <c r="V1153" s="1170"/>
      <c r="W1153" s="1175"/>
      <c r="X1153" s="1175"/>
      <c r="Y1153" s="1169"/>
      <c r="Z1153" s="1170">
        <f t="shared" ref="Z1153:Z1178" si="1696">SUM(V1153:Y1153)</f>
        <v>0</v>
      </c>
      <c r="AA1153" s="1169"/>
      <c r="AB1153" s="1345"/>
      <c r="AC1153" s="1171"/>
      <c r="AD1153" s="1128"/>
      <c r="AE1153" s="1170"/>
      <c r="AF1153" s="1175"/>
      <c r="AG1153" s="1175"/>
      <c r="AH1153" s="1169"/>
      <c r="AI1153" s="1170">
        <f t="shared" ref="AI1153:AI1178" si="1697">SUM(AE1153:AH1153)</f>
        <v>0</v>
      </c>
      <c r="AJ1153" s="1169"/>
      <c r="AK1153" s="1170"/>
      <c r="AL1153" s="1171"/>
      <c r="AM1153" s="1128"/>
      <c r="AN1153" s="1170"/>
      <c r="AO1153" s="1175"/>
      <c r="AP1153" s="1175"/>
      <c r="AQ1153" s="1170"/>
      <c r="AR1153" s="1170">
        <f t="shared" ref="AR1153:AR1178" si="1698">SUM(AN1153:AQ1153)</f>
        <v>0</v>
      </c>
      <c r="AS1153" s="1170"/>
      <c r="AT1153" s="1170"/>
      <c r="AU1153" s="1174"/>
      <c r="AV1153" s="1128"/>
      <c r="AW1153" s="1170"/>
      <c r="AX1153" s="1175"/>
      <c r="AY1153" s="1175"/>
      <c r="AZ1153" s="1169"/>
      <c r="BA1153" s="1170">
        <f t="shared" ref="BA1153:BA1178" si="1699">SUM(AW1153:AZ1153)</f>
        <v>0</v>
      </c>
      <c r="BB1153" s="1170"/>
      <c r="BC1153" s="1024"/>
      <c r="BD1153" s="1027"/>
      <c r="BE1153" s="1024"/>
      <c r="BF1153" s="1024"/>
      <c r="BG1153" s="1008"/>
      <c r="BH1153" s="1008"/>
      <c r="BI1153" s="1008"/>
      <c r="BJ1153" s="1008"/>
      <c r="BK1153" s="1008"/>
      <c r="BL1153" s="1008"/>
      <c r="BM1153" s="1008"/>
    </row>
    <row r="1154" s="1215" customFormat="1">
      <c r="A1154" s="999">
        <f t="shared" si="1685"/>
        <v>0</v>
      </c>
      <c r="B1154" s="1202" t="s">
        <v>439</v>
      </c>
      <c r="C1154" s="1202"/>
      <c r="D1154" s="1202"/>
      <c r="E1154" s="1164">
        <f t="shared" si="1692"/>
        <v>0</v>
      </c>
      <c r="F1154" s="1164">
        <f t="shared" si="1692"/>
        <v>0</v>
      </c>
      <c r="G1154" s="1165">
        <f t="shared" si="1693"/>
        <v>0</v>
      </c>
      <c r="H1154" s="1166"/>
      <c r="I1154" s="1167">
        <f t="shared" si="1671"/>
        <v>0</v>
      </c>
      <c r="J1154" s="1167">
        <f t="shared" si="1686"/>
        <v>0</v>
      </c>
      <c r="K1154" s="1168">
        <f t="shared" si="1694"/>
        <v>0</v>
      </c>
      <c r="L1154" s="1128"/>
      <c r="M1154" s="1170"/>
      <c r="N1154" s="1175"/>
      <c r="O1154" s="1170"/>
      <c r="P1154" s="1169"/>
      <c r="Q1154" s="1170">
        <f t="shared" si="1695"/>
        <v>0</v>
      </c>
      <c r="R1154" s="1169"/>
      <c r="S1154" s="1170"/>
      <c r="T1154" s="1171"/>
      <c r="U1154" s="1128"/>
      <c r="V1154" s="1170"/>
      <c r="W1154" s="1175"/>
      <c r="X1154" s="1175"/>
      <c r="Y1154" s="1169"/>
      <c r="Z1154" s="1170">
        <f t="shared" si="1696"/>
        <v>0</v>
      </c>
      <c r="AA1154" s="1169"/>
      <c r="AB1154" s="1345"/>
      <c r="AC1154" s="1171"/>
      <c r="AD1154" s="1128"/>
      <c r="AE1154" s="1170"/>
      <c r="AF1154" s="1175"/>
      <c r="AG1154" s="1175"/>
      <c r="AH1154" s="1169"/>
      <c r="AI1154" s="1170">
        <f t="shared" si="1697"/>
        <v>0</v>
      </c>
      <c r="AJ1154" s="1169"/>
      <c r="AK1154" s="1170"/>
      <c r="AL1154" s="1171"/>
      <c r="AM1154" s="1128"/>
      <c r="AN1154" s="1170"/>
      <c r="AO1154" s="1175"/>
      <c r="AP1154" s="1175"/>
      <c r="AQ1154" s="1170"/>
      <c r="AR1154" s="1170">
        <f t="shared" si="1698"/>
        <v>0</v>
      </c>
      <c r="AS1154" s="1170"/>
      <c r="AT1154" s="1170"/>
      <c r="AU1154" s="1174"/>
      <c r="AV1154" s="1128"/>
      <c r="AW1154" s="1170"/>
      <c r="AX1154" s="1175"/>
      <c r="AY1154" s="1175"/>
      <c r="AZ1154" s="1169"/>
      <c r="BA1154" s="1170">
        <f t="shared" si="1699"/>
        <v>0</v>
      </c>
      <c r="BB1154" s="1170"/>
      <c r="BC1154" s="1024"/>
      <c r="BD1154" s="1027"/>
      <c r="BE1154" s="1024"/>
      <c r="BF1154" s="1024"/>
      <c r="BG1154" s="1008"/>
      <c r="BH1154" s="1008"/>
      <c r="BI1154" s="1008"/>
      <c r="BJ1154" s="1008"/>
      <c r="BK1154" s="1008"/>
      <c r="BL1154" s="1008"/>
      <c r="BM1154" s="1008"/>
    </row>
    <row r="1155" s="1215" customFormat="1">
      <c r="A1155" s="999" t="str">
        <f t="shared" si="1685"/>
        <v xml:space="preserve">Стрельникова А.Г.,  Липатова С.Н.</v>
      </c>
      <c r="B1155" s="1202" t="s">
        <v>441</v>
      </c>
      <c r="C1155" s="1202"/>
      <c r="D1155" s="1202"/>
      <c r="E1155" s="1164">
        <f t="shared" si="1692"/>
        <v>0</v>
      </c>
      <c r="F1155" s="1164">
        <f t="shared" si="1692"/>
        <v>0</v>
      </c>
      <c r="G1155" s="1165">
        <f t="shared" si="1693"/>
        <v>0</v>
      </c>
      <c r="H1155" s="1166"/>
      <c r="I1155" s="1167">
        <f t="shared" si="1671"/>
        <v>0</v>
      </c>
      <c r="J1155" s="1167">
        <f t="shared" si="1686"/>
        <v>0</v>
      </c>
      <c r="K1155" s="1168">
        <f t="shared" si="1694"/>
        <v>0</v>
      </c>
      <c r="L1155" s="1128"/>
      <c r="M1155" s="1170"/>
      <c r="N1155" s="1175"/>
      <c r="O1155" s="1170"/>
      <c r="P1155" s="1169"/>
      <c r="Q1155" s="1170">
        <f t="shared" si="1695"/>
        <v>0</v>
      </c>
      <c r="R1155" s="1169"/>
      <c r="S1155" s="1170"/>
      <c r="T1155" s="1171"/>
      <c r="U1155" s="1128"/>
      <c r="V1155" s="1170"/>
      <c r="W1155" s="1175"/>
      <c r="X1155" s="1175"/>
      <c r="Y1155" s="1169"/>
      <c r="Z1155" s="1170">
        <f t="shared" si="1696"/>
        <v>0</v>
      </c>
      <c r="AA1155" s="1169"/>
      <c r="AB1155" s="1345"/>
      <c r="AC1155" s="1171"/>
      <c r="AD1155" s="1128"/>
      <c r="AE1155" s="1170"/>
      <c r="AF1155" s="1175"/>
      <c r="AG1155" s="1175"/>
      <c r="AH1155" s="1169"/>
      <c r="AI1155" s="1170">
        <f t="shared" si="1697"/>
        <v>0</v>
      </c>
      <c r="AJ1155" s="1169"/>
      <c r="AK1155" s="1170"/>
      <c r="AL1155" s="1171"/>
      <c r="AM1155" s="1128"/>
      <c r="AN1155" s="1170"/>
      <c r="AO1155" s="1175"/>
      <c r="AP1155" s="1175"/>
      <c r="AQ1155" s="1170"/>
      <c r="AR1155" s="1170">
        <f t="shared" si="1698"/>
        <v>0</v>
      </c>
      <c r="AS1155" s="1170"/>
      <c r="AT1155" s="1170"/>
      <c r="AU1155" s="1174"/>
      <c r="AV1155" s="1128"/>
      <c r="AW1155" s="1170"/>
      <c r="AX1155" s="1175"/>
      <c r="AY1155" s="1175"/>
      <c r="AZ1155" s="1169"/>
      <c r="BA1155" s="1170">
        <f t="shared" si="1699"/>
        <v>0</v>
      </c>
      <c r="BB1155" s="1170"/>
      <c r="BC1155" s="1024"/>
      <c r="BD1155" s="1027"/>
      <c r="BE1155" s="1024"/>
      <c r="BF1155" s="1024"/>
      <c r="BG1155" s="1008"/>
      <c r="BH1155" s="1008"/>
      <c r="BI1155" s="1008"/>
      <c r="BJ1155" s="1008"/>
      <c r="BK1155" s="1008"/>
      <c r="BL1155" s="1008"/>
      <c r="BM1155" s="1008"/>
    </row>
    <row r="1156" s="1215" customFormat="1">
      <c r="A1156" s="999" t="str">
        <f t="shared" si="1685"/>
        <v xml:space="preserve">Куликова А.Г.</v>
      </c>
      <c r="B1156" s="1202" t="s">
        <v>84</v>
      </c>
      <c r="C1156" s="1202"/>
      <c r="D1156" s="1202"/>
      <c r="E1156" s="1164">
        <f t="shared" si="1692"/>
        <v>0</v>
      </c>
      <c r="F1156" s="1164">
        <f t="shared" si="1692"/>
        <v>0</v>
      </c>
      <c r="G1156" s="1165">
        <f t="shared" si="1693"/>
        <v>0</v>
      </c>
      <c r="H1156" s="1166"/>
      <c r="I1156" s="1167">
        <f t="shared" si="1671"/>
        <v>0</v>
      </c>
      <c r="J1156" s="1167">
        <f t="shared" si="1686"/>
        <v>0</v>
      </c>
      <c r="K1156" s="1168">
        <f t="shared" si="1694"/>
        <v>0</v>
      </c>
      <c r="L1156" s="1128"/>
      <c r="M1156" s="1170"/>
      <c r="N1156" s="1175"/>
      <c r="O1156" s="1170"/>
      <c r="P1156" s="1169"/>
      <c r="Q1156" s="1170">
        <f t="shared" si="1695"/>
        <v>0</v>
      </c>
      <c r="R1156" s="1169"/>
      <c r="S1156" s="1170"/>
      <c r="T1156" s="1171"/>
      <c r="U1156" s="1128"/>
      <c r="V1156" s="1170"/>
      <c r="W1156" s="1175"/>
      <c r="X1156" s="1175"/>
      <c r="Y1156" s="1169"/>
      <c r="Z1156" s="1170">
        <f t="shared" si="1696"/>
        <v>0</v>
      </c>
      <c r="AA1156" s="1169"/>
      <c r="AB1156" s="1345"/>
      <c r="AC1156" s="1171"/>
      <c r="AD1156" s="1128"/>
      <c r="AE1156" s="1170"/>
      <c r="AF1156" s="1175"/>
      <c r="AG1156" s="1175"/>
      <c r="AH1156" s="1169"/>
      <c r="AI1156" s="1170">
        <f t="shared" si="1697"/>
        <v>0</v>
      </c>
      <c r="AJ1156" s="1169"/>
      <c r="AK1156" s="1170"/>
      <c r="AL1156" s="1171"/>
      <c r="AM1156" s="1128"/>
      <c r="AN1156" s="1170"/>
      <c r="AO1156" s="1175"/>
      <c r="AP1156" s="1175"/>
      <c r="AQ1156" s="1170"/>
      <c r="AR1156" s="1170">
        <f t="shared" si="1698"/>
        <v>0</v>
      </c>
      <c r="AS1156" s="1170"/>
      <c r="AT1156" s="1170"/>
      <c r="AU1156" s="1174"/>
      <c r="AV1156" s="1128"/>
      <c r="AW1156" s="1170"/>
      <c r="AX1156" s="1175"/>
      <c r="AY1156" s="1175"/>
      <c r="AZ1156" s="1169"/>
      <c r="BA1156" s="1170">
        <f t="shared" si="1699"/>
        <v>0</v>
      </c>
      <c r="BB1156" s="1170"/>
      <c r="BC1156" s="1024"/>
      <c r="BD1156" s="1027"/>
      <c r="BE1156" s="1024"/>
      <c r="BF1156" s="1024"/>
      <c r="BG1156" s="1008"/>
      <c r="BH1156" s="1008"/>
      <c r="BI1156" s="1008"/>
      <c r="BJ1156" s="1008"/>
      <c r="BK1156" s="1008"/>
      <c r="BL1156" s="1008"/>
      <c r="BM1156" s="1008"/>
    </row>
    <row r="1157" s="1215" customFormat="1">
      <c r="A1157" s="999" t="str">
        <f t="shared" si="1685"/>
        <v xml:space="preserve">Елина С.И. Жандарова И.В.</v>
      </c>
      <c r="B1157" s="1202" t="s">
        <v>288</v>
      </c>
      <c r="C1157" s="1202"/>
      <c r="D1157" s="1202"/>
      <c r="E1157" s="1164">
        <f t="shared" si="1692"/>
        <v>0</v>
      </c>
      <c r="F1157" s="1164">
        <f t="shared" si="1692"/>
        <v>0</v>
      </c>
      <c r="G1157" s="1165">
        <f t="shared" si="1693"/>
        <v>0</v>
      </c>
      <c r="H1157" s="1166"/>
      <c r="I1157" s="1167">
        <f t="shared" si="1671"/>
        <v>0</v>
      </c>
      <c r="J1157" s="1167">
        <f t="shared" si="1686"/>
        <v>0</v>
      </c>
      <c r="K1157" s="1168">
        <f t="shared" si="1694"/>
        <v>0</v>
      </c>
      <c r="L1157" s="1128"/>
      <c r="M1157" s="1170"/>
      <c r="N1157" s="1175"/>
      <c r="O1157" s="1170"/>
      <c r="P1157" s="1169"/>
      <c r="Q1157" s="1170">
        <f t="shared" si="1695"/>
        <v>0</v>
      </c>
      <c r="R1157" s="1169"/>
      <c r="S1157" s="1170"/>
      <c r="T1157" s="1171"/>
      <c r="U1157" s="1128"/>
      <c r="V1157" s="1170"/>
      <c r="W1157" s="1175"/>
      <c r="X1157" s="1175"/>
      <c r="Y1157" s="1169"/>
      <c r="Z1157" s="1170">
        <f t="shared" si="1696"/>
        <v>0</v>
      </c>
      <c r="AA1157" s="1169"/>
      <c r="AB1157" s="1345"/>
      <c r="AC1157" s="1171"/>
      <c r="AD1157" s="1128"/>
      <c r="AE1157" s="1170"/>
      <c r="AF1157" s="1175"/>
      <c r="AG1157" s="1175"/>
      <c r="AH1157" s="1169"/>
      <c r="AI1157" s="1170">
        <f t="shared" si="1697"/>
        <v>0</v>
      </c>
      <c r="AJ1157" s="1169"/>
      <c r="AK1157" s="1170"/>
      <c r="AL1157" s="1171"/>
      <c r="AM1157" s="1128"/>
      <c r="AN1157" s="1170"/>
      <c r="AO1157" s="1175"/>
      <c r="AP1157" s="1175"/>
      <c r="AQ1157" s="1170"/>
      <c r="AR1157" s="1170">
        <f t="shared" si="1698"/>
        <v>0</v>
      </c>
      <c r="AS1157" s="1170"/>
      <c r="AT1157" s="1170"/>
      <c r="AU1157" s="1174"/>
      <c r="AV1157" s="1128"/>
      <c r="AW1157" s="1170"/>
      <c r="AX1157" s="1175"/>
      <c r="AY1157" s="1175"/>
      <c r="AZ1157" s="1169"/>
      <c r="BA1157" s="1170">
        <f t="shared" si="1699"/>
        <v>0</v>
      </c>
      <c r="BB1157" s="1170"/>
      <c r="BC1157" s="1024"/>
      <c r="BD1157" s="1027"/>
      <c r="BE1157" s="1024"/>
      <c r="BF1157" s="1024"/>
      <c r="BG1157" s="1008"/>
      <c r="BH1157" s="1008"/>
      <c r="BI1157" s="1008"/>
      <c r="BJ1157" s="1008"/>
      <c r="BK1157" s="1008"/>
      <c r="BL1157" s="1008"/>
      <c r="BM1157" s="1008"/>
    </row>
    <row r="1158" s="1215" customFormat="1">
      <c r="A1158" s="999" t="str">
        <f t="shared" si="1685"/>
        <v xml:space="preserve">Бояркина Л.Е. Кондратьева АА</v>
      </c>
      <c r="B1158" s="1176" t="s">
        <v>445</v>
      </c>
      <c r="C1158" s="1176"/>
      <c r="D1158" s="1176"/>
      <c r="E1158" s="1164">
        <f t="shared" si="1692"/>
        <v>0</v>
      </c>
      <c r="F1158" s="1164">
        <f t="shared" si="1692"/>
        <v>0</v>
      </c>
      <c r="G1158" s="1165">
        <f t="shared" si="1693"/>
        <v>0</v>
      </c>
      <c r="H1158" s="1166"/>
      <c r="I1158" s="1167">
        <f t="shared" si="1671"/>
        <v>0</v>
      </c>
      <c r="J1158" s="1167">
        <f t="shared" si="1686"/>
        <v>0</v>
      </c>
      <c r="K1158" s="1168">
        <f t="shared" si="1694"/>
        <v>0</v>
      </c>
      <c r="L1158" s="1128"/>
      <c r="M1158" s="1170"/>
      <c r="N1158" s="1175"/>
      <c r="O1158" s="1170"/>
      <c r="P1158" s="1169"/>
      <c r="Q1158" s="1170">
        <f t="shared" si="1695"/>
        <v>0</v>
      </c>
      <c r="R1158" s="1169"/>
      <c r="S1158" s="1170"/>
      <c r="T1158" s="1171"/>
      <c r="U1158" s="1128"/>
      <c r="V1158" s="1170"/>
      <c r="W1158" s="1175"/>
      <c r="X1158" s="1175"/>
      <c r="Y1158" s="1169"/>
      <c r="Z1158" s="1170">
        <f t="shared" si="1696"/>
        <v>0</v>
      </c>
      <c r="AA1158" s="1169"/>
      <c r="AB1158" s="1345"/>
      <c r="AC1158" s="1171"/>
      <c r="AD1158" s="1128"/>
      <c r="AE1158" s="1170"/>
      <c r="AF1158" s="1175"/>
      <c r="AG1158" s="1175"/>
      <c r="AH1158" s="1169"/>
      <c r="AI1158" s="1170">
        <f t="shared" si="1697"/>
        <v>0</v>
      </c>
      <c r="AJ1158" s="1169"/>
      <c r="AK1158" s="1170"/>
      <c r="AL1158" s="1171"/>
      <c r="AM1158" s="1128"/>
      <c r="AN1158" s="1170"/>
      <c r="AO1158" s="1175"/>
      <c r="AP1158" s="1175"/>
      <c r="AQ1158" s="1170"/>
      <c r="AR1158" s="1170">
        <f t="shared" si="1698"/>
        <v>0</v>
      </c>
      <c r="AS1158" s="1170"/>
      <c r="AT1158" s="1170"/>
      <c r="AU1158" s="1174"/>
      <c r="AV1158" s="1128"/>
      <c r="AW1158" s="1170"/>
      <c r="AX1158" s="1175"/>
      <c r="AY1158" s="1175"/>
      <c r="AZ1158" s="1169"/>
      <c r="BA1158" s="1170">
        <f t="shared" si="1699"/>
        <v>0</v>
      </c>
      <c r="BB1158" s="1170"/>
      <c r="BC1158" s="1024"/>
      <c r="BD1158" s="1027"/>
      <c r="BE1158" s="1024"/>
      <c r="BF1158" s="1024"/>
      <c r="BG1158" s="1008"/>
      <c r="BH1158" s="1008"/>
      <c r="BI1158" s="1008"/>
      <c r="BJ1158" s="1008"/>
      <c r="BK1158" s="1008"/>
      <c r="BL1158" s="1008"/>
      <c r="BM1158" s="1008"/>
    </row>
    <row r="1159" s="1215" customFormat="1">
      <c r="A1159" s="999" t="str">
        <f t="shared" si="1685"/>
        <v xml:space="preserve">Трофимчук О.Е., Радченко Т.А.   Куция НЛ  Красносельская (усть-Ивановка)</v>
      </c>
      <c r="B1159" s="1176" t="s">
        <v>447</v>
      </c>
      <c r="C1159" s="1176"/>
      <c r="D1159" s="1176"/>
      <c r="E1159" s="1164">
        <f t="shared" si="1692"/>
        <v>0</v>
      </c>
      <c r="F1159" s="1164">
        <f t="shared" si="1692"/>
        <v>0</v>
      </c>
      <c r="G1159" s="1165">
        <f t="shared" si="1693"/>
        <v>0</v>
      </c>
      <c r="H1159" s="1166"/>
      <c r="I1159" s="1167">
        <f t="shared" si="1671"/>
        <v>0</v>
      </c>
      <c r="J1159" s="1167">
        <f t="shared" si="1686"/>
        <v>0</v>
      </c>
      <c r="K1159" s="1168">
        <f t="shared" si="1694"/>
        <v>0</v>
      </c>
      <c r="L1159" s="1128"/>
      <c r="M1159" s="1170"/>
      <c r="N1159" s="1175"/>
      <c r="O1159" s="1170"/>
      <c r="P1159" s="1169"/>
      <c r="Q1159" s="1170">
        <f t="shared" si="1695"/>
        <v>0</v>
      </c>
      <c r="R1159" s="1169"/>
      <c r="S1159" s="1170"/>
      <c r="T1159" s="1171"/>
      <c r="U1159" s="1128"/>
      <c r="V1159" s="1170"/>
      <c r="W1159" s="1175"/>
      <c r="X1159" s="1175"/>
      <c r="Y1159" s="1169"/>
      <c r="Z1159" s="1170">
        <f t="shared" si="1696"/>
        <v>0</v>
      </c>
      <c r="AA1159" s="1169"/>
      <c r="AB1159" s="1345"/>
      <c r="AC1159" s="1171"/>
      <c r="AD1159" s="1128"/>
      <c r="AE1159" s="1170"/>
      <c r="AF1159" s="1175"/>
      <c r="AG1159" s="1175"/>
      <c r="AH1159" s="1169"/>
      <c r="AI1159" s="1170">
        <f t="shared" si="1697"/>
        <v>0</v>
      </c>
      <c r="AJ1159" s="1169"/>
      <c r="AK1159" s="1170"/>
      <c r="AL1159" s="1171"/>
      <c r="AM1159" s="1128"/>
      <c r="AN1159" s="1170"/>
      <c r="AO1159" s="1175"/>
      <c r="AP1159" s="1175"/>
      <c r="AQ1159" s="1170"/>
      <c r="AR1159" s="1170">
        <f t="shared" si="1698"/>
        <v>0</v>
      </c>
      <c r="AS1159" s="1170"/>
      <c r="AT1159" s="1170"/>
      <c r="AU1159" s="1174"/>
      <c r="AV1159" s="1128"/>
      <c r="AW1159" s="1170"/>
      <c r="AX1159" s="1175"/>
      <c r="AY1159" s="1175"/>
      <c r="AZ1159" s="1169"/>
      <c r="BA1159" s="1170">
        <f t="shared" si="1699"/>
        <v>0</v>
      </c>
      <c r="BB1159" s="1170"/>
      <c r="BC1159" s="1024"/>
      <c r="BD1159" s="1027"/>
      <c r="BE1159" s="1024"/>
      <c r="BF1159" s="1024"/>
      <c r="BG1159" s="1008"/>
      <c r="BH1159" s="1008"/>
      <c r="BI1159" s="1008"/>
      <c r="BJ1159" s="1008"/>
      <c r="BK1159" s="1008"/>
      <c r="BL1159" s="1008"/>
      <c r="BM1159" s="1008"/>
    </row>
    <row r="1160" s="1215" customFormat="1">
      <c r="A1160" s="999" t="str">
        <f t="shared" si="1685"/>
        <v xml:space="preserve">Третьяк О.М.</v>
      </c>
      <c r="B1160" s="1176" t="s">
        <v>449</v>
      </c>
      <c r="C1160" s="1176"/>
      <c r="D1160" s="1176"/>
      <c r="E1160" s="1164">
        <f t="shared" si="1692"/>
        <v>0</v>
      </c>
      <c r="F1160" s="1164">
        <f t="shared" si="1692"/>
        <v>0</v>
      </c>
      <c r="G1160" s="1165">
        <f t="shared" si="1693"/>
        <v>0</v>
      </c>
      <c r="H1160" s="1166"/>
      <c r="I1160" s="1167">
        <f t="shared" si="1671"/>
        <v>0</v>
      </c>
      <c r="J1160" s="1167">
        <f t="shared" si="1686"/>
        <v>0</v>
      </c>
      <c r="K1160" s="1168">
        <f t="shared" si="1694"/>
        <v>0</v>
      </c>
      <c r="L1160" s="1128"/>
      <c r="M1160" s="1170"/>
      <c r="N1160" s="1175"/>
      <c r="O1160" s="1170"/>
      <c r="P1160" s="1169"/>
      <c r="Q1160" s="1170">
        <f t="shared" si="1695"/>
        <v>0</v>
      </c>
      <c r="R1160" s="1169"/>
      <c r="S1160" s="1170"/>
      <c r="T1160" s="1171"/>
      <c r="U1160" s="1128"/>
      <c r="V1160" s="1170"/>
      <c r="W1160" s="1175"/>
      <c r="X1160" s="1175"/>
      <c r="Y1160" s="1169"/>
      <c r="Z1160" s="1170">
        <f t="shared" si="1696"/>
        <v>0</v>
      </c>
      <c r="AA1160" s="1169"/>
      <c r="AB1160" s="1345"/>
      <c r="AC1160" s="1171"/>
      <c r="AD1160" s="1128"/>
      <c r="AE1160" s="1170"/>
      <c r="AF1160" s="1175"/>
      <c r="AG1160" s="1175"/>
      <c r="AH1160" s="1169"/>
      <c r="AI1160" s="1170">
        <f t="shared" si="1697"/>
        <v>0</v>
      </c>
      <c r="AJ1160" s="1169"/>
      <c r="AK1160" s="1170"/>
      <c r="AL1160" s="1171"/>
      <c r="AM1160" s="1128"/>
      <c r="AN1160" s="1170"/>
      <c r="AO1160" s="1175"/>
      <c r="AP1160" s="1175"/>
      <c r="AQ1160" s="1170"/>
      <c r="AR1160" s="1170">
        <f t="shared" si="1698"/>
        <v>0</v>
      </c>
      <c r="AS1160" s="1170"/>
      <c r="AT1160" s="1170"/>
      <c r="AU1160" s="1174"/>
      <c r="AV1160" s="1128"/>
      <c r="AW1160" s="1170"/>
      <c r="AX1160" s="1175"/>
      <c r="AY1160" s="1175"/>
      <c r="AZ1160" s="1169"/>
      <c r="BA1160" s="1170">
        <f t="shared" si="1699"/>
        <v>0</v>
      </c>
      <c r="BB1160" s="1170"/>
      <c r="BC1160" s="1024"/>
      <c r="BD1160" s="1027"/>
      <c r="BE1160" s="1024"/>
      <c r="BF1160" s="1024"/>
      <c r="BG1160" s="1008"/>
      <c r="BH1160" s="1008"/>
      <c r="BI1160" s="1008"/>
      <c r="BJ1160" s="1008"/>
      <c r="BK1160" s="1008"/>
      <c r="BL1160" s="1008"/>
      <c r="BM1160" s="1008"/>
    </row>
    <row r="1161" s="1215" customFormat="1">
      <c r="A1161" s="999">
        <f t="shared" si="1685"/>
        <v>0</v>
      </c>
      <c r="B1161" s="1176" t="s">
        <v>450</v>
      </c>
      <c r="C1161" s="1176"/>
      <c r="D1161" s="1176"/>
      <c r="E1161" s="1164">
        <f t="shared" si="1692"/>
        <v>0</v>
      </c>
      <c r="F1161" s="1164">
        <f t="shared" si="1692"/>
        <v>0</v>
      </c>
      <c r="G1161" s="1165">
        <f t="shared" si="1693"/>
        <v>0</v>
      </c>
      <c r="H1161" s="1166"/>
      <c r="I1161" s="1167">
        <f t="shared" si="1671"/>
        <v>0</v>
      </c>
      <c r="J1161" s="1167">
        <f t="shared" si="1686"/>
        <v>0</v>
      </c>
      <c r="K1161" s="1168">
        <f t="shared" si="1694"/>
        <v>0</v>
      </c>
      <c r="L1161" s="1128"/>
      <c r="M1161" s="1170"/>
      <c r="N1161" s="1175"/>
      <c r="O1161" s="1170"/>
      <c r="P1161" s="1169"/>
      <c r="Q1161" s="1170">
        <f t="shared" si="1695"/>
        <v>0</v>
      </c>
      <c r="R1161" s="1169"/>
      <c r="S1161" s="1170"/>
      <c r="T1161" s="1171"/>
      <c r="U1161" s="1128"/>
      <c r="V1161" s="1170"/>
      <c r="W1161" s="1175"/>
      <c r="X1161" s="1175"/>
      <c r="Y1161" s="1169"/>
      <c r="Z1161" s="1170">
        <f t="shared" si="1696"/>
        <v>0</v>
      </c>
      <c r="AA1161" s="1169"/>
      <c r="AB1161" s="1345"/>
      <c r="AC1161" s="1171"/>
      <c r="AD1161" s="1128"/>
      <c r="AE1161" s="1170"/>
      <c r="AF1161" s="1175"/>
      <c r="AG1161" s="1175"/>
      <c r="AH1161" s="1169"/>
      <c r="AI1161" s="1170">
        <f t="shared" si="1697"/>
        <v>0</v>
      </c>
      <c r="AJ1161" s="1169"/>
      <c r="AK1161" s="1170"/>
      <c r="AL1161" s="1171"/>
      <c r="AM1161" s="1128"/>
      <c r="AN1161" s="1170"/>
      <c r="AO1161" s="1175"/>
      <c r="AP1161" s="1175"/>
      <c r="AQ1161" s="1170"/>
      <c r="AR1161" s="1170">
        <f t="shared" si="1698"/>
        <v>0</v>
      </c>
      <c r="AS1161" s="1170"/>
      <c r="AT1161" s="1170"/>
      <c r="AU1161" s="1174"/>
      <c r="AV1161" s="1128"/>
      <c r="AW1161" s="1170"/>
      <c r="AX1161" s="1175"/>
      <c r="AY1161" s="1175"/>
      <c r="AZ1161" s="1169"/>
      <c r="BA1161" s="1170">
        <f t="shared" si="1699"/>
        <v>0</v>
      </c>
      <c r="BB1161" s="1170"/>
      <c r="BC1161" s="1024"/>
      <c r="BD1161" s="1027"/>
      <c r="BE1161" s="1024"/>
      <c r="BF1161" s="1024"/>
      <c r="BG1161" s="1008"/>
      <c r="BH1161" s="1008"/>
      <c r="BI1161" s="1008"/>
      <c r="BJ1161" s="1008"/>
      <c r="BK1161" s="1008"/>
      <c r="BL1161" s="1008"/>
      <c r="BM1161" s="1008"/>
    </row>
    <row r="1162" s="1215" customFormat="1">
      <c r="A1162" s="999" t="str">
        <f t="shared" si="1685"/>
        <v xml:space="preserve">Бедина и Позднякова</v>
      </c>
      <c r="B1162" s="1202" t="s">
        <v>452</v>
      </c>
      <c r="C1162" s="1202"/>
      <c r="D1162" s="1202"/>
      <c r="E1162" s="1164">
        <f t="shared" si="1692"/>
        <v>0</v>
      </c>
      <c r="F1162" s="1164">
        <f t="shared" si="1692"/>
        <v>0</v>
      </c>
      <c r="G1162" s="1165">
        <f t="shared" si="1693"/>
        <v>0</v>
      </c>
      <c r="H1162" s="1166"/>
      <c r="I1162" s="1167">
        <f t="shared" si="1671"/>
        <v>0</v>
      </c>
      <c r="J1162" s="1167">
        <f t="shared" si="1686"/>
        <v>0</v>
      </c>
      <c r="K1162" s="1168">
        <f t="shared" si="1694"/>
        <v>0</v>
      </c>
      <c r="L1162" s="1128"/>
      <c r="M1162" s="1170"/>
      <c r="N1162" s="1175"/>
      <c r="O1162" s="1170"/>
      <c r="P1162" s="1169"/>
      <c r="Q1162" s="1170">
        <f t="shared" si="1695"/>
        <v>0</v>
      </c>
      <c r="R1162" s="1169"/>
      <c r="S1162" s="1170"/>
      <c r="T1162" s="1171"/>
      <c r="U1162" s="1128"/>
      <c r="V1162" s="1170"/>
      <c r="W1162" s="1175"/>
      <c r="X1162" s="1175"/>
      <c r="Y1162" s="1169"/>
      <c r="Z1162" s="1170">
        <f t="shared" si="1696"/>
        <v>0</v>
      </c>
      <c r="AA1162" s="1169"/>
      <c r="AB1162" s="1345"/>
      <c r="AC1162" s="1171"/>
      <c r="AD1162" s="1128"/>
      <c r="AE1162" s="1170"/>
      <c r="AF1162" s="1175"/>
      <c r="AG1162" s="1175"/>
      <c r="AH1162" s="1169"/>
      <c r="AI1162" s="1170">
        <f t="shared" si="1697"/>
        <v>0</v>
      </c>
      <c r="AJ1162" s="1169"/>
      <c r="AK1162" s="1170"/>
      <c r="AL1162" s="1171"/>
      <c r="AM1162" s="1128"/>
      <c r="AN1162" s="1170"/>
      <c r="AO1162" s="1175"/>
      <c r="AP1162" s="1175"/>
      <c r="AQ1162" s="1170"/>
      <c r="AR1162" s="1170">
        <f t="shared" si="1698"/>
        <v>0</v>
      </c>
      <c r="AS1162" s="1170"/>
      <c r="AT1162" s="1170"/>
      <c r="AU1162" s="1174"/>
      <c r="AV1162" s="1128"/>
      <c r="AW1162" s="1170"/>
      <c r="AX1162" s="1175"/>
      <c r="AY1162" s="1175"/>
      <c r="AZ1162" s="1169"/>
      <c r="BA1162" s="1170">
        <f t="shared" si="1699"/>
        <v>0</v>
      </c>
      <c r="BB1162" s="1170"/>
      <c r="BC1162" s="1024"/>
      <c r="BD1162" s="1027"/>
      <c r="BE1162" s="1024"/>
      <c r="BF1162" s="1024"/>
      <c r="BG1162" s="1008"/>
      <c r="BH1162" s="1008"/>
      <c r="BI1162" s="1008"/>
      <c r="BJ1162" s="1008"/>
      <c r="BK1162" s="1008"/>
      <c r="BL1162" s="1008"/>
      <c r="BM1162" s="1008"/>
    </row>
    <row r="1163" s="1215" customFormat="1">
      <c r="A1163" s="999" t="str">
        <f t="shared" si="1685"/>
        <v xml:space="preserve">Макарова Е.В.</v>
      </c>
      <c r="B1163" s="1202" t="s">
        <v>454</v>
      </c>
      <c r="C1163" s="1202"/>
      <c r="D1163" s="1202"/>
      <c r="E1163" s="1164">
        <f t="shared" si="1692"/>
        <v>0</v>
      </c>
      <c r="F1163" s="1164">
        <f t="shared" si="1692"/>
        <v>0</v>
      </c>
      <c r="G1163" s="1165">
        <f t="shared" si="1693"/>
        <v>0</v>
      </c>
      <c r="H1163" s="1166"/>
      <c r="I1163" s="1167">
        <f t="shared" si="1671"/>
        <v>0</v>
      </c>
      <c r="J1163" s="1167">
        <f t="shared" si="1686"/>
        <v>0</v>
      </c>
      <c r="K1163" s="1168">
        <f t="shared" si="1694"/>
        <v>0</v>
      </c>
      <c r="L1163" s="1128"/>
      <c r="M1163" s="1170"/>
      <c r="N1163" s="1175"/>
      <c r="O1163" s="1170"/>
      <c r="P1163" s="1169"/>
      <c r="Q1163" s="1170">
        <f t="shared" si="1695"/>
        <v>0</v>
      </c>
      <c r="R1163" s="1169"/>
      <c r="S1163" s="1170"/>
      <c r="T1163" s="1171"/>
      <c r="U1163" s="1128"/>
      <c r="V1163" s="1170"/>
      <c r="W1163" s="1175"/>
      <c r="X1163" s="1175"/>
      <c r="Y1163" s="1169"/>
      <c r="Z1163" s="1170">
        <f t="shared" si="1696"/>
        <v>0</v>
      </c>
      <c r="AA1163" s="1169"/>
      <c r="AB1163" s="1345"/>
      <c r="AC1163" s="1171"/>
      <c r="AD1163" s="1128"/>
      <c r="AE1163" s="1170"/>
      <c r="AF1163" s="1175"/>
      <c r="AG1163" s="1175"/>
      <c r="AH1163" s="1169"/>
      <c r="AI1163" s="1170">
        <f t="shared" si="1697"/>
        <v>0</v>
      </c>
      <c r="AJ1163" s="1169"/>
      <c r="AK1163" s="1170"/>
      <c r="AL1163" s="1171"/>
      <c r="AM1163" s="1128"/>
      <c r="AN1163" s="1170"/>
      <c r="AO1163" s="1175"/>
      <c r="AP1163" s="1175"/>
      <c r="AQ1163" s="1170"/>
      <c r="AR1163" s="1170">
        <f t="shared" si="1698"/>
        <v>0</v>
      </c>
      <c r="AS1163" s="1170"/>
      <c r="AT1163" s="1170"/>
      <c r="AU1163" s="1174"/>
      <c r="AV1163" s="1128"/>
      <c r="AW1163" s="1170"/>
      <c r="AX1163" s="1175"/>
      <c r="AY1163" s="1175"/>
      <c r="AZ1163" s="1169"/>
      <c r="BA1163" s="1170">
        <f t="shared" si="1699"/>
        <v>0</v>
      </c>
      <c r="BB1163" s="1170"/>
      <c r="BC1163" s="1024"/>
      <c r="BD1163" s="1027"/>
      <c r="BE1163" s="1024"/>
      <c r="BF1163" s="1024"/>
      <c r="BG1163" s="1008"/>
      <c r="BH1163" s="1008"/>
      <c r="BI1163" s="1008"/>
      <c r="BJ1163" s="1008"/>
      <c r="BK1163" s="1008"/>
      <c r="BL1163" s="1008"/>
      <c r="BM1163" s="1008"/>
    </row>
    <row r="1164" s="1215" customFormat="1">
      <c r="A1164" s="999" t="str">
        <f t="shared" si="1685"/>
        <v xml:space="preserve">Юшкова Н.Г.</v>
      </c>
      <c r="B1164" s="1202" t="s">
        <v>311</v>
      </c>
      <c r="C1164" s="1202"/>
      <c r="D1164" s="1202"/>
      <c r="E1164" s="1164">
        <f t="shared" si="1692"/>
        <v>0</v>
      </c>
      <c r="F1164" s="1164">
        <f t="shared" si="1692"/>
        <v>0</v>
      </c>
      <c r="G1164" s="1165">
        <f t="shared" si="1693"/>
        <v>0</v>
      </c>
      <c r="H1164" s="1166"/>
      <c r="I1164" s="1167">
        <f t="shared" si="1671"/>
        <v>0</v>
      </c>
      <c r="J1164" s="1167">
        <f t="shared" si="1686"/>
        <v>0</v>
      </c>
      <c r="K1164" s="1168">
        <f t="shared" si="1694"/>
        <v>0</v>
      </c>
      <c r="L1164" s="1128"/>
      <c r="M1164" s="1170"/>
      <c r="N1164" s="1175"/>
      <c r="O1164" s="1170"/>
      <c r="P1164" s="1169"/>
      <c r="Q1164" s="1170">
        <f t="shared" si="1695"/>
        <v>0</v>
      </c>
      <c r="R1164" s="1169"/>
      <c r="S1164" s="1170"/>
      <c r="T1164" s="1171"/>
      <c r="U1164" s="1128"/>
      <c r="V1164" s="1170"/>
      <c r="W1164" s="1175"/>
      <c r="X1164" s="1175"/>
      <c r="Y1164" s="1169"/>
      <c r="Z1164" s="1170">
        <f t="shared" si="1696"/>
        <v>0</v>
      </c>
      <c r="AA1164" s="1169"/>
      <c r="AB1164" s="1345"/>
      <c r="AC1164" s="1171"/>
      <c r="AD1164" s="1128"/>
      <c r="AE1164" s="1170"/>
      <c r="AF1164" s="1175"/>
      <c r="AG1164" s="1175"/>
      <c r="AH1164" s="1169"/>
      <c r="AI1164" s="1170">
        <f t="shared" si="1697"/>
        <v>0</v>
      </c>
      <c r="AJ1164" s="1169"/>
      <c r="AK1164" s="1170"/>
      <c r="AL1164" s="1171"/>
      <c r="AM1164" s="1128"/>
      <c r="AN1164" s="1170"/>
      <c r="AO1164" s="1175"/>
      <c r="AP1164" s="1175"/>
      <c r="AQ1164" s="1170"/>
      <c r="AR1164" s="1170">
        <f t="shared" si="1698"/>
        <v>0</v>
      </c>
      <c r="AS1164" s="1170"/>
      <c r="AT1164" s="1170"/>
      <c r="AU1164" s="1174"/>
      <c r="AV1164" s="1128"/>
      <c r="AW1164" s="1170"/>
      <c r="AX1164" s="1175"/>
      <c r="AY1164" s="1175"/>
      <c r="AZ1164" s="1169"/>
      <c r="BA1164" s="1170">
        <f t="shared" si="1699"/>
        <v>0</v>
      </c>
      <c r="BB1164" s="1170"/>
      <c r="BC1164" s="1024"/>
      <c r="BD1164" s="1027"/>
      <c r="BE1164" s="1024"/>
      <c r="BF1164" s="1024"/>
      <c r="BG1164" s="1008"/>
      <c r="BH1164" s="1008"/>
      <c r="BI1164" s="1008"/>
      <c r="BJ1164" s="1008"/>
      <c r="BK1164" s="1008"/>
      <c r="BL1164" s="1008"/>
      <c r="BM1164" s="1008"/>
    </row>
    <row r="1165" s="1215" customFormat="1">
      <c r="A1165" s="999">
        <f t="shared" si="1685"/>
        <v>0</v>
      </c>
      <c r="B1165" s="1202" t="s">
        <v>456</v>
      </c>
      <c r="C1165" s="1202"/>
      <c r="D1165" s="1202"/>
      <c r="E1165" s="1164">
        <f t="shared" si="1692"/>
        <v>0</v>
      </c>
      <c r="F1165" s="1164">
        <f t="shared" si="1692"/>
        <v>0</v>
      </c>
      <c r="G1165" s="1165">
        <f t="shared" si="1693"/>
        <v>0</v>
      </c>
      <c r="H1165" s="1166"/>
      <c r="I1165" s="1167">
        <f t="shared" si="1671"/>
        <v>0</v>
      </c>
      <c r="J1165" s="1167">
        <f t="shared" si="1686"/>
        <v>0</v>
      </c>
      <c r="K1165" s="1168">
        <f t="shared" si="1694"/>
        <v>0</v>
      </c>
      <c r="L1165" s="1128"/>
      <c r="M1165" s="1170"/>
      <c r="N1165" s="1175"/>
      <c r="O1165" s="1170"/>
      <c r="P1165" s="1169"/>
      <c r="Q1165" s="1170">
        <f t="shared" si="1695"/>
        <v>0</v>
      </c>
      <c r="R1165" s="1169"/>
      <c r="S1165" s="1170"/>
      <c r="T1165" s="1171"/>
      <c r="U1165" s="1128"/>
      <c r="V1165" s="1170"/>
      <c r="W1165" s="1175"/>
      <c r="X1165" s="1175"/>
      <c r="Y1165" s="1169"/>
      <c r="Z1165" s="1170">
        <f t="shared" si="1696"/>
        <v>0</v>
      </c>
      <c r="AA1165" s="1169"/>
      <c r="AB1165" s="1345"/>
      <c r="AC1165" s="1171"/>
      <c r="AD1165" s="1128"/>
      <c r="AE1165" s="1170"/>
      <c r="AF1165" s="1175"/>
      <c r="AG1165" s="1175"/>
      <c r="AH1165" s="1169"/>
      <c r="AI1165" s="1170">
        <f t="shared" si="1697"/>
        <v>0</v>
      </c>
      <c r="AJ1165" s="1169"/>
      <c r="AK1165" s="1170"/>
      <c r="AL1165" s="1171"/>
      <c r="AM1165" s="1128"/>
      <c r="AN1165" s="1170"/>
      <c r="AO1165" s="1175"/>
      <c r="AP1165" s="1175"/>
      <c r="AQ1165" s="1170"/>
      <c r="AR1165" s="1170">
        <f t="shared" si="1698"/>
        <v>0</v>
      </c>
      <c r="AS1165" s="1170"/>
      <c r="AT1165" s="1170"/>
      <c r="AU1165" s="1174"/>
      <c r="AV1165" s="1128"/>
      <c r="AW1165" s="1170"/>
      <c r="AX1165" s="1175"/>
      <c r="AY1165" s="1175"/>
      <c r="AZ1165" s="1169"/>
      <c r="BA1165" s="1170">
        <f t="shared" si="1699"/>
        <v>0</v>
      </c>
      <c r="BB1165" s="1170"/>
      <c r="BC1165" s="1024"/>
      <c r="BD1165" s="1027"/>
      <c r="BE1165" s="1024"/>
      <c r="BF1165" s="1024"/>
      <c r="BG1165" s="1008"/>
      <c r="BH1165" s="1008"/>
      <c r="BI1165" s="1008"/>
      <c r="BJ1165" s="1008"/>
      <c r="BK1165" s="1008"/>
      <c r="BL1165" s="1008"/>
      <c r="BM1165" s="1008"/>
    </row>
    <row r="1166" s="1215" customFormat="1">
      <c r="A1166" s="999" t="s">
        <v>521</v>
      </c>
      <c r="B1166" s="1202" t="s">
        <v>457</v>
      </c>
      <c r="C1166" s="1202"/>
      <c r="D1166" s="1202"/>
      <c r="E1166" s="1164">
        <f t="shared" si="1692"/>
        <v>0</v>
      </c>
      <c r="F1166" s="1164">
        <f t="shared" ref="F1166:F1167" si="1700">R1166+AA1166+AJ1166+AS1166+BB1166</f>
        <v>0</v>
      </c>
      <c r="G1166" s="1165">
        <f t="shared" si="1693"/>
        <v>0</v>
      </c>
      <c r="H1166" s="1166"/>
      <c r="I1166" s="1167">
        <f t="shared" si="1671"/>
        <v>0</v>
      </c>
      <c r="J1166" s="1167">
        <f t="shared" si="1686"/>
        <v>0</v>
      </c>
      <c r="K1166" s="1168">
        <f t="shared" si="1694"/>
        <v>0</v>
      </c>
      <c r="L1166" s="1128"/>
      <c r="M1166" s="1170"/>
      <c r="N1166" s="1175"/>
      <c r="O1166" s="1170"/>
      <c r="P1166" s="1169"/>
      <c r="Q1166" s="1170">
        <f t="shared" si="1695"/>
        <v>0</v>
      </c>
      <c r="R1166" s="1169"/>
      <c r="S1166" s="1170"/>
      <c r="T1166" s="1171"/>
      <c r="U1166" s="1128"/>
      <c r="V1166" s="1170"/>
      <c r="W1166" s="1175"/>
      <c r="X1166" s="1175"/>
      <c r="Y1166" s="1169"/>
      <c r="Z1166" s="1170">
        <f t="shared" si="1696"/>
        <v>0</v>
      </c>
      <c r="AA1166" s="1169"/>
      <c r="AB1166" s="1345"/>
      <c r="AC1166" s="1171"/>
      <c r="AD1166" s="1128"/>
      <c r="AE1166" s="1170"/>
      <c r="AF1166" s="1175"/>
      <c r="AG1166" s="1175"/>
      <c r="AH1166" s="1169"/>
      <c r="AI1166" s="1170">
        <f t="shared" si="1697"/>
        <v>0</v>
      </c>
      <c r="AJ1166" s="1169"/>
      <c r="AK1166" s="1170"/>
      <c r="AL1166" s="1171"/>
      <c r="AM1166" s="1128"/>
      <c r="AN1166" s="1170"/>
      <c r="AO1166" s="1175"/>
      <c r="AP1166" s="1175"/>
      <c r="AQ1166" s="1170"/>
      <c r="AR1166" s="1170">
        <f t="shared" si="1698"/>
        <v>0</v>
      </c>
      <c r="AS1166" s="1170"/>
      <c r="AT1166" s="1170"/>
      <c r="AU1166" s="1174"/>
      <c r="AV1166" s="1128"/>
      <c r="AW1166" s="1170"/>
      <c r="AX1166" s="1175"/>
      <c r="AY1166" s="1175"/>
      <c r="AZ1166" s="1169"/>
      <c r="BA1166" s="1170">
        <f t="shared" si="1699"/>
        <v>0</v>
      </c>
      <c r="BB1166" s="1170"/>
      <c r="BC1166" s="1024"/>
      <c r="BD1166" s="1027"/>
      <c r="BE1166" s="1024"/>
      <c r="BF1166" s="1024"/>
      <c r="BG1166" s="1008"/>
      <c r="BH1166" s="1008"/>
      <c r="BI1166" s="1008"/>
      <c r="BJ1166" s="1008"/>
      <c r="BK1166" s="1008"/>
      <c r="BL1166" s="1008"/>
      <c r="BM1166" s="1008"/>
    </row>
    <row r="1167" s="1215" customFormat="1">
      <c r="A1167" s="999">
        <f t="shared" si="1685"/>
        <v>0</v>
      </c>
      <c r="B1167" s="1202" t="s">
        <v>458</v>
      </c>
      <c r="C1167" s="1202"/>
      <c r="D1167" s="1202"/>
      <c r="E1167" s="1164">
        <f t="shared" si="1692"/>
        <v>0</v>
      </c>
      <c r="F1167" s="1164">
        <f t="shared" si="1700"/>
        <v>0</v>
      </c>
      <c r="G1167" s="1165">
        <f t="shared" si="1693"/>
        <v>0</v>
      </c>
      <c r="H1167" s="1166"/>
      <c r="I1167" s="1167">
        <f t="shared" si="1671"/>
        <v>0</v>
      </c>
      <c r="J1167" s="1167">
        <f t="shared" si="1686"/>
        <v>0</v>
      </c>
      <c r="K1167" s="1168">
        <f t="shared" si="1694"/>
        <v>0</v>
      </c>
      <c r="L1167" s="1128"/>
      <c r="M1167" s="1170"/>
      <c r="N1167" s="1175"/>
      <c r="O1167" s="1170"/>
      <c r="P1167" s="1169"/>
      <c r="Q1167" s="1170">
        <f t="shared" si="1695"/>
        <v>0</v>
      </c>
      <c r="R1167" s="1169"/>
      <c r="S1167" s="1170"/>
      <c r="T1167" s="1171"/>
      <c r="U1167" s="1128"/>
      <c r="V1167" s="1170"/>
      <c r="W1167" s="1175"/>
      <c r="X1167" s="1175"/>
      <c r="Y1167" s="1169"/>
      <c r="Z1167" s="1170">
        <f t="shared" si="1696"/>
        <v>0</v>
      </c>
      <c r="AA1167" s="1169"/>
      <c r="AB1167" s="1345"/>
      <c r="AC1167" s="1171"/>
      <c r="AD1167" s="1128"/>
      <c r="AE1167" s="1170"/>
      <c r="AF1167" s="1175"/>
      <c r="AG1167" s="1175"/>
      <c r="AH1167" s="1169"/>
      <c r="AI1167" s="1170">
        <f t="shared" si="1697"/>
        <v>0</v>
      </c>
      <c r="AJ1167" s="1169"/>
      <c r="AK1167" s="1170"/>
      <c r="AL1167" s="1171"/>
      <c r="AM1167" s="1128"/>
      <c r="AN1167" s="1170"/>
      <c r="AO1167" s="1175"/>
      <c r="AP1167" s="1175"/>
      <c r="AQ1167" s="1170"/>
      <c r="AR1167" s="1170">
        <f t="shared" si="1698"/>
        <v>0</v>
      </c>
      <c r="AS1167" s="1170"/>
      <c r="AT1167" s="1170"/>
      <c r="AU1167" s="1174"/>
      <c r="AV1167" s="1128"/>
      <c r="AW1167" s="1170"/>
      <c r="AX1167" s="1175"/>
      <c r="AY1167" s="1175"/>
      <c r="AZ1167" s="1169"/>
      <c r="BA1167" s="1170">
        <f t="shared" si="1699"/>
        <v>0</v>
      </c>
      <c r="BB1167" s="1170"/>
      <c r="BC1167" s="1024"/>
      <c r="BD1167" s="1027"/>
      <c r="BE1167" s="1024"/>
      <c r="BF1167" s="1024"/>
      <c r="BG1167" s="1008"/>
      <c r="BH1167" s="1008"/>
      <c r="BI1167" s="1008"/>
      <c r="BJ1167" s="1008"/>
      <c r="BK1167" s="1008"/>
      <c r="BL1167" s="1008"/>
      <c r="BM1167" s="1008"/>
    </row>
    <row r="1168" s="1215" customFormat="1">
      <c r="A1168" s="999">
        <f t="shared" si="1685"/>
        <v>0</v>
      </c>
      <c r="B1168" s="1202" t="s">
        <v>459</v>
      </c>
      <c r="C1168" s="1202"/>
      <c r="D1168" s="1202"/>
      <c r="E1168" s="1164">
        <f t="shared" si="1692"/>
        <v>0</v>
      </c>
      <c r="F1168" s="1164">
        <f t="shared" si="1692"/>
        <v>0</v>
      </c>
      <c r="G1168" s="1165">
        <f t="shared" si="1693"/>
        <v>0</v>
      </c>
      <c r="H1168" s="1166"/>
      <c r="I1168" s="1167">
        <f t="shared" si="1671"/>
        <v>0</v>
      </c>
      <c r="J1168" s="1167">
        <f t="shared" si="1686"/>
        <v>0</v>
      </c>
      <c r="K1168" s="1168">
        <f t="shared" si="1694"/>
        <v>0</v>
      </c>
      <c r="L1168" s="1128"/>
      <c r="M1168" s="1170"/>
      <c r="N1168" s="1175"/>
      <c r="O1168" s="1170"/>
      <c r="P1168" s="1169"/>
      <c r="Q1168" s="1170">
        <f t="shared" si="1695"/>
        <v>0</v>
      </c>
      <c r="R1168" s="1169"/>
      <c r="S1168" s="1170"/>
      <c r="T1168" s="1171"/>
      <c r="U1168" s="1128"/>
      <c r="V1168" s="1170"/>
      <c r="W1168" s="1175"/>
      <c r="X1168" s="1175"/>
      <c r="Y1168" s="1169"/>
      <c r="Z1168" s="1170">
        <f t="shared" si="1696"/>
        <v>0</v>
      </c>
      <c r="AA1168" s="1169"/>
      <c r="AB1168" s="1345"/>
      <c r="AC1168" s="1171"/>
      <c r="AD1168" s="1128"/>
      <c r="AE1168" s="1170"/>
      <c r="AF1168" s="1175"/>
      <c r="AG1168" s="1175"/>
      <c r="AH1168" s="1169"/>
      <c r="AI1168" s="1170">
        <f t="shared" si="1697"/>
        <v>0</v>
      </c>
      <c r="AJ1168" s="1169"/>
      <c r="AK1168" s="1170"/>
      <c r="AL1168" s="1171"/>
      <c r="AM1168" s="1128"/>
      <c r="AN1168" s="1170"/>
      <c r="AO1168" s="1175"/>
      <c r="AP1168" s="1175"/>
      <c r="AQ1168" s="1170"/>
      <c r="AR1168" s="1170">
        <f t="shared" si="1698"/>
        <v>0</v>
      </c>
      <c r="AS1168" s="1170"/>
      <c r="AT1168" s="1170"/>
      <c r="AU1168" s="1174"/>
      <c r="AV1168" s="1128"/>
      <c r="AW1168" s="1170"/>
      <c r="AX1168" s="1175"/>
      <c r="AY1168" s="1175"/>
      <c r="AZ1168" s="1169"/>
      <c r="BA1168" s="1170">
        <f t="shared" si="1699"/>
        <v>0</v>
      </c>
      <c r="BB1168" s="1170"/>
      <c r="BC1168" s="1024"/>
      <c r="BD1168" s="1027"/>
      <c r="BE1168" s="1024"/>
      <c r="BF1168" s="1024"/>
      <c r="BG1168" s="1008"/>
      <c r="BH1168" s="1008"/>
      <c r="BI1168" s="1008"/>
      <c r="BJ1168" s="1008"/>
      <c r="BK1168" s="1008"/>
      <c r="BL1168" s="1008"/>
      <c r="BM1168" s="1008"/>
    </row>
    <row r="1169" s="1215" customFormat="1">
      <c r="A1169" s="999">
        <f t="shared" si="1685"/>
        <v>0</v>
      </c>
      <c r="B1169" s="1202" t="s">
        <v>460</v>
      </c>
      <c r="C1169" s="1202"/>
      <c r="D1169" s="1202"/>
      <c r="E1169" s="1164">
        <f t="shared" si="1692"/>
        <v>0</v>
      </c>
      <c r="F1169" s="1164">
        <f t="shared" si="1692"/>
        <v>0</v>
      </c>
      <c r="G1169" s="1165">
        <f t="shared" si="1693"/>
        <v>0</v>
      </c>
      <c r="H1169" s="1166"/>
      <c r="I1169" s="1167">
        <f t="shared" si="1671"/>
        <v>0</v>
      </c>
      <c r="J1169" s="1167">
        <f t="shared" si="1686"/>
        <v>0</v>
      </c>
      <c r="K1169" s="1168">
        <f t="shared" si="1694"/>
        <v>0</v>
      </c>
      <c r="L1169" s="1128"/>
      <c r="M1169" s="1170"/>
      <c r="N1169" s="1175"/>
      <c r="O1169" s="1170"/>
      <c r="P1169" s="1169"/>
      <c r="Q1169" s="1170">
        <f t="shared" si="1695"/>
        <v>0</v>
      </c>
      <c r="R1169" s="1169"/>
      <c r="S1169" s="1170"/>
      <c r="T1169" s="1171"/>
      <c r="U1169" s="1128"/>
      <c r="V1169" s="1170"/>
      <c r="W1169" s="1175"/>
      <c r="X1169" s="1175"/>
      <c r="Y1169" s="1169"/>
      <c r="Z1169" s="1170">
        <f t="shared" si="1696"/>
        <v>0</v>
      </c>
      <c r="AA1169" s="1169"/>
      <c r="AB1169" s="1345"/>
      <c r="AC1169" s="1171"/>
      <c r="AD1169" s="1128"/>
      <c r="AE1169" s="1170"/>
      <c r="AF1169" s="1175"/>
      <c r="AG1169" s="1175"/>
      <c r="AH1169" s="1169"/>
      <c r="AI1169" s="1170">
        <f t="shared" si="1697"/>
        <v>0</v>
      </c>
      <c r="AJ1169" s="1169"/>
      <c r="AK1169" s="1170"/>
      <c r="AL1169" s="1171"/>
      <c r="AM1169" s="1128"/>
      <c r="AN1169" s="1170"/>
      <c r="AO1169" s="1175"/>
      <c r="AP1169" s="1175"/>
      <c r="AQ1169" s="1170"/>
      <c r="AR1169" s="1170">
        <f t="shared" si="1698"/>
        <v>0</v>
      </c>
      <c r="AS1169" s="1170"/>
      <c r="AT1169" s="1170"/>
      <c r="AU1169" s="1174"/>
      <c r="AV1169" s="1128"/>
      <c r="AW1169" s="1170"/>
      <c r="AX1169" s="1175"/>
      <c r="AY1169" s="1175"/>
      <c r="AZ1169" s="1169"/>
      <c r="BA1169" s="1170">
        <f t="shared" si="1699"/>
        <v>0</v>
      </c>
      <c r="BB1169" s="1170"/>
      <c r="BC1169" s="1024"/>
      <c r="BD1169" s="1027"/>
      <c r="BE1169" s="1024"/>
      <c r="BF1169" s="1024"/>
      <c r="BG1169" s="1008"/>
      <c r="BH1169" s="1008"/>
      <c r="BI1169" s="1008"/>
      <c r="BJ1169" s="1008"/>
      <c r="BK1169" s="1008"/>
      <c r="BL1169" s="1008"/>
      <c r="BM1169" s="1008"/>
    </row>
    <row r="1170">
      <c r="A1170" s="999" t="str">
        <f t="shared" si="1685"/>
        <v xml:space="preserve">Белова СА</v>
      </c>
      <c r="B1170" s="1202" t="s">
        <v>461</v>
      </c>
      <c r="C1170" s="1202"/>
      <c r="D1170" s="1202"/>
      <c r="E1170" s="1164">
        <f t="shared" si="1692"/>
        <v>0</v>
      </c>
      <c r="F1170" s="1164">
        <f t="shared" si="1692"/>
        <v>0</v>
      </c>
      <c r="G1170" s="1165">
        <f t="shared" si="1693"/>
        <v>0</v>
      </c>
      <c r="H1170" s="1166"/>
      <c r="I1170" s="1167">
        <f t="shared" si="1671"/>
        <v>0</v>
      </c>
      <c r="J1170" s="1167">
        <f t="shared" si="1686"/>
        <v>0</v>
      </c>
      <c r="K1170" s="1168">
        <f t="shared" si="1694"/>
        <v>0</v>
      </c>
      <c r="L1170" s="1128"/>
      <c r="M1170" s="1170"/>
      <c r="N1170" s="1175"/>
      <c r="O1170" s="1170"/>
      <c r="P1170" s="1169"/>
      <c r="Q1170" s="1170">
        <f t="shared" si="1695"/>
        <v>0</v>
      </c>
      <c r="R1170" s="1169"/>
      <c r="S1170" s="1170"/>
      <c r="T1170" s="1171"/>
      <c r="U1170" s="1128"/>
      <c r="V1170" s="1170"/>
      <c r="W1170" s="1175"/>
      <c r="X1170" s="1175"/>
      <c r="Y1170" s="1169"/>
      <c r="Z1170" s="1170">
        <f t="shared" si="1696"/>
        <v>0</v>
      </c>
      <c r="AA1170" s="1169"/>
      <c r="AB1170" s="1345"/>
      <c r="AC1170" s="1171"/>
      <c r="AD1170" s="1128"/>
      <c r="AE1170" s="1170"/>
      <c r="AF1170" s="1175"/>
      <c r="AG1170" s="1175"/>
      <c r="AH1170" s="1169"/>
      <c r="AI1170" s="1170">
        <f t="shared" si="1697"/>
        <v>0</v>
      </c>
      <c r="AJ1170" s="1169"/>
      <c r="AK1170" s="1170"/>
      <c r="AL1170" s="1171"/>
      <c r="AM1170" s="1128"/>
      <c r="AN1170" s="1170"/>
      <c r="AO1170" s="1175"/>
      <c r="AP1170" s="1175"/>
      <c r="AQ1170" s="1170"/>
      <c r="AR1170" s="1170">
        <f t="shared" si="1698"/>
        <v>0</v>
      </c>
      <c r="AS1170" s="1170"/>
      <c r="AT1170" s="1170"/>
      <c r="AU1170" s="1174"/>
      <c r="AV1170" s="1128"/>
      <c r="AW1170" s="1170"/>
      <c r="AX1170" s="1175"/>
      <c r="AY1170" s="1175"/>
      <c r="AZ1170" s="1169"/>
      <c r="BA1170" s="1170">
        <f t="shared" si="1699"/>
        <v>0</v>
      </c>
      <c r="BB1170" s="1170"/>
      <c r="BC1170" s="1029"/>
      <c r="BD1170" s="1027"/>
      <c r="BE1170" s="1029"/>
      <c r="BF1170" s="1029"/>
    </row>
    <row r="1171">
      <c r="A1171" s="999">
        <f t="shared" si="1685"/>
        <v>0</v>
      </c>
      <c r="B1171" s="1202" t="s">
        <v>462</v>
      </c>
      <c r="C1171" s="1202"/>
      <c r="D1171" s="1202"/>
      <c r="E1171" s="1164">
        <f t="shared" si="1692"/>
        <v>0</v>
      </c>
      <c r="F1171" s="1164">
        <f t="shared" si="1692"/>
        <v>0</v>
      </c>
      <c r="G1171" s="1165">
        <f t="shared" si="1693"/>
        <v>0</v>
      </c>
      <c r="H1171" s="1166"/>
      <c r="I1171" s="1167">
        <f t="shared" si="1671"/>
        <v>0</v>
      </c>
      <c r="J1171" s="1167">
        <f t="shared" si="1686"/>
        <v>0</v>
      </c>
      <c r="K1171" s="1168">
        <f t="shared" si="1694"/>
        <v>0</v>
      </c>
      <c r="L1171" s="1128"/>
      <c r="M1171" s="1170"/>
      <c r="N1171" s="1175"/>
      <c r="O1171" s="1170"/>
      <c r="P1171" s="1169"/>
      <c r="Q1171" s="1170">
        <f t="shared" si="1695"/>
        <v>0</v>
      </c>
      <c r="R1171" s="1169"/>
      <c r="S1171" s="1170"/>
      <c r="T1171" s="1171"/>
      <c r="U1171" s="1128"/>
      <c r="V1171" s="1170"/>
      <c r="W1171" s="1175"/>
      <c r="X1171" s="1175"/>
      <c r="Y1171" s="1169"/>
      <c r="Z1171" s="1170">
        <f t="shared" si="1696"/>
        <v>0</v>
      </c>
      <c r="AA1171" s="1169"/>
      <c r="AB1171" s="1345"/>
      <c r="AC1171" s="1171"/>
      <c r="AD1171" s="1128"/>
      <c r="AE1171" s="1170"/>
      <c r="AF1171" s="1175"/>
      <c r="AG1171" s="1175"/>
      <c r="AH1171" s="1169"/>
      <c r="AI1171" s="1170">
        <f t="shared" si="1697"/>
        <v>0</v>
      </c>
      <c r="AJ1171" s="1169"/>
      <c r="AK1171" s="1170"/>
      <c r="AL1171" s="1171"/>
      <c r="AM1171" s="1128"/>
      <c r="AN1171" s="1170"/>
      <c r="AO1171" s="1175"/>
      <c r="AP1171" s="1175"/>
      <c r="AQ1171" s="1170"/>
      <c r="AR1171" s="1170">
        <f t="shared" si="1698"/>
        <v>0</v>
      </c>
      <c r="AS1171" s="1170"/>
      <c r="AT1171" s="1170"/>
      <c r="AU1171" s="1174"/>
      <c r="AV1171" s="1128"/>
      <c r="AW1171" s="1170"/>
      <c r="AX1171" s="1175"/>
      <c r="AY1171" s="1175"/>
      <c r="AZ1171" s="1169"/>
      <c r="BA1171" s="1170">
        <f t="shared" si="1699"/>
        <v>0</v>
      </c>
      <c r="BB1171" s="1170"/>
      <c r="BC1171" s="1029"/>
      <c r="BD1171" s="1027"/>
      <c r="BE1171" s="1029"/>
      <c r="BF1171" s="1029"/>
    </row>
    <row r="1172">
      <c r="A1172" s="999">
        <f t="shared" si="1685"/>
        <v>0</v>
      </c>
      <c r="B1172" s="1202" t="s">
        <v>463</v>
      </c>
      <c r="C1172" s="1202"/>
      <c r="D1172" s="1202"/>
      <c r="E1172" s="1164">
        <f t="shared" si="1692"/>
        <v>0</v>
      </c>
      <c r="F1172" s="1164">
        <f t="shared" si="1692"/>
        <v>0</v>
      </c>
      <c r="G1172" s="1165">
        <f t="shared" si="1693"/>
        <v>0</v>
      </c>
      <c r="H1172" s="1166"/>
      <c r="I1172" s="1167">
        <f t="shared" si="1671"/>
        <v>0</v>
      </c>
      <c r="J1172" s="1167">
        <f t="shared" si="1686"/>
        <v>0</v>
      </c>
      <c r="K1172" s="1168">
        <f t="shared" si="1694"/>
        <v>0</v>
      </c>
      <c r="L1172" s="1128"/>
      <c r="M1172" s="1170"/>
      <c r="N1172" s="1175"/>
      <c r="O1172" s="1170"/>
      <c r="P1172" s="1169"/>
      <c r="Q1172" s="1170">
        <f t="shared" si="1695"/>
        <v>0</v>
      </c>
      <c r="R1172" s="1169"/>
      <c r="S1172" s="1170"/>
      <c r="T1172" s="1171"/>
      <c r="U1172" s="1128"/>
      <c r="V1172" s="1170"/>
      <c r="W1172" s="1175"/>
      <c r="X1172" s="1175"/>
      <c r="Y1172" s="1169"/>
      <c r="Z1172" s="1170">
        <f t="shared" si="1696"/>
        <v>0</v>
      </c>
      <c r="AA1172" s="1169"/>
      <c r="AB1172" s="1345"/>
      <c r="AC1172" s="1171"/>
      <c r="AD1172" s="1128"/>
      <c r="AE1172" s="1170"/>
      <c r="AF1172" s="1175"/>
      <c r="AG1172" s="1175"/>
      <c r="AH1172" s="1169"/>
      <c r="AI1172" s="1170">
        <f t="shared" si="1697"/>
        <v>0</v>
      </c>
      <c r="AJ1172" s="1169"/>
      <c r="AK1172" s="1170"/>
      <c r="AL1172" s="1171"/>
      <c r="AM1172" s="1128"/>
      <c r="AN1172" s="1170"/>
      <c r="AO1172" s="1175"/>
      <c r="AP1172" s="1175"/>
      <c r="AQ1172" s="1170"/>
      <c r="AR1172" s="1170">
        <f t="shared" si="1698"/>
        <v>0</v>
      </c>
      <c r="AS1172" s="1170"/>
      <c r="AT1172" s="1170"/>
      <c r="AU1172" s="1174"/>
      <c r="AV1172" s="1128"/>
      <c r="AW1172" s="1170"/>
      <c r="AX1172" s="1175"/>
      <c r="AY1172" s="1175"/>
      <c r="AZ1172" s="1169"/>
      <c r="BA1172" s="1170">
        <f t="shared" si="1699"/>
        <v>0</v>
      </c>
      <c r="BB1172" s="1170"/>
      <c r="BC1172" s="1029"/>
      <c r="BD1172" s="1027"/>
      <c r="BE1172" s="1029"/>
      <c r="BF1172" s="1029"/>
    </row>
    <row r="1173">
      <c r="A1173" s="999">
        <f t="shared" si="1685"/>
        <v>0</v>
      </c>
      <c r="B1173" s="1202" t="s">
        <v>464</v>
      </c>
      <c r="C1173" s="1202"/>
      <c r="D1173" s="1202"/>
      <c r="E1173" s="1164">
        <f t="shared" si="1692"/>
        <v>0</v>
      </c>
      <c r="F1173" s="1164">
        <f t="shared" si="1692"/>
        <v>0</v>
      </c>
      <c r="G1173" s="1165">
        <f t="shared" si="1693"/>
        <v>0</v>
      </c>
      <c r="H1173" s="1166"/>
      <c r="I1173" s="1167">
        <f t="shared" si="1671"/>
        <v>0</v>
      </c>
      <c r="J1173" s="1167">
        <f t="shared" si="1686"/>
        <v>0</v>
      </c>
      <c r="K1173" s="1168">
        <f t="shared" si="1694"/>
        <v>0</v>
      </c>
      <c r="L1173" s="1128"/>
      <c r="M1173" s="1170"/>
      <c r="N1173" s="1175"/>
      <c r="O1173" s="1170"/>
      <c r="P1173" s="1169"/>
      <c r="Q1173" s="1170">
        <f t="shared" si="1695"/>
        <v>0</v>
      </c>
      <c r="R1173" s="1169"/>
      <c r="S1173" s="1170"/>
      <c r="T1173" s="1171"/>
      <c r="U1173" s="1128"/>
      <c r="V1173" s="1170"/>
      <c r="W1173" s="1175"/>
      <c r="X1173" s="1175"/>
      <c r="Y1173" s="1169"/>
      <c r="Z1173" s="1170">
        <f t="shared" si="1696"/>
        <v>0</v>
      </c>
      <c r="AA1173" s="1169"/>
      <c r="AB1173" s="1345"/>
      <c r="AC1173" s="1171"/>
      <c r="AD1173" s="1128"/>
      <c r="AE1173" s="1170"/>
      <c r="AF1173" s="1175"/>
      <c r="AG1173" s="1175"/>
      <c r="AH1173" s="1169"/>
      <c r="AI1173" s="1170">
        <f t="shared" si="1697"/>
        <v>0</v>
      </c>
      <c r="AJ1173" s="1169"/>
      <c r="AK1173" s="1170"/>
      <c r="AL1173" s="1171"/>
      <c r="AM1173" s="1128"/>
      <c r="AN1173" s="1170"/>
      <c r="AO1173" s="1175"/>
      <c r="AP1173" s="1175"/>
      <c r="AQ1173" s="1170"/>
      <c r="AR1173" s="1170">
        <f t="shared" si="1698"/>
        <v>0</v>
      </c>
      <c r="AS1173" s="1170"/>
      <c r="AT1173" s="1170"/>
      <c r="AU1173" s="1174"/>
      <c r="AV1173" s="1241"/>
      <c r="AW1173" s="1170"/>
      <c r="AX1173" s="1175"/>
      <c r="AY1173" s="1175"/>
      <c r="AZ1173" s="1169"/>
      <c r="BA1173" s="1170">
        <f t="shared" si="1699"/>
        <v>0</v>
      </c>
      <c r="BB1173" s="1170"/>
      <c r="BC1173" s="1029"/>
      <c r="BD1173" s="1027"/>
      <c r="BE1173" s="1029"/>
      <c r="BF1173" s="1029"/>
    </row>
    <row r="1174">
      <c r="A1174" s="999">
        <f t="shared" si="1685"/>
        <v>0</v>
      </c>
      <c r="B1174" s="1202" t="s">
        <v>465</v>
      </c>
      <c r="C1174" s="1202"/>
      <c r="D1174" s="1202"/>
      <c r="E1174" s="1164">
        <f t="shared" si="1692"/>
        <v>0</v>
      </c>
      <c r="F1174" s="1164">
        <f t="shared" si="1692"/>
        <v>0</v>
      </c>
      <c r="G1174" s="1165">
        <f t="shared" si="1693"/>
        <v>0</v>
      </c>
      <c r="H1174" s="1166"/>
      <c r="I1174" s="1167">
        <f t="shared" si="1671"/>
        <v>0</v>
      </c>
      <c r="J1174" s="1167">
        <f t="shared" si="1686"/>
        <v>0</v>
      </c>
      <c r="K1174" s="1168">
        <f t="shared" si="1694"/>
        <v>0</v>
      </c>
      <c r="L1174" s="1128"/>
      <c r="M1174" s="1170"/>
      <c r="N1174" s="1175"/>
      <c r="O1174" s="1170"/>
      <c r="P1174" s="1169"/>
      <c r="Q1174" s="1170">
        <f t="shared" si="1695"/>
        <v>0</v>
      </c>
      <c r="R1174" s="1169"/>
      <c r="S1174" s="1170"/>
      <c r="T1174" s="1171"/>
      <c r="U1174" s="1128"/>
      <c r="V1174" s="1170"/>
      <c r="W1174" s="1175"/>
      <c r="X1174" s="1175"/>
      <c r="Y1174" s="1169"/>
      <c r="Z1174" s="1170">
        <f t="shared" si="1696"/>
        <v>0</v>
      </c>
      <c r="AA1174" s="1169"/>
      <c r="AB1174" s="1345"/>
      <c r="AC1174" s="1171"/>
      <c r="AD1174" s="1128"/>
      <c r="AE1174" s="1170"/>
      <c r="AF1174" s="1175"/>
      <c r="AG1174" s="1175"/>
      <c r="AH1174" s="1169"/>
      <c r="AI1174" s="1170">
        <f t="shared" si="1697"/>
        <v>0</v>
      </c>
      <c r="AJ1174" s="1169"/>
      <c r="AK1174" s="1170"/>
      <c r="AL1174" s="1171"/>
      <c r="AM1174" s="1128"/>
      <c r="AN1174" s="1170"/>
      <c r="AO1174" s="1175"/>
      <c r="AP1174" s="1175"/>
      <c r="AQ1174" s="1170"/>
      <c r="AR1174" s="1170">
        <f t="shared" si="1698"/>
        <v>0</v>
      </c>
      <c r="AS1174" s="1170"/>
      <c r="AT1174" s="1170"/>
      <c r="AU1174" s="1174"/>
      <c r="AV1174" s="1241"/>
      <c r="AW1174" s="1170"/>
      <c r="AX1174" s="1175"/>
      <c r="AY1174" s="1175"/>
      <c r="AZ1174" s="1169"/>
      <c r="BA1174" s="1170">
        <f t="shared" si="1699"/>
        <v>0</v>
      </c>
      <c r="BB1174" s="1170"/>
      <c r="BC1174" s="1029"/>
      <c r="BD1174" s="1027"/>
      <c r="BE1174" s="1029"/>
      <c r="BF1174" s="1029"/>
    </row>
    <row r="1175">
      <c r="A1175" s="999">
        <f t="shared" si="1685"/>
        <v>0</v>
      </c>
      <c r="B1175" s="1202" t="s">
        <v>303</v>
      </c>
      <c r="C1175" s="1202"/>
      <c r="D1175" s="1202"/>
      <c r="E1175" s="1164">
        <f t="shared" si="1692"/>
        <v>0</v>
      </c>
      <c r="F1175" s="1164">
        <f t="shared" si="1692"/>
        <v>0</v>
      </c>
      <c r="G1175" s="1165">
        <f t="shared" si="1693"/>
        <v>0</v>
      </c>
      <c r="H1175" s="1166"/>
      <c r="I1175" s="1167">
        <f t="shared" si="1671"/>
        <v>0</v>
      </c>
      <c r="J1175" s="1167">
        <f t="shared" si="1686"/>
        <v>0</v>
      </c>
      <c r="K1175" s="1168">
        <f t="shared" si="1694"/>
        <v>0</v>
      </c>
      <c r="L1175" s="1128"/>
      <c r="M1175" s="1170"/>
      <c r="N1175" s="1175"/>
      <c r="O1175" s="1170"/>
      <c r="P1175" s="1169"/>
      <c r="Q1175" s="1170">
        <f t="shared" si="1695"/>
        <v>0</v>
      </c>
      <c r="R1175" s="1169"/>
      <c r="S1175" s="1170"/>
      <c r="T1175" s="1171"/>
      <c r="U1175" s="1128"/>
      <c r="V1175" s="1170"/>
      <c r="W1175" s="1175"/>
      <c r="X1175" s="1175"/>
      <c r="Y1175" s="1169"/>
      <c r="Z1175" s="1170">
        <f t="shared" si="1696"/>
        <v>0</v>
      </c>
      <c r="AA1175" s="1169"/>
      <c r="AB1175" s="1345"/>
      <c r="AC1175" s="1171"/>
      <c r="AD1175" s="1128"/>
      <c r="AE1175" s="1170"/>
      <c r="AF1175" s="1175"/>
      <c r="AG1175" s="1175"/>
      <c r="AH1175" s="1169"/>
      <c r="AI1175" s="1170">
        <f t="shared" si="1697"/>
        <v>0</v>
      </c>
      <c r="AJ1175" s="1169"/>
      <c r="AK1175" s="1170"/>
      <c r="AL1175" s="1171"/>
      <c r="AM1175" s="1128"/>
      <c r="AN1175" s="1170"/>
      <c r="AO1175" s="1175"/>
      <c r="AP1175" s="1175"/>
      <c r="AQ1175" s="1170"/>
      <c r="AR1175" s="1170">
        <f t="shared" si="1698"/>
        <v>0</v>
      </c>
      <c r="AS1175" s="1170"/>
      <c r="AT1175" s="1170"/>
      <c r="AU1175" s="1174"/>
      <c r="AV1175" s="1241"/>
      <c r="AW1175" s="1170"/>
      <c r="AX1175" s="1175"/>
      <c r="AY1175" s="1175"/>
      <c r="AZ1175" s="1169"/>
      <c r="BA1175" s="1170">
        <f t="shared" si="1699"/>
        <v>0</v>
      </c>
      <c r="BB1175" s="1170"/>
      <c r="BC1175" s="1029"/>
      <c r="BD1175" s="1027"/>
      <c r="BE1175" s="1029"/>
      <c r="BF1175" s="1029"/>
    </row>
    <row r="1176">
      <c r="A1176" s="999">
        <f t="shared" si="1685"/>
        <v>0</v>
      </c>
      <c r="B1176" s="1202" t="s">
        <v>304</v>
      </c>
      <c r="C1176" s="1202"/>
      <c r="D1176" s="1202"/>
      <c r="E1176" s="1164">
        <f t="shared" si="1692"/>
        <v>0</v>
      </c>
      <c r="F1176" s="1164">
        <f t="shared" si="1692"/>
        <v>0</v>
      </c>
      <c r="G1176" s="1165">
        <f t="shared" si="1693"/>
        <v>0</v>
      </c>
      <c r="H1176" s="1166"/>
      <c r="I1176" s="1167">
        <f t="shared" si="1671"/>
        <v>0</v>
      </c>
      <c r="J1176" s="1167">
        <f t="shared" si="1686"/>
        <v>0</v>
      </c>
      <c r="K1176" s="1168">
        <f t="shared" si="1694"/>
        <v>0</v>
      </c>
      <c r="L1176" s="1128"/>
      <c r="M1176" s="1170"/>
      <c r="N1176" s="1175"/>
      <c r="O1176" s="1170"/>
      <c r="P1176" s="1169"/>
      <c r="Q1176" s="1170">
        <f t="shared" si="1695"/>
        <v>0</v>
      </c>
      <c r="R1176" s="1169"/>
      <c r="S1176" s="1170"/>
      <c r="T1176" s="1171"/>
      <c r="U1176" s="1128"/>
      <c r="V1176" s="1170"/>
      <c r="W1176" s="1175"/>
      <c r="X1176" s="1175"/>
      <c r="Y1176" s="1169"/>
      <c r="Z1176" s="1170">
        <f t="shared" si="1696"/>
        <v>0</v>
      </c>
      <c r="AA1176" s="1169"/>
      <c r="AB1176" s="1345"/>
      <c r="AC1176" s="1171"/>
      <c r="AD1176" s="1128"/>
      <c r="AE1176" s="1170"/>
      <c r="AF1176" s="1175"/>
      <c r="AG1176" s="1175"/>
      <c r="AH1176" s="1169"/>
      <c r="AI1176" s="1170">
        <f t="shared" si="1697"/>
        <v>0</v>
      </c>
      <c r="AJ1176" s="1169"/>
      <c r="AK1176" s="1170"/>
      <c r="AL1176" s="1171"/>
      <c r="AM1176" s="1128"/>
      <c r="AN1176" s="1170"/>
      <c r="AO1176" s="1175"/>
      <c r="AP1176" s="1175"/>
      <c r="AQ1176" s="1170"/>
      <c r="AR1176" s="1170">
        <f t="shared" si="1698"/>
        <v>0</v>
      </c>
      <c r="AS1176" s="1170"/>
      <c r="AT1176" s="1170"/>
      <c r="AU1176" s="1174"/>
      <c r="AV1176" s="1241"/>
      <c r="AW1176" s="1170"/>
      <c r="AX1176" s="1175"/>
      <c r="AY1176" s="1175"/>
      <c r="AZ1176" s="1169"/>
      <c r="BA1176" s="1170">
        <f t="shared" si="1699"/>
        <v>0</v>
      </c>
      <c r="BB1176" s="1170"/>
      <c r="BC1176" s="1029"/>
      <c r="BD1176" s="1027"/>
      <c r="BE1176" s="1029"/>
      <c r="BF1176" s="1029"/>
    </row>
    <row r="1177" ht="18.75" customHeight="1">
      <c r="A1177" s="999" t="str">
        <f t="shared" si="1685"/>
        <v xml:space="preserve">Радченко Т.А.</v>
      </c>
      <c r="B1177" s="1202" t="s">
        <v>467</v>
      </c>
      <c r="C1177" s="1202"/>
      <c r="D1177" s="1202"/>
      <c r="E1177" s="1164">
        <f t="shared" si="1692"/>
        <v>0</v>
      </c>
      <c r="F1177" s="1164">
        <f>R1177+AA1177+AJ1177+AS1177+BB1177</f>
        <v>0</v>
      </c>
      <c r="G1177" s="1165">
        <f t="shared" si="1693"/>
        <v>0</v>
      </c>
      <c r="H1177" s="1266" t="e">
        <f>G1177/$G$299</f>
        <v>#DIV/0!</v>
      </c>
      <c r="I1177" s="1167">
        <f t="shared" si="1671"/>
        <v>0</v>
      </c>
      <c r="J1177" s="1167">
        <f t="shared" si="1686"/>
        <v>0</v>
      </c>
      <c r="K1177" s="1168">
        <f t="shared" si="1694"/>
        <v>0</v>
      </c>
      <c r="L1177" s="1128"/>
      <c r="M1177" s="1170"/>
      <c r="N1177" s="1175"/>
      <c r="O1177" s="1170"/>
      <c r="P1177" s="1169"/>
      <c r="Q1177" s="1170">
        <f t="shared" si="1695"/>
        <v>0</v>
      </c>
      <c r="R1177" s="1169"/>
      <c r="S1177" s="1170"/>
      <c r="T1177" s="1171"/>
      <c r="U1177" s="1128"/>
      <c r="V1177" s="1170"/>
      <c r="W1177" s="1175"/>
      <c r="X1177" s="1175"/>
      <c r="Y1177" s="1169"/>
      <c r="Z1177" s="1170">
        <f t="shared" si="1696"/>
        <v>0</v>
      </c>
      <c r="AA1177" s="1169"/>
      <c r="AB1177" s="1345"/>
      <c r="AC1177" s="1171"/>
      <c r="AD1177" s="1128"/>
      <c r="AE1177" s="1170"/>
      <c r="AF1177" s="1175"/>
      <c r="AG1177" s="1175"/>
      <c r="AH1177" s="1169"/>
      <c r="AI1177" s="1170">
        <f t="shared" si="1697"/>
        <v>0</v>
      </c>
      <c r="AJ1177" s="1169"/>
      <c r="AK1177" s="1170"/>
      <c r="AL1177" s="1171"/>
      <c r="AM1177" s="1128"/>
      <c r="AN1177" s="1170"/>
      <c r="AO1177" s="1175"/>
      <c r="AP1177" s="1175"/>
      <c r="AQ1177" s="1170"/>
      <c r="AR1177" s="1170">
        <f t="shared" si="1698"/>
        <v>0</v>
      </c>
      <c r="AS1177" s="1170"/>
      <c r="AT1177" s="1170"/>
      <c r="AU1177" s="1174"/>
      <c r="AV1177" s="1241"/>
      <c r="AW1177" s="1170"/>
      <c r="AX1177" s="1175"/>
      <c r="AY1177" s="1175"/>
      <c r="AZ1177" s="1169"/>
      <c r="BA1177" s="1170">
        <f t="shared" si="1699"/>
        <v>0</v>
      </c>
      <c r="BB1177" s="1170"/>
      <c r="BC1177" s="1029"/>
      <c r="BD1177" s="1027"/>
      <c r="BE1177" s="1029"/>
      <c r="BF1177" s="1029"/>
    </row>
    <row r="1178" s="1249" customFormat="1" ht="22.149999999999999" customHeight="1">
      <c r="A1178" s="999" t="str">
        <f t="shared" si="1685"/>
        <v xml:space="preserve">Старшие м.- АОКБ (кислород)</v>
      </c>
      <c r="B1178" s="1202" t="s">
        <v>469</v>
      </c>
      <c r="C1178" s="1202"/>
      <c r="D1178" s="1202"/>
      <c r="E1178" s="1164">
        <f t="shared" si="1692"/>
        <v>0</v>
      </c>
      <c r="F1178" s="1164">
        <f t="shared" si="1692"/>
        <v>0</v>
      </c>
      <c r="G1178" s="1165">
        <f t="shared" si="1693"/>
        <v>0</v>
      </c>
      <c r="H1178" s="1166"/>
      <c r="I1178" s="1167">
        <f t="shared" si="1671"/>
        <v>0</v>
      </c>
      <c r="J1178" s="1167">
        <f t="shared" si="1686"/>
        <v>0</v>
      </c>
      <c r="K1178" s="1168">
        <f t="shared" si="1694"/>
        <v>0</v>
      </c>
      <c r="L1178" s="1128"/>
      <c r="M1178" s="1170"/>
      <c r="N1178" s="1175"/>
      <c r="O1178" s="1170"/>
      <c r="P1178" s="1169"/>
      <c r="Q1178" s="1170">
        <f t="shared" si="1695"/>
        <v>0</v>
      </c>
      <c r="R1178" s="1169"/>
      <c r="S1178" s="1170"/>
      <c r="T1178" s="1171"/>
      <c r="U1178" s="1128"/>
      <c r="V1178" s="1170"/>
      <c r="W1178" s="1175"/>
      <c r="X1178" s="1175"/>
      <c r="Y1178" s="1169"/>
      <c r="Z1178" s="1170">
        <f t="shared" si="1696"/>
        <v>0</v>
      </c>
      <c r="AA1178" s="1169"/>
      <c r="AB1178" s="1345"/>
      <c r="AC1178" s="1171"/>
      <c r="AD1178" s="1128"/>
      <c r="AE1178" s="1170"/>
      <c r="AF1178" s="1175"/>
      <c r="AG1178" s="1175"/>
      <c r="AH1178" s="1169"/>
      <c r="AI1178" s="1170">
        <f t="shared" si="1697"/>
        <v>0</v>
      </c>
      <c r="AJ1178" s="1169"/>
      <c r="AK1178" s="1170"/>
      <c r="AL1178" s="1171"/>
      <c r="AM1178" s="1128"/>
      <c r="AN1178" s="1170"/>
      <c r="AO1178" s="1175"/>
      <c r="AP1178" s="1175"/>
      <c r="AQ1178" s="1170"/>
      <c r="AR1178" s="1170">
        <f t="shared" si="1698"/>
        <v>0</v>
      </c>
      <c r="AS1178" s="1170"/>
      <c r="AT1178" s="1170"/>
      <c r="AU1178" s="1174"/>
      <c r="AV1178" s="1241"/>
      <c r="AW1178" s="1170"/>
      <c r="AX1178" s="1175"/>
      <c r="AY1178" s="1175"/>
      <c r="AZ1178" s="1169"/>
      <c r="BA1178" s="1170">
        <f t="shared" si="1699"/>
        <v>0</v>
      </c>
      <c r="BB1178" s="1170"/>
      <c r="BC1178" s="1251"/>
      <c r="BD1178" s="1250"/>
      <c r="BE1178" s="1251"/>
      <c r="BF1178" s="1251"/>
      <c r="BG1178" s="1252"/>
      <c r="BH1178" s="1252"/>
      <c r="BI1178" s="1252"/>
      <c r="BJ1178" s="1252"/>
      <c r="BK1178" s="1252"/>
      <c r="BL1178" s="1252"/>
      <c r="BM1178" s="1252"/>
    </row>
    <row r="1179">
      <c r="B1179" s="1205" t="s">
        <v>27</v>
      </c>
      <c r="C1179" s="1205"/>
      <c r="D1179" s="1205"/>
      <c r="E1179" s="1183">
        <f>SUM(E1153:E1178)</f>
        <v>0</v>
      </c>
      <c r="F1179" s="1183">
        <f>SUM(F1153:F1178)</f>
        <v>0</v>
      </c>
      <c r="G1179" s="1184">
        <f>SUM(G1153:G1178)</f>
        <v>0</v>
      </c>
      <c r="H1179" s="1185"/>
      <c r="I1179" s="1167">
        <f t="shared" si="1671"/>
        <v>0</v>
      </c>
      <c r="J1179" s="1167">
        <f t="shared" si="1686"/>
        <v>0</v>
      </c>
      <c r="K1179" s="1187">
        <f>SUM(K1153:K1178)</f>
        <v>0</v>
      </c>
      <c r="L1179" s="1210"/>
      <c r="M1179" s="1304">
        <f t="shared" ref="M1179:R1179" si="1701">SUM(M1153:M1178)</f>
        <v>0</v>
      </c>
      <c r="N1179" s="1304">
        <f t="shared" si="1701"/>
        <v>0</v>
      </c>
      <c r="O1179" s="1304">
        <f t="shared" si="1701"/>
        <v>0</v>
      </c>
      <c r="P1179" s="1213">
        <f t="shared" si="1701"/>
        <v>0</v>
      </c>
      <c r="Q1179" s="1304">
        <f t="shared" si="1701"/>
        <v>0</v>
      </c>
      <c r="R1179" s="1213">
        <f t="shared" si="1701"/>
        <v>0</v>
      </c>
      <c r="S1179" s="1304"/>
      <c r="T1179" s="1214"/>
      <c r="U1179" s="1210">
        <f t="shared" ref="U1179:AA1179" si="1702">SUM(U1153:U1178)</f>
        <v>0</v>
      </c>
      <c r="V1179" s="1211">
        <f t="shared" si="1702"/>
        <v>0</v>
      </c>
      <c r="W1179" s="1211">
        <f t="shared" si="1702"/>
        <v>0</v>
      </c>
      <c r="X1179" s="1211">
        <f t="shared" si="1702"/>
        <v>0</v>
      </c>
      <c r="Y1179" s="1209">
        <f t="shared" si="1702"/>
        <v>0</v>
      </c>
      <c r="Z1179" s="1211">
        <f t="shared" si="1702"/>
        <v>0</v>
      </c>
      <c r="AA1179" s="1209">
        <f t="shared" si="1702"/>
        <v>0</v>
      </c>
      <c r="AB1179" s="1347"/>
      <c r="AC1179" s="1208"/>
      <c r="AD1179" s="1210">
        <f t="shared" ref="AD1179:AJ1179" si="1703">SUM(AD1153:AD1178)</f>
        <v>0</v>
      </c>
      <c r="AE1179" s="1211">
        <f t="shared" si="1703"/>
        <v>0</v>
      </c>
      <c r="AF1179" s="1211">
        <f t="shared" si="1703"/>
        <v>0</v>
      </c>
      <c r="AG1179" s="1211">
        <f t="shared" si="1703"/>
        <v>0</v>
      </c>
      <c r="AH1179" s="1209">
        <f t="shared" si="1703"/>
        <v>0</v>
      </c>
      <c r="AI1179" s="1211">
        <f t="shared" si="1703"/>
        <v>0</v>
      </c>
      <c r="AJ1179" s="1209">
        <f t="shared" si="1703"/>
        <v>0</v>
      </c>
      <c r="AK1179" s="1211"/>
      <c r="AL1179" s="1208"/>
      <c r="AM1179" s="1128"/>
      <c r="AN1179" s="1190">
        <f t="shared" ref="AN1179:AS1179" si="1704">SUM(AN1153:AN1178)</f>
        <v>0</v>
      </c>
      <c r="AO1179" s="1190">
        <f t="shared" si="1704"/>
        <v>0</v>
      </c>
      <c r="AP1179" s="1190">
        <f t="shared" si="1704"/>
        <v>0</v>
      </c>
      <c r="AQ1179" s="1190">
        <f t="shared" si="1704"/>
        <v>0</v>
      </c>
      <c r="AR1179" s="1190">
        <f t="shared" si="1704"/>
        <v>0</v>
      </c>
      <c r="AS1179" s="1190">
        <f t="shared" si="1704"/>
        <v>0</v>
      </c>
      <c r="AT1179" s="1190"/>
      <c r="AU1179" s="1191"/>
      <c r="AV1179" s="1241"/>
      <c r="AW1179" s="1190">
        <f t="shared" ref="AW1179:BB1179" si="1705">SUM(AW1153:AW1178)</f>
        <v>0</v>
      </c>
      <c r="AX1179" s="1190">
        <f t="shared" si="1705"/>
        <v>0</v>
      </c>
      <c r="AY1179" s="1190">
        <f t="shared" si="1705"/>
        <v>0</v>
      </c>
      <c r="AZ1179" s="1096">
        <f t="shared" si="1705"/>
        <v>0</v>
      </c>
      <c r="BA1179" s="1190">
        <f t="shared" si="1705"/>
        <v>0</v>
      </c>
      <c r="BB1179" s="1190">
        <f t="shared" si="1705"/>
        <v>0</v>
      </c>
      <c r="BC1179" s="1029"/>
      <c r="BD1179" s="1027"/>
      <c r="BE1179" s="1029"/>
      <c r="BF1179" s="1029"/>
    </row>
    <row r="1180">
      <c r="A1180" s="1274"/>
      <c r="B1180" s="1205" t="s">
        <v>522</v>
      </c>
      <c r="C1180" s="1348"/>
      <c r="D1180" s="1348"/>
      <c r="E1180" s="1302">
        <f>E1179+E1152+E1138+E1129</f>
        <v>0</v>
      </c>
      <c r="F1180" s="1302">
        <f>F1179+F1152+F1138+F1129</f>
        <v>0</v>
      </c>
      <c r="G1180" s="1316">
        <f>G1179+G1152+G1138+G1129</f>
        <v>0</v>
      </c>
      <c r="H1180" s="1317"/>
      <c r="I1180" s="1336">
        <f t="shared" si="1671"/>
        <v>0</v>
      </c>
      <c r="J1180" s="1336">
        <f t="shared" si="1686"/>
        <v>0</v>
      </c>
      <c r="K1180" s="1318">
        <f>K1179+K1152+K1138+K1129</f>
        <v>0</v>
      </c>
      <c r="L1180" s="1349">
        <f t="shared" ref="L1180:R1180" si="1706">L1179+L1152+L1138+L1129</f>
        <v>0</v>
      </c>
      <c r="M1180" s="1350">
        <f t="shared" si="1706"/>
        <v>0</v>
      </c>
      <c r="N1180" s="1190">
        <f t="shared" si="1706"/>
        <v>0</v>
      </c>
      <c r="O1180" s="1190">
        <f t="shared" si="1706"/>
        <v>0</v>
      </c>
      <c r="P1180" s="1096">
        <f t="shared" si="1706"/>
        <v>0</v>
      </c>
      <c r="Q1180" s="1190">
        <f t="shared" si="1706"/>
        <v>0</v>
      </c>
      <c r="R1180" s="1096">
        <f t="shared" si="1706"/>
        <v>0</v>
      </c>
      <c r="S1180" s="1190"/>
      <c r="T1180" s="1189"/>
      <c r="U1180" s="1190">
        <f t="shared" ref="U1180:AA1180" si="1707">U1179+U1152+U1138+U1129</f>
        <v>0</v>
      </c>
      <c r="V1180" s="1190">
        <f t="shared" si="1707"/>
        <v>0</v>
      </c>
      <c r="W1180" s="1190">
        <f t="shared" si="1707"/>
        <v>0</v>
      </c>
      <c r="X1180" s="1190">
        <f t="shared" si="1707"/>
        <v>0</v>
      </c>
      <c r="Y1180" s="1096">
        <f t="shared" si="1707"/>
        <v>0</v>
      </c>
      <c r="Z1180" s="1190">
        <f t="shared" si="1707"/>
        <v>0</v>
      </c>
      <c r="AA1180" s="1096">
        <f t="shared" si="1707"/>
        <v>0</v>
      </c>
      <c r="AB1180" s="1346"/>
      <c r="AC1180" s="1189"/>
      <c r="AD1180" s="1197">
        <f t="shared" ref="AD1180:AJ1180" si="1708">AD1179+AD1152+AD1138+AD1129</f>
        <v>0</v>
      </c>
      <c r="AE1180" s="1190">
        <f t="shared" si="1708"/>
        <v>0</v>
      </c>
      <c r="AF1180" s="1190">
        <f t="shared" si="1708"/>
        <v>0</v>
      </c>
      <c r="AG1180" s="1190">
        <f t="shared" si="1708"/>
        <v>0</v>
      </c>
      <c r="AH1180" s="1096">
        <f t="shared" si="1708"/>
        <v>0</v>
      </c>
      <c r="AI1180" s="1190">
        <f t="shared" si="1708"/>
        <v>0</v>
      </c>
      <c r="AJ1180" s="1096">
        <f t="shared" si="1708"/>
        <v>0</v>
      </c>
      <c r="AK1180" s="1190"/>
      <c r="AL1180" s="1189"/>
      <c r="AM1180" s="1197">
        <f t="shared" ref="AM1180:AS1180" si="1709">AM1179+AM1152+AM1138+AM1129</f>
        <v>0</v>
      </c>
      <c r="AN1180" s="1190">
        <f t="shared" si="1709"/>
        <v>0</v>
      </c>
      <c r="AO1180" s="1190">
        <f t="shared" si="1709"/>
        <v>0</v>
      </c>
      <c r="AP1180" s="1190">
        <f t="shared" si="1709"/>
        <v>0</v>
      </c>
      <c r="AQ1180" s="1190">
        <f t="shared" si="1709"/>
        <v>0</v>
      </c>
      <c r="AR1180" s="1190">
        <f t="shared" si="1709"/>
        <v>0</v>
      </c>
      <c r="AS1180" s="1190">
        <f t="shared" si="1709"/>
        <v>0</v>
      </c>
      <c r="AT1180" s="1190"/>
      <c r="AU1180" s="1191"/>
      <c r="AV1180" s="1190">
        <f t="shared" ref="AV1180:BB1180" si="1710">AV1179+AV1152+AV1138+AV1129</f>
        <v>0</v>
      </c>
      <c r="AW1180" s="1190">
        <f t="shared" si="1710"/>
        <v>0</v>
      </c>
      <c r="AX1180" s="1190">
        <f t="shared" si="1710"/>
        <v>0</v>
      </c>
      <c r="AY1180" s="1190">
        <f t="shared" si="1710"/>
        <v>0</v>
      </c>
      <c r="AZ1180" s="1096">
        <f t="shared" si="1710"/>
        <v>0</v>
      </c>
      <c r="BA1180" s="1190">
        <f t="shared" si="1710"/>
        <v>0</v>
      </c>
      <c r="BB1180" s="1190">
        <f t="shared" si="1710"/>
        <v>0</v>
      </c>
      <c r="BC1180" s="1029"/>
      <c r="BD1180" s="1027"/>
      <c r="BE1180" s="1029"/>
      <c r="BF1180" s="1029"/>
    </row>
    <row r="1181">
      <c r="B1181" s="1133"/>
      <c r="C1181" s="1133"/>
      <c r="D1181" s="1133"/>
      <c r="E1181" s="1225"/>
      <c r="F1181" s="1225"/>
      <c r="G1181" s="1351"/>
      <c r="H1181" s="1352"/>
      <c r="I1181" s="1353"/>
      <c r="J1181" s="1353"/>
      <c r="K1181" s="1323">
        <f t="shared" ref="K1181:K1182" si="1711">G1181-AB1181</f>
        <v>0</v>
      </c>
      <c r="L1181" s="1324"/>
      <c r="M1181" s="1354"/>
      <c r="N1181" s="1024"/>
      <c r="O1181" s="1023"/>
      <c r="P1181" s="1023"/>
      <c r="Q1181" s="1024"/>
      <c r="R1181" s="1024"/>
      <c r="S1181" s="1024"/>
      <c r="T1181" s="1025"/>
      <c r="U1181" s="1022"/>
      <c r="V1181" s="1023"/>
      <c r="W1181" s="1024"/>
      <c r="X1181" s="1024"/>
      <c r="Y1181" s="1023"/>
      <c r="Z1181" s="1024"/>
      <c r="AA1181" s="1024"/>
      <c r="AB1181" s="1343"/>
      <c r="AC1181" s="1025"/>
      <c r="AD1181" s="1022"/>
      <c r="AE1181" s="1023"/>
      <c r="AF1181" s="1024"/>
      <c r="AG1181" s="1024"/>
      <c r="AH1181" s="1023"/>
      <c r="AI1181" s="1024"/>
      <c r="AJ1181" s="1024"/>
      <c r="AK1181" s="1024"/>
      <c r="AL1181" s="1025"/>
      <c r="AM1181" s="1022"/>
      <c r="AN1181" s="1023"/>
      <c r="AO1181" s="1024"/>
      <c r="AP1181" s="1024"/>
      <c r="AQ1181" s="1023"/>
      <c r="AR1181" s="1024"/>
      <c r="AS1181" s="1024"/>
      <c r="AT1181" s="1024"/>
      <c r="AU1181" s="1027"/>
      <c r="AV1181" s="1028"/>
      <c r="AW1181" s="1230"/>
      <c r="AX1181" s="1229"/>
      <c r="AY1181" s="1229"/>
      <c r="AZ1181" s="1230"/>
      <c r="BA1181" s="1229"/>
      <c r="BB1181" s="1229"/>
      <c r="BC1181" s="1029"/>
      <c r="BD1181" s="1027"/>
      <c r="BE1181" s="1029"/>
      <c r="BF1181" s="1029"/>
    </row>
    <row r="1182">
      <c r="B1182" s="1029"/>
      <c r="C1182" s="1029"/>
      <c r="D1182" s="1029"/>
      <c r="E1182" s="1017"/>
      <c r="F1182" s="1017"/>
      <c r="G1182" s="1326"/>
      <c r="H1182" s="1327"/>
      <c r="I1182" s="1328"/>
      <c r="J1182" s="1328"/>
      <c r="K1182" s="1329">
        <f t="shared" si="1711"/>
        <v>0</v>
      </c>
      <c r="L1182" s="1330"/>
      <c r="M1182" s="1331"/>
      <c r="N1182" s="1024"/>
      <c r="O1182" s="1023"/>
      <c r="P1182" s="1023"/>
      <c r="Q1182" s="1024"/>
      <c r="R1182" s="1024"/>
      <c r="S1182" s="1024"/>
      <c r="T1182" s="1025"/>
      <c r="U1182" s="1022"/>
      <c r="V1182" s="1023"/>
      <c r="W1182" s="1024"/>
      <c r="X1182" s="1024"/>
      <c r="Y1182" s="1023"/>
      <c r="Z1182" s="1024"/>
      <c r="AA1182" s="1024"/>
      <c r="AB1182" s="1343"/>
      <c r="AC1182" s="1025"/>
      <c r="AD1182" s="1022"/>
      <c r="AE1182" s="1023"/>
      <c r="AF1182" s="1024"/>
      <c r="AG1182" s="1024"/>
      <c r="AH1182" s="1023"/>
      <c r="AI1182" s="1024"/>
      <c r="AJ1182" s="1024"/>
      <c r="AK1182" s="1024"/>
      <c r="AL1182" s="1025"/>
      <c r="AM1182" s="1022"/>
      <c r="AN1182" s="1023"/>
      <c r="AO1182" s="1024"/>
      <c r="AP1182" s="1024"/>
      <c r="AQ1182" s="1023"/>
      <c r="AR1182" s="1024"/>
      <c r="AS1182" s="1024"/>
      <c r="AT1182" s="1024"/>
      <c r="AU1182" s="1027"/>
      <c r="AV1182" s="1028"/>
      <c r="AW1182" s="1023"/>
      <c r="AX1182" s="1024"/>
      <c r="AY1182" s="1024"/>
      <c r="AZ1182" s="1023"/>
      <c r="BA1182" s="1024"/>
      <c r="BB1182" s="1024"/>
      <c r="BC1182" s="1029"/>
      <c r="BD1182" s="1027"/>
      <c r="BE1182" s="1029"/>
      <c r="BF1182" s="1029"/>
    </row>
    <row r="1183" s="1180" customFormat="1" ht="50.25" customHeight="1">
      <c r="A1183" s="999"/>
      <c r="B1183" s="1111" t="s">
        <v>523</v>
      </c>
      <c r="C1183" s="1355"/>
      <c r="D1183" s="1355"/>
      <c r="E1183" s="1113" t="s">
        <v>347</v>
      </c>
      <c r="F1183" s="1114"/>
      <c r="G1183" s="1114"/>
      <c r="H1183" s="1356"/>
      <c r="I1183" s="1357" t="s">
        <v>335</v>
      </c>
      <c r="J1183" s="1358"/>
      <c r="K1183" s="1359"/>
      <c r="L1183" s="1360"/>
      <c r="M1183" s="1040" t="s">
        <v>127</v>
      </c>
      <c r="N1183" s="1041"/>
      <c r="O1183" s="1041"/>
      <c r="P1183" s="1041"/>
      <c r="Q1183" s="1041"/>
      <c r="R1183" s="1041"/>
      <c r="S1183" s="1042"/>
      <c r="T1183" s="1042"/>
      <c r="U1183" s="1039"/>
      <c r="V1183" s="1043" t="s">
        <v>325</v>
      </c>
      <c r="W1183" s="1044"/>
      <c r="X1183" s="1044"/>
      <c r="Y1183" s="1044"/>
      <c r="Z1183" s="1044"/>
      <c r="AA1183" s="1045"/>
      <c r="AB1183" s="1046"/>
      <c r="AC1183" s="1047"/>
      <c r="AD1183" s="1039"/>
      <c r="AE1183" s="1043" t="s">
        <v>311</v>
      </c>
      <c r="AF1183" s="1044"/>
      <c r="AG1183" s="1044"/>
      <c r="AH1183" s="1044"/>
      <c r="AI1183" s="1044"/>
      <c r="AJ1183" s="1045"/>
      <c r="AK1183" s="1048"/>
      <c r="AL1183" s="1047"/>
      <c r="AM1183" s="1039"/>
      <c r="AN1183" s="1043" t="s">
        <v>327</v>
      </c>
      <c r="AO1183" s="1044"/>
      <c r="AP1183" s="1044"/>
      <c r="AQ1183" s="1044"/>
      <c r="AR1183" s="1044"/>
      <c r="AS1183" s="1045"/>
      <c r="AT1183" s="1048"/>
      <c r="AU1183" s="1049"/>
      <c r="AV1183" s="1050"/>
      <c r="AW1183" s="1043" t="s">
        <v>328</v>
      </c>
      <c r="AX1183" s="1044"/>
      <c r="AY1183" s="1044"/>
      <c r="AZ1183" s="1044"/>
      <c r="BA1183" s="1044"/>
      <c r="BB1183" s="1045"/>
      <c r="BC1183" s="1051"/>
      <c r="BD1183" s="1052"/>
      <c r="BE1183" s="1051"/>
      <c r="BF1183" s="1051"/>
      <c r="BG1183" s="1106"/>
      <c r="BH1183" s="1106"/>
      <c r="BI1183" s="1106"/>
      <c r="BJ1183" s="1106"/>
      <c r="BK1183" s="1106"/>
      <c r="BL1183" s="1106"/>
      <c r="BM1183" s="1106"/>
    </row>
    <row r="1184" ht="18.75" customHeight="1">
      <c r="A1184" s="1110"/>
      <c r="B1184" s="1134" t="s">
        <v>350</v>
      </c>
      <c r="C1184" s="1134"/>
      <c r="D1184" s="1134"/>
      <c r="E1184" s="1135" t="s">
        <v>332</v>
      </c>
      <c r="F1184" s="1135" t="s">
        <v>333</v>
      </c>
      <c r="G1184" s="1136" t="s">
        <v>334</v>
      </c>
      <c r="H1184" s="1137" t="s">
        <v>341</v>
      </c>
      <c r="I1184" s="1361"/>
      <c r="J1184" s="1361"/>
      <c r="K1184" s="1362"/>
      <c r="L1184" s="1119"/>
      <c r="M1184" s="1140" t="s">
        <v>336</v>
      </c>
      <c r="N1184" s="1140" t="s">
        <v>337</v>
      </c>
      <c r="O1184" s="1140" t="s">
        <v>338</v>
      </c>
      <c r="P1184" s="1140"/>
      <c r="Q1184" s="1140" t="s">
        <v>351</v>
      </c>
      <c r="R1184" s="1140"/>
      <c r="S1184" s="1363" t="s">
        <v>340</v>
      </c>
      <c r="T1184" s="1142"/>
      <c r="U1184" s="1128"/>
      <c r="V1184" s="1140" t="s">
        <v>336</v>
      </c>
      <c r="W1184" s="1140" t="s">
        <v>337</v>
      </c>
      <c r="X1184" s="1140" t="s">
        <v>338</v>
      </c>
      <c r="Y1184" s="1140"/>
      <c r="Z1184" s="1140" t="s">
        <v>524</v>
      </c>
      <c r="AA1184" s="1140">
        <f>R1184</f>
        <v>0</v>
      </c>
      <c r="AB1184" s="1143" t="str">
        <f>S1184</f>
        <v xml:space="preserve">Итого (спирт+наркотики+растворы+перевязка)</v>
      </c>
      <c r="AC1184" s="1142"/>
      <c r="AD1184" s="1128"/>
      <c r="AE1184" s="1140" t="s">
        <v>336</v>
      </c>
      <c r="AF1184" s="1140" t="s">
        <v>337</v>
      </c>
      <c r="AG1184" s="1140" t="s">
        <v>338</v>
      </c>
      <c r="AH1184" s="1140"/>
      <c r="AI1184" s="1140" t="s">
        <v>524</v>
      </c>
      <c r="AJ1184" s="1140">
        <f>R1184</f>
        <v>0</v>
      </c>
      <c r="AK1184" s="1363" t="s">
        <v>340</v>
      </c>
      <c r="AL1184" s="1142"/>
      <c r="AM1184" s="1128"/>
      <c r="AN1184" s="1364" t="s">
        <v>336</v>
      </c>
      <c r="AO1184" s="1364" t="s">
        <v>337</v>
      </c>
      <c r="AP1184" s="1364" t="s">
        <v>338</v>
      </c>
      <c r="AQ1184" s="1364"/>
      <c r="AR1184" s="1364" t="s">
        <v>524</v>
      </c>
      <c r="AS1184" s="1364"/>
      <c r="AT1184" s="1145"/>
      <c r="AU1184" s="1146"/>
      <c r="AV1184" s="1131"/>
      <c r="AW1184" s="1364" t="s">
        <v>336</v>
      </c>
      <c r="AX1184" s="1364" t="s">
        <v>337</v>
      </c>
      <c r="AY1184" s="1364" t="s">
        <v>338</v>
      </c>
      <c r="AZ1184" s="1364"/>
      <c r="BA1184" s="1364" t="s">
        <v>524</v>
      </c>
      <c r="BB1184" s="1364"/>
      <c r="BC1184" s="1147"/>
      <c r="BD1184" s="1132"/>
      <c r="BE1184" s="1133"/>
      <c r="BF1184" s="1133"/>
    </row>
    <row r="1185" ht="39.75" customHeight="1">
      <c r="A1185" s="1110"/>
      <c r="B1185" s="1149"/>
      <c r="C1185" s="1149"/>
      <c r="D1185" s="1149"/>
      <c r="E1185" s="1150"/>
      <c r="F1185" s="1150"/>
      <c r="G1185" s="1151"/>
      <c r="H1185" s="1365"/>
      <c r="I1185" s="1084" t="s">
        <v>342</v>
      </c>
      <c r="J1185" s="1085" t="s">
        <v>339</v>
      </c>
      <c r="K1185" s="1366" t="s">
        <v>335</v>
      </c>
      <c r="L1185" s="1119"/>
      <c r="M1185" s="1123"/>
      <c r="N1185" s="1123"/>
      <c r="O1185" s="1123"/>
      <c r="P1185" s="1123"/>
      <c r="Q1185" s="1123"/>
      <c r="R1185" s="1123"/>
      <c r="S1185" s="1367"/>
      <c r="T1185" s="1124"/>
      <c r="U1185" s="1128"/>
      <c r="V1185" s="1123"/>
      <c r="W1185" s="1123"/>
      <c r="X1185" s="1123"/>
      <c r="Y1185" s="1123"/>
      <c r="Z1185" s="1123"/>
      <c r="AA1185" s="1123"/>
      <c r="AB1185" s="1368"/>
      <c r="AC1185" s="1124"/>
      <c r="AD1185" s="1128"/>
      <c r="AE1185" s="1123"/>
      <c r="AF1185" s="1123"/>
      <c r="AG1185" s="1123"/>
      <c r="AH1185" s="1123"/>
      <c r="AI1185" s="1123"/>
      <c r="AJ1185" s="1123"/>
      <c r="AK1185" s="1367"/>
      <c r="AL1185" s="1124"/>
      <c r="AM1185" s="1128"/>
      <c r="AN1185" s="1369"/>
      <c r="AO1185" s="1369"/>
      <c r="AP1185" s="1369"/>
      <c r="AQ1185" s="1369"/>
      <c r="AR1185" s="1369"/>
      <c r="AS1185" s="1369"/>
      <c r="AT1185" s="1159"/>
      <c r="AU1185" s="1160"/>
      <c r="AV1185" s="1131"/>
      <c r="AW1185" s="1369"/>
      <c r="AX1185" s="1369"/>
      <c r="AY1185" s="1369"/>
      <c r="AZ1185" s="1369"/>
      <c r="BA1185" s="1369"/>
      <c r="BB1185" s="1369"/>
      <c r="BC1185" s="1161"/>
      <c r="BD1185" s="1132"/>
      <c r="BE1185" s="1133"/>
      <c r="BF1185" s="1133"/>
    </row>
    <row r="1186">
      <c r="A1186" s="999" t="str">
        <f t="shared" ref="A1186:A1249" si="1712">A1088</f>
        <v xml:space="preserve">Павельева Л.Г.</v>
      </c>
      <c r="B1186" s="1162" t="s">
        <v>178</v>
      </c>
      <c r="C1186" s="1162"/>
      <c r="D1186" s="1163" t="s">
        <v>488</v>
      </c>
      <c r="E1186" s="1164">
        <f>Q1186+Z1186+AI1186+AR1186+BA1186</f>
        <v>2440902.2499999995</v>
      </c>
      <c r="F1186" s="1226">
        <f t="shared" ref="E1186:F1193" si="1713">R1186+AA1186+AJ1186+AS1186+BB1186</f>
        <v>57435.189999999995</v>
      </c>
      <c r="G1186" s="1370">
        <f t="shared" ref="G1186:G1193" si="1714">E1186+F1186</f>
        <v>2498337.4399999995</v>
      </c>
      <c r="H1186" s="1166">
        <f t="shared" ref="H1186:H1249" si="1715">G1186/$G$1278</f>
        <v>0.027651424769244742</v>
      </c>
      <c r="I1186" s="1167">
        <f t="shared" si="1671"/>
        <v>2440626.8499999996</v>
      </c>
      <c r="J1186" s="1167">
        <f t="shared" si="1686"/>
        <v>38786.979999999996</v>
      </c>
      <c r="K1186" s="1371">
        <f t="shared" ref="K1186:K1193" si="1716">I1186+J1186</f>
        <v>2479413.8299999996</v>
      </c>
      <c r="L1186" s="1372"/>
      <c r="M1186" s="1127">
        <f t="shared" ref="M1186:R1202" si="1717">M1088+M991+M893+M795+M694+M596+M499+M402+M304+M207+M109+M11</f>
        <v>0</v>
      </c>
      <c r="N1186" s="1127">
        <f t="shared" si="1717"/>
        <v>0</v>
      </c>
      <c r="O1186" s="1127">
        <f t="shared" si="1717"/>
        <v>0</v>
      </c>
      <c r="P1186" s="1127">
        <f t="shared" si="1717"/>
        <v>2305544.8499999996</v>
      </c>
      <c r="Q1186" s="1127">
        <f t="shared" si="1717"/>
        <v>2305544.8499999996</v>
      </c>
      <c r="R1186" s="1127">
        <f t="shared" si="1717"/>
        <v>38786.979999999996</v>
      </c>
      <c r="S1186" s="1373">
        <f t="shared" ref="S1186:S1249" si="1718">Q1186+R1186</f>
        <v>2344331.8299999996</v>
      </c>
      <c r="T1186" s="1374">
        <f t="shared" ref="T1186:T1249" si="1719">S1186/$S$1278</f>
        <v>0.029363835751272563</v>
      </c>
      <c r="U1186" s="1173">
        <f t="shared" ref="U1186:AA1202" si="1720">U1088+U991+U893+U795+U694+U596+U499+U402+U304+U207+U109+U11</f>
        <v>0</v>
      </c>
      <c r="V1186" s="1127">
        <f t="shared" si="1720"/>
        <v>0</v>
      </c>
      <c r="W1186" s="1127">
        <f t="shared" si="1720"/>
        <v>0</v>
      </c>
      <c r="X1186" s="1127">
        <f t="shared" si="1720"/>
        <v>0</v>
      </c>
      <c r="Y1186" s="1127">
        <f t="shared" si="1720"/>
        <v>275.39999999999998</v>
      </c>
      <c r="Z1186" s="1127">
        <f t="shared" si="1720"/>
        <v>275.39999999999998</v>
      </c>
      <c r="AA1186" s="1127">
        <f t="shared" si="1720"/>
        <v>18648.209999999999</v>
      </c>
      <c r="AB1186" s="1375">
        <f t="shared" ref="AB1186:AB1249" si="1721">Z1186+AA1186</f>
        <v>18923.610000000001</v>
      </c>
      <c r="AC1186" s="1374">
        <f t="shared" ref="AC1186:AC1249" si="1722">AB1186/$AB$1278</f>
        <v>0.0024466781920548198</v>
      </c>
      <c r="AD1186" s="1376">
        <f t="shared" ref="AD1186:AJ1191" si="1723">AD1088+AD991+AD893+AD795+AD694+AD596+AD499+AD402+AD304+AD207+AD109+AD11</f>
        <v>0</v>
      </c>
      <c r="AE1186" s="1127">
        <f t="shared" si="1723"/>
        <v>0</v>
      </c>
      <c r="AF1186" s="1127">
        <f t="shared" si="1723"/>
        <v>0</v>
      </c>
      <c r="AG1186" s="1127">
        <f t="shared" si="1723"/>
        <v>0</v>
      </c>
      <c r="AH1186" s="1127">
        <f t="shared" si="1723"/>
        <v>135082</v>
      </c>
      <c r="AI1186" s="1127">
        <f t="shared" si="1723"/>
        <v>135082</v>
      </c>
      <c r="AJ1186" s="1127">
        <f t="shared" si="1723"/>
        <v>0</v>
      </c>
      <c r="AK1186" s="1127">
        <f t="shared" ref="AK1186:AK1249" si="1724">AI1186+AJ1186</f>
        <v>135082</v>
      </c>
      <c r="AL1186" s="1374">
        <f t="shared" ref="AL1186:AL1249" si="1725">AK1186/$AK$1278</f>
        <v>0.050427906444000067</v>
      </c>
      <c r="AM1186" s="1376">
        <f t="shared" ref="AM1186:AS1191" si="1726">AM1088+AM991+AM893+AM795+AM694+AM596+AM499+AM402+AM304+AM207+AM109+AM11</f>
        <v>0</v>
      </c>
      <c r="AN1186" s="1173">
        <f t="shared" si="1726"/>
        <v>0</v>
      </c>
      <c r="AO1186" s="1173">
        <f t="shared" si="1726"/>
        <v>0</v>
      </c>
      <c r="AP1186" s="1173">
        <f t="shared" si="1726"/>
        <v>0</v>
      </c>
      <c r="AQ1186" s="1173">
        <f t="shared" si="1726"/>
        <v>0</v>
      </c>
      <c r="AR1186" s="1173">
        <f t="shared" si="1726"/>
        <v>0</v>
      </c>
      <c r="AS1186" s="1173">
        <f t="shared" si="1726"/>
        <v>0</v>
      </c>
      <c r="AT1186" s="1173">
        <f t="shared" ref="AT1186:AT1249" si="1727">AR1186+AS1186</f>
        <v>0</v>
      </c>
      <c r="AU1186" s="1377" t="e">
        <f t="shared" ref="AU1186:AU1249" si="1728">AT1186/$AT$1278</f>
        <v>#DIV/0!</v>
      </c>
      <c r="AV1186" s="1173">
        <f t="shared" ref="AV1186:BB1191" si="1729">AV1088+AV991+AV893+AV795+AV694+AV596+AV499+AV402+AV304+AV207+AV109+AV11</f>
        <v>0</v>
      </c>
      <c r="AW1186" s="1127">
        <f t="shared" si="1729"/>
        <v>0</v>
      </c>
      <c r="AX1186" s="1127">
        <f t="shared" si="1729"/>
        <v>0</v>
      </c>
      <c r="AY1186" s="1127">
        <f t="shared" si="1729"/>
        <v>0</v>
      </c>
      <c r="AZ1186" s="1127">
        <f t="shared" si="1729"/>
        <v>0</v>
      </c>
      <c r="BA1186" s="1127">
        <f t="shared" si="1729"/>
        <v>0</v>
      </c>
      <c r="BB1186" s="1127">
        <f t="shared" si="1729"/>
        <v>0</v>
      </c>
      <c r="BC1186" s="1177">
        <f t="shared" ref="BC1186:BC1249" si="1730">BA1186+BB1186</f>
        <v>0</v>
      </c>
      <c r="BD1186" s="1378">
        <f t="shared" ref="BD1186:BD1249" si="1731">BC1186/$BC$1278</f>
        <v>0</v>
      </c>
      <c r="BE1186" s="1029"/>
      <c r="BF1186" s="1029"/>
    </row>
    <row r="1187">
      <c r="A1187" s="999" t="str">
        <f t="shared" si="1712"/>
        <v xml:space="preserve">Губаренко О.Н.</v>
      </c>
      <c r="B1187" s="1176" t="s">
        <v>354</v>
      </c>
      <c r="C1187" s="1176"/>
      <c r="D1187" s="1163" t="s">
        <v>488</v>
      </c>
      <c r="E1187" s="1164">
        <f t="shared" si="1713"/>
        <v>507404.80000000005</v>
      </c>
      <c r="F1187" s="1226">
        <f t="shared" si="1713"/>
        <v>66881.399999999994</v>
      </c>
      <c r="G1187" s="1370">
        <f t="shared" si="1714"/>
        <v>574286.20000000007</v>
      </c>
      <c r="H1187" s="1166">
        <f t="shared" si="1715"/>
        <v>0.0063561596608484741</v>
      </c>
      <c r="I1187" s="1167">
        <f t="shared" si="1671"/>
        <v>507404.80000000005</v>
      </c>
      <c r="J1187" s="1167">
        <f t="shared" si="1686"/>
        <v>48233.189999999995</v>
      </c>
      <c r="K1187" s="1371">
        <f t="shared" si="1716"/>
        <v>555637.98999999999</v>
      </c>
      <c r="L1187" s="1372"/>
      <c r="M1187" s="1127">
        <f t="shared" si="1717"/>
        <v>0</v>
      </c>
      <c r="N1187" s="1127">
        <f t="shared" si="1717"/>
        <v>0</v>
      </c>
      <c r="O1187" s="1127">
        <f t="shared" si="1717"/>
        <v>0</v>
      </c>
      <c r="P1187" s="1127">
        <f t="shared" ref="P1187:P1191" si="1732">P1089+P992+P894+P796+P695+P597+P500+P403+R305+P208+P110+P12</f>
        <v>507404.80000000005</v>
      </c>
      <c r="Q1187" s="1127">
        <f t="shared" si="1717"/>
        <v>507404.80000000005</v>
      </c>
      <c r="R1187" s="1127">
        <f>R1089+R992+R894+R796+R695+R597+R500+R403+P305+R208+R110+R12</f>
        <v>48233.190000000002</v>
      </c>
      <c r="S1187" s="1373">
        <f t="shared" si="1718"/>
        <v>555637.98999999999</v>
      </c>
      <c r="T1187" s="1374">
        <f t="shared" si="1719"/>
        <v>0.0069596216997690257</v>
      </c>
      <c r="U1187" s="1173">
        <f t="shared" si="1720"/>
        <v>0</v>
      </c>
      <c r="V1187" s="1127">
        <f t="shared" si="1720"/>
        <v>0</v>
      </c>
      <c r="W1187" s="1127">
        <f t="shared" si="1720"/>
        <v>0</v>
      </c>
      <c r="X1187" s="1127">
        <f t="shared" si="1720"/>
        <v>0</v>
      </c>
      <c r="Y1187" s="1127">
        <f t="shared" si="1720"/>
        <v>0</v>
      </c>
      <c r="Z1187" s="1127">
        <f t="shared" si="1720"/>
        <v>0</v>
      </c>
      <c r="AA1187" s="1127">
        <f t="shared" si="1720"/>
        <v>18648.209999999999</v>
      </c>
      <c r="AB1187" s="1375">
        <f t="shared" si="1721"/>
        <v>18648.209999999999</v>
      </c>
      <c r="AC1187" s="1374">
        <f t="shared" si="1722"/>
        <v>0.0024110710761772519</v>
      </c>
      <c r="AD1187" s="1376">
        <f t="shared" si="1723"/>
        <v>0</v>
      </c>
      <c r="AE1187" s="1127">
        <f t="shared" si="1723"/>
        <v>0</v>
      </c>
      <c r="AF1187" s="1127">
        <f t="shared" si="1723"/>
        <v>0</v>
      </c>
      <c r="AG1187" s="1127">
        <f t="shared" si="1723"/>
        <v>0</v>
      </c>
      <c r="AH1187" s="1127">
        <f t="shared" si="1723"/>
        <v>0</v>
      </c>
      <c r="AI1187" s="1127">
        <f t="shared" si="1723"/>
        <v>0</v>
      </c>
      <c r="AJ1187" s="1127">
        <f t="shared" si="1723"/>
        <v>0</v>
      </c>
      <c r="AK1187" s="1127">
        <f t="shared" si="1724"/>
        <v>0</v>
      </c>
      <c r="AL1187" s="1374">
        <f t="shared" si="1725"/>
        <v>0</v>
      </c>
      <c r="AM1187" s="1376">
        <f t="shared" si="1726"/>
        <v>0</v>
      </c>
      <c r="AN1187" s="1173">
        <f t="shared" si="1726"/>
        <v>0</v>
      </c>
      <c r="AO1187" s="1173">
        <f t="shared" si="1726"/>
        <v>0</v>
      </c>
      <c r="AP1187" s="1173">
        <f t="shared" si="1726"/>
        <v>0</v>
      </c>
      <c r="AQ1187" s="1173">
        <f t="shared" si="1726"/>
        <v>0</v>
      </c>
      <c r="AR1187" s="1173">
        <f t="shared" si="1726"/>
        <v>0</v>
      </c>
      <c r="AS1187" s="1173">
        <f t="shared" si="1726"/>
        <v>0</v>
      </c>
      <c r="AT1187" s="1173">
        <f t="shared" si="1727"/>
        <v>0</v>
      </c>
      <c r="AU1187" s="1377" t="e">
        <f t="shared" si="1728"/>
        <v>#DIV/0!</v>
      </c>
      <c r="AV1187" s="1173">
        <f t="shared" si="1729"/>
        <v>0</v>
      </c>
      <c r="AW1187" s="1127">
        <f t="shared" si="1729"/>
        <v>0</v>
      </c>
      <c r="AX1187" s="1127">
        <f t="shared" si="1729"/>
        <v>0</v>
      </c>
      <c r="AY1187" s="1127">
        <f t="shared" si="1729"/>
        <v>0</v>
      </c>
      <c r="AZ1187" s="1127">
        <f t="shared" si="1729"/>
        <v>0</v>
      </c>
      <c r="BA1187" s="1127">
        <f t="shared" si="1729"/>
        <v>0</v>
      </c>
      <c r="BB1187" s="1127">
        <f t="shared" si="1729"/>
        <v>0</v>
      </c>
      <c r="BC1187" s="1177">
        <f t="shared" si="1730"/>
        <v>0</v>
      </c>
      <c r="BD1187" s="1378">
        <f t="shared" si="1731"/>
        <v>0</v>
      </c>
      <c r="BE1187" s="1029"/>
      <c r="BF1187" s="1029"/>
    </row>
    <row r="1188">
      <c r="A1188" s="999" t="str">
        <f t="shared" si="1712"/>
        <v xml:space="preserve">Петрюк Е.В.</v>
      </c>
      <c r="B1188" s="1176" t="s">
        <v>181</v>
      </c>
      <c r="C1188" s="1176"/>
      <c r="D1188" s="1163" t="s">
        <v>488</v>
      </c>
      <c r="E1188" s="1164">
        <f t="shared" si="1713"/>
        <v>250674.34</v>
      </c>
      <c r="F1188" s="1226">
        <f t="shared" si="1713"/>
        <v>53377.68</v>
      </c>
      <c r="G1188" s="1370">
        <f t="shared" si="1714"/>
        <v>304052.02000000002</v>
      </c>
      <c r="H1188" s="1166">
        <f t="shared" si="1715"/>
        <v>0.0033652265792273842</v>
      </c>
      <c r="I1188" s="1167">
        <f t="shared" si="1671"/>
        <v>246730.84</v>
      </c>
      <c r="J1188" s="1167">
        <f t="shared" si="1686"/>
        <v>34729.470000000001</v>
      </c>
      <c r="K1188" s="1371">
        <f t="shared" si="1716"/>
        <v>281460.31</v>
      </c>
      <c r="L1188" s="1372"/>
      <c r="M1188" s="1127">
        <f t="shared" si="1717"/>
        <v>0</v>
      </c>
      <c r="N1188" s="1127">
        <f t="shared" si="1717"/>
        <v>0</v>
      </c>
      <c r="O1188" s="1127">
        <f t="shared" si="1717"/>
        <v>0</v>
      </c>
      <c r="P1188" s="1127">
        <f t="shared" si="1732"/>
        <v>246730.84</v>
      </c>
      <c r="Q1188" s="1127">
        <f t="shared" si="1717"/>
        <v>246730.84</v>
      </c>
      <c r="R1188" s="1127">
        <f>R1090+R1012+R895+R797+R696+R598+R501+R404+P306+R209+R111+R13</f>
        <v>34729.470000000001</v>
      </c>
      <c r="S1188" s="1373">
        <f t="shared" si="1718"/>
        <v>281460.31</v>
      </c>
      <c r="T1188" s="1374">
        <f t="shared" si="1719"/>
        <v>0.0035254199971094793</v>
      </c>
      <c r="U1188" s="1173">
        <f t="shared" si="1720"/>
        <v>0</v>
      </c>
      <c r="V1188" s="1127">
        <f t="shared" si="1720"/>
        <v>0</v>
      </c>
      <c r="W1188" s="1127">
        <f t="shared" si="1720"/>
        <v>0</v>
      </c>
      <c r="X1188" s="1127">
        <f t="shared" si="1720"/>
        <v>0</v>
      </c>
      <c r="Y1188" s="1127">
        <f t="shared" si="1720"/>
        <v>3943.5</v>
      </c>
      <c r="Z1188" s="1127">
        <f t="shared" si="1720"/>
        <v>3943.5</v>
      </c>
      <c r="AA1188" s="1127">
        <f t="shared" si="1720"/>
        <v>18648.209999999999</v>
      </c>
      <c r="AB1188" s="1375">
        <f t="shared" si="1721"/>
        <v>22591.709999999999</v>
      </c>
      <c r="AC1188" s="1374">
        <f t="shared" si="1722"/>
        <v>0.0029209354968859954</v>
      </c>
      <c r="AD1188" s="1376">
        <f t="shared" si="1723"/>
        <v>0</v>
      </c>
      <c r="AE1188" s="1127">
        <f t="shared" si="1723"/>
        <v>0</v>
      </c>
      <c r="AF1188" s="1127">
        <f t="shared" si="1723"/>
        <v>0</v>
      </c>
      <c r="AG1188" s="1127">
        <f t="shared" si="1723"/>
        <v>0</v>
      </c>
      <c r="AH1188" s="1127">
        <f t="shared" si="1723"/>
        <v>0</v>
      </c>
      <c r="AI1188" s="1127">
        <f t="shared" si="1723"/>
        <v>0</v>
      </c>
      <c r="AJ1188" s="1127">
        <f t="shared" si="1723"/>
        <v>0</v>
      </c>
      <c r="AK1188" s="1127">
        <f t="shared" si="1724"/>
        <v>0</v>
      </c>
      <c r="AL1188" s="1374">
        <f t="shared" si="1725"/>
        <v>0</v>
      </c>
      <c r="AM1188" s="1376">
        <f t="shared" si="1726"/>
        <v>0</v>
      </c>
      <c r="AN1188" s="1173">
        <f t="shared" si="1726"/>
        <v>0</v>
      </c>
      <c r="AO1188" s="1173">
        <f t="shared" si="1726"/>
        <v>0</v>
      </c>
      <c r="AP1188" s="1173">
        <f t="shared" si="1726"/>
        <v>0</v>
      </c>
      <c r="AQ1188" s="1173">
        <f t="shared" si="1726"/>
        <v>0</v>
      </c>
      <c r="AR1188" s="1173">
        <f t="shared" si="1726"/>
        <v>0</v>
      </c>
      <c r="AS1188" s="1173">
        <f t="shared" si="1726"/>
        <v>0</v>
      </c>
      <c r="AT1188" s="1173">
        <f t="shared" si="1727"/>
        <v>0</v>
      </c>
      <c r="AU1188" s="1377" t="e">
        <f t="shared" si="1728"/>
        <v>#DIV/0!</v>
      </c>
      <c r="AV1188" s="1173">
        <f t="shared" si="1729"/>
        <v>0</v>
      </c>
      <c r="AW1188" s="1127">
        <f t="shared" si="1729"/>
        <v>0</v>
      </c>
      <c r="AX1188" s="1127">
        <f t="shared" si="1729"/>
        <v>0</v>
      </c>
      <c r="AY1188" s="1127">
        <f t="shared" si="1729"/>
        <v>0</v>
      </c>
      <c r="AZ1188" s="1127">
        <f t="shared" si="1729"/>
        <v>0</v>
      </c>
      <c r="BA1188" s="1127">
        <f t="shared" si="1729"/>
        <v>0</v>
      </c>
      <c r="BB1188" s="1127">
        <f t="shared" si="1729"/>
        <v>0</v>
      </c>
      <c r="BC1188" s="1177">
        <f t="shared" si="1730"/>
        <v>0</v>
      </c>
      <c r="BD1188" s="1378">
        <f t="shared" si="1731"/>
        <v>0</v>
      </c>
      <c r="BE1188" s="1029"/>
      <c r="BF1188" s="1029"/>
    </row>
    <row r="1189" ht="18.75" customHeight="1">
      <c r="A1189" s="999" t="str">
        <f t="shared" si="1712"/>
        <v xml:space="preserve">Кутько И.Г.</v>
      </c>
      <c r="B1189" s="1176" t="s">
        <v>357</v>
      </c>
      <c r="C1189" s="1176"/>
      <c r="D1189" s="1163" t="s">
        <v>488</v>
      </c>
      <c r="E1189" s="1164">
        <f t="shared" si="1713"/>
        <v>1027982.97</v>
      </c>
      <c r="F1189" s="1226">
        <f t="shared" si="1713"/>
        <v>90051.209999999992</v>
      </c>
      <c r="G1189" s="1370">
        <f t="shared" si="1714"/>
        <v>1118034.1799999999</v>
      </c>
      <c r="H1189" s="1166">
        <f t="shared" si="1715"/>
        <v>0.012374324429815309</v>
      </c>
      <c r="I1189" s="1167">
        <f t="shared" si="1671"/>
        <v>1027829.97</v>
      </c>
      <c r="J1189" s="1167">
        <f t="shared" si="1686"/>
        <v>82541.169999999998</v>
      </c>
      <c r="K1189" s="1371">
        <f t="shared" si="1716"/>
        <v>1110371.1399999999</v>
      </c>
      <c r="L1189" s="1372"/>
      <c r="M1189" s="1127">
        <f t="shared" si="1717"/>
        <v>0</v>
      </c>
      <c r="N1189" s="1127">
        <f t="shared" si="1717"/>
        <v>0</v>
      </c>
      <c r="O1189" s="1127">
        <f t="shared" si="1717"/>
        <v>0</v>
      </c>
      <c r="P1189" s="1127">
        <f t="shared" si="1732"/>
        <v>1027829.97</v>
      </c>
      <c r="Q1189" s="1127">
        <f t="shared" si="1717"/>
        <v>1027829.97</v>
      </c>
      <c r="R1189" s="1127">
        <f t="shared" ref="R1189:R1191" si="1733">R1091+R994+R896+R798+R697+R599+R502+R405+P307+R210+R112+R14</f>
        <v>82541.169999999998</v>
      </c>
      <c r="S1189" s="1373">
        <f t="shared" si="1718"/>
        <v>1110371.1399999999</v>
      </c>
      <c r="T1189" s="1374">
        <f t="shared" si="1719"/>
        <v>0.013907909861853165</v>
      </c>
      <c r="U1189" s="1173">
        <f t="shared" si="1720"/>
        <v>0</v>
      </c>
      <c r="V1189" s="1127">
        <f t="shared" si="1720"/>
        <v>0</v>
      </c>
      <c r="W1189" s="1127">
        <f t="shared" si="1720"/>
        <v>0</v>
      </c>
      <c r="X1189" s="1127">
        <f t="shared" si="1720"/>
        <v>0</v>
      </c>
      <c r="Y1189" s="1127">
        <f t="shared" si="1720"/>
        <v>153</v>
      </c>
      <c r="Z1189" s="1127">
        <f t="shared" si="1720"/>
        <v>153</v>
      </c>
      <c r="AA1189" s="1127">
        <f t="shared" si="1720"/>
        <v>7510.04</v>
      </c>
      <c r="AB1189" s="1375">
        <f t="shared" si="1721"/>
        <v>7663.04</v>
      </c>
      <c r="AC1189" s="1374">
        <f t="shared" si="1722"/>
        <v>0.00099077252452591056</v>
      </c>
      <c r="AD1189" s="1376">
        <f t="shared" si="1723"/>
        <v>0</v>
      </c>
      <c r="AE1189" s="1127">
        <f t="shared" si="1723"/>
        <v>0</v>
      </c>
      <c r="AF1189" s="1127">
        <f t="shared" si="1723"/>
        <v>0</v>
      </c>
      <c r="AG1189" s="1127">
        <f t="shared" si="1723"/>
        <v>0</v>
      </c>
      <c r="AH1189" s="1127">
        <f t="shared" si="1723"/>
        <v>0</v>
      </c>
      <c r="AI1189" s="1127">
        <f t="shared" si="1723"/>
        <v>0</v>
      </c>
      <c r="AJ1189" s="1127">
        <f t="shared" si="1723"/>
        <v>0</v>
      </c>
      <c r="AK1189" s="1127">
        <f t="shared" si="1724"/>
        <v>0</v>
      </c>
      <c r="AL1189" s="1374">
        <f t="shared" si="1725"/>
        <v>0</v>
      </c>
      <c r="AM1189" s="1376">
        <f t="shared" si="1726"/>
        <v>0</v>
      </c>
      <c r="AN1189" s="1173">
        <f t="shared" si="1726"/>
        <v>0</v>
      </c>
      <c r="AO1189" s="1173">
        <f t="shared" si="1726"/>
        <v>0</v>
      </c>
      <c r="AP1189" s="1173">
        <f t="shared" si="1726"/>
        <v>0</v>
      </c>
      <c r="AQ1189" s="1173">
        <f t="shared" si="1726"/>
        <v>0</v>
      </c>
      <c r="AR1189" s="1173">
        <f t="shared" si="1726"/>
        <v>0</v>
      </c>
      <c r="AS1189" s="1173">
        <f t="shared" si="1726"/>
        <v>0</v>
      </c>
      <c r="AT1189" s="1173">
        <f t="shared" si="1727"/>
        <v>0</v>
      </c>
      <c r="AU1189" s="1377" t="e">
        <f t="shared" si="1728"/>
        <v>#DIV/0!</v>
      </c>
      <c r="AV1189" s="1173">
        <f t="shared" si="1729"/>
        <v>0</v>
      </c>
      <c r="AW1189" s="1127">
        <f t="shared" si="1729"/>
        <v>0</v>
      </c>
      <c r="AX1189" s="1127">
        <f t="shared" si="1729"/>
        <v>0</v>
      </c>
      <c r="AY1189" s="1127">
        <f t="shared" si="1729"/>
        <v>0</v>
      </c>
      <c r="AZ1189" s="1127">
        <f t="shared" si="1729"/>
        <v>0</v>
      </c>
      <c r="BA1189" s="1127">
        <f t="shared" si="1729"/>
        <v>0</v>
      </c>
      <c r="BB1189" s="1127">
        <f t="shared" si="1729"/>
        <v>0</v>
      </c>
      <c r="BC1189" s="1177">
        <f t="shared" si="1730"/>
        <v>0</v>
      </c>
      <c r="BD1189" s="1378">
        <f t="shared" si="1731"/>
        <v>0</v>
      </c>
      <c r="BE1189" s="1029"/>
      <c r="BF1189" s="1029"/>
    </row>
    <row r="1190">
      <c r="A1190" s="999" t="str">
        <f t="shared" si="1712"/>
        <v xml:space="preserve">Елина С.И.</v>
      </c>
      <c r="B1190" s="1176" t="s">
        <v>183</v>
      </c>
      <c r="C1190" s="1176"/>
      <c r="D1190" s="1163" t="s">
        <v>488</v>
      </c>
      <c r="E1190" s="1164">
        <f t="shared" si="1713"/>
        <v>373167.71000000002</v>
      </c>
      <c r="F1190" s="1226">
        <f t="shared" si="1713"/>
        <v>47004.309999999998</v>
      </c>
      <c r="G1190" s="1370">
        <f t="shared" si="1714"/>
        <v>420172.02000000002</v>
      </c>
      <c r="H1190" s="1166">
        <f t="shared" si="1715"/>
        <v>0.0046504346511220679</v>
      </c>
      <c r="I1190" s="1167">
        <f t="shared" si="1671"/>
        <v>372457.88</v>
      </c>
      <c r="J1190" s="1167">
        <f t="shared" si="1686"/>
        <v>28356.099999999999</v>
      </c>
      <c r="K1190" s="1371">
        <f t="shared" si="1716"/>
        <v>400813.97999999998</v>
      </c>
      <c r="L1190" s="1372"/>
      <c r="M1190" s="1127">
        <f t="shared" si="1717"/>
        <v>0</v>
      </c>
      <c r="N1190" s="1127">
        <f t="shared" si="1717"/>
        <v>0</v>
      </c>
      <c r="O1190" s="1127">
        <f t="shared" si="1717"/>
        <v>0</v>
      </c>
      <c r="P1190" s="1127">
        <f t="shared" si="1732"/>
        <v>372457.88</v>
      </c>
      <c r="Q1190" s="1127">
        <f t="shared" si="1717"/>
        <v>372457.88</v>
      </c>
      <c r="R1190" s="1127">
        <f t="shared" si="1733"/>
        <v>28356.099999999999</v>
      </c>
      <c r="S1190" s="1373">
        <f t="shared" si="1718"/>
        <v>400813.97999999998</v>
      </c>
      <c r="T1190" s="1374">
        <f t="shared" si="1719"/>
        <v>0.0050203796770245824</v>
      </c>
      <c r="U1190" s="1173">
        <f t="shared" si="1720"/>
        <v>0</v>
      </c>
      <c r="V1190" s="1127">
        <f t="shared" si="1720"/>
        <v>0</v>
      </c>
      <c r="W1190" s="1127">
        <f t="shared" si="1720"/>
        <v>0</v>
      </c>
      <c r="X1190" s="1127">
        <f t="shared" si="1720"/>
        <v>0</v>
      </c>
      <c r="Y1190" s="1127">
        <f t="shared" si="1720"/>
        <v>709.82999999999993</v>
      </c>
      <c r="Z1190" s="1127">
        <f t="shared" si="1720"/>
        <v>709.82999999999993</v>
      </c>
      <c r="AA1190" s="1127">
        <f t="shared" si="1720"/>
        <v>18648.209999999999</v>
      </c>
      <c r="AB1190" s="1375">
        <f t="shared" si="1721"/>
        <v>19358.040000000001</v>
      </c>
      <c r="AC1190" s="1374">
        <f t="shared" si="1722"/>
        <v>0.002502846671904826</v>
      </c>
      <c r="AD1190" s="1376">
        <f t="shared" si="1723"/>
        <v>0</v>
      </c>
      <c r="AE1190" s="1127">
        <f t="shared" si="1723"/>
        <v>0</v>
      </c>
      <c r="AF1190" s="1127">
        <f t="shared" si="1723"/>
        <v>0</v>
      </c>
      <c r="AG1190" s="1127">
        <f t="shared" si="1723"/>
        <v>0</v>
      </c>
      <c r="AH1190" s="1127">
        <f t="shared" si="1723"/>
        <v>0</v>
      </c>
      <c r="AI1190" s="1127">
        <f t="shared" si="1723"/>
        <v>0</v>
      </c>
      <c r="AJ1190" s="1127">
        <f t="shared" si="1723"/>
        <v>0</v>
      </c>
      <c r="AK1190" s="1127">
        <f t="shared" si="1724"/>
        <v>0</v>
      </c>
      <c r="AL1190" s="1374">
        <f t="shared" si="1725"/>
        <v>0</v>
      </c>
      <c r="AM1190" s="1376">
        <f t="shared" si="1726"/>
        <v>0</v>
      </c>
      <c r="AN1190" s="1173">
        <f t="shared" si="1726"/>
        <v>0</v>
      </c>
      <c r="AO1190" s="1173">
        <f t="shared" si="1726"/>
        <v>0</v>
      </c>
      <c r="AP1190" s="1173">
        <f t="shared" si="1726"/>
        <v>0</v>
      </c>
      <c r="AQ1190" s="1173">
        <f t="shared" si="1726"/>
        <v>0</v>
      </c>
      <c r="AR1190" s="1173">
        <f t="shared" si="1726"/>
        <v>0</v>
      </c>
      <c r="AS1190" s="1173">
        <f t="shared" si="1726"/>
        <v>0</v>
      </c>
      <c r="AT1190" s="1173">
        <f t="shared" si="1727"/>
        <v>0</v>
      </c>
      <c r="AU1190" s="1377" t="e">
        <f t="shared" si="1728"/>
        <v>#DIV/0!</v>
      </c>
      <c r="AV1190" s="1173">
        <f t="shared" si="1729"/>
        <v>0</v>
      </c>
      <c r="AW1190" s="1127">
        <f t="shared" si="1729"/>
        <v>0</v>
      </c>
      <c r="AX1190" s="1127">
        <f t="shared" si="1729"/>
        <v>0</v>
      </c>
      <c r="AY1190" s="1127">
        <f t="shared" si="1729"/>
        <v>0</v>
      </c>
      <c r="AZ1190" s="1127">
        <f t="shared" si="1729"/>
        <v>0</v>
      </c>
      <c r="BA1190" s="1127">
        <f t="shared" si="1729"/>
        <v>0</v>
      </c>
      <c r="BB1190" s="1127">
        <f t="shared" si="1729"/>
        <v>0</v>
      </c>
      <c r="BC1190" s="1177">
        <f t="shared" si="1730"/>
        <v>0</v>
      </c>
      <c r="BD1190" s="1378">
        <f t="shared" si="1731"/>
        <v>0</v>
      </c>
      <c r="BE1190" s="1029"/>
      <c r="BF1190" s="1029"/>
    </row>
    <row r="1191">
      <c r="A1191" s="999" t="str">
        <f t="shared" si="1712"/>
        <v xml:space="preserve">Никитина О.Г.</v>
      </c>
      <c r="B1191" s="1176" t="s">
        <v>184</v>
      </c>
      <c r="C1191" s="1176"/>
      <c r="D1191" s="1163" t="s">
        <v>488</v>
      </c>
      <c r="E1191" s="1164">
        <f t="shared" si="1713"/>
        <v>1507863.26</v>
      </c>
      <c r="F1191" s="1226">
        <f t="shared" si="1713"/>
        <v>76949.160000000003</v>
      </c>
      <c r="G1191" s="1370">
        <f t="shared" si="1714"/>
        <v>1584812.4199999999</v>
      </c>
      <c r="H1191" s="1166">
        <f t="shared" si="1715"/>
        <v>0.017540593477634755</v>
      </c>
      <c r="I1191" s="1167">
        <f t="shared" si="1671"/>
        <v>1507679.6599999999</v>
      </c>
      <c r="J1191" s="1167">
        <f t="shared" si="1686"/>
        <v>58300.950000000004</v>
      </c>
      <c r="K1191" s="1371">
        <f t="shared" si="1716"/>
        <v>1565980.6099999999</v>
      </c>
      <c r="L1191" s="1372"/>
      <c r="M1191" s="1127">
        <f t="shared" si="1717"/>
        <v>0</v>
      </c>
      <c r="N1191" s="1127">
        <f t="shared" si="1717"/>
        <v>0</v>
      </c>
      <c r="O1191" s="1127">
        <f t="shared" si="1717"/>
        <v>0</v>
      </c>
      <c r="P1191" s="1127">
        <f t="shared" si="1732"/>
        <v>1507679.6599999999</v>
      </c>
      <c r="Q1191" s="1127">
        <f t="shared" si="1717"/>
        <v>1507679.6599999999</v>
      </c>
      <c r="R1191" s="1127">
        <f t="shared" si="1733"/>
        <v>58300.949999999997</v>
      </c>
      <c r="S1191" s="1373">
        <f t="shared" si="1718"/>
        <v>1565980.6099999999</v>
      </c>
      <c r="T1191" s="1374">
        <f t="shared" si="1719"/>
        <v>0.019614628284818206</v>
      </c>
      <c r="U1191" s="1173">
        <f t="shared" si="1720"/>
        <v>0</v>
      </c>
      <c r="V1191" s="1127">
        <f t="shared" si="1720"/>
        <v>0</v>
      </c>
      <c r="W1191" s="1127">
        <f t="shared" si="1720"/>
        <v>0</v>
      </c>
      <c r="X1191" s="1127">
        <f t="shared" si="1720"/>
        <v>0</v>
      </c>
      <c r="Y1191" s="1127">
        <f t="shared" si="1720"/>
        <v>183.60000000000002</v>
      </c>
      <c r="Z1191" s="1127">
        <f t="shared" si="1720"/>
        <v>183.60000000000002</v>
      </c>
      <c r="AA1191" s="1127">
        <f t="shared" si="1720"/>
        <v>18648.209999999999</v>
      </c>
      <c r="AB1191" s="1375">
        <f t="shared" si="1721"/>
        <v>18831.809999999998</v>
      </c>
      <c r="AC1191" s="1374">
        <f t="shared" si="1722"/>
        <v>0.0024348091534289636</v>
      </c>
      <c r="AD1191" s="1376">
        <f t="shared" si="1723"/>
        <v>0</v>
      </c>
      <c r="AE1191" s="1127">
        <f t="shared" si="1723"/>
        <v>0</v>
      </c>
      <c r="AF1191" s="1127">
        <f t="shared" si="1723"/>
        <v>0</v>
      </c>
      <c r="AG1191" s="1127">
        <f t="shared" si="1723"/>
        <v>0</v>
      </c>
      <c r="AH1191" s="1127">
        <f t="shared" si="1723"/>
        <v>0</v>
      </c>
      <c r="AI1191" s="1127">
        <f t="shared" si="1723"/>
        <v>0</v>
      </c>
      <c r="AJ1191" s="1127">
        <f t="shared" si="1723"/>
        <v>0</v>
      </c>
      <c r="AK1191" s="1127">
        <f t="shared" si="1724"/>
        <v>0</v>
      </c>
      <c r="AL1191" s="1374">
        <f t="shared" si="1725"/>
        <v>0</v>
      </c>
      <c r="AM1191" s="1376">
        <f t="shared" si="1726"/>
        <v>0</v>
      </c>
      <c r="AN1191" s="1173">
        <f t="shared" si="1726"/>
        <v>0</v>
      </c>
      <c r="AO1191" s="1173">
        <f t="shared" si="1726"/>
        <v>0</v>
      </c>
      <c r="AP1191" s="1173">
        <f t="shared" si="1726"/>
        <v>0</v>
      </c>
      <c r="AQ1191" s="1173">
        <f t="shared" si="1726"/>
        <v>0</v>
      </c>
      <c r="AR1191" s="1173">
        <f t="shared" si="1726"/>
        <v>0</v>
      </c>
      <c r="AS1191" s="1173">
        <f t="shared" si="1726"/>
        <v>0</v>
      </c>
      <c r="AT1191" s="1173">
        <f t="shared" si="1727"/>
        <v>0</v>
      </c>
      <c r="AU1191" s="1377" t="e">
        <f t="shared" si="1728"/>
        <v>#DIV/0!</v>
      </c>
      <c r="AV1191" s="1173">
        <f t="shared" si="1729"/>
        <v>0</v>
      </c>
      <c r="AW1191" s="1127">
        <f t="shared" si="1729"/>
        <v>0</v>
      </c>
      <c r="AX1191" s="1127">
        <f t="shared" si="1729"/>
        <v>0</v>
      </c>
      <c r="AY1191" s="1127">
        <f t="shared" si="1729"/>
        <v>0</v>
      </c>
      <c r="AZ1191" s="1127">
        <f t="shared" si="1729"/>
        <v>0</v>
      </c>
      <c r="BA1191" s="1127">
        <f t="shared" si="1729"/>
        <v>0</v>
      </c>
      <c r="BB1191" s="1127">
        <f t="shared" si="1729"/>
        <v>0</v>
      </c>
      <c r="BC1191" s="1177">
        <f t="shared" si="1730"/>
        <v>0</v>
      </c>
      <c r="BD1191" s="1378">
        <f t="shared" si="1731"/>
        <v>0</v>
      </c>
      <c r="BE1191" s="1029"/>
      <c r="BF1191" s="1029"/>
    </row>
    <row r="1192" ht="18" customHeight="1">
      <c r="A1192" s="999" t="str">
        <f t="shared" si="1712"/>
        <v xml:space="preserve">Судакова Е.С.</v>
      </c>
      <c r="B1192" s="1178" t="s">
        <v>361</v>
      </c>
      <c r="C1192" s="1179"/>
      <c r="D1192" s="1163" t="s">
        <v>488</v>
      </c>
      <c r="E1192" s="1379">
        <f t="shared" si="1713"/>
        <v>134339.91</v>
      </c>
      <c r="F1192" s="1379">
        <f t="shared" si="1713"/>
        <v>63801.439999999995</v>
      </c>
      <c r="G1192" s="1380">
        <f t="shared" si="1714"/>
        <v>198141.35000000001</v>
      </c>
      <c r="H1192" s="1166">
        <f t="shared" si="1715"/>
        <v>0.0021930146606623296</v>
      </c>
      <c r="I1192" s="1167">
        <f t="shared" si="1671"/>
        <v>134309.31</v>
      </c>
      <c r="J1192" s="1167">
        <f t="shared" si="1686"/>
        <v>45153.229999999996</v>
      </c>
      <c r="K1192" s="1381">
        <f t="shared" si="1716"/>
        <v>179462.53999999998</v>
      </c>
      <c r="L1192" s="1128"/>
      <c r="M1192" s="1127">
        <f t="shared" si="1717"/>
        <v>0</v>
      </c>
      <c r="N1192" s="1127">
        <f t="shared" si="1717"/>
        <v>0</v>
      </c>
      <c r="O1192" s="1127">
        <f t="shared" si="1717"/>
        <v>0</v>
      </c>
      <c r="P1192" s="1127">
        <f t="shared" si="1717"/>
        <v>133951.06</v>
      </c>
      <c r="Q1192" s="1127">
        <f t="shared" si="1717"/>
        <v>133951.06</v>
      </c>
      <c r="R1192" s="1127">
        <f t="shared" si="1717"/>
        <v>45153.229999999996</v>
      </c>
      <c r="S1192" s="1373">
        <f t="shared" si="1718"/>
        <v>179104.28999999998</v>
      </c>
      <c r="T1192" s="1374">
        <f t="shared" si="1719"/>
        <v>0.0022433637109761416</v>
      </c>
      <c r="U1192" s="1128"/>
      <c r="V1192" s="1127">
        <f t="shared" ref="V1192:AA1192" si="1734">V1094+V997+V899+V801+V700+V602+V505+V408+V310+V213+V115+V17</f>
        <v>0</v>
      </c>
      <c r="W1192" s="1127">
        <f t="shared" si="1734"/>
        <v>0</v>
      </c>
      <c r="X1192" s="1127">
        <f t="shared" si="1734"/>
        <v>0</v>
      </c>
      <c r="Y1192" s="1127">
        <f t="shared" si="1734"/>
        <v>30.600000000000001</v>
      </c>
      <c r="Z1192" s="1127">
        <f t="shared" si="1734"/>
        <v>30.600000000000001</v>
      </c>
      <c r="AA1192" s="1127">
        <f t="shared" si="1734"/>
        <v>18648.209999999999</v>
      </c>
      <c r="AB1192" s="1375">
        <f t="shared" si="1721"/>
        <v>18678.809999999998</v>
      </c>
      <c r="AC1192" s="1374">
        <f t="shared" si="1722"/>
        <v>0.0024150274223858703</v>
      </c>
      <c r="AD1192" s="1376">
        <f>AD1094+AD997+AD899+AD801+AD700+AD602+AD505+AD408+AD310+AD213+AD115+AD18</f>
        <v>0</v>
      </c>
      <c r="AE1192" s="1127">
        <f t="shared" ref="AE1192:AJ1192" si="1735">AE1094+AE997+AE899+AE801+AE700+AE602+AE505+AE408+AE310+AE213+AE115+AE17</f>
        <v>0</v>
      </c>
      <c r="AF1192" s="1127">
        <f t="shared" si="1735"/>
        <v>0</v>
      </c>
      <c r="AG1192" s="1127">
        <f t="shared" si="1735"/>
        <v>0</v>
      </c>
      <c r="AH1192" s="1127">
        <f t="shared" si="1735"/>
        <v>358.25</v>
      </c>
      <c r="AI1192" s="1127">
        <f t="shared" si="1735"/>
        <v>358.25</v>
      </c>
      <c r="AJ1192" s="1127">
        <f t="shared" si="1735"/>
        <v>0</v>
      </c>
      <c r="AK1192" s="1127">
        <f t="shared" si="1724"/>
        <v>358.25</v>
      </c>
      <c r="AL1192" s="1374">
        <f t="shared" si="1725"/>
        <v>0.00013373948774494769</v>
      </c>
      <c r="AM1192" s="1376">
        <f t="shared" ref="AM1192:AS1192" si="1736">AM1094+AM997+AM899+AM801+AM700+AM602+AM505+AM408+AM310+AM213+AM115+AM18</f>
        <v>0</v>
      </c>
      <c r="AN1192" s="1173">
        <f t="shared" si="1736"/>
        <v>0</v>
      </c>
      <c r="AO1192" s="1173">
        <f t="shared" si="1736"/>
        <v>0</v>
      </c>
      <c r="AP1192" s="1173">
        <f t="shared" si="1736"/>
        <v>0</v>
      </c>
      <c r="AQ1192" s="1173">
        <f t="shared" si="1736"/>
        <v>0</v>
      </c>
      <c r="AR1192" s="1173">
        <f t="shared" si="1736"/>
        <v>0</v>
      </c>
      <c r="AS1192" s="1173">
        <f t="shared" si="1736"/>
        <v>0</v>
      </c>
      <c r="AT1192" s="1173">
        <f t="shared" si="1727"/>
        <v>0</v>
      </c>
      <c r="AU1192" s="1377" t="e">
        <f t="shared" si="1728"/>
        <v>#DIV/0!</v>
      </c>
      <c r="AV1192" s="1173">
        <f t="shared" ref="AV1192:BB1192" si="1737">AV1094+AV997+AV899+AV801+AV700+AV602+AV505+AV408+AV310+AV213+AV115+AV18</f>
        <v>0</v>
      </c>
      <c r="AW1192" s="1127">
        <f t="shared" si="1737"/>
        <v>0</v>
      </c>
      <c r="AX1192" s="1127">
        <f t="shared" si="1737"/>
        <v>0</v>
      </c>
      <c r="AY1192" s="1127">
        <f t="shared" si="1737"/>
        <v>0</v>
      </c>
      <c r="AZ1192" s="1127">
        <f t="shared" si="1737"/>
        <v>0</v>
      </c>
      <c r="BA1192" s="1127">
        <f t="shared" si="1737"/>
        <v>0</v>
      </c>
      <c r="BB1192" s="1127">
        <f t="shared" si="1737"/>
        <v>0</v>
      </c>
      <c r="BC1192" s="1177">
        <f t="shared" si="1730"/>
        <v>0</v>
      </c>
      <c r="BD1192" s="1378">
        <f t="shared" si="1731"/>
        <v>0</v>
      </c>
      <c r="BE1192" s="1029"/>
      <c r="BF1192" s="1029"/>
    </row>
    <row r="1193">
      <c r="A1193" s="999" t="str">
        <f t="shared" si="1712"/>
        <v xml:space="preserve">Осипова А.А.</v>
      </c>
      <c r="B1193" s="1176" t="s">
        <v>185</v>
      </c>
      <c r="C1193" s="1176"/>
      <c r="D1193" s="1163" t="s">
        <v>488</v>
      </c>
      <c r="E1193" s="1164">
        <f t="shared" si="1713"/>
        <v>271544.12</v>
      </c>
      <c r="F1193" s="1226">
        <f t="shared" si="1713"/>
        <v>32350.259999999998</v>
      </c>
      <c r="G1193" s="1370">
        <f t="shared" si="1714"/>
        <v>303894.38</v>
      </c>
      <c r="H1193" s="1166">
        <f t="shared" si="1715"/>
        <v>0.0033634818306874812</v>
      </c>
      <c r="I1193" s="1167">
        <f t="shared" si="1671"/>
        <v>271238.12</v>
      </c>
      <c r="J1193" s="1167">
        <f t="shared" si="1686"/>
        <v>13702.049999999999</v>
      </c>
      <c r="K1193" s="1371">
        <f t="shared" si="1716"/>
        <v>284940.16999999998</v>
      </c>
      <c r="L1193" s="1372"/>
      <c r="M1193" s="1127">
        <f t="shared" si="1717"/>
        <v>0</v>
      </c>
      <c r="N1193" s="1127">
        <f t="shared" si="1717"/>
        <v>0</v>
      </c>
      <c r="O1193" s="1127">
        <f t="shared" si="1717"/>
        <v>0</v>
      </c>
      <c r="P1193" s="1127">
        <f t="shared" ref="P1193:P1194" si="1738">P1095+P998+P900+P802+P701+P603+P506+P409+P311+P214+P116+P18</f>
        <v>271238.12</v>
      </c>
      <c r="Q1193" s="1127">
        <f t="shared" si="1717"/>
        <v>271238.12</v>
      </c>
      <c r="R1193" s="1127">
        <f t="shared" si="1717"/>
        <v>13702.049999999999</v>
      </c>
      <c r="S1193" s="1373">
        <f t="shared" si="1718"/>
        <v>284940.16999999998</v>
      </c>
      <c r="T1193" s="1374">
        <f t="shared" si="1719"/>
        <v>0.0035690068461083357</v>
      </c>
      <c r="U1193" s="1173">
        <f t="shared" si="1720"/>
        <v>0</v>
      </c>
      <c r="V1193" s="1127">
        <f t="shared" si="1720"/>
        <v>0</v>
      </c>
      <c r="W1193" s="1127">
        <f t="shared" si="1720"/>
        <v>0</v>
      </c>
      <c r="X1193" s="1127">
        <f t="shared" si="1720"/>
        <v>0</v>
      </c>
      <c r="Y1193" s="1127">
        <f t="shared" si="1720"/>
        <v>306</v>
      </c>
      <c r="Z1193" s="1127">
        <f t="shared" si="1720"/>
        <v>306</v>
      </c>
      <c r="AA1193" s="1127">
        <f t="shared" si="1720"/>
        <v>18648.209999999999</v>
      </c>
      <c r="AB1193" s="1375">
        <f t="shared" si="1721"/>
        <v>18954.209999999999</v>
      </c>
      <c r="AC1193" s="1374">
        <f t="shared" si="1722"/>
        <v>0.0024506345382634383</v>
      </c>
      <c r="AD1193" s="1376">
        <f t="shared" ref="AD1193:AJ1202" si="1739">AD1095+AD998+AD900+AD802+AD701+AD603+AD506+AD409+AD311+AD214+AD116+AD18</f>
        <v>0</v>
      </c>
      <c r="AE1193" s="1127">
        <f t="shared" si="1739"/>
        <v>0</v>
      </c>
      <c r="AF1193" s="1127">
        <f t="shared" si="1739"/>
        <v>0</v>
      </c>
      <c r="AG1193" s="1127">
        <f t="shared" si="1739"/>
        <v>0</v>
      </c>
      <c r="AH1193" s="1127">
        <f t="shared" si="1739"/>
        <v>0</v>
      </c>
      <c r="AI1193" s="1127">
        <f t="shared" si="1739"/>
        <v>0</v>
      </c>
      <c r="AJ1193" s="1127">
        <f t="shared" si="1739"/>
        <v>0</v>
      </c>
      <c r="AK1193" s="1127">
        <f t="shared" si="1724"/>
        <v>0</v>
      </c>
      <c r="AL1193" s="1374">
        <f t="shared" si="1725"/>
        <v>0</v>
      </c>
      <c r="AM1193" s="1376">
        <f t="shared" ref="AM1193:AS1208" si="1740">AM1095+AM998+AM900+AM802+AM701+AM603+AM506+AM409+AM311+AM214+AM116+AM18</f>
        <v>0</v>
      </c>
      <c r="AN1193" s="1173">
        <f t="shared" si="1740"/>
        <v>0</v>
      </c>
      <c r="AO1193" s="1173">
        <f t="shared" si="1740"/>
        <v>0</v>
      </c>
      <c r="AP1193" s="1173">
        <f t="shared" si="1740"/>
        <v>0</v>
      </c>
      <c r="AQ1193" s="1173">
        <f t="shared" si="1740"/>
        <v>0</v>
      </c>
      <c r="AR1193" s="1173">
        <f t="shared" si="1740"/>
        <v>0</v>
      </c>
      <c r="AS1193" s="1173">
        <f t="shared" si="1740"/>
        <v>0</v>
      </c>
      <c r="AT1193" s="1173">
        <f t="shared" si="1727"/>
        <v>0</v>
      </c>
      <c r="AU1193" s="1377" t="e">
        <f t="shared" si="1728"/>
        <v>#DIV/0!</v>
      </c>
      <c r="AV1193" s="1173">
        <f t="shared" ref="AV1193:BB1208" si="1741">AV1095+AV998+AV900+AV802+AV701+AV603+AV506+AV409+AV311+AV214+AV116+AV18</f>
        <v>0</v>
      </c>
      <c r="AW1193" s="1127">
        <f t="shared" si="1741"/>
        <v>0</v>
      </c>
      <c r="AX1193" s="1127">
        <f t="shared" si="1741"/>
        <v>0</v>
      </c>
      <c r="AY1193" s="1127">
        <f t="shared" si="1741"/>
        <v>0</v>
      </c>
      <c r="AZ1193" s="1127">
        <f t="shared" si="1741"/>
        <v>0</v>
      </c>
      <c r="BA1193" s="1127">
        <f t="shared" si="1741"/>
        <v>0</v>
      </c>
      <c r="BB1193" s="1127">
        <f t="shared" si="1741"/>
        <v>0</v>
      </c>
      <c r="BC1193" s="1177">
        <f t="shared" si="1730"/>
        <v>0</v>
      </c>
      <c r="BD1193" s="1378">
        <f t="shared" si="1731"/>
        <v>0</v>
      </c>
      <c r="BE1193" s="1029"/>
      <c r="BF1193" s="1029"/>
    </row>
    <row r="1194" s="1180" customFormat="1">
      <c r="A1194" s="999">
        <f t="shared" si="1712"/>
        <v>0</v>
      </c>
      <c r="B1194" s="1182" t="s">
        <v>363</v>
      </c>
      <c r="C1194" s="1182"/>
      <c r="D1194" s="1182"/>
      <c r="E1194" s="1183">
        <f>SUM(E1186:E1193)</f>
        <v>6513879.3599999994</v>
      </c>
      <c r="F1194" s="1382">
        <f>SUM(F1186:F1193)</f>
        <v>487850.64999999997</v>
      </c>
      <c r="G1194" s="1184">
        <f>SUM(G1186:G1193)</f>
        <v>7001730.0099999988</v>
      </c>
      <c r="H1194" s="1185">
        <f t="shared" si="1715"/>
        <v>0.077494660059242534</v>
      </c>
      <c r="I1194" s="1167">
        <f t="shared" si="1671"/>
        <v>6508277.4299999997</v>
      </c>
      <c r="J1194" s="1167">
        <f t="shared" si="1686"/>
        <v>349803.14000000001</v>
      </c>
      <c r="K1194" s="1187">
        <f>SUM(K1186:K1193)</f>
        <v>6858080.5699999994</v>
      </c>
      <c r="L1194" s="1071"/>
      <c r="M1194" s="1319">
        <f t="shared" si="1717"/>
        <v>0</v>
      </c>
      <c r="N1194" s="1319">
        <f t="shared" si="1717"/>
        <v>0</v>
      </c>
      <c r="O1194" s="1319">
        <f t="shared" si="1717"/>
        <v>0</v>
      </c>
      <c r="P1194" s="1319">
        <f t="shared" si="1738"/>
        <v>6372837.1800000006</v>
      </c>
      <c r="Q1194" s="1319">
        <f t="shared" si="1717"/>
        <v>6372837.1800000006</v>
      </c>
      <c r="R1194" s="1319">
        <f t="shared" si="1717"/>
        <v>349803.14000000001</v>
      </c>
      <c r="S1194" s="1319">
        <f t="shared" si="1718"/>
        <v>6722640.3200000003</v>
      </c>
      <c r="T1194" s="1374">
        <f t="shared" si="1719"/>
        <v>0.084204165828931504</v>
      </c>
      <c r="U1194" s="1350">
        <f t="shared" si="1720"/>
        <v>0</v>
      </c>
      <c r="V1194" s="1319">
        <f t="shared" si="1720"/>
        <v>0</v>
      </c>
      <c r="W1194" s="1319">
        <f t="shared" si="1720"/>
        <v>0</v>
      </c>
      <c r="X1194" s="1319">
        <f t="shared" si="1720"/>
        <v>0</v>
      </c>
      <c r="Y1194" s="1319">
        <f t="shared" si="1720"/>
        <v>5601.9300000000003</v>
      </c>
      <c r="Z1194" s="1319">
        <f t="shared" si="1720"/>
        <v>5601.9300000000003</v>
      </c>
      <c r="AA1194" s="1319">
        <f t="shared" si="1720"/>
        <v>138047.50999999998</v>
      </c>
      <c r="AB1194" s="1383">
        <f t="shared" si="1721"/>
        <v>143649.43999999997</v>
      </c>
      <c r="AC1194" s="1374">
        <f t="shared" si="1722"/>
        <v>0.018572775075627074</v>
      </c>
      <c r="AD1194" s="1349">
        <f t="shared" si="1739"/>
        <v>0</v>
      </c>
      <c r="AE1194" s="1319">
        <f t="shared" si="1739"/>
        <v>0</v>
      </c>
      <c r="AF1194" s="1319">
        <f t="shared" si="1739"/>
        <v>0</v>
      </c>
      <c r="AG1194" s="1319">
        <f t="shared" si="1739"/>
        <v>0</v>
      </c>
      <c r="AH1194" s="1319">
        <f t="shared" si="1739"/>
        <v>135440.25</v>
      </c>
      <c r="AI1194" s="1319">
        <f t="shared" si="1739"/>
        <v>135440.25</v>
      </c>
      <c r="AJ1194" s="1319">
        <f t="shared" si="1739"/>
        <v>0</v>
      </c>
      <c r="AK1194" s="1319">
        <f t="shared" si="1724"/>
        <v>135440.25</v>
      </c>
      <c r="AL1194" s="1374">
        <f t="shared" si="1725"/>
        <v>0.050561645931745017</v>
      </c>
      <c r="AM1194" s="1349">
        <f t="shared" si="1740"/>
        <v>0</v>
      </c>
      <c r="AN1194" s="1350">
        <f t="shared" si="1740"/>
        <v>0</v>
      </c>
      <c r="AO1194" s="1350">
        <f t="shared" si="1740"/>
        <v>0</v>
      </c>
      <c r="AP1194" s="1350">
        <f t="shared" si="1740"/>
        <v>0</v>
      </c>
      <c r="AQ1194" s="1350">
        <f t="shared" si="1740"/>
        <v>0</v>
      </c>
      <c r="AR1194" s="1350">
        <f t="shared" si="1740"/>
        <v>0</v>
      </c>
      <c r="AS1194" s="1350">
        <f t="shared" si="1740"/>
        <v>0</v>
      </c>
      <c r="AT1194" s="1350">
        <f t="shared" si="1727"/>
        <v>0</v>
      </c>
      <c r="AU1194" s="1377" t="e">
        <f t="shared" si="1728"/>
        <v>#DIV/0!</v>
      </c>
      <c r="AV1194" s="1350">
        <f t="shared" si="1741"/>
        <v>0</v>
      </c>
      <c r="AW1194" s="1319">
        <f t="shared" si="1741"/>
        <v>0</v>
      </c>
      <c r="AX1194" s="1319">
        <f t="shared" si="1741"/>
        <v>0</v>
      </c>
      <c r="AY1194" s="1319">
        <f t="shared" si="1741"/>
        <v>0</v>
      </c>
      <c r="AZ1194" s="1319">
        <f t="shared" si="1741"/>
        <v>0</v>
      </c>
      <c r="BA1194" s="1319">
        <f t="shared" si="1741"/>
        <v>0</v>
      </c>
      <c r="BB1194" s="1319">
        <f t="shared" si="1741"/>
        <v>0</v>
      </c>
      <c r="BC1194" s="1281">
        <f t="shared" si="1730"/>
        <v>0</v>
      </c>
      <c r="BD1194" s="1378">
        <f t="shared" si="1731"/>
        <v>0</v>
      </c>
      <c r="BE1194" s="1051"/>
      <c r="BF1194" s="1051"/>
      <c r="BG1194" s="1106"/>
      <c r="BH1194" s="1106"/>
      <c r="BI1194" s="1106"/>
      <c r="BJ1194" s="1106"/>
      <c r="BK1194" s="1106"/>
      <c r="BL1194" s="1106"/>
      <c r="BM1194" s="1106"/>
    </row>
    <row r="1195">
      <c r="A1195" s="999">
        <f t="shared" si="1712"/>
        <v>0</v>
      </c>
      <c r="B1195" s="1176" t="s">
        <v>364</v>
      </c>
      <c r="C1195" s="1176"/>
      <c r="D1195" s="1176"/>
      <c r="E1195" s="1164">
        <f t="shared" ref="E1195:F1207" si="1742">Q1195+Z1195+AI1195+AR1195+BA1195</f>
        <v>0</v>
      </c>
      <c r="F1195" s="1226">
        <f t="shared" si="1742"/>
        <v>0</v>
      </c>
      <c r="G1195" s="1370">
        <f t="shared" ref="G1195:G1207" si="1743">E1195+F1195</f>
        <v>0</v>
      </c>
      <c r="H1195" s="1166">
        <f t="shared" si="1715"/>
        <v>0</v>
      </c>
      <c r="I1195" s="1167">
        <f t="shared" si="1671"/>
        <v>0</v>
      </c>
      <c r="J1195" s="1167">
        <f t="shared" si="1686"/>
        <v>0</v>
      </c>
      <c r="K1195" s="1371">
        <f t="shared" ref="K1195:K1207" si="1744">I1195+J1195</f>
        <v>0</v>
      </c>
      <c r="L1195" s="1372"/>
      <c r="M1195" s="1127">
        <f t="shared" si="1717"/>
        <v>0</v>
      </c>
      <c r="N1195" s="1127">
        <f t="shared" si="1717"/>
        <v>0</v>
      </c>
      <c r="O1195" s="1127">
        <f t="shared" si="1717"/>
        <v>0</v>
      </c>
      <c r="P1195" s="1127">
        <f t="shared" si="1717"/>
        <v>0</v>
      </c>
      <c r="Q1195" s="1127">
        <f t="shared" si="1717"/>
        <v>0</v>
      </c>
      <c r="R1195" s="1127">
        <f t="shared" si="1717"/>
        <v>0</v>
      </c>
      <c r="S1195" s="1127">
        <f t="shared" si="1718"/>
        <v>0</v>
      </c>
      <c r="T1195" s="1374">
        <f t="shared" si="1719"/>
        <v>0</v>
      </c>
      <c r="U1195" s="1173">
        <f t="shared" si="1720"/>
        <v>0</v>
      </c>
      <c r="V1195" s="1127">
        <f t="shared" si="1720"/>
        <v>0</v>
      </c>
      <c r="W1195" s="1127">
        <f t="shared" si="1720"/>
        <v>0</v>
      </c>
      <c r="X1195" s="1127">
        <f t="shared" si="1720"/>
        <v>0</v>
      </c>
      <c r="Y1195" s="1127">
        <f t="shared" si="1720"/>
        <v>0</v>
      </c>
      <c r="Z1195" s="1127">
        <f t="shared" si="1720"/>
        <v>0</v>
      </c>
      <c r="AA1195" s="1127">
        <f t="shared" si="1720"/>
        <v>0</v>
      </c>
      <c r="AB1195" s="1375">
        <f t="shared" si="1721"/>
        <v>0</v>
      </c>
      <c r="AC1195" s="1374">
        <f t="shared" si="1722"/>
        <v>0</v>
      </c>
      <c r="AD1195" s="1376">
        <f t="shared" si="1739"/>
        <v>0</v>
      </c>
      <c r="AE1195" s="1127">
        <f t="shared" si="1739"/>
        <v>0</v>
      </c>
      <c r="AF1195" s="1127">
        <f t="shared" si="1739"/>
        <v>0</v>
      </c>
      <c r="AG1195" s="1127">
        <f t="shared" si="1739"/>
        <v>0</v>
      </c>
      <c r="AH1195" s="1127">
        <f t="shared" si="1739"/>
        <v>0</v>
      </c>
      <c r="AI1195" s="1127">
        <f t="shared" si="1739"/>
        <v>0</v>
      </c>
      <c r="AJ1195" s="1127">
        <f t="shared" si="1739"/>
        <v>0</v>
      </c>
      <c r="AK1195" s="1127">
        <f t="shared" si="1724"/>
        <v>0</v>
      </c>
      <c r="AL1195" s="1374">
        <f t="shared" si="1725"/>
        <v>0</v>
      </c>
      <c r="AM1195" s="1376">
        <f t="shared" si="1740"/>
        <v>0</v>
      </c>
      <c r="AN1195" s="1173">
        <f t="shared" si="1740"/>
        <v>0</v>
      </c>
      <c r="AO1195" s="1173">
        <f t="shared" si="1740"/>
        <v>0</v>
      </c>
      <c r="AP1195" s="1173">
        <f t="shared" si="1740"/>
        <v>0</v>
      </c>
      <c r="AQ1195" s="1173">
        <f t="shared" si="1740"/>
        <v>0</v>
      </c>
      <c r="AR1195" s="1173">
        <f t="shared" si="1740"/>
        <v>0</v>
      </c>
      <c r="AS1195" s="1173">
        <f t="shared" si="1740"/>
        <v>0</v>
      </c>
      <c r="AT1195" s="1173">
        <f t="shared" si="1727"/>
        <v>0</v>
      </c>
      <c r="AU1195" s="1377" t="e">
        <f t="shared" si="1728"/>
        <v>#DIV/0!</v>
      </c>
      <c r="AV1195" s="1173">
        <f t="shared" si="1741"/>
        <v>0</v>
      </c>
      <c r="AW1195" s="1127">
        <f t="shared" si="1741"/>
        <v>0</v>
      </c>
      <c r="AX1195" s="1127">
        <f t="shared" si="1741"/>
        <v>0</v>
      </c>
      <c r="AY1195" s="1127">
        <f t="shared" si="1741"/>
        <v>0</v>
      </c>
      <c r="AZ1195" s="1127">
        <f t="shared" si="1741"/>
        <v>0</v>
      </c>
      <c r="BA1195" s="1127">
        <f t="shared" si="1741"/>
        <v>0</v>
      </c>
      <c r="BB1195" s="1127">
        <f t="shared" si="1741"/>
        <v>0</v>
      </c>
      <c r="BC1195" s="1177">
        <f t="shared" si="1730"/>
        <v>0</v>
      </c>
      <c r="BD1195" s="1378">
        <f t="shared" si="1731"/>
        <v>0</v>
      </c>
      <c r="BE1195" s="1029"/>
      <c r="BF1195" s="1029"/>
    </row>
    <row r="1196">
      <c r="A1196" s="999" t="str">
        <f t="shared" si="1712"/>
        <v xml:space="preserve">Сметанина О.В.</v>
      </c>
      <c r="B1196" s="1176" t="s">
        <v>195</v>
      </c>
      <c r="C1196" s="1176"/>
      <c r="D1196" s="1163" t="s">
        <v>488</v>
      </c>
      <c r="E1196" s="1164">
        <f t="shared" si="1742"/>
        <v>595714.84999999998</v>
      </c>
      <c r="F1196" s="1226">
        <f t="shared" si="1742"/>
        <v>124162.31</v>
      </c>
      <c r="G1196" s="1370">
        <f t="shared" si="1743"/>
        <v>719877.15999999992</v>
      </c>
      <c r="H1196" s="1166">
        <f t="shared" si="1715"/>
        <v>0.0079675502652826434</v>
      </c>
      <c r="I1196" s="1167">
        <f t="shared" si="1671"/>
        <v>595714.84999999998</v>
      </c>
      <c r="J1196" s="1167">
        <f t="shared" si="1686"/>
        <v>113277.98999999999</v>
      </c>
      <c r="K1196" s="1371">
        <f t="shared" si="1744"/>
        <v>708992.83999999997</v>
      </c>
      <c r="L1196" s="1372"/>
      <c r="M1196" s="1127">
        <f t="shared" si="1717"/>
        <v>0</v>
      </c>
      <c r="N1196" s="1127">
        <f t="shared" si="1717"/>
        <v>0</v>
      </c>
      <c r="O1196" s="1127">
        <f t="shared" si="1717"/>
        <v>0</v>
      </c>
      <c r="P1196" s="1127">
        <f t="shared" si="1717"/>
        <v>595714.84999999998</v>
      </c>
      <c r="Q1196" s="1127">
        <f t="shared" si="1717"/>
        <v>595714.84999999998</v>
      </c>
      <c r="R1196" s="1127">
        <f t="shared" si="1717"/>
        <v>113277.98999999999</v>
      </c>
      <c r="S1196" s="1373">
        <f t="shared" si="1718"/>
        <v>708992.83999999997</v>
      </c>
      <c r="T1196" s="1374">
        <f t="shared" si="1719"/>
        <v>0.00888046181695544</v>
      </c>
      <c r="U1196" s="1173">
        <f t="shared" si="1720"/>
        <v>0</v>
      </c>
      <c r="V1196" s="1127">
        <f t="shared" si="1720"/>
        <v>0</v>
      </c>
      <c r="W1196" s="1127">
        <f t="shared" si="1720"/>
        <v>0</v>
      </c>
      <c r="X1196" s="1127">
        <f t="shared" si="1720"/>
        <v>0</v>
      </c>
      <c r="Y1196" s="1127">
        <f t="shared" si="1720"/>
        <v>0</v>
      </c>
      <c r="Z1196" s="1127">
        <f t="shared" si="1720"/>
        <v>0</v>
      </c>
      <c r="AA1196" s="1127">
        <f t="shared" si="1720"/>
        <v>10884.32</v>
      </c>
      <c r="AB1196" s="1375">
        <f t="shared" si="1721"/>
        <v>10884.32</v>
      </c>
      <c r="AC1196" s="1374">
        <f t="shared" si="1722"/>
        <v>0.0014072594171696687</v>
      </c>
      <c r="AD1196" s="1376">
        <f t="shared" si="1739"/>
        <v>0</v>
      </c>
      <c r="AE1196" s="1127">
        <f t="shared" si="1739"/>
        <v>0</v>
      </c>
      <c r="AF1196" s="1127">
        <f t="shared" si="1739"/>
        <v>0</v>
      </c>
      <c r="AG1196" s="1127">
        <f t="shared" si="1739"/>
        <v>0</v>
      </c>
      <c r="AH1196" s="1127">
        <f t="shared" si="1739"/>
        <v>0</v>
      </c>
      <c r="AI1196" s="1127">
        <f t="shared" si="1739"/>
        <v>0</v>
      </c>
      <c r="AJ1196" s="1127">
        <f t="shared" si="1739"/>
        <v>0</v>
      </c>
      <c r="AK1196" s="1127">
        <f t="shared" si="1724"/>
        <v>0</v>
      </c>
      <c r="AL1196" s="1374">
        <f t="shared" si="1725"/>
        <v>0</v>
      </c>
      <c r="AM1196" s="1376">
        <f t="shared" si="1740"/>
        <v>0</v>
      </c>
      <c r="AN1196" s="1173">
        <f t="shared" si="1740"/>
        <v>0</v>
      </c>
      <c r="AO1196" s="1173">
        <f t="shared" si="1740"/>
        <v>0</v>
      </c>
      <c r="AP1196" s="1173">
        <f t="shared" si="1740"/>
        <v>0</v>
      </c>
      <c r="AQ1196" s="1173">
        <f t="shared" si="1740"/>
        <v>0</v>
      </c>
      <c r="AR1196" s="1173">
        <f t="shared" si="1740"/>
        <v>0</v>
      </c>
      <c r="AS1196" s="1173">
        <f t="shared" si="1740"/>
        <v>0</v>
      </c>
      <c r="AT1196" s="1173">
        <f t="shared" si="1727"/>
        <v>0</v>
      </c>
      <c r="AU1196" s="1377" t="e">
        <f t="shared" si="1728"/>
        <v>#DIV/0!</v>
      </c>
      <c r="AV1196" s="1173">
        <f t="shared" si="1741"/>
        <v>0</v>
      </c>
      <c r="AW1196" s="1127">
        <f t="shared" si="1741"/>
        <v>0</v>
      </c>
      <c r="AX1196" s="1127">
        <f t="shared" si="1741"/>
        <v>0</v>
      </c>
      <c r="AY1196" s="1127">
        <f t="shared" si="1741"/>
        <v>0</v>
      </c>
      <c r="AZ1196" s="1127">
        <f t="shared" si="1741"/>
        <v>0</v>
      </c>
      <c r="BA1196" s="1127">
        <f t="shared" si="1741"/>
        <v>0</v>
      </c>
      <c r="BB1196" s="1127">
        <f t="shared" si="1741"/>
        <v>0</v>
      </c>
      <c r="BC1196" s="1177">
        <f t="shared" si="1730"/>
        <v>0</v>
      </c>
      <c r="BD1196" s="1378">
        <f t="shared" si="1731"/>
        <v>0</v>
      </c>
      <c r="BE1196" s="1029"/>
      <c r="BF1196" s="1029"/>
    </row>
    <row r="1197">
      <c r="A1197" s="999" t="str">
        <f t="shared" si="1712"/>
        <v xml:space="preserve">Козенко С.С.</v>
      </c>
      <c r="B1197" s="1176" t="s">
        <v>196</v>
      </c>
      <c r="C1197" s="1176"/>
      <c r="D1197" s="1163" t="s">
        <v>488</v>
      </c>
      <c r="E1197" s="1164">
        <f t="shared" si="1742"/>
        <v>262049.80000000002</v>
      </c>
      <c r="F1197" s="1226">
        <f>R1197+AA1197+AJ1197+AS1197+BB1197</f>
        <v>111747.46999999999</v>
      </c>
      <c r="G1197" s="1370">
        <f t="shared" si="1743"/>
        <v>373797.27000000002</v>
      </c>
      <c r="H1197" s="1166">
        <f t="shared" si="1715"/>
        <v>0.0041371621482621124</v>
      </c>
      <c r="I1197" s="1167">
        <f t="shared" ref="I1197:J1260" si="1745">E1197-Z1197</f>
        <v>258158.88</v>
      </c>
      <c r="J1197" s="1167">
        <f t="shared" si="1686"/>
        <v>93099.25999999998</v>
      </c>
      <c r="K1197" s="1371">
        <f t="shared" si="1744"/>
        <v>351258.14000000001</v>
      </c>
      <c r="L1197" s="1372"/>
      <c r="M1197" s="1127">
        <f>N1099+M1002+M904+M806+M705+M607+M510+M413+M315+M218+M120+M22</f>
        <v>0</v>
      </c>
      <c r="N1197" s="1127">
        <f>N1099+N1002+N904+N806+N705+N607+N510+N413+N315+N218+N120+N22</f>
        <v>0</v>
      </c>
      <c r="O1197" s="1127">
        <f t="shared" si="1717"/>
        <v>0</v>
      </c>
      <c r="P1197" s="1127">
        <f t="shared" ref="P1197:P1206" si="1746">P1099+P1002+P904+P806+P705+P607+P510+P413+R315+P218+P120+P22</f>
        <v>258158.88</v>
      </c>
      <c r="Q1197" s="1127">
        <f t="shared" si="1717"/>
        <v>258158.88</v>
      </c>
      <c r="R1197" s="1127">
        <f t="shared" ref="R1197:R1206" si="1747">R1099+R1002+R904+R806+R705+R607+R510+R413+P315+R218+R120+R22</f>
        <v>79896.959999999992</v>
      </c>
      <c r="S1197" s="1373">
        <f t="shared" si="1718"/>
        <v>338055.83999999997</v>
      </c>
      <c r="T1197" s="1374">
        <f t="shared" si="1719"/>
        <v>0.0042343050729804228</v>
      </c>
      <c r="U1197" s="1173">
        <f t="shared" si="1720"/>
        <v>0</v>
      </c>
      <c r="V1197" s="1127">
        <f t="shared" si="1720"/>
        <v>0</v>
      </c>
      <c r="W1197" s="1127">
        <f t="shared" si="1720"/>
        <v>0</v>
      </c>
      <c r="X1197" s="1127">
        <f t="shared" si="1720"/>
        <v>0</v>
      </c>
      <c r="Y1197" s="1127">
        <f t="shared" si="1720"/>
        <v>3890.9200000000001</v>
      </c>
      <c r="Z1197" s="1127">
        <f t="shared" si="1720"/>
        <v>3890.9200000000001</v>
      </c>
      <c r="AA1197" s="1127">
        <f t="shared" si="1720"/>
        <v>18648.209999999999</v>
      </c>
      <c r="AB1197" s="1375">
        <f t="shared" si="1721"/>
        <v>22539.129999999997</v>
      </c>
      <c r="AC1197" s="1374">
        <f t="shared" si="1722"/>
        <v>0.0029141373046098784</v>
      </c>
      <c r="AD1197" s="1376">
        <f t="shared" si="1739"/>
        <v>0</v>
      </c>
      <c r="AE1197" s="1127">
        <f t="shared" si="1739"/>
        <v>0</v>
      </c>
      <c r="AF1197" s="1127">
        <f t="shared" si="1739"/>
        <v>0</v>
      </c>
      <c r="AG1197" s="1127">
        <f t="shared" si="1739"/>
        <v>0</v>
      </c>
      <c r="AH1197" s="1127">
        <f>AH1099+AH1002+AH904+AH806+AH705+AH607+AH510+AH413+AH315+AH218+AH120+AH22</f>
        <v>0</v>
      </c>
      <c r="AI1197" s="1127">
        <f t="shared" si="1739"/>
        <v>0</v>
      </c>
      <c r="AJ1197" s="1127">
        <f>AJ1099+AJ1002+AJ904+AJ806+AJ705+AJ607+AJ510+AJ413+AJ315+AJ218+AJ120+AJ22</f>
        <v>13202.300000000001</v>
      </c>
      <c r="AK1197" s="1127">
        <f t="shared" si="1724"/>
        <v>13202.300000000001</v>
      </c>
      <c r="AL1197" s="1374">
        <f t="shared" si="1725"/>
        <v>0.004928594107620721</v>
      </c>
      <c r="AM1197" s="1376">
        <f t="shared" si="1740"/>
        <v>0</v>
      </c>
      <c r="AN1197" s="1173">
        <f t="shared" si="1740"/>
        <v>0</v>
      </c>
      <c r="AO1197" s="1173">
        <f t="shared" si="1740"/>
        <v>0</v>
      </c>
      <c r="AP1197" s="1173">
        <f t="shared" si="1740"/>
        <v>0</v>
      </c>
      <c r="AQ1197" s="1173">
        <f t="shared" si="1740"/>
        <v>0</v>
      </c>
      <c r="AR1197" s="1173">
        <f t="shared" si="1740"/>
        <v>0</v>
      </c>
      <c r="AS1197" s="1173">
        <f t="shared" si="1740"/>
        <v>0</v>
      </c>
      <c r="AT1197" s="1173">
        <f t="shared" si="1727"/>
        <v>0</v>
      </c>
      <c r="AU1197" s="1377" t="e">
        <f t="shared" si="1728"/>
        <v>#DIV/0!</v>
      </c>
      <c r="AV1197" s="1173">
        <f t="shared" si="1741"/>
        <v>0</v>
      </c>
      <c r="AW1197" s="1127">
        <f t="shared" si="1741"/>
        <v>0</v>
      </c>
      <c r="AX1197" s="1127">
        <f t="shared" si="1741"/>
        <v>0</v>
      </c>
      <c r="AY1197" s="1127">
        <f t="shared" si="1741"/>
        <v>0</v>
      </c>
      <c r="AZ1197" s="1127">
        <f t="shared" si="1741"/>
        <v>0</v>
      </c>
      <c r="BA1197" s="1127">
        <f t="shared" si="1741"/>
        <v>0</v>
      </c>
      <c r="BB1197" s="1127">
        <f t="shared" si="1741"/>
        <v>0</v>
      </c>
      <c r="BC1197" s="1177">
        <f t="shared" si="1730"/>
        <v>0</v>
      </c>
      <c r="BD1197" s="1378">
        <f t="shared" si="1731"/>
        <v>0</v>
      </c>
      <c r="BE1197" s="1029"/>
      <c r="BF1197" s="1029"/>
    </row>
    <row r="1198">
      <c r="A1198" s="999">
        <f t="shared" si="1712"/>
        <v>0</v>
      </c>
      <c r="B1198" s="1193" t="s">
        <v>367</v>
      </c>
      <c r="C1198" s="1193"/>
      <c r="D1198" s="1193"/>
      <c r="E1198" s="1164">
        <f t="shared" si="1742"/>
        <v>0</v>
      </c>
      <c r="F1198" s="1226">
        <f t="shared" si="1742"/>
        <v>0</v>
      </c>
      <c r="G1198" s="1370">
        <f t="shared" si="1743"/>
        <v>0</v>
      </c>
      <c r="H1198" s="1166">
        <f t="shared" si="1715"/>
        <v>0</v>
      </c>
      <c r="I1198" s="1167">
        <f t="shared" si="1745"/>
        <v>0</v>
      </c>
      <c r="J1198" s="1167">
        <f t="shared" si="1686"/>
        <v>0</v>
      </c>
      <c r="K1198" s="1371">
        <f t="shared" si="1744"/>
        <v>0</v>
      </c>
      <c r="L1198" s="1372"/>
      <c r="M1198" s="1127">
        <f t="shared" si="1717"/>
        <v>0</v>
      </c>
      <c r="N1198" s="1127">
        <f t="shared" si="1717"/>
        <v>0</v>
      </c>
      <c r="O1198" s="1127">
        <f t="shared" si="1717"/>
        <v>0</v>
      </c>
      <c r="P1198" s="1127">
        <f t="shared" si="1746"/>
        <v>0</v>
      </c>
      <c r="Q1198" s="1127">
        <f t="shared" si="1717"/>
        <v>0</v>
      </c>
      <c r="R1198" s="1127">
        <f t="shared" si="1747"/>
        <v>0</v>
      </c>
      <c r="S1198" s="1373">
        <f t="shared" si="1718"/>
        <v>0</v>
      </c>
      <c r="T1198" s="1374">
        <f t="shared" si="1719"/>
        <v>0</v>
      </c>
      <c r="U1198" s="1173">
        <f t="shared" si="1720"/>
        <v>0</v>
      </c>
      <c r="V1198" s="1127">
        <f t="shared" si="1720"/>
        <v>0</v>
      </c>
      <c r="W1198" s="1127">
        <f t="shared" si="1720"/>
        <v>0</v>
      </c>
      <c r="X1198" s="1127">
        <f t="shared" si="1720"/>
        <v>0</v>
      </c>
      <c r="Y1198" s="1127">
        <f t="shared" si="1720"/>
        <v>0</v>
      </c>
      <c r="Z1198" s="1127">
        <f t="shared" si="1720"/>
        <v>0</v>
      </c>
      <c r="AA1198" s="1127">
        <f t="shared" si="1720"/>
        <v>0</v>
      </c>
      <c r="AB1198" s="1375">
        <f t="shared" si="1721"/>
        <v>0</v>
      </c>
      <c r="AC1198" s="1374">
        <f t="shared" si="1722"/>
        <v>0</v>
      </c>
      <c r="AD1198" s="1376">
        <f t="shared" si="1739"/>
        <v>0</v>
      </c>
      <c r="AE1198" s="1127">
        <f t="shared" si="1739"/>
        <v>0</v>
      </c>
      <c r="AF1198" s="1127">
        <f t="shared" si="1739"/>
        <v>0</v>
      </c>
      <c r="AG1198" s="1127">
        <f t="shared" si="1739"/>
        <v>0</v>
      </c>
      <c r="AH1198" s="1127">
        <f t="shared" si="1739"/>
        <v>0</v>
      </c>
      <c r="AI1198" s="1127">
        <f t="shared" si="1739"/>
        <v>0</v>
      </c>
      <c r="AJ1198" s="1127">
        <f t="shared" si="1739"/>
        <v>0</v>
      </c>
      <c r="AK1198" s="1127">
        <f t="shared" si="1724"/>
        <v>0</v>
      </c>
      <c r="AL1198" s="1374">
        <f t="shared" si="1725"/>
        <v>0</v>
      </c>
      <c r="AM1198" s="1376">
        <f t="shared" si="1740"/>
        <v>0</v>
      </c>
      <c r="AN1198" s="1173">
        <f t="shared" si="1740"/>
        <v>0</v>
      </c>
      <c r="AO1198" s="1173">
        <f t="shared" si="1740"/>
        <v>0</v>
      </c>
      <c r="AP1198" s="1173">
        <f t="shared" si="1740"/>
        <v>0</v>
      </c>
      <c r="AQ1198" s="1173">
        <f t="shared" si="1740"/>
        <v>0</v>
      </c>
      <c r="AR1198" s="1173">
        <f t="shared" si="1740"/>
        <v>0</v>
      </c>
      <c r="AS1198" s="1173">
        <f t="shared" si="1740"/>
        <v>0</v>
      </c>
      <c r="AT1198" s="1173">
        <f t="shared" si="1727"/>
        <v>0</v>
      </c>
      <c r="AU1198" s="1377" t="e">
        <f t="shared" si="1728"/>
        <v>#DIV/0!</v>
      </c>
      <c r="AV1198" s="1173">
        <f t="shared" si="1741"/>
        <v>0</v>
      </c>
      <c r="AW1198" s="1127">
        <f t="shared" si="1741"/>
        <v>0</v>
      </c>
      <c r="AX1198" s="1127">
        <f t="shared" si="1741"/>
        <v>0</v>
      </c>
      <c r="AY1198" s="1127">
        <f t="shared" si="1741"/>
        <v>0</v>
      </c>
      <c r="AZ1198" s="1127">
        <f t="shared" si="1741"/>
        <v>0</v>
      </c>
      <c r="BA1198" s="1127">
        <f t="shared" si="1741"/>
        <v>0</v>
      </c>
      <c r="BB1198" s="1127">
        <f t="shared" si="1741"/>
        <v>0</v>
      </c>
      <c r="BC1198" s="1177">
        <f t="shared" si="1730"/>
        <v>0</v>
      </c>
      <c r="BD1198" s="1378">
        <f t="shared" si="1731"/>
        <v>0</v>
      </c>
      <c r="BE1198" s="1029"/>
      <c r="BF1198" s="1029"/>
    </row>
    <row r="1199" ht="17.25" customHeight="1">
      <c r="A1199" s="999" t="str">
        <f t="shared" si="1712"/>
        <v xml:space="preserve">Разумец Е.Г.</v>
      </c>
      <c r="B1199" s="1176" t="s">
        <v>201</v>
      </c>
      <c r="C1199" s="1176"/>
      <c r="D1199" s="1163" t="s">
        <v>488</v>
      </c>
      <c r="E1199" s="1164">
        <f t="shared" si="1742"/>
        <v>298290.57000000001</v>
      </c>
      <c r="F1199" s="1226">
        <f t="shared" si="1742"/>
        <v>1303167.2</v>
      </c>
      <c r="G1199" s="1370">
        <f t="shared" si="1743"/>
        <v>1601457.77</v>
      </c>
      <c r="H1199" s="1166">
        <f t="shared" si="1715"/>
        <v>0.017724823052036341</v>
      </c>
      <c r="I1199" s="1167">
        <f t="shared" si="1745"/>
        <v>298290.57000000001</v>
      </c>
      <c r="J1199" s="1167">
        <f t="shared" si="1686"/>
        <v>1284518.99</v>
      </c>
      <c r="K1199" s="1371">
        <f t="shared" si="1744"/>
        <v>1582809.5600000001</v>
      </c>
      <c r="L1199" s="1372"/>
      <c r="M1199" s="1127">
        <f t="shared" si="1717"/>
        <v>0</v>
      </c>
      <c r="N1199" s="1127">
        <f t="shared" si="1717"/>
        <v>0</v>
      </c>
      <c r="O1199" s="1127">
        <f t="shared" si="1717"/>
        <v>0</v>
      </c>
      <c r="P1199" s="1127">
        <f t="shared" si="1746"/>
        <v>298290.57000000001</v>
      </c>
      <c r="Q1199" s="1127">
        <f t="shared" si="1717"/>
        <v>298290.57000000001</v>
      </c>
      <c r="R1199" s="1127">
        <f t="shared" si="1747"/>
        <v>1283782.27</v>
      </c>
      <c r="S1199" s="1373">
        <f t="shared" si="1718"/>
        <v>1582072.8400000001</v>
      </c>
      <c r="T1199" s="1374">
        <f t="shared" si="1719"/>
        <v>0.019816190876147995</v>
      </c>
      <c r="U1199" s="1173">
        <f t="shared" si="1720"/>
        <v>0</v>
      </c>
      <c r="V1199" s="1127">
        <f t="shared" si="1720"/>
        <v>0</v>
      </c>
      <c r="W1199" s="1127">
        <f t="shared" si="1720"/>
        <v>0</v>
      </c>
      <c r="X1199" s="1127">
        <f t="shared" si="1720"/>
        <v>0</v>
      </c>
      <c r="Y1199" s="1127">
        <f t="shared" si="1720"/>
        <v>0</v>
      </c>
      <c r="Z1199" s="1127">
        <f t="shared" si="1720"/>
        <v>0</v>
      </c>
      <c r="AA1199" s="1127">
        <f t="shared" si="1720"/>
        <v>18648.209999999999</v>
      </c>
      <c r="AB1199" s="1375">
        <f t="shared" si="1721"/>
        <v>18648.209999999999</v>
      </c>
      <c r="AC1199" s="1374">
        <f t="shared" si="1722"/>
        <v>0.0024110710761772519</v>
      </c>
      <c r="AD1199" s="1376">
        <f t="shared" si="1739"/>
        <v>0</v>
      </c>
      <c r="AE1199" s="1127">
        <f t="shared" si="1739"/>
        <v>0</v>
      </c>
      <c r="AF1199" s="1127">
        <f t="shared" si="1739"/>
        <v>0</v>
      </c>
      <c r="AG1199" s="1127">
        <f t="shared" si="1739"/>
        <v>0</v>
      </c>
      <c r="AH1199" s="1127">
        <f t="shared" si="1739"/>
        <v>0</v>
      </c>
      <c r="AI1199" s="1127">
        <f t="shared" si="1739"/>
        <v>0</v>
      </c>
      <c r="AJ1199" s="1127">
        <f t="shared" si="1739"/>
        <v>736.72000000000003</v>
      </c>
      <c r="AK1199" s="1127">
        <f t="shared" si="1724"/>
        <v>736.72000000000003</v>
      </c>
      <c r="AL1199" s="1374">
        <f t="shared" si="1725"/>
        <v>0.00027502737030413919</v>
      </c>
      <c r="AM1199" s="1376">
        <f t="shared" si="1740"/>
        <v>0</v>
      </c>
      <c r="AN1199" s="1173">
        <f t="shared" si="1740"/>
        <v>0</v>
      </c>
      <c r="AO1199" s="1173">
        <f t="shared" si="1740"/>
        <v>0</v>
      </c>
      <c r="AP1199" s="1173">
        <f t="shared" si="1740"/>
        <v>0</v>
      </c>
      <c r="AQ1199" s="1173">
        <f t="shared" si="1740"/>
        <v>0</v>
      </c>
      <c r="AR1199" s="1173">
        <f t="shared" si="1740"/>
        <v>0</v>
      </c>
      <c r="AS1199" s="1173">
        <f t="shared" si="1740"/>
        <v>0</v>
      </c>
      <c r="AT1199" s="1173">
        <f t="shared" si="1727"/>
        <v>0</v>
      </c>
      <c r="AU1199" s="1377" t="e">
        <f t="shared" si="1728"/>
        <v>#DIV/0!</v>
      </c>
      <c r="AV1199" s="1173">
        <f t="shared" si="1741"/>
        <v>0</v>
      </c>
      <c r="AW1199" s="1127">
        <f t="shared" si="1741"/>
        <v>0</v>
      </c>
      <c r="AX1199" s="1127">
        <f t="shared" si="1741"/>
        <v>0</v>
      </c>
      <c r="AY1199" s="1127">
        <f t="shared" si="1741"/>
        <v>0</v>
      </c>
      <c r="AZ1199" s="1127">
        <f t="shared" si="1741"/>
        <v>0</v>
      </c>
      <c r="BA1199" s="1127">
        <f t="shared" si="1741"/>
        <v>0</v>
      </c>
      <c r="BB1199" s="1127">
        <f t="shared" si="1741"/>
        <v>0</v>
      </c>
      <c r="BC1199" s="1177">
        <f t="shared" si="1730"/>
        <v>0</v>
      </c>
      <c r="BD1199" s="1378">
        <f t="shared" si="1731"/>
        <v>0</v>
      </c>
      <c r="BE1199" s="1029"/>
      <c r="BF1199" s="1029"/>
    </row>
    <row r="1200" ht="17.25" customHeight="1">
      <c r="A1200" s="999" t="str">
        <f t="shared" si="1712"/>
        <v xml:space="preserve">Шарова Т.М.</v>
      </c>
      <c r="B1200" s="1176" t="s">
        <v>203</v>
      </c>
      <c r="C1200" s="1176"/>
      <c r="D1200" s="1163" t="s">
        <v>488</v>
      </c>
      <c r="E1200" s="1164">
        <f t="shared" si="1742"/>
        <v>139436.48999999999</v>
      </c>
      <c r="F1200" s="1226">
        <f t="shared" si="1742"/>
        <v>116944.37999999999</v>
      </c>
      <c r="G1200" s="1370">
        <f t="shared" si="1743"/>
        <v>256380.87</v>
      </c>
      <c r="H1200" s="1166">
        <f t="shared" si="1715"/>
        <v>0.0028376056114655661</v>
      </c>
      <c r="I1200" s="1167">
        <f t="shared" si="1745"/>
        <v>138043.12</v>
      </c>
      <c r="J1200" s="1167">
        <f t="shared" si="1686"/>
        <v>79394.179999999993</v>
      </c>
      <c r="K1200" s="1371">
        <f t="shared" si="1744"/>
        <v>217437.29999999999</v>
      </c>
      <c r="L1200" s="1372"/>
      <c r="M1200" s="1127">
        <f t="shared" si="1717"/>
        <v>0</v>
      </c>
      <c r="N1200" s="1127">
        <f t="shared" si="1717"/>
        <v>0</v>
      </c>
      <c r="O1200" s="1127">
        <f t="shared" si="1717"/>
        <v>0</v>
      </c>
      <c r="P1200" s="1127">
        <f t="shared" si="1746"/>
        <v>138043.12</v>
      </c>
      <c r="Q1200" s="1127">
        <f t="shared" si="1717"/>
        <v>138043.12</v>
      </c>
      <c r="R1200" s="1127">
        <f t="shared" si="1747"/>
        <v>79394.179999999993</v>
      </c>
      <c r="S1200" s="1373">
        <f t="shared" si="1718"/>
        <v>217437.29999999999</v>
      </c>
      <c r="T1200" s="1374">
        <f t="shared" si="1719"/>
        <v>0.0027235023138342061</v>
      </c>
      <c r="U1200" s="1173">
        <f t="shared" si="1720"/>
        <v>0</v>
      </c>
      <c r="V1200" s="1127">
        <f t="shared" si="1720"/>
        <v>0</v>
      </c>
      <c r="W1200" s="1127">
        <f t="shared" si="1720"/>
        <v>0</v>
      </c>
      <c r="X1200" s="1127">
        <f t="shared" si="1720"/>
        <v>0</v>
      </c>
      <c r="Y1200" s="1127">
        <f t="shared" si="1720"/>
        <v>1393.3699999999999</v>
      </c>
      <c r="Z1200" s="1127">
        <f t="shared" si="1720"/>
        <v>1393.3699999999999</v>
      </c>
      <c r="AA1200" s="1127">
        <f t="shared" si="1720"/>
        <v>37550.199999999997</v>
      </c>
      <c r="AB1200" s="1375">
        <f t="shared" si="1721"/>
        <v>38943.57</v>
      </c>
      <c r="AC1200" s="1374">
        <f t="shared" si="1722"/>
        <v>0.0050351060627311763</v>
      </c>
      <c r="AD1200" s="1376">
        <f t="shared" si="1739"/>
        <v>0</v>
      </c>
      <c r="AE1200" s="1127">
        <f t="shared" si="1739"/>
        <v>0</v>
      </c>
      <c r="AF1200" s="1127">
        <f t="shared" si="1739"/>
        <v>0</v>
      </c>
      <c r="AG1200" s="1127">
        <f t="shared" si="1739"/>
        <v>0</v>
      </c>
      <c r="AH1200" s="1127">
        <f t="shared" si="1739"/>
        <v>0</v>
      </c>
      <c r="AI1200" s="1127">
        <f t="shared" si="1739"/>
        <v>0</v>
      </c>
      <c r="AJ1200" s="1127">
        <f t="shared" si="1739"/>
        <v>0</v>
      </c>
      <c r="AK1200" s="1127">
        <f t="shared" si="1724"/>
        <v>0</v>
      </c>
      <c r="AL1200" s="1374">
        <f t="shared" si="1725"/>
        <v>0</v>
      </c>
      <c r="AM1200" s="1376">
        <f t="shared" si="1740"/>
        <v>0</v>
      </c>
      <c r="AN1200" s="1173">
        <f t="shared" si="1740"/>
        <v>0</v>
      </c>
      <c r="AO1200" s="1173">
        <f t="shared" si="1740"/>
        <v>0</v>
      </c>
      <c r="AP1200" s="1173">
        <f t="shared" si="1740"/>
        <v>0</v>
      </c>
      <c r="AQ1200" s="1173">
        <f t="shared" si="1740"/>
        <v>0</v>
      </c>
      <c r="AR1200" s="1173">
        <f t="shared" si="1740"/>
        <v>0</v>
      </c>
      <c r="AS1200" s="1173">
        <f t="shared" si="1740"/>
        <v>0</v>
      </c>
      <c r="AT1200" s="1173">
        <f t="shared" si="1727"/>
        <v>0</v>
      </c>
      <c r="AU1200" s="1377" t="e">
        <f t="shared" si="1728"/>
        <v>#DIV/0!</v>
      </c>
      <c r="AV1200" s="1173">
        <f t="shared" si="1741"/>
        <v>0</v>
      </c>
      <c r="AW1200" s="1127">
        <f t="shared" si="1741"/>
        <v>0</v>
      </c>
      <c r="AX1200" s="1127">
        <f t="shared" si="1741"/>
        <v>0</v>
      </c>
      <c r="AY1200" s="1127">
        <f t="shared" si="1741"/>
        <v>0</v>
      </c>
      <c r="AZ1200" s="1127">
        <f t="shared" si="1741"/>
        <v>0</v>
      </c>
      <c r="BA1200" s="1127">
        <f t="shared" si="1741"/>
        <v>0</v>
      </c>
      <c r="BB1200" s="1127">
        <f t="shared" si="1741"/>
        <v>0</v>
      </c>
      <c r="BC1200" s="1177">
        <f t="shared" si="1730"/>
        <v>0</v>
      </c>
      <c r="BD1200" s="1378">
        <f t="shared" si="1731"/>
        <v>0</v>
      </c>
      <c r="BE1200" s="1029"/>
      <c r="BF1200" s="1029"/>
    </row>
    <row r="1201" ht="17.25" customHeight="1">
      <c r="A1201" s="999" t="str">
        <f t="shared" si="1712"/>
        <v xml:space="preserve">Крошка С.С.</v>
      </c>
      <c r="B1201" s="1176" t="s">
        <v>204</v>
      </c>
      <c r="C1201" s="1194"/>
      <c r="D1201" s="1163" t="s">
        <v>488</v>
      </c>
      <c r="E1201" s="1164">
        <f t="shared" si="1742"/>
        <v>51217</v>
      </c>
      <c r="F1201" s="1226">
        <f t="shared" si="1742"/>
        <v>228644.21000000002</v>
      </c>
      <c r="G1201" s="1370">
        <f t="shared" si="1743"/>
        <v>279861.21000000002</v>
      </c>
      <c r="H1201" s="1166">
        <f t="shared" si="1715"/>
        <v>0.0030974843791096557</v>
      </c>
      <c r="I1201" s="1167">
        <f t="shared" si="1745"/>
        <v>50972.199999999997</v>
      </c>
      <c r="J1201" s="1167">
        <f t="shared" si="1686"/>
        <v>209996.00000000003</v>
      </c>
      <c r="K1201" s="1371">
        <f t="shared" si="1744"/>
        <v>260968.20000000001</v>
      </c>
      <c r="L1201" s="1372"/>
      <c r="M1201" s="1127">
        <f t="shared" si="1717"/>
        <v>0</v>
      </c>
      <c r="N1201" s="1127">
        <f t="shared" si="1717"/>
        <v>0</v>
      </c>
      <c r="O1201" s="1127">
        <f t="shared" si="1717"/>
        <v>0</v>
      </c>
      <c r="P1201" s="1127">
        <f t="shared" si="1746"/>
        <v>50972.199999999997</v>
      </c>
      <c r="Q1201" s="1127">
        <f t="shared" si="1717"/>
        <v>50972.199999999997</v>
      </c>
      <c r="R1201" s="1127">
        <f t="shared" si="1747"/>
        <v>209688.93000000002</v>
      </c>
      <c r="S1201" s="1373">
        <f t="shared" si="1718"/>
        <v>260661.13</v>
      </c>
      <c r="T1201" s="1374">
        <f t="shared" si="1719"/>
        <v>0.0032649006894476655</v>
      </c>
      <c r="U1201" s="1173">
        <f t="shared" si="1720"/>
        <v>0</v>
      </c>
      <c r="V1201" s="1127">
        <f t="shared" si="1720"/>
        <v>0</v>
      </c>
      <c r="W1201" s="1127">
        <f t="shared" si="1720"/>
        <v>0</v>
      </c>
      <c r="X1201" s="1127">
        <f t="shared" si="1720"/>
        <v>0</v>
      </c>
      <c r="Y1201" s="1127">
        <f t="shared" si="1720"/>
        <v>244.80000000000001</v>
      </c>
      <c r="Z1201" s="1127">
        <f t="shared" si="1720"/>
        <v>244.80000000000001</v>
      </c>
      <c r="AA1201" s="1127">
        <f t="shared" si="1720"/>
        <v>18648.209999999999</v>
      </c>
      <c r="AB1201" s="1375">
        <f t="shared" si="1721"/>
        <v>18893.009999999998</v>
      </c>
      <c r="AC1201" s="1374">
        <f t="shared" si="1722"/>
        <v>0.0024427218458462009</v>
      </c>
      <c r="AD1201" s="1376">
        <f t="shared" si="1739"/>
        <v>0</v>
      </c>
      <c r="AE1201" s="1127">
        <f t="shared" si="1739"/>
        <v>0</v>
      </c>
      <c r="AF1201" s="1127">
        <f t="shared" si="1739"/>
        <v>0</v>
      </c>
      <c r="AG1201" s="1127">
        <f t="shared" si="1739"/>
        <v>0</v>
      </c>
      <c r="AH1201" s="1127">
        <f t="shared" si="1739"/>
        <v>0</v>
      </c>
      <c r="AI1201" s="1127">
        <f t="shared" si="1739"/>
        <v>0</v>
      </c>
      <c r="AJ1201" s="1127">
        <f t="shared" si="1739"/>
        <v>307.06999999999999</v>
      </c>
      <c r="AK1201" s="1127">
        <f t="shared" si="1724"/>
        <v>307.06999999999999</v>
      </c>
      <c r="AL1201" s="1374">
        <f t="shared" si="1725"/>
        <v>0.00011463331333382021</v>
      </c>
      <c r="AM1201" s="1376">
        <f t="shared" si="1740"/>
        <v>0</v>
      </c>
      <c r="AN1201" s="1173">
        <f t="shared" si="1740"/>
        <v>0</v>
      </c>
      <c r="AO1201" s="1173">
        <f t="shared" si="1740"/>
        <v>0</v>
      </c>
      <c r="AP1201" s="1173">
        <f t="shared" si="1740"/>
        <v>0</v>
      </c>
      <c r="AQ1201" s="1173">
        <f t="shared" si="1740"/>
        <v>0</v>
      </c>
      <c r="AR1201" s="1173">
        <f t="shared" si="1740"/>
        <v>0</v>
      </c>
      <c r="AS1201" s="1173">
        <f t="shared" si="1740"/>
        <v>0</v>
      </c>
      <c r="AT1201" s="1173">
        <f t="shared" si="1727"/>
        <v>0</v>
      </c>
      <c r="AU1201" s="1377" t="e">
        <f t="shared" si="1728"/>
        <v>#DIV/0!</v>
      </c>
      <c r="AV1201" s="1173">
        <f t="shared" si="1741"/>
        <v>0</v>
      </c>
      <c r="AW1201" s="1127">
        <f t="shared" si="1741"/>
        <v>0</v>
      </c>
      <c r="AX1201" s="1127">
        <f t="shared" si="1741"/>
        <v>0</v>
      </c>
      <c r="AY1201" s="1127">
        <f t="shared" si="1741"/>
        <v>0</v>
      </c>
      <c r="AZ1201" s="1127">
        <f t="shared" si="1741"/>
        <v>0</v>
      </c>
      <c r="BA1201" s="1127">
        <f t="shared" si="1741"/>
        <v>0</v>
      </c>
      <c r="BB1201" s="1127">
        <f t="shared" si="1741"/>
        <v>0</v>
      </c>
      <c r="BC1201" s="1177">
        <f t="shared" si="1730"/>
        <v>0</v>
      </c>
      <c r="BD1201" s="1378">
        <f t="shared" si="1731"/>
        <v>0</v>
      </c>
      <c r="BE1201" s="1029"/>
      <c r="BF1201" s="1029"/>
    </row>
    <row r="1202" ht="17.25" customHeight="1">
      <c r="A1202" s="999" t="str">
        <f t="shared" si="1712"/>
        <v xml:space="preserve">Козлитина Н.В.</v>
      </c>
      <c r="B1202" s="1176" t="s">
        <v>205</v>
      </c>
      <c r="C1202" s="1176"/>
      <c r="D1202" s="1163" t="s">
        <v>488</v>
      </c>
      <c r="E1202" s="1164">
        <f t="shared" si="1742"/>
        <v>872037.19999999995</v>
      </c>
      <c r="F1202" s="1226">
        <f t="shared" si="1742"/>
        <v>905144.40000000014</v>
      </c>
      <c r="G1202" s="1370">
        <f t="shared" si="1743"/>
        <v>1777181.6000000001</v>
      </c>
      <c r="H1202" s="1166">
        <f t="shared" si="1715"/>
        <v>0.01966972216278599</v>
      </c>
      <c r="I1202" s="1167">
        <f t="shared" si="1745"/>
        <v>870068.25</v>
      </c>
      <c r="J1202" s="1167">
        <f t="shared" si="1686"/>
        <v>884828.79000000015</v>
      </c>
      <c r="K1202" s="1371">
        <f t="shared" si="1744"/>
        <v>1754897.04</v>
      </c>
      <c r="L1202" s="1372"/>
      <c r="M1202" s="1127">
        <f t="shared" si="1717"/>
        <v>0</v>
      </c>
      <c r="N1202" s="1127">
        <f t="shared" si="1717"/>
        <v>0</v>
      </c>
      <c r="O1202" s="1127">
        <f t="shared" si="1717"/>
        <v>0</v>
      </c>
      <c r="P1202" s="1127">
        <f t="shared" si="1746"/>
        <v>870054.03000000003</v>
      </c>
      <c r="Q1202" s="1127">
        <f t="shared" si="1717"/>
        <v>870054.03000000003</v>
      </c>
      <c r="R1202" s="1127">
        <f t="shared" si="1747"/>
        <v>884134.39000000013</v>
      </c>
      <c r="S1202" s="1373">
        <f t="shared" si="1718"/>
        <v>1754188.4200000002</v>
      </c>
      <c r="T1202" s="1374">
        <f t="shared" si="1719"/>
        <v>0.021972017776026333</v>
      </c>
      <c r="U1202" s="1173">
        <f t="shared" si="1720"/>
        <v>0</v>
      </c>
      <c r="V1202" s="1127">
        <f t="shared" si="1720"/>
        <v>0</v>
      </c>
      <c r="W1202" s="1127">
        <f t="shared" si="1720"/>
        <v>0</v>
      </c>
      <c r="X1202" s="1127">
        <f t="shared" si="1720"/>
        <v>0</v>
      </c>
      <c r="Y1202" s="1127">
        <f t="shared" si="1720"/>
        <v>1968.95</v>
      </c>
      <c r="Z1202" s="1127">
        <f t="shared" si="1720"/>
        <v>1968.95</v>
      </c>
      <c r="AA1202" s="1127">
        <f t="shared" si="1720"/>
        <v>20315.610000000001</v>
      </c>
      <c r="AB1202" s="1375">
        <f t="shared" si="1721"/>
        <v>22284.560000000001</v>
      </c>
      <c r="AC1202" s="1374">
        <f t="shared" si="1722"/>
        <v>0.0028812233485860867</v>
      </c>
      <c r="AD1202" s="1376">
        <f t="shared" si="1739"/>
        <v>0</v>
      </c>
      <c r="AE1202" s="1127">
        <f t="shared" si="1739"/>
        <v>0</v>
      </c>
      <c r="AF1202" s="1127">
        <f t="shared" si="1739"/>
        <v>0</v>
      </c>
      <c r="AG1202" s="1127">
        <f t="shared" si="1739"/>
        <v>0</v>
      </c>
      <c r="AH1202" s="1127">
        <f t="shared" si="1739"/>
        <v>0</v>
      </c>
      <c r="AI1202" s="1127">
        <f t="shared" si="1739"/>
        <v>0</v>
      </c>
      <c r="AJ1202" s="1127">
        <f t="shared" si="1739"/>
        <v>0</v>
      </c>
      <c r="AK1202" s="1127">
        <f t="shared" si="1724"/>
        <v>0</v>
      </c>
      <c r="AL1202" s="1374">
        <f t="shared" si="1725"/>
        <v>0</v>
      </c>
      <c r="AM1202" s="1376">
        <f t="shared" si="1740"/>
        <v>0</v>
      </c>
      <c r="AN1202" s="1173">
        <f t="shared" si="1740"/>
        <v>0</v>
      </c>
      <c r="AO1202" s="1173">
        <f t="shared" si="1740"/>
        <v>0</v>
      </c>
      <c r="AP1202" s="1173">
        <f t="shared" si="1740"/>
        <v>0</v>
      </c>
      <c r="AQ1202" s="1173">
        <f t="shared" si="1740"/>
        <v>0</v>
      </c>
      <c r="AR1202" s="1173">
        <f t="shared" si="1740"/>
        <v>0</v>
      </c>
      <c r="AS1202" s="1173">
        <f t="shared" si="1740"/>
        <v>0</v>
      </c>
      <c r="AT1202" s="1173">
        <f t="shared" si="1727"/>
        <v>0</v>
      </c>
      <c r="AU1202" s="1377" t="e">
        <f t="shared" si="1728"/>
        <v>#DIV/0!</v>
      </c>
      <c r="AV1202" s="1173">
        <f t="shared" si="1741"/>
        <v>0</v>
      </c>
      <c r="AW1202" s="1127">
        <f t="shared" si="1741"/>
        <v>0</v>
      </c>
      <c r="AX1202" s="1127">
        <f t="shared" si="1741"/>
        <v>0</v>
      </c>
      <c r="AY1202" s="1127">
        <f t="shared" si="1741"/>
        <v>0</v>
      </c>
      <c r="AZ1202" s="1127">
        <f t="shared" si="1741"/>
        <v>14.220000000000001</v>
      </c>
      <c r="BA1202" s="1127">
        <f t="shared" si="1741"/>
        <v>14.220000000000001</v>
      </c>
      <c r="BB1202" s="1127">
        <f t="shared" si="1741"/>
        <v>694.39999999999998</v>
      </c>
      <c r="BC1202" s="1177">
        <f t="shared" si="1730"/>
        <v>708.62</v>
      </c>
      <c r="BD1202" s="1378">
        <f t="shared" si="1731"/>
        <v>0.0070425005796531945</v>
      </c>
      <c r="BE1202" s="1029"/>
      <c r="BF1202" s="1029"/>
    </row>
    <row r="1203" ht="17.25" customHeight="1">
      <c r="A1203" s="999" t="str">
        <f t="shared" si="1712"/>
        <v xml:space="preserve">Баженова И.В.</v>
      </c>
      <c r="B1203" s="1176" t="s">
        <v>206</v>
      </c>
      <c r="C1203" s="1176"/>
      <c r="D1203" s="1163" t="s">
        <v>488</v>
      </c>
      <c r="E1203" s="1164">
        <f t="shared" si="1742"/>
        <v>476253.63</v>
      </c>
      <c r="F1203" s="1226">
        <f t="shared" si="1742"/>
        <v>1073018.79</v>
      </c>
      <c r="G1203" s="1370">
        <f t="shared" si="1743"/>
        <v>1549272.4199999999</v>
      </c>
      <c r="H1203" s="1166">
        <f t="shared" si="1715"/>
        <v>0.017147239233102053</v>
      </c>
      <c r="I1203" s="1167">
        <f t="shared" si="1745"/>
        <v>469155.33000000002</v>
      </c>
      <c r="J1203" s="1167">
        <f t="shared" si="1686"/>
        <v>1054370.5800000001</v>
      </c>
      <c r="K1203" s="1371">
        <f t="shared" si="1744"/>
        <v>1523525.9100000001</v>
      </c>
      <c r="L1203" s="1372"/>
      <c r="M1203" s="1127">
        <f t="shared" ref="M1203:R1266" si="1748">M1105+M1008+M910+M812+M711+M613+M516+M419+M321+M224+M126+M28</f>
        <v>0</v>
      </c>
      <c r="N1203" s="1127">
        <f t="shared" si="1748"/>
        <v>0</v>
      </c>
      <c r="O1203" s="1127">
        <f t="shared" si="1748"/>
        <v>0</v>
      </c>
      <c r="P1203" s="1127">
        <f t="shared" si="1746"/>
        <v>469155.33000000002</v>
      </c>
      <c r="Q1203" s="1127">
        <f t="shared" si="1748"/>
        <v>469155.33000000002</v>
      </c>
      <c r="R1203" s="1127">
        <f t="shared" si="1747"/>
        <v>1054285.23</v>
      </c>
      <c r="S1203" s="1373">
        <f t="shared" si="1718"/>
        <v>1523440.5600000001</v>
      </c>
      <c r="T1203" s="1374">
        <f t="shared" si="1719"/>
        <v>0.019081794568590021</v>
      </c>
      <c r="U1203" s="1173">
        <f t="shared" ref="U1203:AA1266" si="1749">U1105+U1008+U910+U812+U711+U613+U516+U419+U321+U224+U126+U28</f>
        <v>0</v>
      </c>
      <c r="V1203" s="1127">
        <f t="shared" si="1749"/>
        <v>0</v>
      </c>
      <c r="W1203" s="1127">
        <f t="shared" si="1749"/>
        <v>0</v>
      </c>
      <c r="X1203" s="1127">
        <f t="shared" si="1749"/>
        <v>0</v>
      </c>
      <c r="Y1203" s="1127">
        <f t="shared" si="1749"/>
        <v>7098.2999999999993</v>
      </c>
      <c r="Z1203" s="1127">
        <f t="shared" si="1749"/>
        <v>7098.2999999999993</v>
      </c>
      <c r="AA1203" s="1127">
        <f t="shared" si="1749"/>
        <v>18648.209999999999</v>
      </c>
      <c r="AB1203" s="1375">
        <f t="shared" si="1721"/>
        <v>25746.509999999998</v>
      </c>
      <c r="AC1203" s="1374">
        <f t="shared" si="1722"/>
        <v>0.0033288270334529899</v>
      </c>
      <c r="AD1203" s="1376">
        <f t="shared" ref="AD1203:AJ1266" si="1750">AD1105+AD1008+AD910+AD812+AD711+AD613+AD516+AD419+AD321+AD224+AD126+AD28</f>
        <v>0</v>
      </c>
      <c r="AE1203" s="1127">
        <f t="shared" si="1750"/>
        <v>0</v>
      </c>
      <c r="AF1203" s="1127">
        <f t="shared" si="1750"/>
        <v>0</v>
      </c>
      <c r="AG1203" s="1127">
        <f t="shared" si="1750"/>
        <v>0</v>
      </c>
      <c r="AH1203" s="1127">
        <f t="shared" si="1750"/>
        <v>0</v>
      </c>
      <c r="AI1203" s="1127">
        <f t="shared" si="1750"/>
        <v>0</v>
      </c>
      <c r="AJ1203" s="1127">
        <f t="shared" si="1750"/>
        <v>85.349999999999994</v>
      </c>
      <c r="AK1203" s="1127">
        <f t="shared" si="1724"/>
        <v>85.349999999999994</v>
      </c>
      <c r="AL1203" s="1374">
        <f t="shared" si="1725"/>
        <v>3.1862289683269466e-05</v>
      </c>
      <c r="AM1203" s="1376">
        <f t="shared" ref="AM1203:AS1266" si="1751">AM1105+AM1008+AM910+AM812+AM711+AM613+AM516+AM419+AM321+AM224+AM126+AM28</f>
        <v>0</v>
      </c>
      <c r="AN1203" s="1173">
        <f t="shared" si="1740"/>
        <v>0</v>
      </c>
      <c r="AO1203" s="1173">
        <f t="shared" si="1740"/>
        <v>0</v>
      </c>
      <c r="AP1203" s="1173">
        <f t="shared" si="1740"/>
        <v>0</v>
      </c>
      <c r="AQ1203" s="1173">
        <f t="shared" si="1740"/>
        <v>0</v>
      </c>
      <c r="AR1203" s="1173">
        <f t="shared" si="1740"/>
        <v>0</v>
      </c>
      <c r="AS1203" s="1173">
        <f t="shared" si="1740"/>
        <v>0</v>
      </c>
      <c r="AT1203" s="1173">
        <f t="shared" si="1727"/>
        <v>0</v>
      </c>
      <c r="AU1203" s="1377" t="e">
        <f t="shared" si="1728"/>
        <v>#DIV/0!</v>
      </c>
      <c r="AV1203" s="1173">
        <f t="shared" si="1741"/>
        <v>0</v>
      </c>
      <c r="AW1203" s="1127">
        <f t="shared" si="1741"/>
        <v>0</v>
      </c>
      <c r="AX1203" s="1127">
        <f t="shared" si="1741"/>
        <v>0</v>
      </c>
      <c r="AY1203" s="1127">
        <f t="shared" si="1741"/>
        <v>0</v>
      </c>
      <c r="AZ1203" s="1127">
        <f t="shared" si="1741"/>
        <v>0</v>
      </c>
      <c r="BA1203" s="1127">
        <f t="shared" si="1741"/>
        <v>0</v>
      </c>
      <c r="BB1203" s="1127">
        <f t="shared" si="1741"/>
        <v>0</v>
      </c>
      <c r="BC1203" s="1177">
        <f t="shared" si="1730"/>
        <v>0</v>
      </c>
      <c r="BD1203" s="1378">
        <f t="shared" si="1731"/>
        <v>0</v>
      </c>
      <c r="BE1203" s="1029"/>
      <c r="BF1203" s="1029"/>
    </row>
    <row r="1204" ht="17.25" customHeight="1">
      <c r="A1204" s="999" t="str">
        <f t="shared" si="1712"/>
        <v xml:space="preserve">Герингер О.А.</v>
      </c>
      <c r="B1204" s="1176" t="s">
        <v>207</v>
      </c>
      <c r="C1204" s="1194"/>
      <c r="D1204" s="1163" t="s">
        <v>488</v>
      </c>
      <c r="E1204" s="1164">
        <f t="shared" si="1742"/>
        <v>371343.28999999998</v>
      </c>
      <c r="F1204" s="1226">
        <f t="shared" si="1742"/>
        <v>252166.89999999999</v>
      </c>
      <c r="G1204" s="1370">
        <f t="shared" si="1743"/>
        <v>623510.18999999994</v>
      </c>
      <c r="H1204" s="1166">
        <f t="shared" si="1715"/>
        <v>0.0069009673535703397</v>
      </c>
      <c r="I1204" s="1167">
        <f t="shared" si="1745"/>
        <v>371266.78999999998</v>
      </c>
      <c r="J1204" s="1167">
        <f t="shared" si="1686"/>
        <v>233518.69</v>
      </c>
      <c r="K1204" s="1371">
        <f t="shared" si="1744"/>
        <v>604785.47999999998</v>
      </c>
      <c r="L1204" s="1372"/>
      <c r="M1204" s="1127">
        <f t="shared" si="1748"/>
        <v>0</v>
      </c>
      <c r="N1204" s="1127">
        <f t="shared" si="1748"/>
        <v>0</v>
      </c>
      <c r="O1204" s="1127">
        <f t="shared" si="1748"/>
        <v>0</v>
      </c>
      <c r="P1204" s="1127">
        <f t="shared" si="1746"/>
        <v>371266.78999999998</v>
      </c>
      <c r="Q1204" s="1127">
        <f t="shared" si="1748"/>
        <v>371266.78999999998</v>
      </c>
      <c r="R1204" s="1127">
        <f t="shared" si="1747"/>
        <v>233518.69</v>
      </c>
      <c r="S1204" s="1373">
        <f t="shared" si="1718"/>
        <v>604785.47999999998</v>
      </c>
      <c r="T1204" s="1374">
        <f t="shared" si="1719"/>
        <v>0.007575216644767623</v>
      </c>
      <c r="U1204" s="1173">
        <f t="shared" si="1749"/>
        <v>0</v>
      </c>
      <c r="V1204" s="1127">
        <f t="shared" si="1749"/>
        <v>0</v>
      </c>
      <c r="W1204" s="1127">
        <f t="shared" si="1749"/>
        <v>0</v>
      </c>
      <c r="X1204" s="1127">
        <f t="shared" si="1749"/>
        <v>0</v>
      </c>
      <c r="Y1204" s="1127">
        <f t="shared" si="1749"/>
        <v>76.5</v>
      </c>
      <c r="Z1204" s="1127">
        <f t="shared" si="1749"/>
        <v>76.5</v>
      </c>
      <c r="AA1204" s="1127">
        <f t="shared" si="1749"/>
        <v>18648.209999999999</v>
      </c>
      <c r="AB1204" s="1375">
        <f t="shared" si="1721"/>
        <v>18724.709999999999</v>
      </c>
      <c r="AC1204" s="1374">
        <f t="shared" si="1722"/>
        <v>0.0024209619416987985</v>
      </c>
      <c r="AD1204" s="1376">
        <f t="shared" si="1750"/>
        <v>0</v>
      </c>
      <c r="AE1204" s="1127">
        <f t="shared" si="1750"/>
        <v>0</v>
      </c>
      <c r="AF1204" s="1127">
        <f t="shared" si="1750"/>
        <v>0</v>
      </c>
      <c r="AG1204" s="1127">
        <f t="shared" si="1750"/>
        <v>0</v>
      </c>
      <c r="AH1204" s="1127">
        <f t="shared" si="1750"/>
        <v>0</v>
      </c>
      <c r="AI1204" s="1127">
        <f t="shared" si="1750"/>
        <v>0</v>
      </c>
      <c r="AJ1204" s="1127">
        <f t="shared" si="1750"/>
        <v>0</v>
      </c>
      <c r="AK1204" s="1127">
        <f t="shared" si="1724"/>
        <v>0</v>
      </c>
      <c r="AL1204" s="1374">
        <f t="shared" si="1725"/>
        <v>0</v>
      </c>
      <c r="AM1204" s="1376">
        <f t="shared" si="1751"/>
        <v>0</v>
      </c>
      <c r="AN1204" s="1173">
        <f t="shared" si="1740"/>
        <v>0</v>
      </c>
      <c r="AO1204" s="1173">
        <f t="shared" si="1740"/>
        <v>0</v>
      </c>
      <c r="AP1204" s="1173">
        <f t="shared" si="1740"/>
        <v>0</v>
      </c>
      <c r="AQ1204" s="1173">
        <f t="shared" si="1740"/>
        <v>0</v>
      </c>
      <c r="AR1204" s="1173">
        <f t="shared" si="1740"/>
        <v>0</v>
      </c>
      <c r="AS1204" s="1173">
        <f t="shared" si="1740"/>
        <v>0</v>
      </c>
      <c r="AT1204" s="1173">
        <f t="shared" si="1727"/>
        <v>0</v>
      </c>
      <c r="AU1204" s="1377" t="e">
        <f t="shared" si="1728"/>
        <v>#DIV/0!</v>
      </c>
      <c r="AV1204" s="1173">
        <f t="shared" si="1741"/>
        <v>0</v>
      </c>
      <c r="AW1204" s="1127">
        <f t="shared" si="1741"/>
        <v>0</v>
      </c>
      <c r="AX1204" s="1127">
        <f t="shared" si="1741"/>
        <v>0</v>
      </c>
      <c r="AY1204" s="1127">
        <f t="shared" si="1741"/>
        <v>0</v>
      </c>
      <c r="AZ1204" s="1127">
        <f t="shared" si="1741"/>
        <v>0</v>
      </c>
      <c r="BA1204" s="1127">
        <f t="shared" si="1741"/>
        <v>0</v>
      </c>
      <c r="BB1204" s="1127">
        <f t="shared" si="1741"/>
        <v>0</v>
      </c>
      <c r="BC1204" s="1177">
        <f t="shared" si="1730"/>
        <v>0</v>
      </c>
      <c r="BD1204" s="1378">
        <f t="shared" si="1731"/>
        <v>0</v>
      </c>
      <c r="BE1204" s="1029"/>
      <c r="BF1204" s="1029"/>
    </row>
    <row r="1205" ht="17.25" customHeight="1">
      <c r="A1205" s="999" t="str">
        <f t="shared" si="1712"/>
        <v xml:space="preserve">Ничипуренко И.А.</v>
      </c>
      <c r="B1205" s="1176" t="s">
        <v>375</v>
      </c>
      <c r="C1205" s="1176"/>
      <c r="D1205" s="1163" t="s">
        <v>488</v>
      </c>
      <c r="E1205" s="1164">
        <f t="shared" si="1742"/>
        <v>170033.47999999998</v>
      </c>
      <c r="F1205" s="1226">
        <f t="shared" si="1742"/>
        <v>93300.360000000001</v>
      </c>
      <c r="G1205" s="1370">
        <f t="shared" si="1743"/>
        <v>263333.83999999997</v>
      </c>
      <c r="H1205" s="1166">
        <f t="shared" si="1715"/>
        <v>0.002914560599130409</v>
      </c>
      <c r="I1205" s="1167">
        <f t="shared" si="1745"/>
        <v>169691.70999999999</v>
      </c>
      <c r="J1205" s="1167">
        <f t="shared" si="1686"/>
        <v>74652.149999999994</v>
      </c>
      <c r="K1205" s="1371">
        <f t="shared" si="1744"/>
        <v>244343.85999999999</v>
      </c>
      <c r="L1205" s="1372"/>
      <c r="M1205" s="1127">
        <f t="shared" si="1748"/>
        <v>0</v>
      </c>
      <c r="N1205" s="1127">
        <f t="shared" si="1748"/>
        <v>0</v>
      </c>
      <c r="O1205" s="1127">
        <f t="shared" si="1748"/>
        <v>0</v>
      </c>
      <c r="P1205" s="1127">
        <f t="shared" si="1746"/>
        <v>169691.70999999999</v>
      </c>
      <c r="Q1205" s="1127">
        <f t="shared" si="1748"/>
        <v>169691.70999999999</v>
      </c>
      <c r="R1205" s="1127">
        <f t="shared" si="1747"/>
        <v>63700.289999999994</v>
      </c>
      <c r="S1205" s="1373">
        <f t="shared" si="1718"/>
        <v>233392</v>
      </c>
      <c r="T1205" s="1374">
        <f t="shared" si="1719"/>
        <v>0.0029233422785805061</v>
      </c>
      <c r="U1205" s="1173">
        <f t="shared" si="1749"/>
        <v>0</v>
      </c>
      <c r="V1205" s="1127">
        <f t="shared" si="1749"/>
        <v>0</v>
      </c>
      <c r="W1205" s="1127">
        <f t="shared" si="1749"/>
        <v>0</v>
      </c>
      <c r="X1205" s="1127">
        <f t="shared" si="1749"/>
        <v>0</v>
      </c>
      <c r="Y1205" s="1127">
        <f t="shared" si="1749"/>
        <v>341.76999999999998</v>
      </c>
      <c r="Z1205" s="1127">
        <f t="shared" si="1749"/>
        <v>341.76999999999998</v>
      </c>
      <c r="AA1205" s="1127">
        <f t="shared" si="1749"/>
        <v>18648.209999999999</v>
      </c>
      <c r="AB1205" s="1375">
        <f t="shared" si="1721"/>
        <v>18989.98</v>
      </c>
      <c r="AC1205" s="1374">
        <f t="shared" si="1722"/>
        <v>0.0024552593259720098</v>
      </c>
      <c r="AD1205" s="1376">
        <f t="shared" si="1750"/>
        <v>0</v>
      </c>
      <c r="AE1205" s="1127">
        <f t="shared" si="1750"/>
        <v>0</v>
      </c>
      <c r="AF1205" s="1127">
        <f t="shared" si="1750"/>
        <v>0</v>
      </c>
      <c r="AG1205" s="1127">
        <f t="shared" si="1750"/>
        <v>0</v>
      </c>
      <c r="AH1205" s="1127">
        <f t="shared" si="1750"/>
        <v>0</v>
      </c>
      <c r="AI1205" s="1127">
        <f t="shared" si="1750"/>
        <v>0</v>
      </c>
      <c r="AJ1205" s="1127">
        <f t="shared" si="1750"/>
        <v>10951.860000000001</v>
      </c>
      <c r="AK1205" s="1127">
        <f t="shared" si="1724"/>
        <v>10951.860000000001</v>
      </c>
      <c r="AL1205" s="1374">
        <f t="shared" si="1725"/>
        <v>0.0040884749372069309</v>
      </c>
      <c r="AM1205" s="1376">
        <f t="shared" si="1751"/>
        <v>0</v>
      </c>
      <c r="AN1205" s="1173">
        <f t="shared" si="1740"/>
        <v>0</v>
      </c>
      <c r="AO1205" s="1173">
        <f t="shared" si="1740"/>
        <v>0</v>
      </c>
      <c r="AP1205" s="1173">
        <f t="shared" si="1740"/>
        <v>0</v>
      </c>
      <c r="AQ1205" s="1173">
        <f t="shared" si="1740"/>
        <v>0</v>
      </c>
      <c r="AR1205" s="1173">
        <f t="shared" si="1740"/>
        <v>0</v>
      </c>
      <c r="AS1205" s="1173">
        <f t="shared" si="1740"/>
        <v>0</v>
      </c>
      <c r="AT1205" s="1173">
        <f t="shared" si="1727"/>
        <v>0</v>
      </c>
      <c r="AU1205" s="1377" t="e">
        <f t="shared" si="1728"/>
        <v>#DIV/0!</v>
      </c>
      <c r="AV1205" s="1173">
        <f t="shared" si="1741"/>
        <v>0</v>
      </c>
      <c r="AW1205" s="1127">
        <f t="shared" si="1741"/>
        <v>0</v>
      </c>
      <c r="AX1205" s="1127">
        <f t="shared" si="1741"/>
        <v>0</v>
      </c>
      <c r="AY1205" s="1127">
        <f t="shared" si="1741"/>
        <v>0</v>
      </c>
      <c r="AZ1205" s="1127">
        <f t="shared" si="1741"/>
        <v>0</v>
      </c>
      <c r="BA1205" s="1127">
        <f t="shared" si="1741"/>
        <v>0</v>
      </c>
      <c r="BB1205" s="1127">
        <f t="shared" si="1741"/>
        <v>0</v>
      </c>
      <c r="BC1205" s="1177">
        <f t="shared" si="1730"/>
        <v>0</v>
      </c>
      <c r="BD1205" s="1378">
        <f t="shared" si="1731"/>
        <v>0</v>
      </c>
      <c r="BE1205" s="1029"/>
      <c r="BF1205" s="1029"/>
    </row>
    <row r="1206" ht="17.25" customHeight="1">
      <c r="A1206" s="999" t="str">
        <f t="shared" si="1712"/>
        <v xml:space="preserve">Дылыкова А.А. Закусова О.А.  Фоменко Т.В., Бондаренко Н.Ф.</v>
      </c>
      <c r="B1206" s="1176" t="s">
        <v>210</v>
      </c>
      <c r="C1206" s="1176"/>
      <c r="D1206" s="1163" t="s">
        <v>488</v>
      </c>
      <c r="E1206" s="1164">
        <f t="shared" si="1742"/>
        <v>230129.25</v>
      </c>
      <c r="F1206" s="1226">
        <f t="shared" si="1742"/>
        <v>537784.92000000004</v>
      </c>
      <c r="G1206" s="1370">
        <f t="shared" si="1743"/>
        <v>767914.17000000004</v>
      </c>
      <c r="H1206" s="1166">
        <f t="shared" si="1715"/>
        <v>0.0084992205460412192</v>
      </c>
      <c r="I1206" s="1167">
        <f t="shared" si="1745"/>
        <v>230063.20999999999</v>
      </c>
      <c r="J1206" s="1167">
        <f t="shared" si="1686"/>
        <v>519136.71000000002</v>
      </c>
      <c r="K1206" s="1371">
        <f t="shared" si="1744"/>
        <v>749199.92000000004</v>
      </c>
      <c r="L1206" s="1372"/>
      <c r="M1206" s="1127">
        <f t="shared" si="1748"/>
        <v>0</v>
      </c>
      <c r="N1206" s="1127">
        <f t="shared" si="1748"/>
        <v>0</v>
      </c>
      <c r="O1206" s="1127">
        <f t="shared" si="1748"/>
        <v>0</v>
      </c>
      <c r="P1206" s="1127">
        <f t="shared" si="1746"/>
        <v>229139.88</v>
      </c>
      <c r="Q1206" s="1127">
        <f t="shared" si="1748"/>
        <v>229139.88</v>
      </c>
      <c r="R1206" s="1127">
        <f t="shared" si="1747"/>
        <v>515224.90000000002</v>
      </c>
      <c r="S1206" s="1373">
        <f t="shared" si="1718"/>
        <v>744364.78000000003</v>
      </c>
      <c r="T1206" s="1374">
        <f t="shared" si="1719"/>
        <v>0.0093235116544709215</v>
      </c>
      <c r="U1206" s="1173">
        <f t="shared" si="1749"/>
        <v>0</v>
      </c>
      <c r="V1206" s="1127">
        <f t="shared" si="1749"/>
        <v>0</v>
      </c>
      <c r="W1206" s="1127">
        <f t="shared" si="1749"/>
        <v>0</v>
      </c>
      <c r="X1206" s="1127">
        <f t="shared" si="1749"/>
        <v>0</v>
      </c>
      <c r="Y1206" s="1127">
        <f t="shared" si="1749"/>
        <v>66.040000000000006</v>
      </c>
      <c r="Z1206" s="1127">
        <f t="shared" si="1749"/>
        <v>66.040000000000006</v>
      </c>
      <c r="AA1206" s="1127">
        <f t="shared" si="1749"/>
        <v>18648.209999999999</v>
      </c>
      <c r="AB1206" s="1375">
        <f t="shared" si="1721"/>
        <v>18714.25</v>
      </c>
      <c r="AC1206" s="1374">
        <f t="shared" si="1722"/>
        <v>0.002419609543615722</v>
      </c>
      <c r="AD1206" s="1376">
        <f t="shared" si="1750"/>
        <v>0</v>
      </c>
      <c r="AE1206" s="1127">
        <f t="shared" si="1750"/>
        <v>0</v>
      </c>
      <c r="AF1206" s="1127">
        <f t="shared" si="1750"/>
        <v>0</v>
      </c>
      <c r="AG1206" s="1127">
        <f t="shared" si="1750"/>
        <v>0</v>
      </c>
      <c r="AH1206" s="1127">
        <f t="shared" si="1750"/>
        <v>923.33000000000004</v>
      </c>
      <c r="AI1206" s="1127">
        <f t="shared" si="1750"/>
        <v>923.33000000000004</v>
      </c>
      <c r="AJ1206" s="1127">
        <f t="shared" si="1750"/>
        <v>3911.8099999999999</v>
      </c>
      <c r="AK1206" s="1127">
        <f t="shared" si="1724"/>
        <v>4835.1400000000003</v>
      </c>
      <c r="AL1206" s="1374">
        <f t="shared" si="1725"/>
        <v>0.0018050220426381199</v>
      </c>
      <c r="AM1206" s="1376">
        <f t="shared" si="1751"/>
        <v>0</v>
      </c>
      <c r="AN1206" s="1173">
        <f t="shared" si="1740"/>
        <v>0</v>
      </c>
      <c r="AO1206" s="1173">
        <f t="shared" si="1740"/>
        <v>0</v>
      </c>
      <c r="AP1206" s="1173">
        <f t="shared" si="1740"/>
        <v>0</v>
      </c>
      <c r="AQ1206" s="1173">
        <f t="shared" si="1740"/>
        <v>0</v>
      </c>
      <c r="AR1206" s="1173">
        <f t="shared" si="1740"/>
        <v>0</v>
      </c>
      <c r="AS1206" s="1173">
        <f t="shared" si="1740"/>
        <v>0</v>
      </c>
      <c r="AT1206" s="1173">
        <f t="shared" si="1727"/>
        <v>0</v>
      </c>
      <c r="AU1206" s="1377" t="e">
        <f t="shared" si="1728"/>
        <v>#DIV/0!</v>
      </c>
      <c r="AV1206" s="1173">
        <f t="shared" si="1741"/>
        <v>0</v>
      </c>
      <c r="AW1206" s="1127">
        <f t="shared" si="1741"/>
        <v>0</v>
      </c>
      <c r="AX1206" s="1127">
        <f t="shared" si="1741"/>
        <v>0</v>
      </c>
      <c r="AY1206" s="1127">
        <f t="shared" si="1741"/>
        <v>0</v>
      </c>
      <c r="AZ1206" s="1127">
        <f t="shared" si="1741"/>
        <v>0</v>
      </c>
      <c r="BA1206" s="1127">
        <f t="shared" si="1741"/>
        <v>0</v>
      </c>
      <c r="BB1206" s="1127">
        <f t="shared" si="1741"/>
        <v>0</v>
      </c>
      <c r="BC1206" s="1177">
        <f t="shared" si="1730"/>
        <v>0</v>
      </c>
      <c r="BD1206" s="1378">
        <f t="shared" si="1731"/>
        <v>0</v>
      </c>
      <c r="BE1206" s="1029"/>
      <c r="BF1206" s="1029"/>
    </row>
    <row r="1207" ht="17.25" customHeight="1">
      <c r="A1207" s="999" t="str">
        <f t="shared" si="1712"/>
        <v xml:space="preserve">Мазуренко А.Н.</v>
      </c>
      <c r="B1207" s="1176" t="s">
        <v>211</v>
      </c>
      <c r="C1207" s="1176"/>
      <c r="D1207" s="1163" t="s">
        <v>488</v>
      </c>
      <c r="E1207" s="1164">
        <f t="shared" si="1742"/>
        <v>401002.68999999994</v>
      </c>
      <c r="F1207" s="1226">
        <f>R1207+AA1207+AJ1207+AS1207+BB1207</f>
        <v>128439.3</v>
      </c>
      <c r="G1207" s="1370">
        <f t="shared" si="1743"/>
        <v>529441.98999999999</v>
      </c>
      <c r="H1207" s="1166">
        <f t="shared" si="1715"/>
        <v>0.0058598270681018295</v>
      </c>
      <c r="I1207" s="1167">
        <f t="shared" si="1745"/>
        <v>400108.82999999996</v>
      </c>
      <c r="J1207" s="1167">
        <f t="shared" si="1686"/>
        <v>117301.13</v>
      </c>
      <c r="K1207" s="1371">
        <f t="shared" si="1744"/>
        <v>517409.95999999996</v>
      </c>
      <c r="L1207" s="1372"/>
      <c r="M1207" s="1127">
        <f t="shared" si="1748"/>
        <v>0</v>
      </c>
      <c r="N1207" s="1127">
        <f t="shared" si="1748"/>
        <v>0</v>
      </c>
      <c r="O1207" s="1127">
        <f t="shared" si="1748"/>
        <v>0</v>
      </c>
      <c r="P1207" s="1127">
        <f t="shared" si="1748"/>
        <v>400108.82999999996</v>
      </c>
      <c r="Q1207" s="1127">
        <f t="shared" si="1748"/>
        <v>400108.82999999996</v>
      </c>
      <c r="R1207" s="1127">
        <f>R1109+R1012+R914+R816+R715+R617+R520+R423+R325+R228+R130+R32</f>
        <v>117301.13</v>
      </c>
      <c r="S1207" s="1373">
        <f t="shared" si="1718"/>
        <v>517409.95999999996</v>
      </c>
      <c r="T1207" s="1374">
        <f t="shared" si="1719"/>
        <v>0.0064807980197549549</v>
      </c>
      <c r="U1207" s="1173">
        <f t="shared" si="1749"/>
        <v>0</v>
      </c>
      <c r="V1207" s="1127">
        <f t="shared" si="1749"/>
        <v>0</v>
      </c>
      <c r="W1207" s="1127">
        <f t="shared" si="1749"/>
        <v>0</v>
      </c>
      <c r="X1207" s="1127">
        <f t="shared" si="1749"/>
        <v>0</v>
      </c>
      <c r="Y1207" s="1127">
        <f t="shared" si="1749"/>
        <v>893.86000000000001</v>
      </c>
      <c r="Z1207" s="1127">
        <f t="shared" si="1749"/>
        <v>893.86000000000001</v>
      </c>
      <c r="AA1207" s="1127">
        <f t="shared" si="1749"/>
        <v>11138.17</v>
      </c>
      <c r="AB1207" s="1375">
        <f t="shared" si="1721"/>
        <v>12032.030000000001</v>
      </c>
      <c r="AC1207" s="1374">
        <f t="shared" si="1722"/>
        <v>0.0015556495513884166</v>
      </c>
      <c r="AD1207" s="1376">
        <f t="shared" si="1750"/>
        <v>0</v>
      </c>
      <c r="AE1207" s="1127">
        <f t="shared" si="1750"/>
        <v>0</v>
      </c>
      <c r="AF1207" s="1127">
        <f t="shared" si="1750"/>
        <v>0</v>
      </c>
      <c r="AG1207" s="1127">
        <f t="shared" si="1750"/>
        <v>0</v>
      </c>
      <c r="AH1207" s="1127">
        <f t="shared" si="1750"/>
        <v>0</v>
      </c>
      <c r="AI1207" s="1127">
        <f t="shared" si="1750"/>
        <v>0</v>
      </c>
      <c r="AJ1207" s="1127">
        <f t="shared" si="1750"/>
        <v>0</v>
      </c>
      <c r="AK1207" s="1127">
        <f t="shared" si="1724"/>
        <v>0</v>
      </c>
      <c r="AL1207" s="1374">
        <f t="shared" si="1725"/>
        <v>0</v>
      </c>
      <c r="AM1207" s="1376">
        <f t="shared" si="1751"/>
        <v>0</v>
      </c>
      <c r="AN1207" s="1173">
        <f t="shared" si="1740"/>
        <v>0</v>
      </c>
      <c r="AO1207" s="1173">
        <f t="shared" si="1740"/>
        <v>0</v>
      </c>
      <c r="AP1207" s="1173">
        <f t="shared" si="1740"/>
        <v>0</v>
      </c>
      <c r="AQ1207" s="1173">
        <f t="shared" si="1740"/>
        <v>0</v>
      </c>
      <c r="AR1207" s="1173">
        <f t="shared" si="1740"/>
        <v>0</v>
      </c>
      <c r="AS1207" s="1173">
        <f t="shared" si="1740"/>
        <v>0</v>
      </c>
      <c r="AT1207" s="1173">
        <f t="shared" si="1727"/>
        <v>0</v>
      </c>
      <c r="AU1207" s="1377" t="e">
        <f t="shared" si="1728"/>
        <v>#DIV/0!</v>
      </c>
      <c r="AV1207" s="1173">
        <f t="shared" si="1741"/>
        <v>0</v>
      </c>
      <c r="AW1207" s="1127">
        <f t="shared" si="1741"/>
        <v>0</v>
      </c>
      <c r="AX1207" s="1127">
        <f t="shared" si="1741"/>
        <v>0</v>
      </c>
      <c r="AY1207" s="1127">
        <f t="shared" si="1741"/>
        <v>0</v>
      </c>
      <c r="AZ1207" s="1127">
        <f t="shared" si="1741"/>
        <v>0</v>
      </c>
      <c r="BA1207" s="1127">
        <f t="shared" si="1741"/>
        <v>0</v>
      </c>
      <c r="BB1207" s="1127">
        <f t="shared" si="1741"/>
        <v>0</v>
      </c>
      <c r="BC1207" s="1177">
        <f t="shared" si="1730"/>
        <v>0</v>
      </c>
      <c r="BD1207" s="1378">
        <f t="shared" si="1731"/>
        <v>0</v>
      </c>
      <c r="BE1207" s="1029"/>
      <c r="BF1207" s="1029"/>
    </row>
    <row r="1208" s="1180" customFormat="1" ht="17.25" customHeight="1">
      <c r="A1208" s="999">
        <f t="shared" si="1712"/>
        <v>0</v>
      </c>
      <c r="B1208" s="1182" t="s">
        <v>363</v>
      </c>
      <c r="C1208" s="1182"/>
      <c r="D1208" s="1182"/>
      <c r="E1208" s="1183">
        <f>SUM(E1195:E1207)</f>
        <v>3867508.25</v>
      </c>
      <c r="F1208" s="1382">
        <f>SUM(F1195:F1207)</f>
        <v>4874520.2399999993</v>
      </c>
      <c r="G1208" s="1184">
        <f>SUM(G1195:G1207)</f>
        <v>8742028.4900000002</v>
      </c>
      <c r="H1208" s="1185">
        <f t="shared" si="1715"/>
        <v>0.096756162418888167</v>
      </c>
      <c r="I1208" s="1167">
        <f t="shared" si="1745"/>
        <v>3851533.7400000002</v>
      </c>
      <c r="J1208" s="1167">
        <f t="shared" si="1686"/>
        <v>4664094.4699999988</v>
      </c>
      <c r="K1208" s="1187">
        <f>SUM(K1195:K1207)</f>
        <v>8515628.2100000009</v>
      </c>
      <c r="L1208" s="1071"/>
      <c r="M1208" s="1319">
        <f t="shared" si="1748"/>
        <v>0</v>
      </c>
      <c r="N1208" s="1319">
        <f t="shared" si="1748"/>
        <v>0</v>
      </c>
      <c r="O1208" s="1319">
        <f t="shared" si="1748"/>
        <v>0</v>
      </c>
      <c r="P1208" s="1319">
        <f t="shared" si="1748"/>
        <v>3850596.1899999995</v>
      </c>
      <c r="Q1208" s="1319">
        <f t="shared" si="1748"/>
        <v>3850596.1899999995</v>
      </c>
      <c r="R1208" s="1319">
        <f t="shared" si="1748"/>
        <v>4634204.96</v>
      </c>
      <c r="S1208" s="1319">
        <f t="shared" si="1718"/>
        <v>8484801.1499999985</v>
      </c>
      <c r="T1208" s="1374">
        <f t="shared" si="1719"/>
        <v>0.10627604171155607</v>
      </c>
      <c r="U1208" s="1350">
        <f t="shared" si="1749"/>
        <v>0</v>
      </c>
      <c r="V1208" s="1319">
        <f t="shared" si="1749"/>
        <v>0</v>
      </c>
      <c r="W1208" s="1319">
        <f t="shared" si="1749"/>
        <v>0</v>
      </c>
      <c r="X1208" s="1319">
        <f t="shared" si="1749"/>
        <v>0</v>
      </c>
      <c r="Y1208" s="1319">
        <f t="shared" si="1749"/>
        <v>15974.510000000002</v>
      </c>
      <c r="Z1208" s="1319">
        <f t="shared" si="1749"/>
        <v>15974.510000000002</v>
      </c>
      <c r="AA1208" s="1319">
        <f t="shared" si="1749"/>
        <v>210425.77000000002</v>
      </c>
      <c r="AB1208" s="1383">
        <f t="shared" si="1721"/>
        <v>226400.28000000003</v>
      </c>
      <c r="AC1208" s="1374">
        <f t="shared" si="1722"/>
        <v>0.029271826451248203</v>
      </c>
      <c r="AD1208" s="1349">
        <f t="shared" si="1750"/>
        <v>0</v>
      </c>
      <c r="AE1208" s="1319">
        <f t="shared" si="1750"/>
        <v>0</v>
      </c>
      <c r="AF1208" s="1319">
        <f t="shared" si="1750"/>
        <v>0</v>
      </c>
      <c r="AG1208" s="1319">
        <f t="shared" si="1750"/>
        <v>0</v>
      </c>
      <c r="AH1208" s="1319">
        <f t="shared" si="1750"/>
        <v>923.33000000000004</v>
      </c>
      <c r="AI1208" s="1319">
        <f t="shared" si="1750"/>
        <v>923.33000000000004</v>
      </c>
      <c r="AJ1208" s="1319">
        <f t="shared" si="1750"/>
        <v>29195.109999999997</v>
      </c>
      <c r="AK1208" s="1319">
        <f t="shared" si="1724"/>
        <v>30118.439999999999</v>
      </c>
      <c r="AL1208" s="1374">
        <f t="shared" si="1725"/>
        <v>0.011243614060786999</v>
      </c>
      <c r="AM1208" s="1349">
        <f t="shared" si="1751"/>
        <v>0</v>
      </c>
      <c r="AN1208" s="1350">
        <f t="shared" si="1740"/>
        <v>0</v>
      </c>
      <c r="AO1208" s="1350">
        <f t="shared" si="1740"/>
        <v>0</v>
      </c>
      <c r="AP1208" s="1350">
        <f t="shared" si="1740"/>
        <v>0</v>
      </c>
      <c r="AQ1208" s="1350">
        <f t="shared" si="1740"/>
        <v>0</v>
      </c>
      <c r="AR1208" s="1350">
        <f t="shared" si="1740"/>
        <v>0</v>
      </c>
      <c r="AS1208" s="1350">
        <f t="shared" si="1740"/>
        <v>0</v>
      </c>
      <c r="AT1208" s="1350">
        <f t="shared" si="1727"/>
        <v>0</v>
      </c>
      <c r="AU1208" s="1377" t="e">
        <f t="shared" si="1728"/>
        <v>#DIV/0!</v>
      </c>
      <c r="AV1208" s="1350">
        <f t="shared" si="1741"/>
        <v>0</v>
      </c>
      <c r="AW1208" s="1319">
        <f t="shared" si="1741"/>
        <v>0</v>
      </c>
      <c r="AX1208" s="1319">
        <f t="shared" si="1741"/>
        <v>0</v>
      </c>
      <c r="AY1208" s="1319">
        <f t="shared" si="1741"/>
        <v>0</v>
      </c>
      <c r="AZ1208" s="1319">
        <f t="shared" si="1741"/>
        <v>14.220000000000001</v>
      </c>
      <c r="BA1208" s="1319">
        <f t="shared" si="1741"/>
        <v>14.220000000000001</v>
      </c>
      <c r="BB1208" s="1319">
        <f t="shared" si="1741"/>
        <v>694.39999999999998</v>
      </c>
      <c r="BC1208" s="1281">
        <f t="shared" si="1730"/>
        <v>708.62</v>
      </c>
      <c r="BD1208" s="1378">
        <f t="shared" si="1731"/>
        <v>0.0070425005796531945</v>
      </c>
      <c r="BE1208" s="1051"/>
      <c r="BF1208" s="1051"/>
      <c r="BG1208" s="1106"/>
      <c r="BH1208" s="1106"/>
      <c r="BI1208" s="1106"/>
      <c r="BJ1208" s="1106"/>
      <c r="BK1208" s="1106"/>
      <c r="BL1208" s="1106"/>
      <c r="BM1208" s="1106"/>
    </row>
    <row r="1209" ht="17.25" customHeight="1">
      <c r="A1209" s="999" t="str">
        <f t="shared" si="1712"/>
        <v xml:space="preserve">Румак В.Н,  Стоянова Е.П.</v>
      </c>
      <c r="B1209" s="1176" t="s">
        <v>379</v>
      </c>
      <c r="C1209" s="1176"/>
      <c r="D1209" s="1163" t="s">
        <v>488</v>
      </c>
      <c r="E1209" s="1164">
        <f t="shared" ref="E1209:F1213" si="1752">Q1209+Z1209+AI1209+AR1209+BA1209</f>
        <v>215270.70999999999</v>
      </c>
      <c r="F1209" s="1226">
        <f t="shared" si="1752"/>
        <v>101130.42999999999</v>
      </c>
      <c r="G1209" s="1370">
        <f t="shared" ref="G1209:G1213" si="1753">E1209+F1209</f>
        <v>316401.14000000001</v>
      </c>
      <c r="H1209" s="1166">
        <f t="shared" si="1715"/>
        <v>0.0035019057792342397</v>
      </c>
      <c r="I1209" s="1167">
        <f t="shared" si="1745"/>
        <v>215041.20999999999</v>
      </c>
      <c r="J1209" s="1167">
        <f t="shared" si="1686"/>
        <v>93620.389999999999</v>
      </c>
      <c r="K1209" s="1371">
        <f t="shared" ref="K1209:K1213" si="1754">I1209+J1209</f>
        <v>308661.59999999998</v>
      </c>
      <c r="L1209" s="1372"/>
      <c r="M1209" s="1127">
        <f t="shared" si="1748"/>
        <v>0</v>
      </c>
      <c r="N1209" s="1127">
        <f t="shared" si="1748"/>
        <v>0</v>
      </c>
      <c r="O1209" s="1127">
        <f t="shared" si="1748"/>
        <v>0</v>
      </c>
      <c r="P1209" s="1127">
        <f t="shared" si="1748"/>
        <v>157870.04999999999</v>
      </c>
      <c r="Q1209" s="1127">
        <f t="shared" si="1748"/>
        <v>157870.04999999999</v>
      </c>
      <c r="R1209" s="1127">
        <f t="shared" si="1748"/>
        <v>93620.389999999999</v>
      </c>
      <c r="S1209" s="1373">
        <f t="shared" si="1718"/>
        <v>251490.44</v>
      </c>
      <c r="T1209" s="1374">
        <f t="shared" si="1719"/>
        <v>0.0031500335740334462</v>
      </c>
      <c r="U1209" s="1173">
        <f t="shared" si="1749"/>
        <v>0</v>
      </c>
      <c r="V1209" s="1127">
        <f t="shared" si="1749"/>
        <v>0</v>
      </c>
      <c r="W1209" s="1127">
        <f t="shared" si="1749"/>
        <v>0</v>
      </c>
      <c r="X1209" s="1127">
        <f t="shared" si="1749"/>
        <v>0</v>
      </c>
      <c r="Y1209" s="1127">
        <f t="shared" si="1749"/>
        <v>229.5</v>
      </c>
      <c r="Z1209" s="1127">
        <f t="shared" si="1749"/>
        <v>229.5</v>
      </c>
      <c r="AA1209" s="1127">
        <f t="shared" si="1749"/>
        <v>7510.04</v>
      </c>
      <c r="AB1209" s="1375">
        <f t="shared" si="1721"/>
        <v>7739.54</v>
      </c>
      <c r="AC1209" s="1374">
        <f t="shared" si="1722"/>
        <v>0.0010006633900474572</v>
      </c>
      <c r="AD1209" s="1376">
        <f t="shared" si="1750"/>
        <v>0</v>
      </c>
      <c r="AE1209" s="1127">
        <f t="shared" si="1750"/>
        <v>0</v>
      </c>
      <c r="AF1209" s="1127">
        <f t="shared" si="1750"/>
        <v>0</v>
      </c>
      <c r="AG1209" s="1127">
        <f t="shared" si="1750"/>
        <v>0</v>
      </c>
      <c r="AH1209" s="1127">
        <f t="shared" si="1750"/>
        <v>57171.160000000003</v>
      </c>
      <c r="AI1209" s="1127">
        <f t="shared" si="1750"/>
        <v>57171.160000000003</v>
      </c>
      <c r="AJ1209" s="1127">
        <f t="shared" si="1750"/>
        <v>0</v>
      </c>
      <c r="AK1209" s="1127">
        <f t="shared" si="1724"/>
        <v>57171.160000000003</v>
      </c>
      <c r="AL1209" s="1374">
        <f t="shared" si="1725"/>
        <v>0.021342754088442273</v>
      </c>
      <c r="AM1209" s="1376">
        <f t="shared" si="1751"/>
        <v>0</v>
      </c>
      <c r="AN1209" s="1173">
        <f t="shared" si="1751"/>
        <v>0</v>
      </c>
      <c r="AO1209" s="1173">
        <f t="shared" si="1751"/>
        <v>0</v>
      </c>
      <c r="AP1209" s="1173">
        <f t="shared" si="1751"/>
        <v>0</v>
      </c>
      <c r="AQ1209" s="1173">
        <f t="shared" si="1751"/>
        <v>0</v>
      </c>
      <c r="AR1209" s="1173">
        <f t="shared" si="1751"/>
        <v>0</v>
      </c>
      <c r="AS1209" s="1173">
        <f t="shared" si="1751"/>
        <v>0</v>
      </c>
      <c r="AT1209" s="1173">
        <f t="shared" si="1727"/>
        <v>0</v>
      </c>
      <c r="AU1209" s="1377" t="e">
        <f t="shared" si="1728"/>
        <v>#DIV/0!</v>
      </c>
      <c r="AV1209" s="1173">
        <f t="shared" ref="AV1209:BB1272" si="1755">AV1111+AV1014+AV916+AV818+AV717+AV619+AV522+AV425+AV327+AV230+AV132+AV34</f>
        <v>0</v>
      </c>
      <c r="AW1209" s="1127">
        <f t="shared" si="1755"/>
        <v>0</v>
      </c>
      <c r="AX1209" s="1127">
        <f t="shared" si="1755"/>
        <v>0</v>
      </c>
      <c r="AY1209" s="1127">
        <f t="shared" si="1755"/>
        <v>0</v>
      </c>
      <c r="AZ1209" s="1127">
        <f t="shared" si="1755"/>
        <v>0</v>
      </c>
      <c r="BA1209" s="1127">
        <f t="shared" si="1755"/>
        <v>0</v>
      </c>
      <c r="BB1209" s="1127">
        <f t="shared" si="1755"/>
        <v>0</v>
      </c>
      <c r="BC1209" s="1177">
        <f t="shared" si="1730"/>
        <v>0</v>
      </c>
      <c r="BD1209" s="1378">
        <f t="shared" si="1731"/>
        <v>0</v>
      </c>
      <c r="BE1209" s="1029"/>
      <c r="BF1209" s="1029"/>
    </row>
    <row r="1210" s="1215" customFormat="1" ht="17.25" customHeight="1">
      <c r="A1210" s="999" t="str">
        <f t="shared" si="1712"/>
        <v xml:space="preserve">Голубцова О.В.</v>
      </c>
      <c r="B1210" s="1202" t="s">
        <v>381</v>
      </c>
      <c r="C1210" s="1176"/>
      <c r="D1210" s="1176"/>
      <c r="E1210" s="1164">
        <f t="shared" si="1752"/>
        <v>0</v>
      </c>
      <c r="F1210" s="1226">
        <f t="shared" si="1752"/>
        <v>41184.68</v>
      </c>
      <c r="G1210" s="1370">
        <f t="shared" si="1753"/>
        <v>41184.68</v>
      </c>
      <c r="H1210" s="1166">
        <f t="shared" si="1715"/>
        <v>0.00045582916960385412</v>
      </c>
      <c r="I1210" s="1167">
        <f t="shared" si="1745"/>
        <v>0</v>
      </c>
      <c r="J1210" s="1167">
        <f t="shared" si="1686"/>
        <v>33674.639999999999</v>
      </c>
      <c r="K1210" s="1371">
        <f t="shared" si="1754"/>
        <v>33674.639999999999</v>
      </c>
      <c r="L1210" s="1372"/>
      <c r="M1210" s="1127">
        <f t="shared" si="1748"/>
        <v>0</v>
      </c>
      <c r="N1210" s="1127">
        <f t="shared" si="1748"/>
        <v>0</v>
      </c>
      <c r="O1210" s="1127">
        <f t="shared" si="1748"/>
        <v>0</v>
      </c>
      <c r="P1210" s="1127">
        <f t="shared" ref="P1210:P1212" si="1756">P1112+P1015+P917+P819+P718+P620+P523+P426+R328+P231+P133+P35</f>
        <v>0</v>
      </c>
      <c r="Q1210" s="1127">
        <f t="shared" si="1748"/>
        <v>0</v>
      </c>
      <c r="R1210" s="1127">
        <f t="shared" ref="R1210:R1212" si="1757">R1112+R1015+R917+R819+R718+R620+R523+R426+P328+R231+R133+R35</f>
        <v>33674.639999999999</v>
      </c>
      <c r="S1210" s="1127">
        <f t="shared" si="1718"/>
        <v>33674.639999999999</v>
      </c>
      <c r="T1210" s="1374">
        <f t="shared" si="1719"/>
        <v>0.00042179037339745256</v>
      </c>
      <c r="U1210" s="1173">
        <f t="shared" si="1749"/>
        <v>0</v>
      </c>
      <c r="V1210" s="1127">
        <f t="shared" si="1749"/>
        <v>0</v>
      </c>
      <c r="W1210" s="1127">
        <f t="shared" si="1749"/>
        <v>0</v>
      </c>
      <c r="X1210" s="1127">
        <f t="shared" si="1749"/>
        <v>0</v>
      </c>
      <c r="Y1210" s="1127">
        <f t="shared" si="1749"/>
        <v>0</v>
      </c>
      <c r="Z1210" s="1127">
        <f t="shared" si="1749"/>
        <v>0</v>
      </c>
      <c r="AA1210" s="1127">
        <f t="shared" si="1749"/>
        <v>7510.04</v>
      </c>
      <c r="AB1210" s="1375">
        <f t="shared" si="1721"/>
        <v>7510.04</v>
      </c>
      <c r="AC1210" s="1374">
        <f t="shared" si="1722"/>
        <v>0.00097099079348281735</v>
      </c>
      <c r="AD1210" s="1376">
        <f t="shared" si="1750"/>
        <v>0</v>
      </c>
      <c r="AE1210" s="1127">
        <f t="shared" si="1750"/>
        <v>0</v>
      </c>
      <c r="AF1210" s="1127">
        <f t="shared" si="1750"/>
        <v>0</v>
      </c>
      <c r="AG1210" s="1127">
        <f t="shared" si="1750"/>
        <v>0</v>
      </c>
      <c r="AH1210" s="1127">
        <f t="shared" si="1750"/>
        <v>0</v>
      </c>
      <c r="AI1210" s="1127">
        <f t="shared" si="1750"/>
        <v>0</v>
      </c>
      <c r="AJ1210" s="1127">
        <f t="shared" si="1750"/>
        <v>0</v>
      </c>
      <c r="AK1210" s="1127">
        <f t="shared" si="1724"/>
        <v>0</v>
      </c>
      <c r="AL1210" s="1374">
        <f t="shared" si="1725"/>
        <v>0</v>
      </c>
      <c r="AM1210" s="1376">
        <f t="shared" si="1751"/>
        <v>0</v>
      </c>
      <c r="AN1210" s="1173">
        <f t="shared" si="1751"/>
        <v>0</v>
      </c>
      <c r="AO1210" s="1173">
        <f t="shared" si="1751"/>
        <v>0</v>
      </c>
      <c r="AP1210" s="1173">
        <f t="shared" si="1751"/>
        <v>0</v>
      </c>
      <c r="AQ1210" s="1173">
        <f t="shared" si="1751"/>
        <v>0</v>
      </c>
      <c r="AR1210" s="1173">
        <f>AR1112+AR1015+AR917+AR819+AR718+AR620+AR523+AR426+AR328+AR231+AR133+AR35</f>
        <v>0</v>
      </c>
      <c r="AS1210" s="1173">
        <f t="shared" ref="AS1210:AS1211" si="1758">AS1112+AS1015+AS917+AS819+AS718+AS620+AS523+AS426+AS328+AS231+AS133+AS35</f>
        <v>0</v>
      </c>
      <c r="AT1210" s="1173">
        <f t="shared" si="1727"/>
        <v>0</v>
      </c>
      <c r="AU1210" s="1377" t="e">
        <f t="shared" si="1728"/>
        <v>#DIV/0!</v>
      </c>
      <c r="AV1210" s="1173">
        <f t="shared" si="1755"/>
        <v>0</v>
      </c>
      <c r="AW1210" s="1127">
        <f t="shared" si="1755"/>
        <v>0</v>
      </c>
      <c r="AX1210" s="1127">
        <f t="shared" si="1755"/>
        <v>0</v>
      </c>
      <c r="AY1210" s="1127">
        <f t="shared" si="1755"/>
        <v>0</v>
      </c>
      <c r="AZ1210" s="1127">
        <f t="shared" si="1755"/>
        <v>0</v>
      </c>
      <c r="BA1210" s="1127">
        <f t="shared" si="1755"/>
        <v>0</v>
      </c>
      <c r="BB1210" s="1127">
        <f t="shared" si="1755"/>
        <v>0</v>
      </c>
      <c r="BC1210" s="1177">
        <f t="shared" si="1730"/>
        <v>0</v>
      </c>
      <c r="BD1210" s="1378">
        <f t="shared" si="1731"/>
        <v>0</v>
      </c>
      <c r="BE1210" s="1024"/>
      <c r="BF1210" s="1024"/>
      <c r="BG1210" s="1008"/>
      <c r="BH1210" s="1008"/>
      <c r="BI1210" s="1008"/>
      <c r="BJ1210" s="1008"/>
      <c r="BK1210" s="1008"/>
      <c r="BL1210" s="1008"/>
      <c r="BM1210" s="1008"/>
    </row>
    <row r="1211" ht="17.25" customHeight="1">
      <c r="A1211" s="999" t="str">
        <f t="shared" si="1712"/>
        <v xml:space="preserve">Бородулина М.П.</v>
      </c>
      <c r="B1211" s="1176" t="s">
        <v>525</v>
      </c>
      <c r="C1211" s="1176"/>
      <c r="D1211" s="1163" t="s">
        <v>488</v>
      </c>
      <c r="E1211" s="1164">
        <f t="shared" si="1752"/>
        <v>269223.42000000004</v>
      </c>
      <c r="F1211" s="1226">
        <f t="shared" si="1752"/>
        <v>140061.91</v>
      </c>
      <c r="G1211" s="1370">
        <f t="shared" si="1753"/>
        <v>409285.33000000007</v>
      </c>
      <c r="H1211" s="1166">
        <f t="shared" si="1715"/>
        <v>0.0045299415244925891</v>
      </c>
      <c r="I1211" s="1167">
        <f t="shared" si="1745"/>
        <v>268626.72000000003</v>
      </c>
      <c r="J1211" s="1167">
        <f t="shared" si="1686"/>
        <v>132551.87</v>
      </c>
      <c r="K1211" s="1371">
        <f t="shared" si="1754"/>
        <v>401178.59000000003</v>
      </c>
      <c r="L1211" s="1372"/>
      <c r="M1211" s="1127">
        <f t="shared" si="1748"/>
        <v>0</v>
      </c>
      <c r="N1211" s="1127">
        <f t="shared" si="1748"/>
        <v>0</v>
      </c>
      <c r="O1211" s="1127">
        <f t="shared" si="1748"/>
        <v>0</v>
      </c>
      <c r="P1211" s="1127">
        <f t="shared" si="1756"/>
        <v>197497.22</v>
      </c>
      <c r="Q1211" s="1127">
        <f t="shared" si="1748"/>
        <v>197497.22</v>
      </c>
      <c r="R1211" s="1127">
        <f t="shared" si="1757"/>
        <v>132551.87</v>
      </c>
      <c r="S1211" s="1373">
        <f t="shared" si="1718"/>
        <v>330049.08999999997</v>
      </c>
      <c r="T1211" s="1374">
        <f t="shared" si="1719"/>
        <v>0.0041340168420683759</v>
      </c>
      <c r="U1211" s="1173">
        <f t="shared" si="1749"/>
        <v>0</v>
      </c>
      <c r="V1211" s="1127">
        <f t="shared" si="1749"/>
        <v>0</v>
      </c>
      <c r="W1211" s="1127">
        <f t="shared" si="1749"/>
        <v>0</v>
      </c>
      <c r="X1211" s="1127">
        <f t="shared" si="1749"/>
        <v>0</v>
      </c>
      <c r="Y1211" s="1127">
        <f t="shared" si="1749"/>
        <v>596.70000000000005</v>
      </c>
      <c r="Z1211" s="1127">
        <f t="shared" si="1749"/>
        <v>596.70000000000005</v>
      </c>
      <c r="AA1211" s="1127">
        <f t="shared" si="1749"/>
        <v>7510.04</v>
      </c>
      <c r="AB1211" s="1375">
        <f t="shared" si="1721"/>
        <v>8106.7399999999998</v>
      </c>
      <c r="AC1211" s="1374">
        <f t="shared" si="1722"/>
        <v>0.0010481395445508805</v>
      </c>
      <c r="AD1211" s="1376">
        <f t="shared" si="1750"/>
        <v>0</v>
      </c>
      <c r="AE1211" s="1127">
        <f t="shared" si="1750"/>
        <v>0</v>
      </c>
      <c r="AF1211" s="1127">
        <f t="shared" si="1750"/>
        <v>0</v>
      </c>
      <c r="AG1211" s="1127">
        <f t="shared" si="1750"/>
        <v>0</v>
      </c>
      <c r="AH1211" s="1127">
        <f t="shared" si="1750"/>
        <v>71129.5</v>
      </c>
      <c r="AI1211" s="1127">
        <f t="shared" si="1750"/>
        <v>71129.5</v>
      </c>
      <c r="AJ1211" s="1127">
        <f t="shared" si="1750"/>
        <v>0</v>
      </c>
      <c r="AK1211" s="1127">
        <f t="shared" si="1724"/>
        <v>71129.5</v>
      </c>
      <c r="AL1211" s="1374">
        <f t="shared" si="1725"/>
        <v>0.02655358797921635</v>
      </c>
      <c r="AM1211" s="1376">
        <f t="shared" si="1751"/>
        <v>0</v>
      </c>
      <c r="AN1211" s="1173">
        <f t="shared" si="1751"/>
        <v>0</v>
      </c>
      <c r="AO1211" s="1173">
        <f t="shared" si="1751"/>
        <v>0</v>
      </c>
      <c r="AP1211" s="1173">
        <f t="shared" si="1751"/>
        <v>0</v>
      </c>
      <c r="AQ1211" s="1173">
        <f t="shared" si="1751"/>
        <v>0</v>
      </c>
      <c r="AR1211" s="1173">
        <f t="shared" si="1751"/>
        <v>0</v>
      </c>
      <c r="AS1211" s="1173">
        <f t="shared" si="1758"/>
        <v>0</v>
      </c>
      <c r="AT1211" s="1173">
        <f t="shared" si="1727"/>
        <v>0</v>
      </c>
      <c r="AU1211" s="1377" t="e">
        <f t="shared" si="1728"/>
        <v>#DIV/0!</v>
      </c>
      <c r="AV1211" s="1173">
        <f t="shared" si="1755"/>
        <v>0</v>
      </c>
      <c r="AW1211" s="1127">
        <f t="shared" si="1755"/>
        <v>0</v>
      </c>
      <c r="AX1211" s="1127">
        <f t="shared" si="1755"/>
        <v>0</v>
      </c>
      <c r="AY1211" s="1127">
        <f t="shared" si="1755"/>
        <v>0</v>
      </c>
      <c r="AZ1211" s="1127">
        <f t="shared" si="1755"/>
        <v>0</v>
      </c>
      <c r="BA1211" s="1127">
        <f t="shared" si="1755"/>
        <v>0</v>
      </c>
      <c r="BB1211" s="1127">
        <f t="shared" si="1755"/>
        <v>0</v>
      </c>
      <c r="BC1211" s="1177">
        <f t="shared" si="1730"/>
        <v>0</v>
      </c>
      <c r="BD1211" s="1378">
        <f t="shared" si="1731"/>
        <v>0</v>
      </c>
      <c r="BE1211" s="1029"/>
      <c r="BF1211" s="1029"/>
    </row>
    <row r="1212" ht="17.25" customHeight="1">
      <c r="A1212" s="999" t="str">
        <f t="shared" si="1712"/>
        <v xml:space="preserve">Буханова Т.И. Мансурова А.Г.</v>
      </c>
      <c r="B1212" s="1384" t="s">
        <v>385</v>
      </c>
      <c r="C1212" s="1196"/>
      <c r="D1212" s="1196"/>
      <c r="E1212" s="1164">
        <f t="shared" si="1752"/>
        <v>134686.14000000001</v>
      </c>
      <c r="F1212" s="1226">
        <f t="shared" si="1752"/>
        <v>214781.30999999997</v>
      </c>
      <c r="G1212" s="1370">
        <f t="shared" si="1753"/>
        <v>349467.44999999995</v>
      </c>
      <c r="H1212" s="1166">
        <f t="shared" si="1715"/>
        <v>0.0038678813951468459</v>
      </c>
      <c r="I1212" s="1167">
        <f t="shared" si="1745"/>
        <v>134686.14000000001</v>
      </c>
      <c r="J1212" s="1167">
        <f t="shared" si="1686"/>
        <v>199761.22999999998</v>
      </c>
      <c r="K1212" s="1371">
        <f t="shared" si="1754"/>
        <v>334447.37</v>
      </c>
      <c r="L1212" s="1372"/>
      <c r="M1212" s="1127">
        <f t="shared" si="1748"/>
        <v>0</v>
      </c>
      <c r="N1212" s="1127">
        <f t="shared" si="1748"/>
        <v>0</v>
      </c>
      <c r="O1212" s="1127">
        <f t="shared" si="1748"/>
        <v>0</v>
      </c>
      <c r="P1212" s="1127">
        <f t="shared" si="1756"/>
        <v>53626.550000000003</v>
      </c>
      <c r="Q1212" s="1127">
        <f t="shared" si="1748"/>
        <v>53626.550000000003</v>
      </c>
      <c r="R1212" s="1127">
        <f t="shared" si="1757"/>
        <v>199761.22999999998</v>
      </c>
      <c r="S1212" s="1373">
        <f t="shared" si="1718"/>
        <v>253387.77999999997</v>
      </c>
      <c r="T1212" s="1374">
        <f t="shared" si="1719"/>
        <v>0.0031737986312712343</v>
      </c>
      <c r="U1212" s="1173">
        <f t="shared" si="1749"/>
        <v>0</v>
      </c>
      <c r="V1212" s="1127">
        <f t="shared" si="1749"/>
        <v>0</v>
      </c>
      <c r="W1212" s="1127">
        <f t="shared" si="1749"/>
        <v>0</v>
      </c>
      <c r="X1212" s="1127">
        <f t="shared" si="1749"/>
        <v>0</v>
      </c>
      <c r="Y1212" s="1127">
        <f t="shared" si="1749"/>
        <v>0</v>
      </c>
      <c r="Z1212" s="1127">
        <f t="shared" si="1749"/>
        <v>0</v>
      </c>
      <c r="AA1212" s="1127">
        <f t="shared" si="1749"/>
        <v>15020.08</v>
      </c>
      <c r="AB1212" s="1375">
        <f t="shared" si="1721"/>
        <v>15020.08</v>
      </c>
      <c r="AC1212" s="1374">
        <f t="shared" si="1722"/>
        <v>0.0019419815869656347</v>
      </c>
      <c r="AD1212" s="1376">
        <f t="shared" si="1750"/>
        <v>0</v>
      </c>
      <c r="AE1212" s="1127">
        <f t="shared" si="1750"/>
        <v>0</v>
      </c>
      <c r="AF1212" s="1127">
        <f t="shared" si="1750"/>
        <v>0</v>
      </c>
      <c r="AG1212" s="1127">
        <f t="shared" si="1750"/>
        <v>0</v>
      </c>
      <c r="AH1212" s="1127">
        <f t="shared" si="1750"/>
        <v>81059.589999999997</v>
      </c>
      <c r="AI1212" s="1127">
        <f t="shared" si="1750"/>
        <v>81059.589999999997</v>
      </c>
      <c r="AJ1212" s="1127">
        <f t="shared" si="1750"/>
        <v>0</v>
      </c>
      <c r="AK1212" s="1127">
        <f t="shared" si="1724"/>
        <v>81059.589999999997</v>
      </c>
      <c r="AL1212" s="1374">
        <f t="shared" si="1725"/>
        <v>0.030260622591529614</v>
      </c>
      <c r="AM1212" s="1376">
        <f t="shared" si="1751"/>
        <v>0</v>
      </c>
      <c r="AN1212" s="1173">
        <f t="shared" si="1751"/>
        <v>0</v>
      </c>
      <c r="AO1212" s="1173">
        <f t="shared" si="1751"/>
        <v>0</v>
      </c>
      <c r="AP1212" s="1173">
        <f t="shared" si="1751"/>
        <v>0</v>
      </c>
      <c r="AQ1212" s="1173">
        <f t="shared" si="1751"/>
        <v>0</v>
      </c>
      <c r="AR1212" s="1173">
        <f t="shared" si="1751"/>
        <v>0</v>
      </c>
      <c r="AS1212" s="1173">
        <f t="shared" si="1751"/>
        <v>0</v>
      </c>
      <c r="AT1212" s="1173">
        <f t="shared" si="1727"/>
        <v>0</v>
      </c>
      <c r="AU1212" s="1377" t="e">
        <f t="shared" si="1728"/>
        <v>#DIV/0!</v>
      </c>
      <c r="AV1212" s="1173">
        <f t="shared" si="1755"/>
        <v>0</v>
      </c>
      <c r="AW1212" s="1127">
        <f t="shared" si="1755"/>
        <v>0</v>
      </c>
      <c r="AX1212" s="1127">
        <f t="shared" si="1755"/>
        <v>0</v>
      </c>
      <c r="AY1212" s="1127">
        <f t="shared" si="1755"/>
        <v>0</v>
      </c>
      <c r="AZ1212" s="1127">
        <f t="shared" si="1755"/>
        <v>0</v>
      </c>
      <c r="BA1212" s="1127">
        <f t="shared" si="1755"/>
        <v>0</v>
      </c>
      <c r="BB1212" s="1127">
        <f t="shared" si="1755"/>
        <v>0</v>
      </c>
      <c r="BC1212" s="1177">
        <f t="shared" si="1730"/>
        <v>0</v>
      </c>
      <c r="BD1212" s="1378">
        <f t="shared" si="1731"/>
        <v>0</v>
      </c>
      <c r="BE1212" s="1029"/>
      <c r="BF1212" s="1029"/>
    </row>
    <row r="1213" ht="17.25" customHeight="1">
      <c r="A1213" s="999" t="str">
        <f t="shared" si="1712"/>
        <v xml:space="preserve">Мирошник ЕВ Степовая ЛН</v>
      </c>
      <c r="B1213" s="1202" t="s">
        <v>526</v>
      </c>
      <c r="C1213" s="1176"/>
      <c r="D1213" s="1176"/>
      <c r="E1213" s="1164">
        <f t="shared" si="1752"/>
        <v>4201.0699999999997</v>
      </c>
      <c r="F1213" s="1226">
        <f t="shared" si="1752"/>
        <v>207627.74000000002</v>
      </c>
      <c r="G1213" s="1370">
        <f t="shared" si="1753"/>
        <v>211828.81000000003</v>
      </c>
      <c r="H1213" s="1166">
        <f t="shared" si="1715"/>
        <v>0.0023445065145698014</v>
      </c>
      <c r="I1213" s="1167">
        <f t="shared" si="1745"/>
        <v>4201.0699999999997</v>
      </c>
      <c r="J1213" s="1167">
        <f t="shared" si="1686"/>
        <v>200117.70000000001</v>
      </c>
      <c r="K1213" s="1371">
        <f t="shared" si="1754"/>
        <v>204318.77000000002</v>
      </c>
      <c r="L1213" s="1372"/>
      <c r="M1213" s="1127">
        <f t="shared" si="1748"/>
        <v>0</v>
      </c>
      <c r="N1213" s="1127">
        <f t="shared" si="1748"/>
        <v>0</v>
      </c>
      <c r="O1213" s="1127">
        <f t="shared" si="1748"/>
        <v>0</v>
      </c>
      <c r="P1213" s="1127">
        <f t="shared" si="1748"/>
        <v>2114.0900000000001</v>
      </c>
      <c r="Q1213" s="1127">
        <f t="shared" si="1748"/>
        <v>2114.0900000000001</v>
      </c>
      <c r="R1213" s="1127">
        <f t="shared" si="1748"/>
        <v>200117.70000000001</v>
      </c>
      <c r="S1213" s="1127">
        <f t="shared" si="1718"/>
        <v>202231.79000000001</v>
      </c>
      <c r="T1213" s="1374">
        <f t="shared" si="1719"/>
        <v>0.0025330462988449238</v>
      </c>
      <c r="U1213" s="1173">
        <f t="shared" si="1749"/>
        <v>0</v>
      </c>
      <c r="V1213" s="1127">
        <f t="shared" si="1749"/>
        <v>0</v>
      </c>
      <c r="W1213" s="1127">
        <f t="shared" si="1749"/>
        <v>0</v>
      </c>
      <c r="X1213" s="1127">
        <f t="shared" si="1749"/>
        <v>0</v>
      </c>
      <c r="Y1213" s="1127">
        <f t="shared" si="1749"/>
        <v>0</v>
      </c>
      <c r="Z1213" s="1127">
        <f t="shared" si="1749"/>
        <v>0</v>
      </c>
      <c r="AA1213" s="1127">
        <f t="shared" si="1749"/>
        <v>7510.04</v>
      </c>
      <c r="AB1213" s="1375">
        <f t="shared" si="1721"/>
        <v>7510.04</v>
      </c>
      <c r="AC1213" s="1374">
        <f t="shared" si="1722"/>
        <v>0.00097099079348281735</v>
      </c>
      <c r="AD1213" s="1376">
        <f t="shared" si="1750"/>
        <v>0</v>
      </c>
      <c r="AE1213" s="1127">
        <f t="shared" si="1750"/>
        <v>0</v>
      </c>
      <c r="AF1213" s="1127">
        <f t="shared" si="1750"/>
        <v>0</v>
      </c>
      <c r="AG1213" s="1127">
        <f t="shared" si="1750"/>
        <v>0</v>
      </c>
      <c r="AH1213" s="1127">
        <f t="shared" si="1750"/>
        <v>2086.98</v>
      </c>
      <c r="AI1213" s="1127">
        <f t="shared" si="1750"/>
        <v>2086.98</v>
      </c>
      <c r="AJ1213" s="1127">
        <f t="shared" si="1750"/>
        <v>0</v>
      </c>
      <c r="AK1213" s="1127">
        <f t="shared" si="1724"/>
        <v>2086.98</v>
      </c>
      <c r="AL1213" s="1374">
        <f t="shared" si="1725"/>
        <v>0.000779097379299235</v>
      </c>
      <c r="AM1213" s="1376">
        <f t="shared" si="1751"/>
        <v>0</v>
      </c>
      <c r="AN1213" s="1173">
        <f t="shared" si="1751"/>
        <v>0</v>
      </c>
      <c r="AO1213" s="1173">
        <f t="shared" si="1751"/>
        <v>0</v>
      </c>
      <c r="AP1213" s="1173">
        <f t="shared" si="1751"/>
        <v>0</v>
      </c>
      <c r="AQ1213" s="1173">
        <f t="shared" si="1751"/>
        <v>0</v>
      </c>
      <c r="AR1213" s="1173">
        <f t="shared" si="1751"/>
        <v>0</v>
      </c>
      <c r="AS1213" s="1173">
        <f t="shared" si="1751"/>
        <v>0</v>
      </c>
      <c r="AT1213" s="1173">
        <f t="shared" si="1727"/>
        <v>0</v>
      </c>
      <c r="AU1213" s="1377" t="e">
        <f t="shared" si="1728"/>
        <v>#DIV/0!</v>
      </c>
      <c r="AV1213" s="1173">
        <f t="shared" si="1755"/>
        <v>0</v>
      </c>
      <c r="AW1213" s="1127">
        <f t="shared" si="1755"/>
        <v>0</v>
      </c>
      <c r="AX1213" s="1127">
        <f t="shared" si="1755"/>
        <v>0</v>
      </c>
      <c r="AY1213" s="1127">
        <f t="shared" si="1755"/>
        <v>0</v>
      </c>
      <c r="AZ1213" s="1127">
        <f t="shared" si="1755"/>
        <v>0</v>
      </c>
      <c r="BA1213" s="1127">
        <f t="shared" si="1755"/>
        <v>0</v>
      </c>
      <c r="BB1213" s="1127">
        <f t="shared" si="1755"/>
        <v>0</v>
      </c>
      <c r="BC1213" s="1177">
        <f t="shared" si="1730"/>
        <v>0</v>
      </c>
      <c r="BD1213" s="1378">
        <f t="shared" si="1731"/>
        <v>0</v>
      </c>
      <c r="BE1213" s="1029"/>
      <c r="BF1213" s="1029"/>
    </row>
    <row r="1214" s="1180" customFormat="1" ht="17.25" customHeight="1">
      <c r="A1214" s="999">
        <f t="shared" si="1712"/>
        <v>0</v>
      </c>
      <c r="B1214" s="1182" t="s">
        <v>388</v>
      </c>
      <c r="C1214" s="1182"/>
      <c r="D1214" s="1182"/>
      <c r="E1214" s="1183">
        <f>SUM(E1209:E1213)</f>
        <v>623381.33999999997</v>
      </c>
      <c r="F1214" s="1183">
        <f>SUM(F1209:F1213)</f>
        <v>704786.06999999995</v>
      </c>
      <c r="G1214" s="1184">
        <f>SUM(G1209:G1213)</f>
        <v>1328167.4100000001</v>
      </c>
      <c r="H1214" s="1185">
        <f t="shared" si="1715"/>
        <v>0.01470006438304733</v>
      </c>
      <c r="I1214" s="1167">
        <f t="shared" si="1745"/>
        <v>622555.14000000001</v>
      </c>
      <c r="J1214" s="1167">
        <f t="shared" si="1686"/>
        <v>659725.82999999996</v>
      </c>
      <c r="K1214" s="1187">
        <f>SUM(K1209:K1213)</f>
        <v>1282280.9700000002</v>
      </c>
      <c r="L1214" s="1385">
        <f>SUM(L1209:L1213)</f>
        <v>0</v>
      </c>
      <c r="M1214" s="1319">
        <f t="shared" si="1748"/>
        <v>0</v>
      </c>
      <c r="N1214" s="1319">
        <f t="shared" si="1748"/>
        <v>0</v>
      </c>
      <c r="O1214" s="1319">
        <f t="shared" si="1748"/>
        <v>0</v>
      </c>
      <c r="P1214" s="1319">
        <f t="shared" si="1748"/>
        <v>411107.90999999997</v>
      </c>
      <c r="Q1214" s="1319">
        <f t="shared" si="1748"/>
        <v>411107.90999999997</v>
      </c>
      <c r="R1214" s="1319">
        <f t="shared" si="1748"/>
        <v>659725.82999999996</v>
      </c>
      <c r="S1214" s="1319">
        <f t="shared" si="1718"/>
        <v>1070833.74</v>
      </c>
      <c r="T1214" s="1374">
        <f t="shared" si="1719"/>
        <v>0.013412685719615432</v>
      </c>
      <c r="U1214" s="1350">
        <f t="shared" si="1749"/>
        <v>0</v>
      </c>
      <c r="V1214" s="1319">
        <f t="shared" si="1749"/>
        <v>0</v>
      </c>
      <c r="W1214" s="1319">
        <f t="shared" si="1749"/>
        <v>0</v>
      </c>
      <c r="X1214" s="1319">
        <f t="shared" si="1749"/>
        <v>0</v>
      </c>
      <c r="Y1214" s="1319">
        <f t="shared" si="1749"/>
        <v>826.20000000000005</v>
      </c>
      <c r="Z1214" s="1319">
        <f t="shared" si="1749"/>
        <v>826.20000000000005</v>
      </c>
      <c r="AA1214" s="1319">
        <f t="shared" si="1749"/>
        <v>45060.239999999998</v>
      </c>
      <c r="AB1214" s="1383">
        <f t="shared" si="1721"/>
        <v>45886.439999999995</v>
      </c>
      <c r="AC1214" s="1374">
        <f t="shared" si="1722"/>
        <v>0.0059327661085296062</v>
      </c>
      <c r="AD1214" s="1349">
        <f t="shared" si="1750"/>
        <v>0</v>
      </c>
      <c r="AE1214" s="1319">
        <f t="shared" si="1750"/>
        <v>0</v>
      </c>
      <c r="AF1214" s="1319">
        <f t="shared" si="1750"/>
        <v>0</v>
      </c>
      <c r="AG1214" s="1319">
        <f t="shared" si="1750"/>
        <v>0</v>
      </c>
      <c r="AH1214" s="1319">
        <f t="shared" si="1750"/>
        <v>211447.22999999998</v>
      </c>
      <c r="AI1214" s="1319">
        <f t="shared" si="1750"/>
        <v>211447.22999999998</v>
      </c>
      <c r="AJ1214" s="1319">
        <f t="shared" si="1750"/>
        <v>0</v>
      </c>
      <c r="AK1214" s="1319">
        <f t="shared" si="1724"/>
        <v>211447.22999999998</v>
      </c>
      <c r="AL1214" s="1374">
        <f t="shared" si="1725"/>
        <v>0.078936062038487464</v>
      </c>
      <c r="AM1214" s="1349">
        <f t="shared" si="1751"/>
        <v>0</v>
      </c>
      <c r="AN1214" s="1350">
        <f t="shared" si="1751"/>
        <v>0</v>
      </c>
      <c r="AO1214" s="1350">
        <f t="shared" si="1751"/>
        <v>0</v>
      </c>
      <c r="AP1214" s="1350">
        <f t="shared" si="1751"/>
        <v>0</v>
      </c>
      <c r="AQ1214" s="1350">
        <f t="shared" si="1751"/>
        <v>0</v>
      </c>
      <c r="AR1214" s="1350">
        <f t="shared" si="1751"/>
        <v>0</v>
      </c>
      <c r="AS1214" s="1350">
        <f t="shared" si="1751"/>
        <v>0</v>
      </c>
      <c r="AT1214" s="1350">
        <f t="shared" si="1727"/>
        <v>0</v>
      </c>
      <c r="AU1214" s="1377" t="e">
        <f t="shared" si="1728"/>
        <v>#DIV/0!</v>
      </c>
      <c r="AV1214" s="1350">
        <f t="shared" si="1755"/>
        <v>0</v>
      </c>
      <c r="AW1214" s="1319">
        <f t="shared" si="1755"/>
        <v>0</v>
      </c>
      <c r="AX1214" s="1319">
        <f t="shared" si="1755"/>
        <v>0</v>
      </c>
      <c r="AY1214" s="1319">
        <f t="shared" si="1755"/>
        <v>0</v>
      </c>
      <c r="AZ1214" s="1319">
        <f t="shared" si="1755"/>
        <v>0</v>
      </c>
      <c r="BA1214" s="1319">
        <f t="shared" si="1755"/>
        <v>0</v>
      </c>
      <c r="BB1214" s="1319">
        <f t="shared" si="1755"/>
        <v>0</v>
      </c>
      <c r="BC1214" s="1281">
        <f t="shared" si="1730"/>
        <v>0</v>
      </c>
      <c r="BD1214" s="1378">
        <f t="shared" si="1731"/>
        <v>0</v>
      </c>
      <c r="BE1214" s="1051"/>
      <c r="BF1214" s="1051"/>
      <c r="BG1214" s="1106"/>
      <c r="BH1214" s="1106"/>
      <c r="BI1214" s="1106"/>
      <c r="BJ1214" s="1106"/>
      <c r="BK1214" s="1106"/>
      <c r="BL1214" s="1106"/>
      <c r="BM1214" s="1106"/>
    </row>
    <row r="1215" ht="17.25" customHeight="1">
      <c r="A1215" s="999" t="str">
        <f t="shared" si="1712"/>
        <v xml:space="preserve">Зиненко Ю.А. Шаповалова Т.Ю.</v>
      </c>
      <c r="B1215" s="1176" t="s">
        <v>390</v>
      </c>
      <c r="C1215" s="1198"/>
      <c r="D1215" s="1163" t="s">
        <v>488</v>
      </c>
      <c r="E1215" s="1164">
        <f t="shared" ref="E1215:F1217" si="1759">Q1215+Z1215+AI1215+AR1215+BA1215</f>
        <v>624336.16999999993</v>
      </c>
      <c r="F1215" s="1164">
        <f t="shared" si="1759"/>
        <v>43819.239999999998</v>
      </c>
      <c r="G1215" s="1165">
        <f t="shared" ref="G1215:G1217" si="1760">E1215+F1215</f>
        <v>668155.40999999992</v>
      </c>
      <c r="H1215" s="1166">
        <f t="shared" si="1715"/>
        <v>0.0073950975388572321</v>
      </c>
      <c r="I1215" s="1167">
        <f t="shared" si="1745"/>
        <v>624178.42999999993</v>
      </c>
      <c r="J1215" s="1167">
        <f t="shared" si="1686"/>
        <v>25171.029999999999</v>
      </c>
      <c r="K1215" s="1168">
        <f t="shared" ref="K1215:K1217" si="1761">I1215+J1215</f>
        <v>649349.45999999996</v>
      </c>
      <c r="L1215" s="1071"/>
      <c r="M1215" s="1127">
        <f t="shared" si="1748"/>
        <v>0</v>
      </c>
      <c r="N1215" s="1127">
        <f t="shared" si="1748"/>
        <v>0</v>
      </c>
      <c r="O1215" s="1127">
        <f t="shared" si="1748"/>
        <v>0</v>
      </c>
      <c r="P1215" s="1127">
        <f t="shared" si="1748"/>
        <v>624178.42999999993</v>
      </c>
      <c r="Q1215" s="1127">
        <f t="shared" si="1748"/>
        <v>624178.42999999993</v>
      </c>
      <c r="R1215" s="1127">
        <f t="shared" si="1748"/>
        <v>25171.029999999999</v>
      </c>
      <c r="S1215" s="1373">
        <f t="shared" si="1718"/>
        <v>649349.45999999996</v>
      </c>
      <c r="T1215" s="1374">
        <f t="shared" si="1719"/>
        <v>0.0081334010162791397</v>
      </c>
      <c r="U1215" s="1173">
        <f t="shared" si="1749"/>
        <v>0</v>
      </c>
      <c r="V1215" s="1127">
        <f t="shared" si="1749"/>
        <v>0</v>
      </c>
      <c r="W1215" s="1127">
        <f t="shared" si="1749"/>
        <v>0</v>
      </c>
      <c r="X1215" s="1127">
        <f t="shared" si="1749"/>
        <v>0</v>
      </c>
      <c r="Y1215" s="1127">
        <f t="shared" si="1749"/>
        <v>157.74000000000001</v>
      </c>
      <c r="Z1215" s="1127">
        <f t="shared" si="1749"/>
        <v>157.74000000000001</v>
      </c>
      <c r="AA1215" s="1127">
        <f t="shared" si="1749"/>
        <v>18648.209999999999</v>
      </c>
      <c r="AB1215" s="1375">
        <f t="shared" si="1721"/>
        <v>18805.950000000001</v>
      </c>
      <c r="AC1215" s="1374">
        <f t="shared" si="1722"/>
        <v>0.0024314656530056017</v>
      </c>
      <c r="AD1215" s="1376">
        <f t="shared" si="1750"/>
        <v>0</v>
      </c>
      <c r="AE1215" s="1127">
        <f t="shared" si="1750"/>
        <v>0</v>
      </c>
      <c r="AF1215" s="1127">
        <f t="shared" si="1750"/>
        <v>0</v>
      </c>
      <c r="AG1215" s="1127">
        <f t="shared" si="1750"/>
        <v>0</v>
      </c>
      <c r="AH1215" s="1127">
        <f t="shared" si="1750"/>
        <v>0</v>
      </c>
      <c r="AI1215" s="1127">
        <f t="shared" si="1750"/>
        <v>0</v>
      </c>
      <c r="AJ1215" s="1127">
        <f t="shared" si="1750"/>
        <v>0</v>
      </c>
      <c r="AK1215" s="1127">
        <f t="shared" si="1724"/>
        <v>0</v>
      </c>
      <c r="AL1215" s="1374">
        <f t="shared" si="1725"/>
        <v>0</v>
      </c>
      <c r="AM1215" s="1376">
        <f t="shared" si="1751"/>
        <v>0</v>
      </c>
      <c r="AN1215" s="1173">
        <f t="shared" si="1751"/>
        <v>0</v>
      </c>
      <c r="AO1215" s="1173">
        <f t="shared" si="1751"/>
        <v>0</v>
      </c>
      <c r="AP1215" s="1173">
        <f t="shared" si="1751"/>
        <v>0</v>
      </c>
      <c r="AQ1215" s="1173">
        <f t="shared" si="1751"/>
        <v>0</v>
      </c>
      <c r="AR1215" s="1173">
        <f t="shared" si="1751"/>
        <v>0</v>
      </c>
      <c r="AS1215" s="1173">
        <f t="shared" si="1751"/>
        <v>0</v>
      </c>
      <c r="AT1215" s="1173">
        <f t="shared" si="1727"/>
        <v>0</v>
      </c>
      <c r="AU1215" s="1377" t="e">
        <f t="shared" si="1728"/>
        <v>#DIV/0!</v>
      </c>
      <c r="AV1215" s="1173">
        <f t="shared" si="1755"/>
        <v>0</v>
      </c>
      <c r="AW1215" s="1127">
        <f t="shared" si="1755"/>
        <v>0</v>
      </c>
      <c r="AX1215" s="1127">
        <f t="shared" si="1755"/>
        <v>0</v>
      </c>
      <c r="AY1215" s="1127">
        <f t="shared" si="1755"/>
        <v>0</v>
      </c>
      <c r="AZ1215" s="1127">
        <f t="shared" si="1755"/>
        <v>0</v>
      </c>
      <c r="BA1215" s="1127">
        <f t="shared" si="1755"/>
        <v>0</v>
      </c>
      <c r="BB1215" s="1127">
        <f t="shared" si="1755"/>
        <v>0</v>
      </c>
      <c r="BC1215" s="1177">
        <f t="shared" si="1730"/>
        <v>0</v>
      </c>
      <c r="BD1215" s="1378">
        <f t="shared" si="1731"/>
        <v>0</v>
      </c>
      <c r="BE1215" s="1029"/>
      <c r="BF1215" s="1029"/>
    </row>
    <row r="1216" ht="17.25" customHeight="1">
      <c r="A1216" s="999" t="str">
        <f t="shared" si="1712"/>
        <v xml:space="preserve">Майорова И.В.</v>
      </c>
      <c r="B1216" s="1176" t="s">
        <v>392</v>
      </c>
      <c r="C1216" s="1198"/>
      <c r="D1216" s="1163" t="s">
        <v>488</v>
      </c>
      <c r="E1216" s="1164">
        <f t="shared" si="1759"/>
        <v>1808517.97</v>
      </c>
      <c r="F1216" s="1164">
        <f t="shared" si="1759"/>
        <v>213273.47</v>
      </c>
      <c r="G1216" s="1165">
        <f t="shared" si="1760"/>
        <v>2021791.4399999999</v>
      </c>
      <c r="H1216" s="1166">
        <f t="shared" si="1715"/>
        <v>0.022377046834099003</v>
      </c>
      <c r="I1216" s="1167">
        <f t="shared" si="1745"/>
        <v>1805582.97</v>
      </c>
      <c r="J1216" s="1167">
        <f t="shared" ref="J1216:J1278" si="1762">F1216-AA1216</f>
        <v>194625.26000000001</v>
      </c>
      <c r="K1216" s="1168">
        <f t="shared" si="1761"/>
        <v>2000208.23</v>
      </c>
      <c r="L1216" s="1071"/>
      <c r="M1216" s="1127">
        <f t="shared" si="1748"/>
        <v>0</v>
      </c>
      <c r="N1216" s="1127">
        <f t="shared" si="1748"/>
        <v>0</v>
      </c>
      <c r="O1216" s="1127">
        <f t="shared" si="1748"/>
        <v>0</v>
      </c>
      <c r="P1216" s="1127">
        <f t="shared" si="1748"/>
        <v>1805582.97</v>
      </c>
      <c r="Q1216" s="1127">
        <f t="shared" si="1748"/>
        <v>1805582.97</v>
      </c>
      <c r="R1216" s="1127">
        <f t="shared" si="1748"/>
        <v>194625.26000000001</v>
      </c>
      <c r="S1216" s="1373">
        <f t="shared" si="1718"/>
        <v>2000208.23</v>
      </c>
      <c r="T1216" s="1374">
        <f t="shared" si="1719"/>
        <v>0.025053529190047993</v>
      </c>
      <c r="U1216" s="1173">
        <f t="shared" si="1749"/>
        <v>0</v>
      </c>
      <c r="V1216" s="1127">
        <f t="shared" si="1749"/>
        <v>0</v>
      </c>
      <c r="W1216" s="1127">
        <f t="shared" si="1749"/>
        <v>0</v>
      </c>
      <c r="X1216" s="1127">
        <f t="shared" si="1749"/>
        <v>0</v>
      </c>
      <c r="Y1216" s="1127">
        <f t="shared" si="1749"/>
        <v>2935</v>
      </c>
      <c r="Z1216" s="1127">
        <f t="shared" si="1749"/>
        <v>2935</v>
      </c>
      <c r="AA1216" s="1127">
        <f t="shared" si="1749"/>
        <v>18648.209999999999</v>
      </c>
      <c r="AB1216" s="1375">
        <f t="shared" si="1721"/>
        <v>21583.209999999999</v>
      </c>
      <c r="AC1216" s="1374">
        <f t="shared" si="1722"/>
        <v>0.0027905441520692672</v>
      </c>
      <c r="AD1216" s="1376">
        <f t="shared" si="1750"/>
        <v>0</v>
      </c>
      <c r="AE1216" s="1127">
        <f t="shared" si="1750"/>
        <v>0</v>
      </c>
      <c r="AF1216" s="1127">
        <f t="shared" si="1750"/>
        <v>0</v>
      </c>
      <c r="AG1216" s="1127">
        <f t="shared" si="1750"/>
        <v>0</v>
      </c>
      <c r="AH1216" s="1127">
        <f t="shared" si="1750"/>
        <v>0</v>
      </c>
      <c r="AI1216" s="1127">
        <f t="shared" si="1750"/>
        <v>0</v>
      </c>
      <c r="AJ1216" s="1127">
        <f t="shared" si="1750"/>
        <v>0</v>
      </c>
      <c r="AK1216" s="1127">
        <f t="shared" si="1724"/>
        <v>0</v>
      </c>
      <c r="AL1216" s="1374">
        <f t="shared" si="1725"/>
        <v>0</v>
      </c>
      <c r="AM1216" s="1376">
        <f t="shared" si="1751"/>
        <v>0</v>
      </c>
      <c r="AN1216" s="1173">
        <f t="shared" si="1751"/>
        <v>0</v>
      </c>
      <c r="AO1216" s="1173">
        <f t="shared" si="1751"/>
        <v>0</v>
      </c>
      <c r="AP1216" s="1173">
        <f t="shared" si="1751"/>
        <v>0</v>
      </c>
      <c r="AQ1216" s="1173">
        <f t="shared" si="1751"/>
        <v>0</v>
      </c>
      <c r="AR1216" s="1173">
        <f t="shared" si="1751"/>
        <v>0</v>
      </c>
      <c r="AS1216" s="1173">
        <f t="shared" si="1751"/>
        <v>0</v>
      </c>
      <c r="AT1216" s="1173">
        <f t="shared" si="1727"/>
        <v>0</v>
      </c>
      <c r="AU1216" s="1377" t="e">
        <f t="shared" si="1728"/>
        <v>#DIV/0!</v>
      </c>
      <c r="AV1216" s="1173">
        <f t="shared" si="1755"/>
        <v>0</v>
      </c>
      <c r="AW1216" s="1127">
        <f t="shared" si="1755"/>
        <v>0</v>
      </c>
      <c r="AX1216" s="1127">
        <f t="shared" si="1755"/>
        <v>0</v>
      </c>
      <c r="AY1216" s="1127">
        <f t="shared" si="1755"/>
        <v>0</v>
      </c>
      <c r="AZ1216" s="1127">
        <f t="shared" si="1755"/>
        <v>0</v>
      </c>
      <c r="BA1216" s="1127">
        <f t="shared" si="1755"/>
        <v>0</v>
      </c>
      <c r="BB1216" s="1127">
        <f t="shared" si="1755"/>
        <v>0</v>
      </c>
      <c r="BC1216" s="1177">
        <f t="shared" si="1730"/>
        <v>0</v>
      </c>
      <c r="BD1216" s="1378">
        <f t="shared" si="1731"/>
        <v>0</v>
      </c>
      <c r="BE1216" s="1029"/>
      <c r="BF1216" s="1029"/>
    </row>
    <row r="1217" ht="17.25" customHeight="1">
      <c r="A1217" s="999" t="str">
        <f t="shared" si="1712"/>
        <v xml:space="preserve">Гребенюк Ю.С.,  Молчанова Н.М.</v>
      </c>
      <c r="B1217" s="1176" t="s">
        <v>265</v>
      </c>
      <c r="C1217" s="1176"/>
      <c r="D1217" s="1176"/>
      <c r="E1217" s="1164">
        <f t="shared" si="1759"/>
        <v>779807.17000000004</v>
      </c>
      <c r="F1217" s="1164">
        <f t="shared" si="1759"/>
        <v>825505.16000000003</v>
      </c>
      <c r="G1217" s="1165">
        <f t="shared" si="1760"/>
        <v>1605312.3300000001</v>
      </c>
      <c r="H1217" s="1166">
        <f t="shared" si="1715"/>
        <v>0.017767485053634707</v>
      </c>
      <c r="I1217" s="1167">
        <f t="shared" si="1745"/>
        <v>779730.67000000004</v>
      </c>
      <c r="J1217" s="1167">
        <f t="shared" si="1762"/>
        <v>802975.04000000004</v>
      </c>
      <c r="K1217" s="1168">
        <f t="shared" si="1761"/>
        <v>1582705.71</v>
      </c>
      <c r="L1217" s="1372"/>
      <c r="M1217" s="1127">
        <f t="shared" si="1748"/>
        <v>0</v>
      </c>
      <c r="N1217" s="1127">
        <f t="shared" si="1748"/>
        <v>0</v>
      </c>
      <c r="O1217" s="1127">
        <f t="shared" si="1748"/>
        <v>0</v>
      </c>
      <c r="P1217" s="1127">
        <f t="shared" si="1748"/>
        <v>776045.77000000002</v>
      </c>
      <c r="Q1217" s="1127">
        <f t="shared" si="1748"/>
        <v>776045.77000000002</v>
      </c>
      <c r="R1217" s="1127">
        <f t="shared" si="1748"/>
        <v>802975.04000000004</v>
      </c>
      <c r="S1217" s="1373">
        <f t="shared" si="1718"/>
        <v>1579020.8100000001</v>
      </c>
      <c r="T1217" s="1374">
        <f t="shared" si="1719"/>
        <v>0.019777962794917718</v>
      </c>
      <c r="U1217" s="1173">
        <f t="shared" si="1749"/>
        <v>0</v>
      </c>
      <c r="V1217" s="1127">
        <f t="shared" si="1749"/>
        <v>0</v>
      </c>
      <c r="W1217" s="1127">
        <f t="shared" si="1749"/>
        <v>0</v>
      </c>
      <c r="X1217" s="1127">
        <f t="shared" si="1749"/>
        <v>0</v>
      </c>
      <c r="Y1217" s="1127">
        <f t="shared" si="1749"/>
        <v>76.5</v>
      </c>
      <c r="Z1217" s="1127">
        <f t="shared" si="1749"/>
        <v>76.5</v>
      </c>
      <c r="AA1217" s="1127">
        <f t="shared" si="1749"/>
        <v>22530.119999999999</v>
      </c>
      <c r="AB1217" s="1375">
        <f t="shared" si="1721"/>
        <v>22606.619999999999</v>
      </c>
      <c r="AC1217" s="1374">
        <f t="shared" si="1722"/>
        <v>0.0029228632459699986</v>
      </c>
      <c r="AD1217" s="1376">
        <f t="shared" si="1750"/>
        <v>0</v>
      </c>
      <c r="AE1217" s="1127">
        <f t="shared" si="1750"/>
        <v>0</v>
      </c>
      <c r="AF1217" s="1127">
        <f t="shared" si="1750"/>
        <v>0</v>
      </c>
      <c r="AG1217" s="1127">
        <f t="shared" si="1750"/>
        <v>0</v>
      </c>
      <c r="AH1217" s="1127">
        <f t="shared" si="1750"/>
        <v>0</v>
      </c>
      <c r="AI1217" s="1127">
        <f t="shared" si="1750"/>
        <v>0</v>
      </c>
      <c r="AJ1217" s="1127">
        <f t="shared" si="1750"/>
        <v>0</v>
      </c>
      <c r="AK1217" s="1127">
        <f t="shared" si="1724"/>
        <v>0</v>
      </c>
      <c r="AL1217" s="1374">
        <f t="shared" si="1725"/>
        <v>0</v>
      </c>
      <c r="AM1217" s="1376">
        <f t="shared" si="1751"/>
        <v>0</v>
      </c>
      <c r="AN1217" s="1173">
        <f t="shared" si="1751"/>
        <v>0</v>
      </c>
      <c r="AO1217" s="1173">
        <f t="shared" si="1751"/>
        <v>0</v>
      </c>
      <c r="AP1217" s="1173">
        <f t="shared" si="1751"/>
        <v>0</v>
      </c>
      <c r="AQ1217" s="1173">
        <f t="shared" si="1751"/>
        <v>0</v>
      </c>
      <c r="AR1217" s="1173">
        <f t="shared" si="1751"/>
        <v>0</v>
      </c>
      <c r="AS1217" s="1173">
        <f t="shared" si="1751"/>
        <v>0</v>
      </c>
      <c r="AT1217" s="1173">
        <f t="shared" si="1727"/>
        <v>0</v>
      </c>
      <c r="AU1217" s="1377" t="e">
        <f t="shared" si="1728"/>
        <v>#DIV/0!</v>
      </c>
      <c r="AV1217" s="1173">
        <f t="shared" si="1755"/>
        <v>0</v>
      </c>
      <c r="AW1217" s="1127">
        <f t="shared" si="1755"/>
        <v>0</v>
      </c>
      <c r="AX1217" s="1127">
        <f t="shared" si="1755"/>
        <v>0</v>
      </c>
      <c r="AY1217" s="1127">
        <f t="shared" si="1755"/>
        <v>0</v>
      </c>
      <c r="AZ1217" s="1127">
        <f t="shared" si="1755"/>
        <v>3684.9000000000001</v>
      </c>
      <c r="BA1217" s="1127">
        <f t="shared" si="1755"/>
        <v>3684.9000000000001</v>
      </c>
      <c r="BB1217" s="1127">
        <f t="shared" si="1755"/>
        <v>0</v>
      </c>
      <c r="BC1217" s="1177">
        <f t="shared" si="1730"/>
        <v>3684.9000000000001</v>
      </c>
      <c r="BD1217" s="1378">
        <f t="shared" si="1731"/>
        <v>0.036621758327402637</v>
      </c>
      <c r="BE1217" s="1029"/>
      <c r="BF1217" s="1029"/>
    </row>
    <row r="1218" s="1180" customFormat="1" ht="17.25" customHeight="1">
      <c r="A1218" s="999">
        <f t="shared" si="1712"/>
        <v>0</v>
      </c>
      <c r="B1218" s="1182" t="s">
        <v>394</v>
      </c>
      <c r="C1218" s="1182"/>
      <c r="D1218" s="1182"/>
      <c r="E1218" s="1183">
        <f>SUM(E1215:E1217)</f>
        <v>3212661.3099999996</v>
      </c>
      <c r="F1218" s="1183">
        <f>SUM(F1215:F1217)</f>
        <v>1082597.8700000001</v>
      </c>
      <c r="G1218" s="1184">
        <f>SUM(G1215:G1217)</f>
        <v>4295259.1799999997</v>
      </c>
      <c r="H1218" s="1185">
        <f t="shared" si="1715"/>
        <v>0.047539629426590936</v>
      </c>
      <c r="I1218" s="1167">
        <f t="shared" si="1745"/>
        <v>3209492.0699999994</v>
      </c>
      <c r="J1218" s="1167">
        <f t="shared" si="1762"/>
        <v>1022771.3300000001</v>
      </c>
      <c r="K1218" s="1187">
        <f>SUM(K1215:K1217)</f>
        <v>4232263.4000000004</v>
      </c>
      <c r="L1218" s="1071"/>
      <c r="M1218" s="1319">
        <f t="shared" si="1748"/>
        <v>0</v>
      </c>
      <c r="N1218" s="1319">
        <f t="shared" si="1748"/>
        <v>0</v>
      </c>
      <c r="O1218" s="1319">
        <f t="shared" si="1748"/>
        <v>0</v>
      </c>
      <c r="P1218" s="1319">
        <f t="shared" si="1748"/>
        <v>3205807.1699999999</v>
      </c>
      <c r="Q1218" s="1319">
        <f t="shared" si="1748"/>
        <v>3205807.1699999999</v>
      </c>
      <c r="R1218" s="1319">
        <f t="shared" si="1748"/>
        <v>1022771.3300000001</v>
      </c>
      <c r="S1218" s="1319">
        <f t="shared" si="1718"/>
        <v>4228578.5</v>
      </c>
      <c r="T1218" s="1374">
        <f t="shared" si="1719"/>
        <v>0.05296489300124485</v>
      </c>
      <c r="U1218" s="1350">
        <f t="shared" si="1749"/>
        <v>0</v>
      </c>
      <c r="V1218" s="1319">
        <f t="shared" si="1749"/>
        <v>0</v>
      </c>
      <c r="W1218" s="1319">
        <f t="shared" si="1749"/>
        <v>0</v>
      </c>
      <c r="X1218" s="1319">
        <f t="shared" si="1749"/>
        <v>0</v>
      </c>
      <c r="Y1218" s="1319">
        <f t="shared" si="1749"/>
        <v>3169.2399999999998</v>
      </c>
      <c r="Z1218" s="1319">
        <f t="shared" si="1749"/>
        <v>3169.2399999999998</v>
      </c>
      <c r="AA1218" s="1319">
        <f t="shared" si="1749"/>
        <v>59826.540000000001</v>
      </c>
      <c r="AB1218" s="1383">
        <f t="shared" si="1721"/>
        <v>62995.779999999999</v>
      </c>
      <c r="AC1218" s="1374">
        <f t="shared" si="1722"/>
        <v>0.0081448730510448684</v>
      </c>
      <c r="AD1218" s="1349">
        <f t="shared" si="1750"/>
        <v>0</v>
      </c>
      <c r="AE1218" s="1319">
        <f t="shared" si="1750"/>
        <v>0</v>
      </c>
      <c r="AF1218" s="1319">
        <f t="shared" si="1750"/>
        <v>0</v>
      </c>
      <c r="AG1218" s="1319">
        <f t="shared" si="1750"/>
        <v>0</v>
      </c>
      <c r="AH1218" s="1319">
        <f t="shared" si="1750"/>
        <v>0</v>
      </c>
      <c r="AI1218" s="1319">
        <f t="shared" si="1750"/>
        <v>0</v>
      </c>
      <c r="AJ1218" s="1319">
        <f t="shared" si="1750"/>
        <v>0</v>
      </c>
      <c r="AK1218" s="1319">
        <f t="shared" si="1724"/>
        <v>0</v>
      </c>
      <c r="AL1218" s="1374">
        <f t="shared" si="1725"/>
        <v>0</v>
      </c>
      <c r="AM1218" s="1349">
        <f t="shared" si="1751"/>
        <v>0</v>
      </c>
      <c r="AN1218" s="1350">
        <f t="shared" si="1751"/>
        <v>0</v>
      </c>
      <c r="AO1218" s="1350">
        <f t="shared" si="1751"/>
        <v>0</v>
      </c>
      <c r="AP1218" s="1350">
        <f t="shared" si="1751"/>
        <v>0</v>
      </c>
      <c r="AQ1218" s="1350">
        <f t="shared" si="1751"/>
        <v>0</v>
      </c>
      <c r="AR1218" s="1350">
        <f t="shared" si="1751"/>
        <v>0</v>
      </c>
      <c r="AS1218" s="1350">
        <f t="shared" si="1751"/>
        <v>0</v>
      </c>
      <c r="AT1218" s="1350">
        <f t="shared" si="1727"/>
        <v>0</v>
      </c>
      <c r="AU1218" s="1377" t="e">
        <f t="shared" si="1728"/>
        <v>#DIV/0!</v>
      </c>
      <c r="AV1218" s="1350">
        <f t="shared" si="1755"/>
        <v>0</v>
      </c>
      <c r="AW1218" s="1319">
        <f t="shared" si="1755"/>
        <v>0</v>
      </c>
      <c r="AX1218" s="1319">
        <f t="shared" si="1755"/>
        <v>0</v>
      </c>
      <c r="AY1218" s="1319">
        <f t="shared" si="1755"/>
        <v>0</v>
      </c>
      <c r="AZ1218" s="1319">
        <f t="shared" si="1755"/>
        <v>3684.9000000000001</v>
      </c>
      <c r="BA1218" s="1319">
        <f t="shared" si="1755"/>
        <v>3684.9000000000001</v>
      </c>
      <c r="BB1218" s="1319">
        <f t="shared" si="1755"/>
        <v>0</v>
      </c>
      <c r="BC1218" s="1281">
        <f t="shared" si="1730"/>
        <v>3684.9000000000001</v>
      </c>
      <c r="BD1218" s="1378">
        <f t="shared" si="1731"/>
        <v>0.036621758327402637</v>
      </c>
      <c r="BE1218" s="1051"/>
      <c r="BF1218" s="1051"/>
      <c r="BG1218" s="1106"/>
      <c r="BH1218" s="1106"/>
      <c r="BI1218" s="1106"/>
      <c r="BJ1218" s="1106"/>
      <c r="BK1218" s="1106"/>
      <c r="BL1218" s="1106"/>
      <c r="BM1218" s="1106"/>
    </row>
    <row r="1219" ht="17.25" customHeight="1">
      <c r="A1219" s="999" t="str">
        <f t="shared" si="1712"/>
        <v xml:space="preserve">Шевченко ЕА, Мацак ЕН,  Ворокова ВЕ</v>
      </c>
      <c r="B1219" s="1202" t="s">
        <v>50</v>
      </c>
      <c r="C1219" s="1203" t="s">
        <v>490</v>
      </c>
      <c r="D1219" s="1202"/>
      <c r="E1219" s="1164">
        <f t="shared" ref="E1219:F1221" si="1763">Q1219+Z1219+AI1219+AR1219+BA1219</f>
        <v>5058132.3699999992</v>
      </c>
      <c r="F1219" s="1164">
        <f t="shared" si="1763"/>
        <v>2396251.6500000004</v>
      </c>
      <c r="G1219" s="1165">
        <f t="shared" ref="G1219:G1221" si="1764">E1219+F1219</f>
        <v>7454384.0199999996</v>
      </c>
      <c r="H1219" s="1166">
        <f t="shared" si="1715"/>
        <v>0.082504603113216848</v>
      </c>
      <c r="I1219" s="1167">
        <f t="shared" si="1745"/>
        <v>5058132.3699999992</v>
      </c>
      <c r="J1219" s="1167">
        <f t="shared" si="1762"/>
        <v>2388741.6100000003</v>
      </c>
      <c r="K1219" s="1168">
        <f t="shared" ref="K1219:K1221" si="1765">I1219+J1219</f>
        <v>7446873.9799999995</v>
      </c>
      <c r="L1219" s="1372"/>
      <c r="M1219" s="1127">
        <f t="shared" si="1748"/>
        <v>0</v>
      </c>
      <c r="N1219" s="1127">
        <f t="shared" si="1748"/>
        <v>0</v>
      </c>
      <c r="O1219" s="1127">
        <f t="shared" si="1748"/>
        <v>0</v>
      </c>
      <c r="P1219" s="1127">
        <f t="shared" si="1748"/>
        <v>5058132.3699999992</v>
      </c>
      <c r="Q1219" s="1127">
        <f t="shared" si="1748"/>
        <v>5058132.3699999992</v>
      </c>
      <c r="R1219" s="1127">
        <f t="shared" si="1748"/>
        <v>2292514.6200000001</v>
      </c>
      <c r="S1219" s="1373">
        <f t="shared" si="1718"/>
        <v>7350646.9899999993</v>
      </c>
      <c r="T1219" s="1374">
        <f t="shared" si="1719"/>
        <v>0.092070238571962781</v>
      </c>
      <c r="U1219" s="1173">
        <f t="shared" si="1749"/>
        <v>0</v>
      </c>
      <c r="V1219" s="1127">
        <f t="shared" si="1749"/>
        <v>0</v>
      </c>
      <c r="W1219" s="1127">
        <f t="shared" si="1749"/>
        <v>0</v>
      </c>
      <c r="X1219" s="1127">
        <f t="shared" si="1749"/>
        <v>0</v>
      </c>
      <c r="Y1219" s="1127">
        <f t="shared" si="1749"/>
        <v>0</v>
      </c>
      <c r="Z1219" s="1127">
        <f t="shared" si="1749"/>
        <v>0</v>
      </c>
      <c r="AA1219" s="1127">
        <f t="shared" si="1749"/>
        <v>7510.04</v>
      </c>
      <c r="AB1219" s="1375">
        <f t="shared" si="1721"/>
        <v>7510.04</v>
      </c>
      <c r="AC1219" s="1374">
        <f t="shared" si="1722"/>
        <v>0.00097099079348281735</v>
      </c>
      <c r="AD1219" s="1376">
        <f t="shared" si="1750"/>
        <v>0</v>
      </c>
      <c r="AE1219" s="1127">
        <f t="shared" si="1750"/>
        <v>0</v>
      </c>
      <c r="AF1219" s="1127">
        <f t="shared" si="1750"/>
        <v>0</v>
      </c>
      <c r="AG1219" s="1127">
        <f t="shared" si="1750"/>
        <v>0</v>
      </c>
      <c r="AH1219" s="1127">
        <f t="shared" si="1750"/>
        <v>0</v>
      </c>
      <c r="AI1219" s="1127">
        <f t="shared" si="1750"/>
        <v>0</v>
      </c>
      <c r="AJ1219" s="1127">
        <f t="shared" si="1750"/>
        <v>0</v>
      </c>
      <c r="AK1219" s="1127">
        <f t="shared" si="1724"/>
        <v>0</v>
      </c>
      <c r="AL1219" s="1374">
        <f t="shared" si="1725"/>
        <v>0</v>
      </c>
      <c r="AM1219" s="1376">
        <f t="shared" si="1751"/>
        <v>0</v>
      </c>
      <c r="AN1219" s="1173">
        <f t="shared" si="1751"/>
        <v>0</v>
      </c>
      <c r="AO1219" s="1173">
        <f t="shared" si="1751"/>
        <v>0</v>
      </c>
      <c r="AP1219" s="1173">
        <f t="shared" si="1751"/>
        <v>0</v>
      </c>
      <c r="AQ1219" s="1173">
        <f t="shared" si="1751"/>
        <v>0</v>
      </c>
      <c r="AR1219" s="1173">
        <f t="shared" si="1751"/>
        <v>0</v>
      </c>
      <c r="AS1219" s="1173">
        <f t="shared" si="1751"/>
        <v>0</v>
      </c>
      <c r="AT1219" s="1173">
        <f t="shared" si="1727"/>
        <v>0</v>
      </c>
      <c r="AU1219" s="1377" t="e">
        <f t="shared" si="1728"/>
        <v>#DIV/0!</v>
      </c>
      <c r="AV1219" s="1173">
        <f t="shared" si="1755"/>
        <v>0</v>
      </c>
      <c r="AW1219" s="1127">
        <f t="shared" si="1755"/>
        <v>0</v>
      </c>
      <c r="AX1219" s="1127">
        <f t="shared" si="1755"/>
        <v>0</v>
      </c>
      <c r="AY1219" s="1127">
        <f t="shared" si="1755"/>
        <v>0</v>
      </c>
      <c r="AZ1219" s="1127">
        <f t="shared" si="1755"/>
        <v>0</v>
      </c>
      <c r="BA1219" s="1127">
        <f t="shared" si="1755"/>
        <v>0</v>
      </c>
      <c r="BB1219" s="1127">
        <f t="shared" si="1755"/>
        <v>96226.990000000005</v>
      </c>
      <c r="BC1219" s="1177">
        <f t="shared" si="1730"/>
        <v>96226.990000000005</v>
      </c>
      <c r="BD1219" s="1378">
        <f t="shared" si="1731"/>
        <v>0.95633574109294428</v>
      </c>
      <c r="BE1219" s="1029"/>
      <c r="BF1219" s="1029"/>
    </row>
    <row r="1220" ht="17.25" customHeight="1">
      <c r="A1220" s="999" t="str">
        <f t="shared" si="1712"/>
        <v xml:space="preserve">Лещенко О.А.</v>
      </c>
      <c r="B1220" s="1202" t="s">
        <v>397</v>
      </c>
      <c r="C1220" s="1203" t="s">
        <v>490</v>
      </c>
      <c r="D1220" s="1202"/>
      <c r="E1220" s="1164">
        <f t="shared" si="1763"/>
        <v>334654.18999999994</v>
      </c>
      <c r="F1220" s="1164">
        <f t="shared" si="1763"/>
        <v>428496.64000000001</v>
      </c>
      <c r="G1220" s="1165">
        <f t="shared" si="1764"/>
        <v>763150.82999999996</v>
      </c>
      <c r="H1220" s="1166">
        <f t="shared" si="1715"/>
        <v>0.0084465002307020972</v>
      </c>
      <c r="I1220" s="1167">
        <f t="shared" si="1745"/>
        <v>330106.01999999996</v>
      </c>
      <c r="J1220" s="1167">
        <f t="shared" si="1762"/>
        <v>428496.64000000001</v>
      </c>
      <c r="K1220" s="1168">
        <f t="shared" si="1765"/>
        <v>758602.65999999992</v>
      </c>
      <c r="L1220" s="1372"/>
      <c r="M1220" s="1127">
        <f t="shared" si="1748"/>
        <v>0</v>
      </c>
      <c r="N1220" s="1127">
        <f t="shared" si="1748"/>
        <v>0</v>
      </c>
      <c r="O1220" s="1127">
        <f t="shared" si="1748"/>
        <v>0</v>
      </c>
      <c r="P1220" s="1127">
        <f t="shared" si="1748"/>
        <v>313252.35999999999</v>
      </c>
      <c r="Q1220" s="1127">
        <f t="shared" si="1748"/>
        <v>313252.35999999999</v>
      </c>
      <c r="R1220" s="1127">
        <f t="shared" si="1748"/>
        <v>230148.66999999998</v>
      </c>
      <c r="S1220" s="1373">
        <f t="shared" si="1718"/>
        <v>543401.03000000003</v>
      </c>
      <c r="T1220" s="1374">
        <f t="shared" si="1719"/>
        <v>0.0068063481405669177</v>
      </c>
      <c r="U1220" s="1173">
        <f t="shared" si="1749"/>
        <v>0</v>
      </c>
      <c r="V1220" s="1127">
        <f t="shared" si="1749"/>
        <v>0</v>
      </c>
      <c r="W1220" s="1127">
        <f t="shared" si="1749"/>
        <v>0</v>
      </c>
      <c r="X1220" s="1127">
        <f t="shared" si="1749"/>
        <v>0</v>
      </c>
      <c r="Y1220" s="1127">
        <f t="shared" si="1749"/>
        <v>4548.1700000000001</v>
      </c>
      <c r="Z1220" s="1127">
        <f t="shared" si="1749"/>
        <v>4548.1700000000001</v>
      </c>
      <c r="AA1220" s="1127">
        <f t="shared" si="1749"/>
        <v>0</v>
      </c>
      <c r="AB1220" s="1375">
        <f t="shared" si="1721"/>
        <v>4548.1700000000001</v>
      </c>
      <c r="AC1220" s="1374">
        <f t="shared" si="1722"/>
        <v>0.00058804363188408391</v>
      </c>
      <c r="AD1220" s="1376">
        <f t="shared" si="1750"/>
        <v>0</v>
      </c>
      <c r="AE1220" s="1127">
        <f t="shared" si="1750"/>
        <v>0</v>
      </c>
      <c r="AF1220" s="1127">
        <f t="shared" si="1750"/>
        <v>0</v>
      </c>
      <c r="AG1220" s="1127">
        <f t="shared" si="1750"/>
        <v>0</v>
      </c>
      <c r="AH1220" s="1127">
        <f t="shared" si="1750"/>
        <v>16853.66</v>
      </c>
      <c r="AI1220" s="1127">
        <f t="shared" si="1750"/>
        <v>16853.66</v>
      </c>
      <c r="AJ1220" s="1127">
        <f t="shared" si="1750"/>
        <v>198347.97</v>
      </c>
      <c r="AK1220" s="1127">
        <f t="shared" si="1724"/>
        <v>215201.63</v>
      </c>
      <c r="AL1220" s="1374">
        <f t="shared" si="1725"/>
        <v>0.080337629471256861</v>
      </c>
      <c r="AM1220" s="1376">
        <f t="shared" si="1751"/>
        <v>0</v>
      </c>
      <c r="AN1220" s="1173">
        <f t="shared" si="1751"/>
        <v>0</v>
      </c>
      <c r="AO1220" s="1173">
        <f t="shared" si="1751"/>
        <v>0</v>
      </c>
      <c r="AP1220" s="1173">
        <f t="shared" si="1751"/>
        <v>0</v>
      </c>
      <c r="AQ1220" s="1173">
        <f t="shared" si="1751"/>
        <v>0</v>
      </c>
      <c r="AR1220" s="1173">
        <f t="shared" si="1751"/>
        <v>0</v>
      </c>
      <c r="AS1220" s="1173">
        <f t="shared" si="1751"/>
        <v>0</v>
      </c>
      <c r="AT1220" s="1173">
        <f t="shared" si="1727"/>
        <v>0</v>
      </c>
      <c r="AU1220" s="1377" t="e">
        <f t="shared" si="1728"/>
        <v>#DIV/0!</v>
      </c>
      <c r="AV1220" s="1173">
        <f t="shared" si="1755"/>
        <v>0</v>
      </c>
      <c r="AW1220" s="1127">
        <f t="shared" si="1755"/>
        <v>0</v>
      </c>
      <c r="AX1220" s="1127">
        <f t="shared" si="1755"/>
        <v>0</v>
      </c>
      <c r="AY1220" s="1127">
        <f t="shared" si="1755"/>
        <v>0</v>
      </c>
      <c r="AZ1220" s="1127">
        <f t="shared" si="1755"/>
        <v>0</v>
      </c>
      <c r="BA1220" s="1127">
        <f t="shared" si="1755"/>
        <v>0</v>
      </c>
      <c r="BB1220" s="1127">
        <f t="shared" si="1755"/>
        <v>0</v>
      </c>
      <c r="BC1220" s="1177">
        <f t="shared" si="1730"/>
        <v>0</v>
      </c>
      <c r="BD1220" s="1378">
        <f t="shared" si="1731"/>
        <v>0</v>
      </c>
      <c r="BE1220" s="1029"/>
      <c r="BF1220" s="1029"/>
    </row>
    <row r="1221" ht="17.25" customHeight="1">
      <c r="A1221" s="999" t="str">
        <f t="shared" si="1712"/>
        <v xml:space="preserve">Павленко И.В.</v>
      </c>
      <c r="B1221" s="1202" t="s">
        <v>399</v>
      </c>
      <c r="C1221" s="1202"/>
      <c r="D1221" s="1202"/>
      <c r="E1221" s="1164">
        <f t="shared" si="1763"/>
        <v>755226.26000000001</v>
      </c>
      <c r="F1221" s="1164">
        <f t="shared" si="1763"/>
        <v>502514.54000000004</v>
      </c>
      <c r="G1221" s="1165">
        <f t="shared" si="1764"/>
        <v>1257740.8</v>
      </c>
      <c r="H1221" s="1166">
        <f t="shared" si="1715"/>
        <v>0.013920587568991363</v>
      </c>
      <c r="I1221" s="1167">
        <f t="shared" si="1745"/>
        <v>755226.26000000001</v>
      </c>
      <c r="J1221" s="1167">
        <f t="shared" si="1762"/>
        <v>487494.46000000002</v>
      </c>
      <c r="K1221" s="1168">
        <f t="shared" si="1765"/>
        <v>1242720.72</v>
      </c>
      <c r="L1221" s="1372"/>
      <c r="M1221" s="1127">
        <f t="shared" si="1748"/>
        <v>0</v>
      </c>
      <c r="N1221" s="1127">
        <f t="shared" si="1748"/>
        <v>0</v>
      </c>
      <c r="O1221" s="1127">
        <f t="shared" si="1748"/>
        <v>0</v>
      </c>
      <c r="P1221" s="1127">
        <f t="shared" si="1748"/>
        <v>136143.66</v>
      </c>
      <c r="Q1221" s="1127">
        <f t="shared" si="1748"/>
        <v>136143.66</v>
      </c>
      <c r="R1221" s="1127">
        <f t="shared" si="1748"/>
        <v>487494.46000000002</v>
      </c>
      <c r="S1221" s="1373">
        <f t="shared" si="1718"/>
        <v>623638.12</v>
      </c>
      <c r="T1221" s="1374">
        <f t="shared" si="1719"/>
        <v>0.0078113546425347185</v>
      </c>
      <c r="U1221" s="1173">
        <f t="shared" si="1749"/>
        <v>0</v>
      </c>
      <c r="V1221" s="1127">
        <f t="shared" si="1749"/>
        <v>0</v>
      </c>
      <c r="W1221" s="1127">
        <f t="shared" si="1749"/>
        <v>0</v>
      </c>
      <c r="X1221" s="1127">
        <f t="shared" si="1749"/>
        <v>0</v>
      </c>
      <c r="Y1221" s="1127">
        <f t="shared" si="1749"/>
        <v>0</v>
      </c>
      <c r="Z1221" s="1127">
        <f t="shared" si="1749"/>
        <v>0</v>
      </c>
      <c r="AA1221" s="1127">
        <f t="shared" si="1749"/>
        <v>15020.08</v>
      </c>
      <c r="AB1221" s="1375">
        <f t="shared" si="1721"/>
        <v>15020.08</v>
      </c>
      <c r="AC1221" s="1374">
        <f t="shared" si="1722"/>
        <v>0.0019419815869656347</v>
      </c>
      <c r="AD1221" s="1376">
        <f t="shared" si="1750"/>
        <v>0</v>
      </c>
      <c r="AE1221" s="1127">
        <f t="shared" si="1750"/>
        <v>0</v>
      </c>
      <c r="AF1221" s="1127">
        <f t="shared" si="1750"/>
        <v>0</v>
      </c>
      <c r="AG1221" s="1127">
        <f t="shared" si="1750"/>
        <v>0</v>
      </c>
      <c r="AH1221" s="1127">
        <f t="shared" si="1750"/>
        <v>619082.59999999998</v>
      </c>
      <c r="AI1221" s="1127">
        <f t="shared" si="1750"/>
        <v>619082.59999999998</v>
      </c>
      <c r="AJ1221" s="1127">
        <f t="shared" si="1750"/>
        <v>0</v>
      </c>
      <c r="AK1221" s="1127">
        <f t="shared" si="1724"/>
        <v>619082.59999999998</v>
      </c>
      <c r="AL1221" s="1374">
        <f t="shared" si="1725"/>
        <v>0.23111176495690261</v>
      </c>
      <c r="AM1221" s="1376">
        <f t="shared" si="1751"/>
        <v>0</v>
      </c>
      <c r="AN1221" s="1173">
        <f t="shared" si="1751"/>
        <v>0</v>
      </c>
      <c r="AO1221" s="1173">
        <f t="shared" si="1751"/>
        <v>0</v>
      </c>
      <c r="AP1221" s="1173">
        <f t="shared" si="1751"/>
        <v>0</v>
      </c>
      <c r="AQ1221" s="1173">
        <f t="shared" si="1751"/>
        <v>0</v>
      </c>
      <c r="AR1221" s="1173">
        <f t="shared" si="1751"/>
        <v>0</v>
      </c>
      <c r="AS1221" s="1173">
        <f t="shared" si="1751"/>
        <v>0</v>
      </c>
      <c r="AT1221" s="1173">
        <f t="shared" si="1727"/>
        <v>0</v>
      </c>
      <c r="AU1221" s="1377" t="e">
        <f t="shared" si="1728"/>
        <v>#DIV/0!</v>
      </c>
      <c r="AV1221" s="1173">
        <f t="shared" si="1755"/>
        <v>0</v>
      </c>
      <c r="AW1221" s="1127">
        <f t="shared" si="1755"/>
        <v>0</v>
      </c>
      <c r="AX1221" s="1127">
        <f t="shared" si="1755"/>
        <v>0</v>
      </c>
      <c r="AY1221" s="1127">
        <f t="shared" si="1755"/>
        <v>0</v>
      </c>
      <c r="AZ1221" s="1127">
        <f t="shared" si="1755"/>
        <v>0</v>
      </c>
      <c r="BA1221" s="1127">
        <f t="shared" si="1755"/>
        <v>0</v>
      </c>
      <c r="BB1221" s="1127">
        <f t="shared" si="1755"/>
        <v>0</v>
      </c>
      <c r="BC1221" s="1177">
        <f t="shared" si="1730"/>
        <v>0</v>
      </c>
      <c r="BD1221" s="1378">
        <f t="shared" si="1731"/>
        <v>0</v>
      </c>
      <c r="BE1221" s="1029"/>
      <c r="BF1221" s="1029"/>
    </row>
    <row r="1222" s="1180" customFormat="1" ht="17.25" customHeight="1">
      <c r="A1222" s="999">
        <f t="shared" si="1712"/>
        <v>0</v>
      </c>
      <c r="B1222" s="1205" t="s">
        <v>363</v>
      </c>
      <c r="C1222" s="1205"/>
      <c r="D1222" s="1205"/>
      <c r="E1222" s="1183">
        <f>SUM(E1219:E1221)</f>
        <v>6148012.8199999984</v>
      </c>
      <c r="F1222" s="1183">
        <f>SUM(F1219:F1221)</f>
        <v>3327262.8300000005</v>
      </c>
      <c r="G1222" s="1184">
        <f>SUM(G1219:G1221)</f>
        <v>9475275.6500000004</v>
      </c>
      <c r="H1222" s="1185">
        <f t="shared" si="1715"/>
        <v>0.10487169091291032</v>
      </c>
      <c r="I1222" s="1167">
        <f t="shared" si="1745"/>
        <v>6143464.6499999985</v>
      </c>
      <c r="J1222" s="1167">
        <f t="shared" si="1762"/>
        <v>3304732.7100000004</v>
      </c>
      <c r="K1222" s="1187">
        <f>SUM(K1219:K1221)</f>
        <v>9448197.3599999994</v>
      </c>
      <c r="L1222" s="1071"/>
      <c r="M1222" s="1319">
        <f t="shared" si="1748"/>
        <v>0</v>
      </c>
      <c r="N1222" s="1319">
        <f t="shared" si="1748"/>
        <v>0</v>
      </c>
      <c r="O1222" s="1319">
        <f t="shared" si="1748"/>
        <v>0</v>
      </c>
      <c r="P1222" s="1319">
        <f t="shared" si="1748"/>
        <v>5507528.3900000006</v>
      </c>
      <c r="Q1222" s="1319">
        <f t="shared" si="1748"/>
        <v>5507528.3900000006</v>
      </c>
      <c r="R1222" s="1319">
        <f t="shared" si="1748"/>
        <v>3010157.75</v>
      </c>
      <c r="S1222" s="1319">
        <f t="shared" si="1718"/>
        <v>8517686.1400000006</v>
      </c>
      <c r="T1222" s="1374">
        <f t="shared" si="1719"/>
        <v>0.10668794135506443</v>
      </c>
      <c r="U1222" s="1350">
        <f t="shared" si="1749"/>
        <v>0</v>
      </c>
      <c r="V1222" s="1319">
        <f t="shared" si="1749"/>
        <v>0</v>
      </c>
      <c r="W1222" s="1319">
        <f t="shared" si="1749"/>
        <v>0</v>
      </c>
      <c r="X1222" s="1319">
        <f t="shared" si="1749"/>
        <v>0</v>
      </c>
      <c r="Y1222" s="1319">
        <f t="shared" si="1749"/>
        <v>4548.1700000000001</v>
      </c>
      <c r="Z1222" s="1319">
        <f t="shared" si="1749"/>
        <v>4548.1700000000001</v>
      </c>
      <c r="AA1222" s="1319">
        <f t="shared" si="1749"/>
        <v>22530.119999999999</v>
      </c>
      <c r="AB1222" s="1383">
        <f t="shared" si="1721"/>
        <v>27078.290000000001</v>
      </c>
      <c r="AC1222" s="1374">
        <f t="shared" si="1722"/>
        <v>0.0035010160123325361</v>
      </c>
      <c r="AD1222" s="1349">
        <f t="shared" si="1750"/>
        <v>0</v>
      </c>
      <c r="AE1222" s="1319">
        <f t="shared" si="1750"/>
        <v>0</v>
      </c>
      <c r="AF1222" s="1319">
        <f t="shared" si="1750"/>
        <v>0</v>
      </c>
      <c r="AG1222" s="1319">
        <f t="shared" si="1750"/>
        <v>0</v>
      </c>
      <c r="AH1222" s="1319">
        <f t="shared" si="1750"/>
        <v>635936.26000000001</v>
      </c>
      <c r="AI1222" s="1319">
        <f t="shared" si="1750"/>
        <v>635936.26000000001</v>
      </c>
      <c r="AJ1222" s="1319">
        <f t="shared" si="1750"/>
        <v>198347.97</v>
      </c>
      <c r="AK1222" s="1319">
        <f t="shared" si="1724"/>
        <v>834284.22999999998</v>
      </c>
      <c r="AL1222" s="1374">
        <f t="shared" si="1725"/>
        <v>0.31144939442815944</v>
      </c>
      <c r="AM1222" s="1349">
        <f t="shared" si="1751"/>
        <v>0</v>
      </c>
      <c r="AN1222" s="1350">
        <f t="shared" si="1751"/>
        <v>0</v>
      </c>
      <c r="AO1222" s="1350">
        <f t="shared" si="1751"/>
        <v>0</v>
      </c>
      <c r="AP1222" s="1350">
        <f t="shared" si="1751"/>
        <v>0</v>
      </c>
      <c r="AQ1222" s="1350">
        <f t="shared" si="1751"/>
        <v>0</v>
      </c>
      <c r="AR1222" s="1350">
        <f t="shared" si="1751"/>
        <v>0</v>
      </c>
      <c r="AS1222" s="1350">
        <f t="shared" si="1751"/>
        <v>0</v>
      </c>
      <c r="AT1222" s="1350">
        <f t="shared" si="1727"/>
        <v>0</v>
      </c>
      <c r="AU1222" s="1377" t="e">
        <f t="shared" si="1728"/>
        <v>#DIV/0!</v>
      </c>
      <c r="AV1222" s="1350">
        <f t="shared" si="1755"/>
        <v>0</v>
      </c>
      <c r="AW1222" s="1319">
        <f t="shared" si="1755"/>
        <v>0</v>
      </c>
      <c r="AX1222" s="1319">
        <f t="shared" si="1755"/>
        <v>0</v>
      </c>
      <c r="AY1222" s="1319">
        <f t="shared" si="1755"/>
        <v>0</v>
      </c>
      <c r="AZ1222" s="1319">
        <f t="shared" si="1755"/>
        <v>0</v>
      </c>
      <c r="BA1222" s="1319">
        <f t="shared" si="1755"/>
        <v>0</v>
      </c>
      <c r="BB1222" s="1319">
        <f t="shared" si="1755"/>
        <v>96226.990000000005</v>
      </c>
      <c r="BC1222" s="1281">
        <f t="shared" si="1730"/>
        <v>96226.990000000005</v>
      </c>
      <c r="BD1222" s="1378">
        <f t="shared" si="1731"/>
        <v>0.95633574109294428</v>
      </c>
      <c r="BE1222" s="1051"/>
      <c r="BF1222" s="1051"/>
      <c r="BG1222" s="1106"/>
      <c r="BH1222" s="1106"/>
      <c r="BI1222" s="1106"/>
      <c r="BJ1222" s="1106"/>
      <c r="BK1222" s="1106"/>
      <c r="BL1222" s="1106"/>
      <c r="BM1222" s="1106"/>
    </row>
    <row r="1223" s="1180" customFormat="1" ht="17.25" customHeight="1">
      <c r="A1223" s="999">
        <f t="shared" si="1712"/>
        <v>0</v>
      </c>
      <c r="B1223" s="1205" t="s">
        <v>400</v>
      </c>
      <c r="C1223" s="1205"/>
      <c r="D1223" s="1205"/>
      <c r="E1223" s="1183">
        <f>E1222+E1218+E1214+E1208+E1194</f>
        <v>20365443.079999998</v>
      </c>
      <c r="F1223" s="1183">
        <f>F1222+F1218+F1214+F1208+F1194</f>
        <v>10477017.660000002</v>
      </c>
      <c r="G1223" s="1184">
        <f>G1222+G1218+G1214+G1208+G1194</f>
        <v>30842460.739999998</v>
      </c>
      <c r="H1223" s="1185">
        <f t="shared" si="1715"/>
        <v>0.34136220720067928</v>
      </c>
      <c r="I1223" s="1167">
        <f t="shared" si="1745"/>
        <v>20335323.029999997</v>
      </c>
      <c r="J1223" s="1167">
        <f t="shared" si="1762"/>
        <v>10001127.480000002</v>
      </c>
      <c r="K1223" s="1187">
        <f>K1222+K1218+K1214+K1208+K1194</f>
        <v>30336450.510000002</v>
      </c>
      <c r="L1223" s="1385">
        <f>L1222+L1218+L1214+L1208+L1194</f>
        <v>0</v>
      </c>
      <c r="M1223" s="1319">
        <f t="shared" si="1748"/>
        <v>0</v>
      </c>
      <c r="N1223" s="1319">
        <f t="shared" si="1748"/>
        <v>0</v>
      </c>
      <c r="O1223" s="1319">
        <f t="shared" si="1748"/>
        <v>0</v>
      </c>
      <c r="P1223" s="1319">
        <f t="shared" si="1748"/>
        <v>19347876.840000004</v>
      </c>
      <c r="Q1223" s="1319">
        <f t="shared" si="1748"/>
        <v>19347876.840000004</v>
      </c>
      <c r="R1223" s="1319">
        <f t="shared" si="1748"/>
        <v>9676663.0100000016</v>
      </c>
      <c r="S1223" s="1319">
        <f t="shared" si="1718"/>
        <v>29024539.850000005</v>
      </c>
      <c r="T1223" s="1374">
        <f t="shared" si="1719"/>
        <v>0.36354572761641235</v>
      </c>
      <c r="U1223" s="1350">
        <f t="shared" si="1749"/>
        <v>0</v>
      </c>
      <c r="V1223" s="1319">
        <f t="shared" si="1749"/>
        <v>0</v>
      </c>
      <c r="W1223" s="1319">
        <f t="shared" si="1749"/>
        <v>0</v>
      </c>
      <c r="X1223" s="1319">
        <f t="shared" si="1749"/>
        <v>0</v>
      </c>
      <c r="Y1223" s="1319">
        <f t="shared" si="1749"/>
        <v>30120.050000000003</v>
      </c>
      <c r="Z1223" s="1319">
        <f t="shared" si="1749"/>
        <v>30120.050000000003</v>
      </c>
      <c r="AA1223" s="1319">
        <f t="shared" si="1749"/>
        <v>475890.17999999993</v>
      </c>
      <c r="AB1223" s="1383">
        <f t="shared" si="1721"/>
        <v>506010.22999999992</v>
      </c>
      <c r="AC1223" s="1374">
        <f t="shared" si="1722"/>
        <v>0.065423256698782281</v>
      </c>
      <c r="AD1223" s="1349">
        <f t="shared" si="1750"/>
        <v>0</v>
      </c>
      <c r="AE1223" s="1319">
        <f t="shared" si="1750"/>
        <v>0</v>
      </c>
      <c r="AF1223" s="1319">
        <f t="shared" si="1750"/>
        <v>0</v>
      </c>
      <c r="AG1223" s="1319">
        <f t="shared" si="1750"/>
        <v>0</v>
      </c>
      <c r="AH1223" s="1319">
        <f t="shared" si="1750"/>
        <v>983747.06999999995</v>
      </c>
      <c r="AI1223" s="1319">
        <f t="shared" si="1750"/>
        <v>983747.06999999995</v>
      </c>
      <c r="AJ1223" s="1319">
        <f t="shared" si="1750"/>
        <v>227543.08000000002</v>
      </c>
      <c r="AK1223" s="1319">
        <f t="shared" si="1724"/>
        <v>1211290.1499999999</v>
      </c>
      <c r="AL1223" s="1374">
        <f t="shared" si="1725"/>
        <v>0.45219071645917891</v>
      </c>
      <c r="AM1223" s="1349">
        <f t="shared" si="1751"/>
        <v>0</v>
      </c>
      <c r="AN1223" s="1350">
        <f t="shared" si="1751"/>
        <v>0</v>
      </c>
      <c r="AO1223" s="1350">
        <f t="shared" si="1751"/>
        <v>0</v>
      </c>
      <c r="AP1223" s="1350">
        <f t="shared" si="1751"/>
        <v>0</v>
      </c>
      <c r="AQ1223" s="1350">
        <f t="shared" si="1751"/>
        <v>0</v>
      </c>
      <c r="AR1223" s="1350">
        <f t="shared" si="1751"/>
        <v>0</v>
      </c>
      <c r="AS1223" s="1350">
        <f t="shared" si="1751"/>
        <v>0</v>
      </c>
      <c r="AT1223" s="1350">
        <f t="shared" si="1727"/>
        <v>0</v>
      </c>
      <c r="AU1223" s="1377" t="e">
        <f t="shared" si="1728"/>
        <v>#DIV/0!</v>
      </c>
      <c r="AV1223" s="1350">
        <f t="shared" si="1755"/>
        <v>0</v>
      </c>
      <c r="AW1223" s="1319">
        <f t="shared" si="1755"/>
        <v>0</v>
      </c>
      <c r="AX1223" s="1319">
        <f t="shared" si="1755"/>
        <v>0</v>
      </c>
      <c r="AY1223" s="1319">
        <f t="shared" si="1755"/>
        <v>0</v>
      </c>
      <c r="AZ1223" s="1319">
        <f t="shared" si="1755"/>
        <v>3699.1199999999999</v>
      </c>
      <c r="BA1223" s="1319">
        <f t="shared" si="1755"/>
        <v>3699.1199999999999</v>
      </c>
      <c r="BB1223" s="1319">
        <f t="shared" si="1755"/>
        <v>96921.389999999999</v>
      </c>
      <c r="BC1223" s="1281">
        <f t="shared" si="1730"/>
        <v>100620.50999999999</v>
      </c>
      <c r="BD1223" s="1378">
        <f t="shared" si="1731"/>
        <v>1</v>
      </c>
      <c r="BE1223" s="1051"/>
      <c r="BF1223" s="1051"/>
      <c r="BG1223" s="1106"/>
      <c r="BH1223" s="1106"/>
      <c r="BI1223" s="1106"/>
      <c r="BJ1223" s="1106"/>
      <c r="BK1223" s="1106"/>
      <c r="BL1223" s="1106"/>
      <c r="BM1223" s="1106"/>
    </row>
    <row r="1224" ht="17.25" customHeight="1">
      <c r="A1224" s="999" t="str">
        <f t="shared" si="1712"/>
        <v xml:space="preserve">Куприянова А.В.</v>
      </c>
      <c r="B1224" s="1202" t="s">
        <v>402</v>
      </c>
      <c r="C1224" s="1202"/>
      <c r="D1224" s="1202"/>
      <c r="E1224" s="1164">
        <f t="shared" ref="E1224:F1235" si="1766">Q1224+Z1224+AI1224+AR1224+BA1224</f>
        <v>15144.68</v>
      </c>
      <c r="F1224" s="1164">
        <f t="shared" si="1766"/>
        <v>326537.37</v>
      </c>
      <c r="G1224" s="1165">
        <f t="shared" ref="G1224:G1235" si="1767">E1224+F1224</f>
        <v>341682.04999999999</v>
      </c>
      <c r="H1224" s="1166">
        <f t="shared" si="1715"/>
        <v>0.0037817131302232423</v>
      </c>
      <c r="I1224" s="1167">
        <f t="shared" si="1745"/>
        <v>15144.68</v>
      </c>
      <c r="J1224" s="1167">
        <f t="shared" si="1762"/>
        <v>191356.64999999999</v>
      </c>
      <c r="K1224" s="1168">
        <f t="shared" ref="K1224:K1235" si="1768">I1224+J1224</f>
        <v>206501.32999999999</v>
      </c>
      <c r="L1224" s="1372"/>
      <c r="M1224" s="1127">
        <f t="shared" si="1748"/>
        <v>0</v>
      </c>
      <c r="N1224" s="1127">
        <f t="shared" si="1748"/>
        <v>0</v>
      </c>
      <c r="O1224" s="1127">
        <f t="shared" si="1748"/>
        <v>0</v>
      </c>
      <c r="P1224" s="1127">
        <f>P1126+P1029+P931+P833+P732+P634+P537+P440+R342+P245+P147+P49</f>
        <v>15144.68</v>
      </c>
      <c r="Q1224" s="1127">
        <f t="shared" si="1748"/>
        <v>15144.68</v>
      </c>
      <c r="R1224" s="1127">
        <f>R1126+R1029+R931+R833+R732+R634+R537+R440+P342+R245+R147+R49</f>
        <v>191356.64999999999</v>
      </c>
      <c r="S1224" s="1373">
        <f t="shared" si="1718"/>
        <v>206501.32999999999</v>
      </c>
      <c r="T1224" s="1374">
        <f t="shared" si="1719"/>
        <v>0.0025865242534967134</v>
      </c>
      <c r="U1224" s="1173">
        <f t="shared" si="1749"/>
        <v>0</v>
      </c>
      <c r="V1224" s="1127">
        <f t="shared" si="1749"/>
        <v>0</v>
      </c>
      <c r="W1224" s="1127">
        <f t="shared" si="1749"/>
        <v>0</v>
      </c>
      <c r="X1224" s="1127">
        <f t="shared" si="1749"/>
        <v>0</v>
      </c>
      <c r="Y1224" s="1127">
        <f t="shared" si="1749"/>
        <v>0</v>
      </c>
      <c r="Z1224" s="1127">
        <f t="shared" si="1749"/>
        <v>0</v>
      </c>
      <c r="AA1224" s="1127">
        <f t="shared" si="1749"/>
        <v>135180.72</v>
      </c>
      <c r="AB1224" s="1375">
        <f t="shared" si="1721"/>
        <v>135180.72</v>
      </c>
      <c r="AC1224" s="1374">
        <f t="shared" si="1722"/>
        <v>0.017477834282690712</v>
      </c>
      <c r="AD1224" s="1376">
        <f t="shared" si="1750"/>
        <v>0</v>
      </c>
      <c r="AE1224" s="1127">
        <f t="shared" si="1750"/>
        <v>0</v>
      </c>
      <c r="AF1224" s="1127">
        <f t="shared" si="1750"/>
        <v>0</v>
      </c>
      <c r="AG1224" s="1127">
        <f t="shared" si="1750"/>
        <v>0</v>
      </c>
      <c r="AH1224" s="1127">
        <f t="shared" si="1750"/>
        <v>0</v>
      </c>
      <c r="AI1224" s="1127">
        <f t="shared" si="1750"/>
        <v>0</v>
      </c>
      <c r="AJ1224" s="1127">
        <f t="shared" si="1750"/>
        <v>0</v>
      </c>
      <c r="AK1224" s="1127">
        <f t="shared" si="1724"/>
        <v>0</v>
      </c>
      <c r="AL1224" s="1374">
        <f t="shared" si="1725"/>
        <v>0</v>
      </c>
      <c r="AM1224" s="1376">
        <f t="shared" si="1751"/>
        <v>0</v>
      </c>
      <c r="AN1224" s="1173">
        <f t="shared" si="1751"/>
        <v>0</v>
      </c>
      <c r="AO1224" s="1173">
        <f t="shared" si="1751"/>
        <v>0</v>
      </c>
      <c r="AP1224" s="1173">
        <f t="shared" si="1751"/>
        <v>0</v>
      </c>
      <c r="AQ1224" s="1173">
        <f t="shared" si="1751"/>
        <v>0</v>
      </c>
      <c r="AR1224" s="1173">
        <f t="shared" si="1751"/>
        <v>0</v>
      </c>
      <c r="AS1224" s="1173">
        <f t="shared" si="1751"/>
        <v>0</v>
      </c>
      <c r="AT1224" s="1173">
        <f t="shared" si="1727"/>
        <v>0</v>
      </c>
      <c r="AU1224" s="1377" t="e">
        <f t="shared" si="1728"/>
        <v>#DIV/0!</v>
      </c>
      <c r="AV1224" s="1173">
        <f t="shared" si="1755"/>
        <v>0</v>
      </c>
      <c r="AW1224" s="1127">
        <f t="shared" si="1755"/>
        <v>0</v>
      </c>
      <c r="AX1224" s="1127">
        <f t="shared" si="1755"/>
        <v>0</v>
      </c>
      <c r="AY1224" s="1127">
        <f t="shared" si="1755"/>
        <v>0</v>
      </c>
      <c r="AZ1224" s="1127">
        <f t="shared" si="1755"/>
        <v>0</v>
      </c>
      <c r="BA1224" s="1127">
        <f t="shared" si="1755"/>
        <v>0</v>
      </c>
      <c r="BB1224" s="1127">
        <f t="shared" si="1755"/>
        <v>0</v>
      </c>
      <c r="BC1224" s="1177">
        <f t="shared" si="1730"/>
        <v>0</v>
      </c>
      <c r="BD1224" s="1378">
        <f t="shared" si="1731"/>
        <v>0</v>
      </c>
      <c r="BE1224" s="1029"/>
      <c r="BF1224" s="1029"/>
    </row>
    <row r="1225" ht="17.25" customHeight="1">
      <c r="A1225" s="999" t="str">
        <f t="shared" si="1712"/>
        <v xml:space="preserve">Попова И.Ю.</v>
      </c>
      <c r="B1225" s="1202" t="s">
        <v>404</v>
      </c>
      <c r="C1225" s="1202"/>
      <c r="D1225" s="1202"/>
      <c r="E1225" s="1164">
        <f t="shared" si="1766"/>
        <v>16818.360000000001</v>
      </c>
      <c r="F1225" s="1164">
        <f t="shared" si="1766"/>
        <v>91746.549999999988</v>
      </c>
      <c r="G1225" s="1165">
        <f t="shared" si="1767"/>
        <v>108564.90999999999</v>
      </c>
      <c r="H1225" s="1166">
        <f t="shared" si="1715"/>
        <v>0.0012015888620092994</v>
      </c>
      <c r="I1225" s="1167">
        <f t="shared" si="1745"/>
        <v>16818.360000000001</v>
      </c>
      <c r="J1225" s="1167">
        <f t="shared" si="1762"/>
        <v>46686.30999999999</v>
      </c>
      <c r="K1225" s="1168">
        <f t="shared" si="1768"/>
        <v>63504.669999999991</v>
      </c>
      <c r="L1225" s="1372"/>
      <c r="M1225" s="1127">
        <f t="shared" si="1748"/>
        <v>0</v>
      </c>
      <c r="N1225" s="1127">
        <f t="shared" si="1748"/>
        <v>0</v>
      </c>
      <c r="O1225" s="1127">
        <f t="shared" si="1748"/>
        <v>0</v>
      </c>
      <c r="P1225" s="1127">
        <f t="shared" si="1748"/>
        <v>16818.360000000001</v>
      </c>
      <c r="Q1225" s="1127">
        <f t="shared" si="1748"/>
        <v>16818.360000000001</v>
      </c>
      <c r="R1225" s="1127">
        <f t="shared" si="1748"/>
        <v>46686.309999999998</v>
      </c>
      <c r="S1225" s="1373">
        <f t="shared" si="1718"/>
        <v>63504.669999999998</v>
      </c>
      <c r="T1225" s="1374">
        <f t="shared" si="1719"/>
        <v>0.00079542523607622844</v>
      </c>
      <c r="U1225" s="1173">
        <f t="shared" si="1749"/>
        <v>0</v>
      </c>
      <c r="V1225" s="1127">
        <f t="shared" si="1749"/>
        <v>0</v>
      </c>
      <c r="W1225" s="1127">
        <f t="shared" si="1749"/>
        <v>0</v>
      </c>
      <c r="X1225" s="1127">
        <f t="shared" si="1749"/>
        <v>0</v>
      </c>
      <c r="Y1225" s="1127">
        <f t="shared" si="1749"/>
        <v>0</v>
      </c>
      <c r="Z1225" s="1127">
        <f t="shared" si="1749"/>
        <v>0</v>
      </c>
      <c r="AA1225" s="1127">
        <f t="shared" si="1749"/>
        <v>45060.239999999998</v>
      </c>
      <c r="AB1225" s="1375">
        <f t="shared" si="1721"/>
        <v>45060.239999999998</v>
      </c>
      <c r="AC1225" s="1374">
        <f t="shared" si="1722"/>
        <v>0.0058259447608969041</v>
      </c>
      <c r="AD1225" s="1376">
        <f t="shared" si="1750"/>
        <v>0</v>
      </c>
      <c r="AE1225" s="1127">
        <f t="shared" si="1750"/>
        <v>0</v>
      </c>
      <c r="AF1225" s="1127">
        <f t="shared" si="1750"/>
        <v>0</v>
      </c>
      <c r="AG1225" s="1127">
        <f t="shared" si="1750"/>
        <v>0</v>
      </c>
      <c r="AH1225" s="1127">
        <f t="shared" si="1750"/>
        <v>0</v>
      </c>
      <c r="AI1225" s="1127">
        <f t="shared" si="1750"/>
        <v>0</v>
      </c>
      <c r="AJ1225" s="1127">
        <f t="shared" si="1750"/>
        <v>0</v>
      </c>
      <c r="AK1225" s="1127">
        <f t="shared" si="1724"/>
        <v>0</v>
      </c>
      <c r="AL1225" s="1374">
        <f t="shared" si="1725"/>
        <v>0</v>
      </c>
      <c r="AM1225" s="1376">
        <f t="shared" si="1751"/>
        <v>0</v>
      </c>
      <c r="AN1225" s="1173">
        <f t="shared" si="1751"/>
        <v>0</v>
      </c>
      <c r="AO1225" s="1173">
        <f t="shared" si="1751"/>
        <v>0</v>
      </c>
      <c r="AP1225" s="1173">
        <f t="shared" si="1751"/>
        <v>0</v>
      </c>
      <c r="AQ1225" s="1173">
        <f t="shared" si="1751"/>
        <v>0</v>
      </c>
      <c r="AR1225" s="1173">
        <f t="shared" si="1751"/>
        <v>0</v>
      </c>
      <c r="AS1225" s="1173">
        <f t="shared" si="1751"/>
        <v>0</v>
      </c>
      <c r="AT1225" s="1173">
        <f t="shared" si="1727"/>
        <v>0</v>
      </c>
      <c r="AU1225" s="1377" t="e">
        <f t="shared" si="1728"/>
        <v>#DIV/0!</v>
      </c>
      <c r="AV1225" s="1173">
        <f t="shared" si="1755"/>
        <v>0</v>
      </c>
      <c r="AW1225" s="1127">
        <f t="shared" si="1755"/>
        <v>0</v>
      </c>
      <c r="AX1225" s="1127">
        <f t="shared" si="1755"/>
        <v>0</v>
      </c>
      <c r="AY1225" s="1127">
        <f t="shared" si="1755"/>
        <v>0</v>
      </c>
      <c r="AZ1225" s="1127">
        <f t="shared" si="1755"/>
        <v>0</v>
      </c>
      <c r="BA1225" s="1127">
        <f t="shared" si="1755"/>
        <v>0</v>
      </c>
      <c r="BB1225" s="1127">
        <f t="shared" si="1755"/>
        <v>0</v>
      </c>
      <c r="BC1225" s="1177">
        <f t="shared" si="1730"/>
        <v>0</v>
      </c>
      <c r="BD1225" s="1378">
        <f t="shared" si="1731"/>
        <v>0</v>
      </c>
      <c r="BE1225" s="1029"/>
      <c r="BF1225" s="1029"/>
    </row>
    <row r="1226" s="1180" customFormat="1" ht="17.25" customHeight="1">
      <c r="A1226" s="999">
        <f t="shared" si="1712"/>
        <v>0</v>
      </c>
      <c r="B1226" s="1205" t="s">
        <v>527</v>
      </c>
      <c r="C1226" s="1205"/>
      <c r="D1226" s="1205"/>
      <c r="E1226" s="1183">
        <f>SUM(E1224:E1225)</f>
        <v>31963.040000000001</v>
      </c>
      <c r="F1226" s="1183">
        <f>SUM(F1224:F1225)</f>
        <v>418283.91999999998</v>
      </c>
      <c r="G1226" s="1184">
        <f>SUM(G1224:G1225)</f>
        <v>450246.95999999996</v>
      </c>
      <c r="H1226" s="1185">
        <f t="shared" si="1715"/>
        <v>0.0049833019922325417</v>
      </c>
      <c r="I1226" s="1167">
        <f t="shared" si="1745"/>
        <v>31963.040000000001</v>
      </c>
      <c r="J1226" s="1167">
        <f t="shared" si="1762"/>
        <v>238042.95999999999</v>
      </c>
      <c r="K1226" s="1187">
        <f>SUM(K1224:K1225)</f>
        <v>270006</v>
      </c>
      <c r="L1226" s="1385">
        <f>SUM(L1224:L1225)</f>
        <v>0</v>
      </c>
      <c r="M1226" s="1319">
        <f t="shared" si="1748"/>
        <v>0</v>
      </c>
      <c r="N1226" s="1319">
        <f t="shared" si="1748"/>
        <v>0</v>
      </c>
      <c r="O1226" s="1319">
        <f t="shared" si="1748"/>
        <v>0</v>
      </c>
      <c r="P1226" s="1319">
        <f t="shared" si="1748"/>
        <v>31963.040000000001</v>
      </c>
      <c r="Q1226" s="1319">
        <f t="shared" si="1748"/>
        <v>31963.040000000001</v>
      </c>
      <c r="R1226" s="1319">
        <f t="shared" si="1748"/>
        <v>238042.95999999999</v>
      </c>
      <c r="S1226" s="1319">
        <f t="shared" si="1718"/>
        <v>270006</v>
      </c>
      <c r="T1226" s="1374">
        <f t="shared" si="1719"/>
        <v>0.0033819494895729421</v>
      </c>
      <c r="U1226" s="1350">
        <f t="shared" si="1749"/>
        <v>0</v>
      </c>
      <c r="V1226" s="1319">
        <f t="shared" si="1749"/>
        <v>0</v>
      </c>
      <c r="W1226" s="1319">
        <f t="shared" si="1749"/>
        <v>0</v>
      </c>
      <c r="X1226" s="1319">
        <f t="shared" si="1749"/>
        <v>0</v>
      </c>
      <c r="Y1226" s="1319">
        <f t="shared" si="1749"/>
        <v>0</v>
      </c>
      <c r="Z1226" s="1319">
        <f t="shared" si="1749"/>
        <v>0</v>
      </c>
      <c r="AA1226" s="1319">
        <f t="shared" si="1749"/>
        <v>180240.95999999999</v>
      </c>
      <c r="AB1226" s="1383">
        <f t="shared" si="1721"/>
        <v>180240.95999999999</v>
      </c>
      <c r="AC1226" s="1374">
        <f t="shared" si="1722"/>
        <v>0.023303779043587616</v>
      </c>
      <c r="AD1226" s="1349">
        <f t="shared" si="1750"/>
        <v>0</v>
      </c>
      <c r="AE1226" s="1319">
        <f t="shared" si="1750"/>
        <v>0</v>
      </c>
      <c r="AF1226" s="1319">
        <f t="shared" si="1750"/>
        <v>0</v>
      </c>
      <c r="AG1226" s="1319">
        <f t="shared" si="1750"/>
        <v>0</v>
      </c>
      <c r="AH1226" s="1319">
        <f t="shared" si="1750"/>
        <v>0</v>
      </c>
      <c r="AI1226" s="1319">
        <f t="shared" si="1750"/>
        <v>0</v>
      </c>
      <c r="AJ1226" s="1319">
        <f t="shared" si="1750"/>
        <v>0</v>
      </c>
      <c r="AK1226" s="1319">
        <f t="shared" si="1724"/>
        <v>0</v>
      </c>
      <c r="AL1226" s="1374">
        <f t="shared" si="1725"/>
        <v>0</v>
      </c>
      <c r="AM1226" s="1349">
        <f t="shared" si="1751"/>
        <v>0</v>
      </c>
      <c r="AN1226" s="1350">
        <f t="shared" si="1751"/>
        <v>0</v>
      </c>
      <c r="AO1226" s="1350">
        <f t="shared" si="1751"/>
        <v>0</v>
      </c>
      <c r="AP1226" s="1350">
        <f t="shared" si="1751"/>
        <v>0</v>
      </c>
      <c r="AQ1226" s="1350">
        <f t="shared" si="1751"/>
        <v>0</v>
      </c>
      <c r="AR1226" s="1350">
        <f t="shared" si="1751"/>
        <v>0</v>
      </c>
      <c r="AS1226" s="1350">
        <f t="shared" si="1751"/>
        <v>0</v>
      </c>
      <c r="AT1226" s="1350">
        <f t="shared" si="1727"/>
        <v>0</v>
      </c>
      <c r="AU1226" s="1377" t="e">
        <f t="shared" si="1728"/>
        <v>#DIV/0!</v>
      </c>
      <c r="AV1226" s="1350">
        <f t="shared" si="1755"/>
        <v>0</v>
      </c>
      <c r="AW1226" s="1319">
        <f t="shared" si="1755"/>
        <v>0</v>
      </c>
      <c r="AX1226" s="1319">
        <f t="shared" si="1755"/>
        <v>0</v>
      </c>
      <c r="AY1226" s="1319">
        <f t="shared" si="1755"/>
        <v>0</v>
      </c>
      <c r="AZ1226" s="1319">
        <f t="shared" si="1755"/>
        <v>0</v>
      </c>
      <c r="BA1226" s="1319">
        <f t="shared" si="1755"/>
        <v>0</v>
      </c>
      <c r="BB1226" s="1319">
        <f t="shared" si="1755"/>
        <v>0</v>
      </c>
      <c r="BC1226" s="1281">
        <f t="shared" si="1730"/>
        <v>0</v>
      </c>
      <c r="BD1226" s="1378">
        <f t="shared" si="1731"/>
        <v>0</v>
      </c>
      <c r="BE1226" s="1051"/>
      <c r="BF1226" s="1051"/>
      <c r="BG1226" s="1106"/>
      <c r="BH1226" s="1106"/>
      <c r="BI1226" s="1106"/>
      <c r="BJ1226" s="1106"/>
      <c r="BK1226" s="1106"/>
      <c r="BL1226" s="1106"/>
      <c r="BM1226" s="1106"/>
    </row>
    <row r="1227" s="1180" customFormat="1" ht="17.25" customHeight="1">
      <c r="A1227" s="999">
        <f t="shared" si="1712"/>
        <v>0</v>
      </c>
      <c r="B1227" s="1205" t="s">
        <v>528</v>
      </c>
      <c r="C1227" s="1205"/>
      <c r="D1227" s="1205"/>
      <c r="E1227" s="1183">
        <f>E1226+E1223</f>
        <v>20397406.119999997</v>
      </c>
      <c r="F1227" s="1183">
        <f>F1226+F1223</f>
        <v>10895301.580000002</v>
      </c>
      <c r="G1227" s="1184">
        <f>G1226+G1223</f>
        <v>31292707.699999999</v>
      </c>
      <c r="H1227" s="1185">
        <f t="shared" si="1715"/>
        <v>0.34634550919291185</v>
      </c>
      <c r="I1227" s="1167">
        <f t="shared" si="1745"/>
        <v>20367286.069999997</v>
      </c>
      <c r="J1227" s="1167">
        <f t="shared" si="1762"/>
        <v>10239170.440000001</v>
      </c>
      <c r="K1227" s="1187">
        <f>K1226+K1223</f>
        <v>30606456.510000002</v>
      </c>
      <c r="L1227" s="1385">
        <f>L1226+L1223</f>
        <v>0</v>
      </c>
      <c r="M1227" s="1319">
        <f t="shared" si="1748"/>
        <v>0</v>
      </c>
      <c r="N1227" s="1319">
        <f t="shared" si="1748"/>
        <v>0</v>
      </c>
      <c r="O1227" s="1319">
        <f t="shared" si="1748"/>
        <v>0</v>
      </c>
      <c r="P1227" s="1319">
        <f t="shared" si="1748"/>
        <v>19379839.880000003</v>
      </c>
      <c r="Q1227" s="1319">
        <f t="shared" si="1748"/>
        <v>19379839.880000003</v>
      </c>
      <c r="R1227" s="1319">
        <f t="shared" si="1748"/>
        <v>9914705.9700000007</v>
      </c>
      <c r="S1227" s="1319">
        <f t="shared" si="1718"/>
        <v>29294545.850000001</v>
      </c>
      <c r="T1227" s="1374">
        <f t="shared" si="1719"/>
        <v>0.36692767710598523</v>
      </c>
      <c r="U1227" s="1350">
        <f t="shared" si="1749"/>
        <v>0</v>
      </c>
      <c r="V1227" s="1319">
        <f t="shared" si="1749"/>
        <v>0</v>
      </c>
      <c r="W1227" s="1319">
        <f t="shared" si="1749"/>
        <v>0</v>
      </c>
      <c r="X1227" s="1319">
        <f t="shared" si="1749"/>
        <v>0</v>
      </c>
      <c r="Y1227" s="1319">
        <f t="shared" si="1749"/>
        <v>30120.050000000003</v>
      </c>
      <c r="Z1227" s="1319">
        <f t="shared" si="1749"/>
        <v>30120.050000000003</v>
      </c>
      <c r="AA1227" s="1319">
        <f t="shared" si="1749"/>
        <v>656131.1399999999</v>
      </c>
      <c r="AB1227" s="1383">
        <f t="shared" si="1721"/>
        <v>686251.18999999994</v>
      </c>
      <c r="AC1227" s="1374">
        <f t="shared" si="1722"/>
        <v>0.088727035742369897</v>
      </c>
      <c r="AD1227" s="1349">
        <f t="shared" si="1750"/>
        <v>0</v>
      </c>
      <c r="AE1227" s="1319">
        <f t="shared" si="1750"/>
        <v>0</v>
      </c>
      <c r="AF1227" s="1319">
        <f t="shared" si="1750"/>
        <v>0</v>
      </c>
      <c r="AG1227" s="1319">
        <f t="shared" si="1750"/>
        <v>0</v>
      </c>
      <c r="AH1227" s="1319">
        <f t="shared" si="1750"/>
        <v>983747.06999999995</v>
      </c>
      <c r="AI1227" s="1319">
        <f t="shared" si="1750"/>
        <v>983747.06999999995</v>
      </c>
      <c r="AJ1227" s="1319">
        <f t="shared" si="1750"/>
        <v>227543.08000000002</v>
      </c>
      <c r="AK1227" s="1319">
        <f t="shared" si="1724"/>
        <v>1211290.1499999999</v>
      </c>
      <c r="AL1227" s="1374">
        <f t="shared" si="1725"/>
        <v>0.45219071645917891</v>
      </c>
      <c r="AM1227" s="1349">
        <f t="shared" si="1751"/>
        <v>0</v>
      </c>
      <c r="AN1227" s="1350">
        <f t="shared" si="1751"/>
        <v>0</v>
      </c>
      <c r="AO1227" s="1350">
        <f t="shared" si="1751"/>
        <v>0</v>
      </c>
      <c r="AP1227" s="1350">
        <f t="shared" si="1751"/>
        <v>0</v>
      </c>
      <c r="AQ1227" s="1350">
        <f t="shared" si="1751"/>
        <v>0</v>
      </c>
      <c r="AR1227" s="1350">
        <f t="shared" si="1751"/>
        <v>0</v>
      </c>
      <c r="AS1227" s="1350">
        <f t="shared" si="1751"/>
        <v>0</v>
      </c>
      <c r="AT1227" s="1350">
        <f t="shared" si="1727"/>
        <v>0</v>
      </c>
      <c r="AU1227" s="1377" t="e">
        <f t="shared" si="1728"/>
        <v>#DIV/0!</v>
      </c>
      <c r="AV1227" s="1350">
        <f t="shared" si="1755"/>
        <v>0</v>
      </c>
      <c r="AW1227" s="1319">
        <f t="shared" si="1755"/>
        <v>0</v>
      </c>
      <c r="AX1227" s="1319">
        <f t="shared" si="1755"/>
        <v>0</v>
      </c>
      <c r="AY1227" s="1319">
        <f t="shared" si="1755"/>
        <v>0</v>
      </c>
      <c r="AZ1227" s="1319">
        <f t="shared" si="1755"/>
        <v>3699.1199999999999</v>
      </c>
      <c r="BA1227" s="1319">
        <f t="shared" si="1755"/>
        <v>3699.1199999999999</v>
      </c>
      <c r="BB1227" s="1319">
        <f t="shared" si="1755"/>
        <v>96921.389999999999</v>
      </c>
      <c r="BC1227" s="1281">
        <f t="shared" si="1730"/>
        <v>100620.50999999999</v>
      </c>
      <c r="BD1227" s="1378">
        <f t="shared" si="1731"/>
        <v>1</v>
      </c>
      <c r="BE1227" s="1051"/>
      <c r="BF1227" s="1051"/>
      <c r="BG1227" s="1106"/>
      <c r="BH1227" s="1106"/>
      <c r="BI1227" s="1106"/>
      <c r="BJ1227" s="1106"/>
      <c r="BK1227" s="1106"/>
      <c r="BL1227" s="1106"/>
      <c r="BM1227" s="1106"/>
    </row>
    <row r="1228" ht="17.25" customHeight="1">
      <c r="A1228" s="999">
        <f t="shared" si="1712"/>
        <v>0</v>
      </c>
      <c r="B1228" s="1202" t="s">
        <v>407</v>
      </c>
      <c r="C1228" s="1202"/>
      <c r="D1228" s="1202"/>
      <c r="E1228" s="1164">
        <f t="shared" si="1766"/>
        <v>0</v>
      </c>
      <c r="F1228" s="1164">
        <f t="shared" si="1766"/>
        <v>0</v>
      </c>
      <c r="G1228" s="1165">
        <f t="shared" si="1767"/>
        <v>0</v>
      </c>
      <c r="H1228" s="1166">
        <f t="shared" si="1715"/>
        <v>0</v>
      </c>
      <c r="I1228" s="1167">
        <f t="shared" si="1745"/>
        <v>0</v>
      </c>
      <c r="J1228" s="1167">
        <f t="shared" si="1762"/>
        <v>0</v>
      </c>
      <c r="K1228" s="1168">
        <f t="shared" si="1768"/>
        <v>0</v>
      </c>
      <c r="L1228" s="1372"/>
      <c r="M1228" s="1127">
        <f t="shared" si="1748"/>
        <v>0</v>
      </c>
      <c r="N1228" s="1127">
        <f t="shared" si="1748"/>
        <v>0</v>
      </c>
      <c r="O1228" s="1127">
        <f t="shared" si="1748"/>
        <v>0</v>
      </c>
      <c r="P1228" s="1127">
        <f t="shared" si="1748"/>
        <v>0</v>
      </c>
      <c r="Q1228" s="1127">
        <f t="shared" si="1748"/>
        <v>0</v>
      </c>
      <c r="R1228" s="1127">
        <f t="shared" si="1748"/>
        <v>0</v>
      </c>
      <c r="S1228" s="1373">
        <f t="shared" si="1718"/>
        <v>0</v>
      </c>
      <c r="T1228" s="1374">
        <f t="shared" si="1719"/>
        <v>0</v>
      </c>
      <c r="U1228" s="1173">
        <f t="shared" si="1749"/>
        <v>0</v>
      </c>
      <c r="V1228" s="1127">
        <f t="shared" si="1749"/>
        <v>0</v>
      </c>
      <c r="W1228" s="1127">
        <f t="shared" si="1749"/>
        <v>0</v>
      </c>
      <c r="X1228" s="1127">
        <f t="shared" si="1749"/>
        <v>0</v>
      </c>
      <c r="Y1228" s="1127">
        <f t="shared" si="1749"/>
        <v>0</v>
      </c>
      <c r="Z1228" s="1127">
        <f t="shared" si="1749"/>
        <v>0</v>
      </c>
      <c r="AA1228" s="1127">
        <f t="shared" si="1749"/>
        <v>0</v>
      </c>
      <c r="AB1228" s="1375">
        <f t="shared" si="1721"/>
        <v>0</v>
      </c>
      <c r="AC1228" s="1374">
        <f t="shared" si="1722"/>
        <v>0</v>
      </c>
      <c r="AD1228" s="1376">
        <f t="shared" si="1750"/>
        <v>0</v>
      </c>
      <c r="AE1228" s="1127">
        <f t="shared" si="1750"/>
        <v>0</v>
      </c>
      <c r="AF1228" s="1127">
        <f t="shared" si="1750"/>
        <v>0</v>
      </c>
      <c r="AG1228" s="1127">
        <f t="shared" si="1750"/>
        <v>0</v>
      </c>
      <c r="AH1228" s="1127">
        <f t="shared" si="1750"/>
        <v>0</v>
      </c>
      <c r="AI1228" s="1127">
        <f t="shared" si="1750"/>
        <v>0</v>
      </c>
      <c r="AJ1228" s="1127">
        <f t="shared" si="1750"/>
        <v>0</v>
      </c>
      <c r="AK1228" s="1127">
        <f t="shared" si="1724"/>
        <v>0</v>
      </c>
      <c r="AL1228" s="1374">
        <f t="shared" si="1725"/>
        <v>0</v>
      </c>
      <c r="AM1228" s="1376">
        <f t="shared" si="1751"/>
        <v>0</v>
      </c>
      <c r="AN1228" s="1173">
        <f t="shared" si="1751"/>
        <v>0</v>
      </c>
      <c r="AO1228" s="1173">
        <f t="shared" si="1751"/>
        <v>0</v>
      </c>
      <c r="AP1228" s="1173">
        <f t="shared" si="1751"/>
        <v>0</v>
      </c>
      <c r="AQ1228" s="1173">
        <f t="shared" si="1751"/>
        <v>0</v>
      </c>
      <c r="AR1228" s="1173">
        <f t="shared" si="1751"/>
        <v>0</v>
      </c>
      <c r="AS1228" s="1173">
        <f t="shared" si="1751"/>
        <v>0</v>
      </c>
      <c r="AT1228" s="1173">
        <f t="shared" si="1727"/>
        <v>0</v>
      </c>
      <c r="AU1228" s="1377" t="e">
        <f t="shared" si="1728"/>
        <v>#DIV/0!</v>
      </c>
      <c r="AV1228" s="1173">
        <f t="shared" si="1755"/>
        <v>0</v>
      </c>
      <c r="AW1228" s="1127">
        <f t="shared" si="1755"/>
        <v>0</v>
      </c>
      <c r="AX1228" s="1127">
        <f t="shared" si="1755"/>
        <v>0</v>
      </c>
      <c r="AY1228" s="1127">
        <f t="shared" si="1755"/>
        <v>0</v>
      </c>
      <c r="AZ1228" s="1127">
        <f t="shared" si="1755"/>
        <v>0</v>
      </c>
      <c r="BA1228" s="1127">
        <f t="shared" si="1755"/>
        <v>0</v>
      </c>
      <c r="BB1228" s="1127">
        <f t="shared" si="1755"/>
        <v>0</v>
      </c>
      <c r="BC1228" s="1177">
        <f t="shared" si="1730"/>
        <v>0</v>
      </c>
      <c r="BD1228" s="1378">
        <f t="shared" si="1731"/>
        <v>0</v>
      </c>
      <c r="BE1228" s="1029"/>
      <c r="BF1228" s="1029"/>
    </row>
    <row r="1229" ht="17.25" customHeight="1">
      <c r="A1229" s="999" t="str">
        <f t="shared" si="1712"/>
        <v xml:space="preserve">Леоненко Г.Н</v>
      </c>
      <c r="B1229" s="1202" t="s">
        <v>529</v>
      </c>
      <c r="C1229" s="1202"/>
      <c r="D1229" s="1202"/>
      <c r="E1229" s="1164">
        <f t="shared" si="1766"/>
        <v>11543.4</v>
      </c>
      <c r="F1229" s="1164">
        <f t="shared" si="1766"/>
        <v>1589425.3500000001</v>
      </c>
      <c r="G1229" s="1165">
        <f t="shared" si="1767"/>
        <v>1600968.75</v>
      </c>
      <c r="H1229" s="1166">
        <f t="shared" si="1715"/>
        <v>0.017719410612738046</v>
      </c>
      <c r="I1229" s="1167">
        <f t="shared" si="1745"/>
        <v>0</v>
      </c>
      <c r="J1229" s="1167">
        <f t="shared" si="1762"/>
        <v>1581915.3100000001</v>
      </c>
      <c r="K1229" s="1168">
        <f t="shared" si="1768"/>
        <v>1581915.3100000001</v>
      </c>
      <c r="L1229" s="1372"/>
      <c r="M1229" s="1127">
        <f t="shared" si="1748"/>
        <v>0</v>
      </c>
      <c r="N1229" s="1127">
        <f t="shared" si="1748"/>
        <v>0</v>
      </c>
      <c r="O1229" s="1127">
        <f t="shared" si="1748"/>
        <v>0</v>
      </c>
      <c r="P1229" s="1127">
        <f t="shared" si="1748"/>
        <v>0</v>
      </c>
      <c r="Q1229" s="1127">
        <f t="shared" si="1748"/>
        <v>0</v>
      </c>
      <c r="R1229" s="1127">
        <f t="shared" si="1748"/>
        <v>1557940.3100000001</v>
      </c>
      <c r="S1229" s="1127">
        <f t="shared" si="1718"/>
        <v>1557940.3100000001</v>
      </c>
      <c r="T1229" s="1374">
        <f t="shared" si="1719"/>
        <v>0.019513919824706159</v>
      </c>
      <c r="U1229" s="1173">
        <f t="shared" si="1749"/>
        <v>0</v>
      </c>
      <c r="V1229" s="1127">
        <f t="shared" si="1749"/>
        <v>0</v>
      </c>
      <c r="W1229" s="1127">
        <f t="shared" si="1749"/>
        <v>0</v>
      </c>
      <c r="X1229" s="1127">
        <f t="shared" si="1749"/>
        <v>0</v>
      </c>
      <c r="Y1229" s="1127">
        <f t="shared" si="1749"/>
        <v>11543.4</v>
      </c>
      <c r="Z1229" s="1127">
        <f t="shared" si="1749"/>
        <v>11543.4</v>
      </c>
      <c r="AA1229" s="1127">
        <f t="shared" si="1749"/>
        <v>7510.04</v>
      </c>
      <c r="AB1229" s="1375">
        <f t="shared" si="1721"/>
        <v>19053.439999999999</v>
      </c>
      <c r="AC1229" s="1374">
        <f t="shared" si="1722"/>
        <v>0.0024634642191223017</v>
      </c>
      <c r="AD1229" s="1376">
        <f t="shared" si="1750"/>
        <v>0</v>
      </c>
      <c r="AE1229" s="1127">
        <f t="shared" si="1750"/>
        <v>0</v>
      </c>
      <c r="AF1229" s="1127">
        <f t="shared" si="1750"/>
        <v>0</v>
      </c>
      <c r="AG1229" s="1127">
        <f t="shared" si="1750"/>
        <v>0</v>
      </c>
      <c r="AH1229" s="1127">
        <f t="shared" si="1750"/>
        <v>0</v>
      </c>
      <c r="AI1229" s="1127">
        <f t="shared" si="1750"/>
        <v>0</v>
      </c>
      <c r="AJ1229" s="1127">
        <f t="shared" si="1750"/>
        <v>23975</v>
      </c>
      <c r="AK1229" s="1127">
        <f t="shared" si="1724"/>
        <v>23975</v>
      </c>
      <c r="AL1229" s="1374">
        <f t="shared" si="1725"/>
        <v>0.0089501862349898702</v>
      </c>
      <c r="AM1229" s="1376">
        <f t="shared" si="1751"/>
        <v>0</v>
      </c>
      <c r="AN1229" s="1173">
        <f t="shared" si="1751"/>
        <v>0</v>
      </c>
      <c r="AO1229" s="1173">
        <f t="shared" si="1751"/>
        <v>0</v>
      </c>
      <c r="AP1229" s="1173">
        <f t="shared" si="1751"/>
        <v>0</v>
      </c>
      <c r="AQ1229" s="1173">
        <f t="shared" si="1751"/>
        <v>0</v>
      </c>
      <c r="AR1229" s="1173">
        <f t="shared" si="1751"/>
        <v>0</v>
      </c>
      <c r="AS1229" s="1173">
        <f t="shared" si="1751"/>
        <v>0</v>
      </c>
      <c r="AT1229" s="1173">
        <f t="shared" si="1727"/>
        <v>0</v>
      </c>
      <c r="AU1229" s="1377" t="e">
        <f t="shared" si="1728"/>
        <v>#DIV/0!</v>
      </c>
      <c r="AV1229" s="1173">
        <f t="shared" si="1755"/>
        <v>0</v>
      </c>
      <c r="AW1229" s="1127">
        <f t="shared" si="1755"/>
        <v>0</v>
      </c>
      <c r="AX1229" s="1127">
        <f t="shared" si="1755"/>
        <v>0</v>
      </c>
      <c r="AY1229" s="1127">
        <f t="shared" si="1755"/>
        <v>0</v>
      </c>
      <c r="AZ1229" s="1127">
        <f t="shared" si="1755"/>
        <v>0</v>
      </c>
      <c r="BA1229" s="1127">
        <f t="shared" si="1755"/>
        <v>0</v>
      </c>
      <c r="BB1229" s="1127">
        <f t="shared" si="1755"/>
        <v>0</v>
      </c>
      <c r="BC1229" s="1177">
        <f t="shared" si="1730"/>
        <v>0</v>
      </c>
      <c r="BD1229" s="1378">
        <f t="shared" si="1731"/>
        <v>0</v>
      </c>
      <c r="BE1229" s="1029"/>
      <c r="BF1229" s="1029"/>
    </row>
    <row r="1230" s="1386" customFormat="1" ht="17.25" customHeight="1">
      <c r="A1230" s="999" t="str">
        <f t="shared" si="1712"/>
        <v xml:space="preserve">Саяпина О.А.</v>
      </c>
      <c r="B1230" s="1202" t="s">
        <v>411</v>
      </c>
      <c r="C1230" s="1217" t="s">
        <v>492</v>
      </c>
      <c r="D1230" s="1217"/>
      <c r="E1230" s="1164">
        <f t="shared" si="1766"/>
        <v>1251546.77</v>
      </c>
      <c r="F1230" s="1164">
        <f t="shared" si="1766"/>
        <v>1647607.9200000002</v>
      </c>
      <c r="G1230" s="1165">
        <f t="shared" si="1767"/>
        <v>2899154.6900000004</v>
      </c>
      <c r="H1230" s="1166">
        <f t="shared" si="1715"/>
        <v>0.032087642174124444</v>
      </c>
      <c r="I1230" s="1167">
        <f t="shared" si="1745"/>
        <v>1251546.77</v>
      </c>
      <c r="J1230" s="1167">
        <f t="shared" si="1762"/>
        <v>1640097.8800000001</v>
      </c>
      <c r="K1230" s="1168">
        <f t="shared" si="1768"/>
        <v>2891644.6500000004</v>
      </c>
      <c r="L1230" s="1372"/>
      <c r="M1230" s="1127">
        <f t="shared" si="1748"/>
        <v>0</v>
      </c>
      <c r="N1230" s="1127">
        <f t="shared" si="1748"/>
        <v>0</v>
      </c>
      <c r="O1230" s="1127" t="e">
        <f t="shared" si="1748"/>
        <v>#VALUE!</v>
      </c>
      <c r="P1230" s="1127">
        <f t="shared" si="1748"/>
        <v>1251546.77</v>
      </c>
      <c r="Q1230" s="1127">
        <f t="shared" si="1748"/>
        <v>1251546.77</v>
      </c>
      <c r="R1230" s="1127">
        <f t="shared" si="1748"/>
        <v>840051.33000000007</v>
      </c>
      <c r="S1230" s="1127">
        <f t="shared" si="1718"/>
        <v>2091598.1000000001</v>
      </c>
      <c r="T1230" s="1374">
        <f t="shared" si="1719"/>
        <v>0.026198229397445746</v>
      </c>
      <c r="U1230" s="1173">
        <f t="shared" si="1749"/>
        <v>0</v>
      </c>
      <c r="V1230" s="1127">
        <f t="shared" si="1749"/>
        <v>0</v>
      </c>
      <c r="W1230" s="1127">
        <f t="shared" si="1749"/>
        <v>0</v>
      </c>
      <c r="X1230" s="1127">
        <f t="shared" si="1749"/>
        <v>0</v>
      </c>
      <c r="Y1230" s="1127">
        <f t="shared" si="1749"/>
        <v>0</v>
      </c>
      <c r="Z1230" s="1127">
        <f t="shared" si="1749"/>
        <v>0</v>
      </c>
      <c r="AA1230" s="1127">
        <f t="shared" si="1749"/>
        <v>7510.04</v>
      </c>
      <c r="AB1230" s="1375">
        <f t="shared" si="1721"/>
        <v>7510.04</v>
      </c>
      <c r="AC1230" s="1374">
        <f t="shared" si="1722"/>
        <v>0.00097099079348281735</v>
      </c>
      <c r="AD1230" s="1376">
        <f t="shared" si="1750"/>
        <v>0</v>
      </c>
      <c r="AE1230" s="1127">
        <f t="shared" si="1750"/>
        <v>0</v>
      </c>
      <c r="AF1230" s="1127">
        <f t="shared" si="1750"/>
        <v>0</v>
      </c>
      <c r="AG1230" s="1127">
        <f t="shared" si="1750"/>
        <v>0</v>
      </c>
      <c r="AH1230" s="1127">
        <f t="shared" si="1750"/>
        <v>0</v>
      </c>
      <c r="AI1230" s="1127">
        <f t="shared" si="1750"/>
        <v>0</v>
      </c>
      <c r="AJ1230" s="1127">
        <f t="shared" si="1750"/>
        <v>800046.55000000005</v>
      </c>
      <c r="AK1230" s="1127">
        <f t="shared" si="1724"/>
        <v>800046.55000000005</v>
      </c>
      <c r="AL1230" s="1374">
        <f t="shared" si="1725"/>
        <v>0.29866801331224757</v>
      </c>
      <c r="AM1230" s="1376">
        <f t="shared" si="1751"/>
        <v>0</v>
      </c>
      <c r="AN1230" s="1173">
        <f t="shared" si="1751"/>
        <v>0</v>
      </c>
      <c r="AO1230" s="1173">
        <f t="shared" si="1751"/>
        <v>0</v>
      </c>
      <c r="AP1230" s="1173">
        <f t="shared" si="1751"/>
        <v>0</v>
      </c>
      <c r="AQ1230" s="1173">
        <f t="shared" si="1751"/>
        <v>0</v>
      </c>
      <c r="AR1230" s="1173">
        <f t="shared" si="1751"/>
        <v>0</v>
      </c>
      <c r="AS1230" s="1173">
        <f t="shared" si="1751"/>
        <v>0</v>
      </c>
      <c r="AT1230" s="1173">
        <f t="shared" si="1727"/>
        <v>0</v>
      </c>
      <c r="AU1230" s="1377" t="e">
        <f t="shared" si="1728"/>
        <v>#DIV/0!</v>
      </c>
      <c r="AV1230" s="1173">
        <f t="shared" si="1755"/>
        <v>0</v>
      </c>
      <c r="AW1230" s="1127">
        <f t="shared" si="1755"/>
        <v>0</v>
      </c>
      <c r="AX1230" s="1127">
        <f t="shared" si="1755"/>
        <v>0</v>
      </c>
      <c r="AY1230" s="1127">
        <f t="shared" si="1755"/>
        <v>0</v>
      </c>
      <c r="AZ1230" s="1127">
        <f t="shared" si="1755"/>
        <v>0</v>
      </c>
      <c r="BA1230" s="1127">
        <f t="shared" si="1755"/>
        <v>0</v>
      </c>
      <c r="BB1230" s="1127">
        <f t="shared" si="1755"/>
        <v>0</v>
      </c>
      <c r="BC1230" s="1177">
        <f t="shared" si="1730"/>
        <v>0</v>
      </c>
      <c r="BD1230" s="1378">
        <f t="shared" si="1731"/>
        <v>0</v>
      </c>
      <c r="BE1230" s="1024"/>
      <c r="BF1230" s="1024"/>
    </row>
    <row r="1231" s="1215" customFormat="1" ht="17.25" customHeight="1">
      <c r="A1231" s="999" t="str">
        <f t="shared" si="1712"/>
        <v xml:space="preserve">Дегтярева Е.И. Акилова С.В.</v>
      </c>
      <c r="B1231" s="1202" t="s">
        <v>413</v>
      </c>
      <c r="C1231" s="1217" t="s">
        <v>493</v>
      </c>
      <c r="D1231" s="1217"/>
      <c r="E1231" s="1164">
        <f t="shared" si="1766"/>
        <v>1369.51</v>
      </c>
      <c r="F1231" s="1164">
        <f t="shared" si="1766"/>
        <v>525370.8600000001</v>
      </c>
      <c r="G1231" s="1165">
        <f t="shared" si="1767"/>
        <v>526740.37000000011</v>
      </c>
      <c r="H1231" s="1166">
        <f t="shared" si="1715"/>
        <v>0.0058299257261177437</v>
      </c>
      <c r="I1231" s="1167">
        <f t="shared" si="1745"/>
        <v>1369.51</v>
      </c>
      <c r="J1231" s="1167">
        <f t="shared" si="1762"/>
        <v>517860.82000000012</v>
      </c>
      <c r="K1231" s="1168">
        <f t="shared" si="1768"/>
        <v>519230.33000000013</v>
      </c>
      <c r="L1231" s="1372"/>
      <c r="M1231" s="1127">
        <f t="shared" si="1748"/>
        <v>0</v>
      </c>
      <c r="N1231" s="1127">
        <f t="shared" si="1748"/>
        <v>0</v>
      </c>
      <c r="O1231" s="1127">
        <f t="shared" si="1748"/>
        <v>0</v>
      </c>
      <c r="P1231" s="1127">
        <f t="shared" ref="P1231:P1234" si="1769">P1133+P1036+P938+P840+P739+P641+P544+P447+R349+P252+P154+P56</f>
        <v>1369.51</v>
      </c>
      <c r="Q1231" s="1127">
        <f t="shared" si="1748"/>
        <v>1369.51</v>
      </c>
      <c r="R1231" s="1127">
        <f t="shared" ref="R1231:R1232" si="1770">R1133+R1036+R938+R840+R739+R641+R544+R447+S349+R252+R154+R56</f>
        <v>517860.82000000007</v>
      </c>
      <c r="S1231" s="1127">
        <f t="shared" si="1718"/>
        <v>519230.33000000007</v>
      </c>
      <c r="T1231" s="1374">
        <f t="shared" si="1719"/>
        <v>0.0065035989922975438</v>
      </c>
      <c r="U1231" s="1173">
        <f t="shared" si="1749"/>
        <v>0</v>
      </c>
      <c r="V1231" s="1127">
        <f t="shared" si="1749"/>
        <v>0</v>
      </c>
      <c r="W1231" s="1127">
        <f t="shared" si="1749"/>
        <v>0</v>
      </c>
      <c r="X1231" s="1127">
        <f t="shared" si="1749"/>
        <v>0</v>
      </c>
      <c r="Y1231" s="1127">
        <f t="shared" si="1749"/>
        <v>0</v>
      </c>
      <c r="Z1231" s="1127">
        <f t="shared" si="1749"/>
        <v>0</v>
      </c>
      <c r="AA1231" s="1127">
        <f t="shared" si="1749"/>
        <v>7510.04</v>
      </c>
      <c r="AB1231" s="1375">
        <f t="shared" si="1721"/>
        <v>7510.04</v>
      </c>
      <c r="AC1231" s="1374">
        <f t="shared" si="1722"/>
        <v>0.00097099079348281735</v>
      </c>
      <c r="AD1231" s="1376">
        <f t="shared" si="1750"/>
        <v>0</v>
      </c>
      <c r="AE1231" s="1127">
        <f t="shared" si="1750"/>
        <v>0</v>
      </c>
      <c r="AF1231" s="1127">
        <f t="shared" si="1750"/>
        <v>0</v>
      </c>
      <c r="AG1231" s="1127">
        <f t="shared" si="1750"/>
        <v>0</v>
      </c>
      <c r="AH1231" s="1127">
        <f>AH1133+AH1002+AH938+AH840+AH739+AH641+AH544+AH447+AH349+AH252+AH154+AH56</f>
        <v>0</v>
      </c>
      <c r="AI1231" s="1127">
        <f t="shared" si="1750"/>
        <v>0</v>
      </c>
      <c r="AJ1231" s="1127">
        <f>AJ1133+AJ1002+AJ938+AJ840+AJ739+AJ641+AJ544+AJ447+AJ349+AJ252+AJ154+AJ56</f>
        <v>0</v>
      </c>
      <c r="AK1231" s="1127">
        <f t="shared" si="1724"/>
        <v>0</v>
      </c>
      <c r="AL1231" s="1374">
        <f t="shared" si="1725"/>
        <v>0</v>
      </c>
      <c r="AM1231" s="1376">
        <f t="shared" si="1751"/>
        <v>0</v>
      </c>
      <c r="AN1231" s="1173">
        <f t="shared" si="1751"/>
        <v>0</v>
      </c>
      <c r="AO1231" s="1173">
        <f t="shared" si="1751"/>
        <v>0</v>
      </c>
      <c r="AP1231" s="1173">
        <f t="shared" si="1751"/>
        <v>0</v>
      </c>
      <c r="AQ1231" s="1173">
        <f t="shared" si="1751"/>
        <v>0</v>
      </c>
      <c r="AR1231" s="1173">
        <f t="shared" si="1751"/>
        <v>0</v>
      </c>
      <c r="AS1231" s="1173">
        <f t="shared" si="1751"/>
        <v>0</v>
      </c>
      <c r="AT1231" s="1173">
        <f t="shared" si="1727"/>
        <v>0</v>
      </c>
      <c r="AU1231" s="1377" t="e">
        <f t="shared" si="1728"/>
        <v>#DIV/0!</v>
      </c>
      <c r="AV1231" s="1173">
        <f t="shared" si="1755"/>
        <v>0</v>
      </c>
      <c r="AW1231" s="1127">
        <f t="shared" si="1755"/>
        <v>0</v>
      </c>
      <c r="AX1231" s="1127">
        <f t="shared" si="1755"/>
        <v>0</v>
      </c>
      <c r="AY1231" s="1127">
        <f t="shared" si="1755"/>
        <v>0</v>
      </c>
      <c r="AZ1231" s="1127">
        <f t="shared" si="1755"/>
        <v>0</v>
      </c>
      <c r="BA1231" s="1127">
        <f t="shared" si="1755"/>
        <v>0</v>
      </c>
      <c r="BB1231" s="1127">
        <f t="shared" si="1755"/>
        <v>0</v>
      </c>
      <c r="BC1231" s="1177">
        <f t="shared" si="1730"/>
        <v>0</v>
      </c>
      <c r="BD1231" s="1378">
        <f t="shared" si="1731"/>
        <v>0</v>
      </c>
      <c r="BE1231" s="1024"/>
      <c r="BF1231" s="1024"/>
      <c r="BG1231" s="1008"/>
      <c r="BH1231" s="1008"/>
      <c r="BI1231" s="1008"/>
      <c r="BJ1231" s="1008"/>
      <c r="BK1231" s="1008"/>
      <c r="BL1231" s="1008"/>
      <c r="BM1231" s="1008"/>
    </row>
    <row r="1232" s="1215" customFormat="1" ht="17.25" customHeight="1">
      <c r="A1232" s="999">
        <f t="shared" si="1712"/>
        <v>0</v>
      </c>
      <c r="B1232" s="1202" t="s">
        <v>414</v>
      </c>
      <c r="C1232" s="1202"/>
      <c r="D1232" s="1202"/>
      <c r="E1232" s="1164">
        <f t="shared" si="1766"/>
        <v>0</v>
      </c>
      <c r="F1232" s="1164">
        <f>R1232+AA1232+AJ1232+AS1232+BB1232</f>
        <v>0</v>
      </c>
      <c r="G1232" s="1165">
        <f t="shared" si="1767"/>
        <v>0</v>
      </c>
      <c r="H1232" s="1166">
        <f t="shared" si="1715"/>
        <v>0</v>
      </c>
      <c r="I1232" s="1167">
        <f t="shared" si="1745"/>
        <v>0</v>
      </c>
      <c r="J1232" s="1167">
        <f t="shared" si="1762"/>
        <v>0</v>
      </c>
      <c r="K1232" s="1168">
        <f t="shared" si="1768"/>
        <v>0</v>
      </c>
      <c r="L1232" s="1372"/>
      <c r="M1232" s="1127">
        <f t="shared" si="1748"/>
        <v>0</v>
      </c>
      <c r="N1232" s="1127">
        <f t="shared" si="1748"/>
        <v>0</v>
      </c>
      <c r="O1232" s="1127">
        <f t="shared" si="1748"/>
        <v>0</v>
      </c>
      <c r="P1232" s="1127">
        <f t="shared" si="1769"/>
        <v>0</v>
      </c>
      <c r="Q1232" s="1127">
        <f t="shared" si="1748"/>
        <v>0</v>
      </c>
      <c r="R1232" s="1127">
        <f t="shared" si="1770"/>
        <v>0</v>
      </c>
      <c r="S1232" s="1127">
        <f t="shared" si="1718"/>
        <v>0</v>
      </c>
      <c r="T1232" s="1374">
        <f t="shared" si="1719"/>
        <v>0</v>
      </c>
      <c r="U1232" s="1173">
        <f t="shared" si="1749"/>
        <v>0</v>
      </c>
      <c r="V1232" s="1127">
        <f t="shared" si="1749"/>
        <v>0</v>
      </c>
      <c r="W1232" s="1127">
        <f t="shared" si="1749"/>
        <v>0</v>
      </c>
      <c r="X1232" s="1127">
        <f t="shared" si="1749"/>
        <v>0</v>
      </c>
      <c r="Y1232" s="1127">
        <f t="shared" si="1749"/>
        <v>0</v>
      </c>
      <c r="Z1232" s="1127">
        <f t="shared" si="1749"/>
        <v>0</v>
      </c>
      <c r="AA1232" s="1127">
        <f t="shared" si="1749"/>
        <v>0</v>
      </c>
      <c r="AB1232" s="1375">
        <f t="shared" si="1721"/>
        <v>0</v>
      </c>
      <c r="AC1232" s="1374">
        <f t="shared" si="1722"/>
        <v>0</v>
      </c>
      <c r="AD1232" s="1376">
        <f t="shared" si="1750"/>
        <v>0</v>
      </c>
      <c r="AE1232" s="1127">
        <f t="shared" si="1750"/>
        <v>0</v>
      </c>
      <c r="AF1232" s="1127">
        <f t="shared" si="1750"/>
        <v>0</v>
      </c>
      <c r="AG1232" s="1127">
        <f t="shared" si="1750"/>
        <v>0</v>
      </c>
      <c r="AH1232" s="1127">
        <f t="shared" si="1750"/>
        <v>0</v>
      </c>
      <c r="AI1232" s="1127">
        <f t="shared" si="1750"/>
        <v>0</v>
      </c>
      <c r="AJ1232" s="1127">
        <f t="shared" si="1750"/>
        <v>0</v>
      </c>
      <c r="AK1232" s="1127">
        <f t="shared" si="1724"/>
        <v>0</v>
      </c>
      <c r="AL1232" s="1374">
        <f t="shared" si="1725"/>
        <v>0</v>
      </c>
      <c r="AM1232" s="1376">
        <f t="shared" si="1751"/>
        <v>0</v>
      </c>
      <c r="AN1232" s="1173">
        <f t="shared" si="1751"/>
        <v>0</v>
      </c>
      <c r="AO1232" s="1173">
        <f t="shared" si="1751"/>
        <v>0</v>
      </c>
      <c r="AP1232" s="1173">
        <f t="shared" si="1751"/>
        <v>0</v>
      </c>
      <c r="AQ1232" s="1173">
        <f t="shared" si="1751"/>
        <v>0</v>
      </c>
      <c r="AR1232" s="1173">
        <f t="shared" si="1751"/>
        <v>0</v>
      </c>
      <c r="AS1232" s="1173">
        <f t="shared" si="1751"/>
        <v>0</v>
      </c>
      <c r="AT1232" s="1173">
        <f t="shared" si="1727"/>
        <v>0</v>
      </c>
      <c r="AU1232" s="1377" t="e">
        <f t="shared" si="1728"/>
        <v>#DIV/0!</v>
      </c>
      <c r="AV1232" s="1173">
        <f t="shared" si="1755"/>
        <v>0</v>
      </c>
      <c r="AW1232" s="1127">
        <f t="shared" si="1755"/>
        <v>0</v>
      </c>
      <c r="AX1232" s="1127">
        <f t="shared" si="1755"/>
        <v>0</v>
      </c>
      <c r="AY1232" s="1127">
        <f t="shared" si="1755"/>
        <v>0</v>
      </c>
      <c r="AZ1232" s="1127">
        <f t="shared" si="1755"/>
        <v>0</v>
      </c>
      <c r="BA1232" s="1127">
        <f t="shared" si="1755"/>
        <v>0</v>
      </c>
      <c r="BB1232" s="1127">
        <f t="shared" si="1755"/>
        <v>0</v>
      </c>
      <c r="BC1232" s="1177">
        <f t="shared" si="1730"/>
        <v>0</v>
      </c>
      <c r="BD1232" s="1378">
        <f t="shared" si="1731"/>
        <v>0</v>
      </c>
      <c r="BE1232" s="1024"/>
      <c r="BF1232" s="1024"/>
      <c r="BG1232" s="1008"/>
      <c r="BH1232" s="1008"/>
      <c r="BI1232" s="1008"/>
      <c r="BJ1232" s="1008"/>
      <c r="BK1232" s="1008"/>
      <c r="BL1232" s="1008"/>
      <c r="BM1232" s="1008"/>
    </row>
    <row r="1233" s="1215" customFormat="1" ht="17.25" customHeight="1">
      <c r="A1233" s="999" t="str">
        <f t="shared" si="1712"/>
        <v xml:space="preserve">Ковалевская ОА,  Горнухина НЕ</v>
      </c>
      <c r="B1233" s="1202" t="s">
        <v>416</v>
      </c>
      <c r="C1233" s="1202" t="s">
        <v>494</v>
      </c>
      <c r="D1233" s="1202"/>
      <c r="E1233" s="1164">
        <f t="shared" si="1766"/>
        <v>192321.40999999997</v>
      </c>
      <c r="F1233" s="1164">
        <f t="shared" si="1766"/>
        <v>1164843.52</v>
      </c>
      <c r="G1233" s="1165">
        <f t="shared" si="1767"/>
        <v>1357164.9299999999</v>
      </c>
      <c r="H1233" s="1166">
        <f t="shared" si="1715"/>
        <v>0.015021006914643328</v>
      </c>
      <c r="I1233" s="1167">
        <f t="shared" si="1745"/>
        <v>192321.40999999997</v>
      </c>
      <c r="J1233" s="1167">
        <f t="shared" si="1762"/>
        <v>1149823.4399999999</v>
      </c>
      <c r="K1233" s="1168">
        <f t="shared" si="1768"/>
        <v>1342144.8499999999</v>
      </c>
      <c r="L1233" s="1372"/>
      <c r="M1233" s="1127">
        <f t="shared" si="1748"/>
        <v>0</v>
      </c>
      <c r="N1233" s="1127">
        <f t="shared" si="1748"/>
        <v>0</v>
      </c>
      <c r="O1233" s="1127">
        <f t="shared" si="1748"/>
        <v>0</v>
      </c>
      <c r="P1233" s="1127">
        <f t="shared" si="1769"/>
        <v>146248.04999999999</v>
      </c>
      <c r="Q1233" s="1127">
        <f t="shared" si="1748"/>
        <v>146248.04999999999</v>
      </c>
      <c r="R1233" s="1127">
        <f>R1135+R1038+R940+R842+R741+R643+R546+R449+P351+R254+R156+R58</f>
        <v>1120600.24</v>
      </c>
      <c r="S1233" s="1127">
        <f t="shared" si="1718"/>
        <v>1266848.29</v>
      </c>
      <c r="T1233" s="1374">
        <f t="shared" si="1719"/>
        <v>0.015867858224379659</v>
      </c>
      <c r="U1233" s="1173">
        <f t="shared" si="1749"/>
        <v>0</v>
      </c>
      <c r="V1233" s="1127">
        <f t="shared" si="1749"/>
        <v>0</v>
      </c>
      <c r="W1233" s="1127">
        <f t="shared" si="1749"/>
        <v>0</v>
      </c>
      <c r="X1233" s="1127">
        <f t="shared" si="1749"/>
        <v>0</v>
      </c>
      <c r="Y1233" s="1127">
        <f t="shared" si="1749"/>
        <v>0</v>
      </c>
      <c r="Z1233" s="1127">
        <f t="shared" si="1749"/>
        <v>0</v>
      </c>
      <c r="AA1233" s="1127">
        <f t="shared" si="1749"/>
        <v>15020.08</v>
      </c>
      <c r="AB1233" s="1375">
        <f t="shared" si="1721"/>
        <v>15020.08</v>
      </c>
      <c r="AC1233" s="1374">
        <f t="shared" si="1722"/>
        <v>0.0019419815869656347</v>
      </c>
      <c r="AD1233" s="1376">
        <f t="shared" si="1750"/>
        <v>0</v>
      </c>
      <c r="AE1233" s="1127">
        <f t="shared" si="1750"/>
        <v>0</v>
      </c>
      <c r="AF1233" s="1127">
        <f t="shared" si="1750"/>
        <v>0</v>
      </c>
      <c r="AG1233" s="1127">
        <f t="shared" si="1750"/>
        <v>0</v>
      </c>
      <c r="AH1233" s="1127">
        <f t="shared" si="1750"/>
        <v>46073.360000000001</v>
      </c>
      <c r="AI1233" s="1127">
        <f t="shared" si="1750"/>
        <v>46073.360000000001</v>
      </c>
      <c r="AJ1233" s="1127">
        <f t="shared" si="1750"/>
        <v>29223.200000000001</v>
      </c>
      <c r="AK1233" s="1127">
        <f t="shared" si="1724"/>
        <v>75296.559999999998</v>
      </c>
      <c r="AL1233" s="1374">
        <f t="shared" si="1725"/>
        <v>0.028109206876082957</v>
      </c>
      <c r="AM1233" s="1376">
        <f t="shared" si="1751"/>
        <v>0</v>
      </c>
      <c r="AN1233" s="1173">
        <f t="shared" si="1751"/>
        <v>0</v>
      </c>
      <c r="AO1233" s="1173">
        <f t="shared" si="1751"/>
        <v>0</v>
      </c>
      <c r="AP1233" s="1173">
        <f t="shared" si="1751"/>
        <v>0</v>
      </c>
      <c r="AQ1233" s="1173">
        <f t="shared" si="1751"/>
        <v>0</v>
      </c>
      <c r="AR1233" s="1173">
        <f t="shared" si="1751"/>
        <v>0</v>
      </c>
      <c r="AS1233" s="1173">
        <f t="shared" si="1751"/>
        <v>0</v>
      </c>
      <c r="AT1233" s="1173">
        <f t="shared" si="1727"/>
        <v>0</v>
      </c>
      <c r="AU1233" s="1377" t="e">
        <f t="shared" si="1728"/>
        <v>#DIV/0!</v>
      </c>
      <c r="AV1233" s="1173">
        <f t="shared" si="1755"/>
        <v>0</v>
      </c>
      <c r="AW1233" s="1127">
        <f t="shared" si="1755"/>
        <v>0</v>
      </c>
      <c r="AX1233" s="1127">
        <f t="shared" si="1755"/>
        <v>0</v>
      </c>
      <c r="AY1233" s="1127">
        <f t="shared" si="1755"/>
        <v>0</v>
      </c>
      <c r="AZ1233" s="1127">
        <f t="shared" si="1755"/>
        <v>0</v>
      </c>
      <c r="BA1233" s="1127">
        <f t="shared" si="1755"/>
        <v>0</v>
      </c>
      <c r="BB1233" s="1127">
        <f t="shared" si="1755"/>
        <v>0</v>
      </c>
      <c r="BC1233" s="1177">
        <f t="shared" si="1730"/>
        <v>0</v>
      </c>
      <c r="BD1233" s="1378">
        <f t="shared" si="1731"/>
        <v>0</v>
      </c>
      <c r="BE1233" s="1024"/>
      <c r="BF1233" s="1024"/>
      <c r="BG1233" s="1008"/>
      <c r="BH1233" s="1008"/>
      <c r="BI1233" s="1008"/>
      <c r="BJ1233" s="1008"/>
      <c r="BK1233" s="1008"/>
      <c r="BL1233" s="1008"/>
      <c r="BM1233" s="1008"/>
    </row>
    <row r="1234" s="1215" customFormat="1" ht="17.25" customHeight="1">
      <c r="A1234" s="999" t="str">
        <f t="shared" si="1712"/>
        <v xml:space="preserve">Никонова-Цыганова Н.А. Столберова МИ</v>
      </c>
      <c r="B1234" s="1202" t="s">
        <v>80</v>
      </c>
      <c r="C1234" s="1217"/>
      <c r="D1234" s="1217"/>
      <c r="E1234" s="1164">
        <f t="shared" si="1766"/>
        <v>233412.92000000001</v>
      </c>
      <c r="F1234" s="1164">
        <f t="shared" si="1766"/>
        <v>592.27999999999997</v>
      </c>
      <c r="G1234" s="1165">
        <f t="shared" si="1767"/>
        <v>234005.20000000001</v>
      </c>
      <c r="H1234" s="1166">
        <f t="shared" si="1715"/>
        <v>0.0025899532544379077</v>
      </c>
      <c r="I1234" s="1167">
        <f t="shared" si="1745"/>
        <v>233412.92000000001</v>
      </c>
      <c r="J1234" s="1167">
        <f t="shared" si="1762"/>
        <v>592.27999999999997</v>
      </c>
      <c r="K1234" s="1168">
        <f t="shared" si="1768"/>
        <v>234005.20000000001</v>
      </c>
      <c r="L1234" s="1372"/>
      <c r="M1234" s="1127">
        <f t="shared" si="1748"/>
        <v>0</v>
      </c>
      <c r="N1234" s="1127">
        <f t="shared" si="1748"/>
        <v>0</v>
      </c>
      <c r="O1234" s="1127">
        <f t="shared" si="1748"/>
        <v>0</v>
      </c>
      <c r="P1234" s="1127">
        <f t="shared" si="1769"/>
        <v>233412.92000000001</v>
      </c>
      <c r="Q1234" s="1127">
        <f t="shared" si="1748"/>
        <v>233412.92000000001</v>
      </c>
      <c r="R1234" s="1127">
        <f>R1136+R1039+R941+R843+R742+R644+R547+R450+S352+R255+R157+R59</f>
        <v>592.27999999999997</v>
      </c>
      <c r="S1234" s="1373">
        <f t="shared" si="1718"/>
        <v>234005.20000000001</v>
      </c>
      <c r="T1234" s="1374">
        <f t="shared" si="1719"/>
        <v>0.0029310228909632165</v>
      </c>
      <c r="U1234" s="1173">
        <f t="shared" si="1749"/>
        <v>0</v>
      </c>
      <c r="V1234" s="1127">
        <f t="shared" si="1749"/>
        <v>0</v>
      </c>
      <c r="W1234" s="1127">
        <f t="shared" si="1749"/>
        <v>0</v>
      </c>
      <c r="X1234" s="1127">
        <f t="shared" si="1749"/>
        <v>0</v>
      </c>
      <c r="Y1234" s="1127">
        <f t="shared" si="1749"/>
        <v>0</v>
      </c>
      <c r="Z1234" s="1127">
        <f t="shared" si="1749"/>
        <v>0</v>
      </c>
      <c r="AA1234" s="1127">
        <f t="shared" si="1749"/>
        <v>0</v>
      </c>
      <c r="AB1234" s="1375">
        <f t="shared" si="1721"/>
        <v>0</v>
      </c>
      <c r="AC1234" s="1374">
        <f t="shared" si="1722"/>
        <v>0</v>
      </c>
      <c r="AD1234" s="1376">
        <f t="shared" si="1750"/>
        <v>0</v>
      </c>
      <c r="AE1234" s="1127">
        <f t="shared" si="1750"/>
        <v>0</v>
      </c>
      <c r="AF1234" s="1127">
        <f t="shared" si="1750"/>
        <v>0</v>
      </c>
      <c r="AG1234" s="1127">
        <f t="shared" si="1750"/>
        <v>0</v>
      </c>
      <c r="AH1234" s="1127">
        <f t="shared" si="1750"/>
        <v>0</v>
      </c>
      <c r="AI1234" s="1127">
        <f t="shared" si="1750"/>
        <v>0</v>
      </c>
      <c r="AJ1234" s="1127">
        <f t="shared" si="1750"/>
        <v>0</v>
      </c>
      <c r="AK1234" s="1127">
        <f t="shared" si="1724"/>
        <v>0</v>
      </c>
      <c r="AL1234" s="1374">
        <f t="shared" si="1725"/>
        <v>0</v>
      </c>
      <c r="AM1234" s="1376">
        <f t="shared" si="1751"/>
        <v>0</v>
      </c>
      <c r="AN1234" s="1173">
        <f t="shared" si="1751"/>
        <v>0</v>
      </c>
      <c r="AO1234" s="1173">
        <f t="shared" si="1751"/>
        <v>0</v>
      </c>
      <c r="AP1234" s="1173">
        <f t="shared" si="1751"/>
        <v>0</v>
      </c>
      <c r="AQ1234" s="1173">
        <f t="shared" si="1751"/>
        <v>0</v>
      </c>
      <c r="AR1234" s="1173">
        <f t="shared" si="1751"/>
        <v>0</v>
      </c>
      <c r="AS1234" s="1173">
        <f t="shared" si="1751"/>
        <v>0</v>
      </c>
      <c r="AT1234" s="1173">
        <f t="shared" si="1727"/>
        <v>0</v>
      </c>
      <c r="AU1234" s="1377" t="e">
        <f t="shared" si="1728"/>
        <v>#DIV/0!</v>
      </c>
      <c r="AV1234" s="1173">
        <f t="shared" si="1755"/>
        <v>0</v>
      </c>
      <c r="AW1234" s="1127">
        <f t="shared" si="1755"/>
        <v>0</v>
      </c>
      <c r="AX1234" s="1127">
        <f t="shared" si="1755"/>
        <v>0</v>
      </c>
      <c r="AY1234" s="1127">
        <f t="shared" si="1755"/>
        <v>0</v>
      </c>
      <c r="AZ1234" s="1127">
        <f t="shared" si="1755"/>
        <v>0</v>
      </c>
      <c r="BA1234" s="1127">
        <f t="shared" si="1755"/>
        <v>0</v>
      </c>
      <c r="BB1234" s="1127">
        <f t="shared" si="1755"/>
        <v>0</v>
      </c>
      <c r="BC1234" s="1177">
        <f t="shared" si="1730"/>
        <v>0</v>
      </c>
      <c r="BD1234" s="1378">
        <f t="shared" si="1731"/>
        <v>0</v>
      </c>
      <c r="BE1234" s="1024"/>
      <c r="BF1234" s="1024"/>
      <c r="BG1234" s="1008"/>
      <c r="BH1234" s="1008"/>
      <c r="BI1234" s="1008"/>
      <c r="BJ1234" s="1008"/>
      <c r="BK1234" s="1008"/>
      <c r="BL1234" s="1008"/>
      <c r="BM1234" s="1008"/>
    </row>
    <row r="1235" s="1215" customFormat="1" ht="17.25" customHeight="1">
      <c r="A1235" s="999" t="str">
        <f t="shared" si="1712"/>
        <v xml:space="preserve">Шевкунова С.А.</v>
      </c>
      <c r="B1235" s="1202" t="s">
        <v>419</v>
      </c>
      <c r="C1235" s="1202"/>
      <c r="D1235" s="1202"/>
      <c r="E1235" s="1164">
        <f t="shared" si="1766"/>
        <v>949506.54000000004</v>
      </c>
      <c r="F1235" s="1164">
        <f t="shared" si="1766"/>
        <v>4887942.2199999997</v>
      </c>
      <c r="G1235" s="1165">
        <f t="shared" si="1767"/>
        <v>5837448.7599999998</v>
      </c>
      <c r="H1235" s="1166">
        <f t="shared" si="1715"/>
        <v>0.064608476279913979</v>
      </c>
      <c r="I1235" s="1167">
        <f t="shared" si="1745"/>
        <v>933732.54000000004</v>
      </c>
      <c r="J1235" s="1167">
        <f t="shared" si="1762"/>
        <v>4850392.0199999996</v>
      </c>
      <c r="K1235" s="1168">
        <f t="shared" si="1768"/>
        <v>5784124.5599999996</v>
      </c>
      <c r="L1235" s="1372"/>
      <c r="M1235" s="1127">
        <f t="shared" si="1748"/>
        <v>0</v>
      </c>
      <c r="N1235" s="1127">
        <f t="shared" si="1748"/>
        <v>0</v>
      </c>
      <c r="O1235" s="1127">
        <f t="shared" si="1748"/>
        <v>0</v>
      </c>
      <c r="P1235" s="1127">
        <f t="shared" si="1748"/>
        <v>933732.54000000004</v>
      </c>
      <c r="Q1235" s="1127">
        <f t="shared" si="1748"/>
        <v>933732.54000000004</v>
      </c>
      <c r="R1235" s="1127">
        <f t="shared" si="1748"/>
        <v>4795916.1799999997</v>
      </c>
      <c r="S1235" s="1127">
        <f t="shared" si="1718"/>
        <v>5729648.7199999997</v>
      </c>
      <c r="T1235" s="1374">
        <f t="shared" si="1719"/>
        <v>0.071766488759643338</v>
      </c>
      <c r="U1235" s="1173">
        <f t="shared" si="1749"/>
        <v>0</v>
      </c>
      <c r="V1235" s="1127">
        <f t="shared" si="1749"/>
        <v>0</v>
      </c>
      <c r="W1235" s="1127">
        <f t="shared" si="1749"/>
        <v>0</v>
      </c>
      <c r="X1235" s="1127">
        <f t="shared" si="1749"/>
        <v>0</v>
      </c>
      <c r="Y1235" s="1127">
        <f t="shared" si="1749"/>
        <v>15774</v>
      </c>
      <c r="Z1235" s="1127">
        <f t="shared" si="1749"/>
        <v>15774</v>
      </c>
      <c r="AA1235" s="1127">
        <f t="shared" si="1749"/>
        <v>37550.199999999997</v>
      </c>
      <c r="AB1235" s="1375">
        <f t="shared" si="1721"/>
        <v>53324.199999999997</v>
      </c>
      <c r="AC1235" s="1374">
        <f t="shared" si="1722"/>
        <v>0.0068944116502490599</v>
      </c>
      <c r="AD1235" s="1376">
        <f t="shared" si="1750"/>
        <v>0</v>
      </c>
      <c r="AE1235" s="1127">
        <f t="shared" si="1750"/>
        <v>0</v>
      </c>
      <c r="AF1235" s="1127">
        <f t="shared" si="1750"/>
        <v>0</v>
      </c>
      <c r="AG1235" s="1127">
        <f t="shared" si="1750"/>
        <v>0</v>
      </c>
      <c r="AH1235" s="1127">
        <f t="shared" si="1750"/>
        <v>0</v>
      </c>
      <c r="AI1235" s="1127">
        <f t="shared" si="1750"/>
        <v>0</v>
      </c>
      <c r="AJ1235" s="1127">
        <f t="shared" si="1750"/>
        <v>54475.839999999997</v>
      </c>
      <c r="AK1235" s="1127">
        <f t="shared" si="1724"/>
        <v>54475.839999999997</v>
      </c>
      <c r="AL1235" s="1374">
        <f t="shared" si="1725"/>
        <v>0.02033655529958334</v>
      </c>
      <c r="AM1235" s="1376">
        <f t="shared" si="1751"/>
        <v>0</v>
      </c>
      <c r="AN1235" s="1173">
        <f t="shared" si="1751"/>
        <v>0</v>
      </c>
      <c r="AO1235" s="1173">
        <f t="shared" si="1751"/>
        <v>0</v>
      </c>
      <c r="AP1235" s="1173">
        <f t="shared" si="1751"/>
        <v>0</v>
      </c>
      <c r="AQ1235" s="1173">
        <f t="shared" si="1751"/>
        <v>0</v>
      </c>
      <c r="AR1235" s="1173">
        <f t="shared" si="1751"/>
        <v>0</v>
      </c>
      <c r="AS1235" s="1173">
        <f t="shared" si="1751"/>
        <v>0</v>
      </c>
      <c r="AT1235" s="1173">
        <f t="shared" si="1727"/>
        <v>0</v>
      </c>
      <c r="AU1235" s="1377" t="e">
        <f t="shared" si="1728"/>
        <v>#DIV/0!</v>
      </c>
      <c r="AV1235" s="1173">
        <f t="shared" si="1755"/>
        <v>0</v>
      </c>
      <c r="AW1235" s="1127">
        <f t="shared" si="1755"/>
        <v>0</v>
      </c>
      <c r="AX1235" s="1127">
        <f t="shared" si="1755"/>
        <v>0</v>
      </c>
      <c r="AY1235" s="1127">
        <f t="shared" si="1755"/>
        <v>0</v>
      </c>
      <c r="AZ1235" s="1127">
        <f t="shared" si="1755"/>
        <v>0</v>
      </c>
      <c r="BA1235" s="1127">
        <f t="shared" si="1755"/>
        <v>0</v>
      </c>
      <c r="BB1235" s="1127">
        <f t="shared" si="1755"/>
        <v>0</v>
      </c>
      <c r="BC1235" s="1177">
        <f t="shared" si="1730"/>
        <v>0</v>
      </c>
      <c r="BD1235" s="1378">
        <f t="shared" si="1731"/>
        <v>0</v>
      </c>
      <c r="BE1235" s="1024"/>
      <c r="BF1235" s="1024"/>
      <c r="BG1235" s="1008"/>
      <c r="BH1235" s="1008"/>
      <c r="BI1235" s="1008"/>
      <c r="BJ1235" s="1008"/>
      <c r="BK1235" s="1008"/>
      <c r="BL1235" s="1008"/>
      <c r="BM1235" s="1008"/>
    </row>
    <row r="1236" s="1387" customFormat="1" ht="17.25" customHeight="1">
      <c r="A1236" s="999">
        <f t="shared" si="1712"/>
        <v>0</v>
      </c>
      <c r="B1236" s="1205" t="s">
        <v>363</v>
      </c>
      <c r="C1236" s="1205"/>
      <c r="D1236" s="1205"/>
      <c r="E1236" s="1183">
        <f>SUM(E1228:E1235)</f>
        <v>2639700.5499999998</v>
      </c>
      <c r="F1236" s="1183">
        <f>SUM(F1228:F1235)</f>
        <v>9815782.1500000004</v>
      </c>
      <c r="G1236" s="1184">
        <f>SUM(G1228:G1235)</f>
        <v>12455482.699999999</v>
      </c>
      <c r="H1236" s="1185">
        <f t="shared" si="1715"/>
        <v>0.13785641496197545</v>
      </c>
      <c r="I1236" s="1167">
        <f t="shared" si="1745"/>
        <v>2612383.1499999999</v>
      </c>
      <c r="J1236" s="1167">
        <f t="shared" si="1762"/>
        <v>9740681.75</v>
      </c>
      <c r="K1236" s="1187">
        <f>SUM(K1228:K1235)</f>
        <v>12353064.9</v>
      </c>
      <c r="L1236" s="1385">
        <f>SUM(L1228:L1235)</f>
        <v>0</v>
      </c>
      <c r="M1236" s="1319">
        <f t="shared" si="1748"/>
        <v>0</v>
      </c>
      <c r="N1236" s="1319">
        <f t="shared" si="1748"/>
        <v>0</v>
      </c>
      <c r="O1236" s="1319">
        <f t="shared" si="1748"/>
        <v>0</v>
      </c>
      <c r="P1236" s="1319">
        <f t="shared" si="1748"/>
        <v>2566309.79</v>
      </c>
      <c r="Q1236" s="1319">
        <f t="shared" si="1748"/>
        <v>2566309.79</v>
      </c>
      <c r="R1236" s="1319">
        <f t="shared" si="1748"/>
        <v>8832961.1600000001</v>
      </c>
      <c r="S1236" s="1319">
        <f t="shared" si="1718"/>
        <v>11399270.949999999</v>
      </c>
      <c r="T1236" s="1374">
        <f t="shared" si="1719"/>
        <v>0.14278111808943567</v>
      </c>
      <c r="U1236" s="1350">
        <f t="shared" si="1749"/>
        <v>0</v>
      </c>
      <c r="V1236" s="1319">
        <f t="shared" si="1749"/>
        <v>0</v>
      </c>
      <c r="W1236" s="1319">
        <f t="shared" si="1749"/>
        <v>0</v>
      </c>
      <c r="X1236" s="1319">
        <f t="shared" si="1749"/>
        <v>0</v>
      </c>
      <c r="Y1236" s="1319">
        <f t="shared" si="1749"/>
        <v>27317.400000000001</v>
      </c>
      <c r="Z1236" s="1319">
        <f t="shared" si="1749"/>
        <v>27317.400000000001</v>
      </c>
      <c r="AA1236" s="1319">
        <f t="shared" si="1749"/>
        <v>75100.399999999994</v>
      </c>
      <c r="AB1236" s="1383">
        <f t="shared" si="1721"/>
        <v>102417.79999999999</v>
      </c>
      <c r="AC1236" s="1374">
        <f t="shared" si="1722"/>
        <v>0.013241839043302631</v>
      </c>
      <c r="AD1236" s="1349">
        <f t="shared" si="1750"/>
        <v>0</v>
      </c>
      <c r="AE1236" s="1319">
        <f t="shared" si="1750"/>
        <v>0</v>
      </c>
      <c r="AF1236" s="1319">
        <f t="shared" si="1750"/>
        <v>0</v>
      </c>
      <c r="AG1236" s="1319">
        <f t="shared" si="1750"/>
        <v>0</v>
      </c>
      <c r="AH1236" s="1319">
        <f t="shared" si="1750"/>
        <v>46073.360000000001</v>
      </c>
      <c r="AI1236" s="1319">
        <f t="shared" si="1750"/>
        <v>46073.360000000001</v>
      </c>
      <c r="AJ1236" s="1319">
        <f t="shared" si="1750"/>
        <v>907720.58999999985</v>
      </c>
      <c r="AK1236" s="1319">
        <f t="shared" si="1724"/>
        <v>953793.94999999984</v>
      </c>
      <c r="AL1236" s="1374">
        <f t="shared" si="1725"/>
        <v>0.35606396172290367</v>
      </c>
      <c r="AM1236" s="1349">
        <f t="shared" si="1751"/>
        <v>0</v>
      </c>
      <c r="AN1236" s="1350">
        <f t="shared" si="1751"/>
        <v>0</v>
      </c>
      <c r="AO1236" s="1350">
        <f t="shared" si="1751"/>
        <v>0</v>
      </c>
      <c r="AP1236" s="1350">
        <f t="shared" si="1751"/>
        <v>0</v>
      </c>
      <c r="AQ1236" s="1350">
        <f t="shared" si="1751"/>
        <v>0</v>
      </c>
      <c r="AR1236" s="1350">
        <f t="shared" si="1751"/>
        <v>0</v>
      </c>
      <c r="AS1236" s="1350">
        <f t="shared" si="1751"/>
        <v>0</v>
      </c>
      <c r="AT1236" s="1350">
        <f t="shared" si="1727"/>
        <v>0</v>
      </c>
      <c r="AU1236" s="1377" t="e">
        <f t="shared" si="1728"/>
        <v>#DIV/0!</v>
      </c>
      <c r="AV1236" s="1350">
        <f t="shared" si="1755"/>
        <v>0</v>
      </c>
      <c r="AW1236" s="1319">
        <f t="shared" si="1755"/>
        <v>0</v>
      </c>
      <c r="AX1236" s="1319">
        <f t="shared" si="1755"/>
        <v>0</v>
      </c>
      <c r="AY1236" s="1319">
        <f t="shared" si="1755"/>
        <v>0</v>
      </c>
      <c r="AZ1236" s="1319">
        <f t="shared" si="1755"/>
        <v>0</v>
      </c>
      <c r="BA1236" s="1319">
        <f t="shared" si="1755"/>
        <v>0</v>
      </c>
      <c r="BB1236" s="1319">
        <f t="shared" si="1755"/>
        <v>0</v>
      </c>
      <c r="BC1236" s="1281">
        <f t="shared" si="1730"/>
        <v>0</v>
      </c>
      <c r="BD1236" s="1378">
        <f t="shared" si="1731"/>
        <v>0</v>
      </c>
      <c r="BE1236" s="1388"/>
      <c r="BF1236" s="1388"/>
      <c r="BG1236" s="1389"/>
      <c r="BH1236" s="1389"/>
      <c r="BI1236" s="1389"/>
      <c r="BJ1236" s="1389"/>
      <c r="BK1236" s="1389"/>
      <c r="BL1236" s="1389"/>
      <c r="BM1236" s="1389"/>
    </row>
    <row r="1237" s="1215" customFormat="1" ht="17.25" customHeight="1">
      <c r="A1237" s="999" t="str">
        <f t="shared" si="1712"/>
        <v xml:space="preserve">Шеламкова Н.В.</v>
      </c>
      <c r="B1237" s="1202" t="s">
        <v>421</v>
      </c>
      <c r="C1237" s="1203" t="s">
        <v>496</v>
      </c>
      <c r="D1237" s="1202"/>
      <c r="E1237" s="1164">
        <f t="shared" ref="E1237:F1249" si="1771">Q1237+Z1237+AI1237+AR1237+BA1237</f>
        <v>457595.98999999999</v>
      </c>
      <c r="F1237" s="1164">
        <f t="shared" si="1771"/>
        <v>536016.59000000008</v>
      </c>
      <c r="G1237" s="1165">
        <f t="shared" ref="G1237:G1249" si="1772">E1237+F1237</f>
        <v>993612.58000000007</v>
      </c>
      <c r="H1237" s="1166">
        <f t="shared" si="1715"/>
        <v>0.010997234827351897</v>
      </c>
      <c r="I1237" s="1167">
        <f t="shared" si="1745"/>
        <v>457595.98999999999</v>
      </c>
      <c r="J1237" s="1167">
        <f t="shared" si="1762"/>
        <v>528506.55000000005</v>
      </c>
      <c r="K1237" s="1168">
        <f t="shared" ref="K1237:K1249" si="1773">I1237+J1237</f>
        <v>986102.54000000004</v>
      </c>
      <c r="L1237" s="1372"/>
      <c r="M1237" s="1127">
        <f t="shared" si="1748"/>
        <v>0</v>
      </c>
      <c r="N1237" s="1127">
        <f t="shared" si="1748"/>
        <v>0</v>
      </c>
      <c r="O1237" s="1127">
        <f t="shared" si="1748"/>
        <v>0</v>
      </c>
      <c r="P1237" s="1127">
        <f t="shared" si="1748"/>
        <v>384167.73999999999</v>
      </c>
      <c r="Q1237" s="1127">
        <f t="shared" si="1748"/>
        <v>384167.73999999999</v>
      </c>
      <c r="R1237" s="1127">
        <f t="shared" si="1748"/>
        <v>528506.55000000005</v>
      </c>
      <c r="S1237" s="1127">
        <f t="shared" si="1718"/>
        <v>912674.29000000004</v>
      </c>
      <c r="T1237" s="1374">
        <f t="shared" si="1719"/>
        <v>0.011431665774878513</v>
      </c>
      <c r="U1237" s="1173">
        <f t="shared" si="1749"/>
        <v>0</v>
      </c>
      <c r="V1237" s="1127">
        <f t="shared" si="1749"/>
        <v>0</v>
      </c>
      <c r="W1237" s="1127">
        <f t="shared" si="1749"/>
        <v>0</v>
      </c>
      <c r="X1237" s="1127">
        <f t="shared" si="1749"/>
        <v>0</v>
      </c>
      <c r="Y1237" s="1127">
        <f t="shared" si="1749"/>
        <v>0</v>
      </c>
      <c r="Z1237" s="1127">
        <f t="shared" si="1749"/>
        <v>0</v>
      </c>
      <c r="AA1237" s="1127">
        <f t="shared" si="1749"/>
        <v>7510.04</v>
      </c>
      <c r="AB1237" s="1375">
        <f t="shared" si="1721"/>
        <v>7510.04</v>
      </c>
      <c r="AC1237" s="1374">
        <f t="shared" si="1722"/>
        <v>0.00097099079348281735</v>
      </c>
      <c r="AD1237" s="1376">
        <f t="shared" si="1750"/>
        <v>0</v>
      </c>
      <c r="AE1237" s="1127">
        <f t="shared" si="1750"/>
        <v>0</v>
      </c>
      <c r="AF1237" s="1127">
        <f t="shared" si="1750"/>
        <v>0</v>
      </c>
      <c r="AG1237" s="1127">
        <f t="shared" si="1750"/>
        <v>0</v>
      </c>
      <c r="AH1237" s="1127">
        <f t="shared" si="1750"/>
        <v>73428.25</v>
      </c>
      <c r="AI1237" s="1127">
        <f t="shared" si="1750"/>
        <v>73428.25</v>
      </c>
      <c r="AJ1237" s="1127">
        <f t="shared" si="1750"/>
        <v>0</v>
      </c>
      <c r="AK1237" s="1127">
        <f t="shared" si="1724"/>
        <v>73428.25</v>
      </c>
      <c r="AL1237" s="1374">
        <f t="shared" si="1725"/>
        <v>0.027411741914886129</v>
      </c>
      <c r="AM1237" s="1376">
        <f t="shared" si="1751"/>
        <v>0</v>
      </c>
      <c r="AN1237" s="1173">
        <f t="shared" si="1751"/>
        <v>0</v>
      </c>
      <c r="AO1237" s="1173">
        <f t="shared" si="1751"/>
        <v>0</v>
      </c>
      <c r="AP1237" s="1173">
        <f t="shared" si="1751"/>
        <v>0</v>
      </c>
      <c r="AQ1237" s="1173">
        <f t="shared" si="1751"/>
        <v>0</v>
      </c>
      <c r="AR1237" s="1173">
        <f t="shared" si="1751"/>
        <v>0</v>
      </c>
      <c r="AS1237" s="1173">
        <f t="shared" si="1751"/>
        <v>0</v>
      </c>
      <c r="AT1237" s="1173">
        <f t="shared" si="1727"/>
        <v>0</v>
      </c>
      <c r="AU1237" s="1377" t="e">
        <f t="shared" si="1728"/>
        <v>#DIV/0!</v>
      </c>
      <c r="AV1237" s="1173">
        <f t="shared" si="1755"/>
        <v>0</v>
      </c>
      <c r="AW1237" s="1127">
        <f t="shared" si="1755"/>
        <v>0</v>
      </c>
      <c r="AX1237" s="1127">
        <f t="shared" si="1755"/>
        <v>0</v>
      </c>
      <c r="AY1237" s="1127">
        <f t="shared" si="1755"/>
        <v>0</v>
      </c>
      <c r="AZ1237" s="1127">
        <f t="shared" si="1755"/>
        <v>0</v>
      </c>
      <c r="BA1237" s="1127">
        <f t="shared" si="1755"/>
        <v>0</v>
      </c>
      <c r="BB1237" s="1127">
        <f t="shared" si="1755"/>
        <v>0</v>
      </c>
      <c r="BC1237" s="1177">
        <f t="shared" si="1730"/>
        <v>0</v>
      </c>
      <c r="BD1237" s="1378">
        <f t="shared" si="1731"/>
        <v>0</v>
      </c>
      <c r="BE1237" s="1024"/>
      <c r="BF1237" s="1024"/>
      <c r="BG1237" s="1008"/>
      <c r="BH1237" s="1008"/>
      <c r="BI1237" s="1008"/>
      <c r="BJ1237" s="1008"/>
      <c r="BK1237" s="1008"/>
      <c r="BL1237" s="1008"/>
      <c r="BM1237" s="1008"/>
    </row>
    <row r="1238" s="1215" customFormat="1" ht="17.25" customHeight="1">
      <c r="A1238" s="999" t="str">
        <f t="shared" si="1712"/>
        <v xml:space="preserve">Буланова О.Н. Сычева Ю.В.</v>
      </c>
      <c r="B1238" s="1202" t="s">
        <v>68</v>
      </c>
      <c r="C1238" s="1202"/>
      <c r="D1238" s="1202"/>
      <c r="E1238" s="1164">
        <f t="shared" si="1771"/>
        <v>1372857.9300000002</v>
      </c>
      <c r="F1238" s="1164">
        <f t="shared" si="1771"/>
        <v>21276287.559999999</v>
      </c>
      <c r="G1238" s="1165">
        <f t="shared" si="1772"/>
        <v>22649145.489999998</v>
      </c>
      <c r="H1238" s="1166">
        <f t="shared" si="1715"/>
        <v>0.25067916470259272</v>
      </c>
      <c r="I1238" s="1167">
        <f t="shared" si="1745"/>
        <v>1372831.6400000001</v>
      </c>
      <c r="J1238" s="1167">
        <f t="shared" si="1762"/>
        <v>21268777.52</v>
      </c>
      <c r="K1238" s="1168">
        <f t="shared" si="1773"/>
        <v>22641609.16</v>
      </c>
      <c r="L1238" s="1372"/>
      <c r="M1238" s="1127">
        <f t="shared" si="1748"/>
        <v>0</v>
      </c>
      <c r="N1238" s="1127">
        <f t="shared" si="1748"/>
        <v>0</v>
      </c>
      <c r="O1238" s="1127">
        <f t="shared" si="1748"/>
        <v>0</v>
      </c>
      <c r="P1238" s="1127">
        <f t="shared" ref="P1238:P1247" si="1774">P1140+P1043+P945+P847+P746+P648+P551+P454+R356+P259+P161+P63</f>
        <v>1372831.6400000001</v>
      </c>
      <c r="Q1238" s="1127">
        <f t="shared" si="1748"/>
        <v>1372831.6400000001</v>
      </c>
      <c r="R1238" s="1127">
        <f t="shared" ref="R1238:R1247" si="1775">R1140+R1043+R945+R847+R746+R648+R551+R454+P356+R259+R161+R63</f>
        <v>21263044.84</v>
      </c>
      <c r="S1238" s="1127">
        <f t="shared" si="1718"/>
        <v>22635876.48</v>
      </c>
      <c r="T1238" s="1374">
        <f t="shared" si="1719"/>
        <v>0.28352477688485506</v>
      </c>
      <c r="U1238" s="1173">
        <f t="shared" si="1749"/>
        <v>0</v>
      </c>
      <c r="V1238" s="1127">
        <f t="shared" si="1749"/>
        <v>0</v>
      </c>
      <c r="W1238" s="1127">
        <f t="shared" si="1749"/>
        <v>0</v>
      </c>
      <c r="X1238" s="1127">
        <f t="shared" si="1749"/>
        <v>0</v>
      </c>
      <c r="Y1238" s="1127">
        <f t="shared" si="1749"/>
        <v>26.289999999999999</v>
      </c>
      <c r="Z1238" s="1127">
        <f t="shared" si="1749"/>
        <v>26.289999999999999</v>
      </c>
      <c r="AA1238" s="1127">
        <f t="shared" si="1749"/>
        <v>7510.04</v>
      </c>
      <c r="AB1238" s="1375">
        <f t="shared" si="1721"/>
        <v>7536.3299999999999</v>
      </c>
      <c r="AC1238" s="1374">
        <f t="shared" si="1722"/>
        <v>0.00097438988962087565</v>
      </c>
      <c r="AD1238" s="1376">
        <f t="shared" si="1750"/>
        <v>0</v>
      </c>
      <c r="AE1238" s="1127">
        <f t="shared" si="1750"/>
        <v>0</v>
      </c>
      <c r="AF1238" s="1127">
        <f t="shared" si="1750"/>
        <v>0</v>
      </c>
      <c r="AG1238" s="1127">
        <f t="shared" si="1750"/>
        <v>0</v>
      </c>
      <c r="AH1238" s="1127">
        <f t="shared" si="1750"/>
        <v>0</v>
      </c>
      <c r="AI1238" s="1127">
        <f t="shared" si="1750"/>
        <v>0</v>
      </c>
      <c r="AJ1238" s="1127">
        <f t="shared" si="1750"/>
        <v>5732.6800000000003</v>
      </c>
      <c r="AK1238" s="1127">
        <f t="shared" si="1724"/>
        <v>5732.6800000000003</v>
      </c>
      <c r="AL1238" s="1374">
        <f t="shared" si="1725"/>
        <v>0.0021400856569594047</v>
      </c>
      <c r="AM1238" s="1376">
        <f t="shared" si="1751"/>
        <v>0</v>
      </c>
      <c r="AN1238" s="1173">
        <f t="shared" si="1751"/>
        <v>0</v>
      </c>
      <c r="AO1238" s="1173">
        <f t="shared" si="1751"/>
        <v>0</v>
      </c>
      <c r="AP1238" s="1173">
        <f t="shared" si="1751"/>
        <v>0</v>
      </c>
      <c r="AQ1238" s="1173">
        <f t="shared" si="1751"/>
        <v>0</v>
      </c>
      <c r="AR1238" s="1173">
        <f t="shared" si="1751"/>
        <v>0</v>
      </c>
      <c r="AS1238" s="1173">
        <f t="shared" si="1751"/>
        <v>0</v>
      </c>
      <c r="AT1238" s="1173">
        <f t="shared" si="1727"/>
        <v>0</v>
      </c>
      <c r="AU1238" s="1377" t="e">
        <f t="shared" si="1728"/>
        <v>#DIV/0!</v>
      </c>
      <c r="AV1238" s="1173">
        <f t="shared" si="1755"/>
        <v>0</v>
      </c>
      <c r="AW1238" s="1127">
        <f t="shared" si="1755"/>
        <v>0</v>
      </c>
      <c r="AX1238" s="1127">
        <f t="shared" si="1755"/>
        <v>0</v>
      </c>
      <c r="AY1238" s="1127">
        <f t="shared" si="1755"/>
        <v>0</v>
      </c>
      <c r="AZ1238" s="1127">
        <f t="shared" si="1755"/>
        <v>0</v>
      </c>
      <c r="BA1238" s="1127">
        <f t="shared" si="1755"/>
        <v>0</v>
      </c>
      <c r="BB1238" s="1127">
        <f t="shared" si="1755"/>
        <v>0</v>
      </c>
      <c r="BC1238" s="1177">
        <f t="shared" si="1730"/>
        <v>0</v>
      </c>
      <c r="BD1238" s="1378">
        <f t="shared" si="1731"/>
        <v>0</v>
      </c>
      <c r="BE1238" s="1024"/>
      <c r="BF1238" s="1024"/>
      <c r="BG1238" s="1008"/>
      <c r="BH1238" s="1008"/>
      <c r="BI1238" s="1008"/>
      <c r="BJ1238" s="1008"/>
      <c r="BK1238" s="1008"/>
      <c r="BL1238" s="1008"/>
      <c r="BM1238" s="1008"/>
    </row>
    <row r="1239" s="1215" customFormat="1">
      <c r="A1239" s="999" t="str">
        <f t="shared" si="1712"/>
        <v xml:space="preserve">Бояринцева Н.А.</v>
      </c>
      <c r="B1239" s="1202" t="s">
        <v>289</v>
      </c>
      <c r="C1239" s="1202" t="s">
        <v>497</v>
      </c>
      <c r="D1239" s="1202"/>
      <c r="E1239" s="1164">
        <f t="shared" si="1771"/>
        <v>4743.1000000000004</v>
      </c>
      <c r="F1239" s="1164">
        <f t="shared" si="1771"/>
        <v>7549998.4000000004</v>
      </c>
      <c r="G1239" s="1165">
        <f t="shared" si="1772"/>
        <v>7554741.5</v>
      </c>
      <c r="H1239" s="1166">
        <f t="shared" si="1715"/>
        <v>0.083615352711658208</v>
      </c>
      <c r="I1239" s="1167">
        <f t="shared" si="1745"/>
        <v>4743.1000000000004</v>
      </c>
      <c r="J1239" s="1167">
        <f t="shared" si="1762"/>
        <v>7332275.1100000003</v>
      </c>
      <c r="K1239" s="1168">
        <f t="shared" si="1773"/>
        <v>7337018.21</v>
      </c>
      <c r="L1239" s="1372"/>
      <c r="M1239" s="1127">
        <f t="shared" si="1748"/>
        <v>0</v>
      </c>
      <c r="N1239" s="1127">
        <f t="shared" si="1748"/>
        <v>0</v>
      </c>
      <c r="O1239" s="1127">
        <f t="shared" si="1748"/>
        <v>0</v>
      </c>
      <c r="P1239" s="1127">
        <f t="shared" si="1774"/>
        <v>4743.1000000000004</v>
      </c>
      <c r="Q1239" s="1127">
        <f t="shared" si="1748"/>
        <v>4743.1000000000004</v>
      </c>
      <c r="R1239" s="1127">
        <f t="shared" si="1775"/>
        <v>7139055.0200000005</v>
      </c>
      <c r="S1239" s="1127">
        <f t="shared" si="1718"/>
        <v>7143798.1200000001</v>
      </c>
      <c r="T1239" s="1374">
        <f t="shared" si="1719"/>
        <v>0.089479361219921574</v>
      </c>
      <c r="U1239" s="1173">
        <f t="shared" si="1749"/>
        <v>0</v>
      </c>
      <c r="V1239" s="1127">
        <f t="shared" si="1749"/>
        <v>0</v>
      </c>
      <c r="W1239" s="1127">
        <f t="shared" si="1749"/>
        <v>0</v>
      </c>
      <c r="X1239" s="1127">
        <f t="shared" si="1749"/>
        <v>0</v>
      </c>
      <c r="Y1239" s="1127">
        <f t="shared" si="1749"/>
        <v>0</v>
      </c>
      <c r="Z1239" s="1127">
        <f t="shared" si="1749"/>
        <v>0</v>
      </c>
      <c r="AA1239" s="1127">
        <f t="shared" si="1749"/>
        <v>217723.29000000001</v>
      </c>
      <c r="AB1239" s="1375">
        <f t="shared" si="1721"/>
        <v>217723.29000000001</v>
      </c>
      <c r="AC1239" s="1374">
        <f t="shared" si="1722"/>
        <v>0.028149957938544877</v>
      </c>
      <c r="AD1239" s="1376">
        <f t="shared" si="1750"/>
        <v>0</v>
      </c>
      <c r="AE1239" s="1127">
        <f t="shared" si="1750"/>
        <v>0</v>
      </c>
      <c r="AF1239" s="1127">
        <f t="shared" si="1750"/>
        <v>0</v>
      </c>
      <c r="AG1239" s="1127">
        <f t="shared" si="1750"/>
        <v>0</v>
      </c>
      <c r="AH1239" s="1127">
        <f t="shared" si="1750"/>
        <v>0</v>
      </c>
      <c r="AI1239" s="1127">
        <f t="shared" si="1750"/>
        <v>0</v>
      </c>
      <c r="AJ1239" s="1127">
        <f t="shared" si="1750"/>
        <v>193220.09</v>
      </c>
      <c r="AK1239" s="1127">
        <f t="shared" si="1724"/>
        <v>193220.09</v>
      </c>
      <c r="AL1239" s="1374">
        <f t="shared" si="1725"/>
        <v>0.072131628356267102</v>
      </c>
      <c r="AM1239" s="1376">
        <f t="shared" si="1751"/>
        <v>0</v>
      </c>
      <c r="AN1239" s="1173">
        <f t="shared" si="1751"/>
        <v>0</v>
      </c>
      <c r="AO1239" s="1173">
        <f t="shared" si="1751"/>
        <v>0</v>
      </c>
      <c r="AP1239" s="1173">
        <f t="shared" si="1751"/>
        <v>0</v>
      </c>
      <c r="AQ1239" s="1173">
        <f t="shared" si="1751"/>
        <v>0</v>
      </c>
      <c r="AR1239" s="1173">
        <f t="shared" si="1751"/>
        <v>0</v>
      </c>
      <c r="AS1239" s="1173">
        <f t="shared" si="1751"/>
        <v>0</v>
      </c>
      <c r="AT1239" s="1173">
        <f t="shared" si="1727"/>
        <v>0</v>
      </c>
      <c r="AU1239" s="1377" t="e">
        <f t="shared" si="1728"/>
        <v>#DIV/0!</v>
      </c>
      <c r="AV1239" s="1173">
        <f t="shared" si="1755"/>
        <v>0</v>
      </c>
      <c r="AW1239" s="1127">
        <f t="shared" si="1755"/>
        <v>0</v>
      </c>
      <c r="AX1239" s="1127">
        <f t="shared" si="1755"/>
        <v>0</v>
      </c>
      <c r="AY1239" s="1127">
        <f t="shared" si="1755"/>
        <v>0</v>
      </c>
      <c r="AZ1239" s="1127">
        <f t="shared" si="1755"/>
        <v>0</v>
      </c>
      <c r="BA1239" s="1127">
        <f t="shared" si="1755"/>
        <v>0</v>
      </c>
      <c r="BB1239" s="1127">
        <f t="shared" si="1755"/>
        <v>0</v>
      </c>
      <c r="BC1239" s="1177">
        <f t="shared" si="1730"/>
        <v>0</v>
      </c>
      <c r="BD1239" s="1378">
        <f t="shared" si="1731"/>
        <v>0</v>
      </c>
      <c r="BE1239" s="1024"/>
      <c r="BF1239" s="1024"/>
      <c r="BG1239" s="1008"/>
      <c r="BH1239" s="1008"/>
      <c r="BI1239" s="1008"/>
      <c r="BJ1239" s="1008"/>
      <c r="BK1239" s="1008"/>
      <c r="BL1239" s="1008"/>
      <c r="BM1239" s="1008"/>
    </row>
    <row r="1240" s="1215" customFormat="1">
      <c r="A1240" s="999">
        <f t="shared" si="1712"/>
        <v>0</v>
      </c>
      <c r="B1240" s="1202" t="s">
        <v>424</v>
      </c>
      <c r="C1240" s="1202"/>
      <c r="D1240" s="1202"/>
      <c r="E1240" s="1164">
        <f t="shared" si="1771"/>
        <v>0</v>
      </c>
      <c r="F1240" s="1164">
        <f t="shared" si="1771"/>
        <v>0</v>
      </c>
      <c r="G1240" s="1165">
        <f t="shared" si="1772"/>
        <v>0</v>
      </c>
      <c r="H1240" s="1166">
        <f t="shared" si="1715"/>
        <v>0</v>
      </c>
      <c r="I1240" s="1167">
        <f t="shared" si="1745"/>
        <v>0</v>
      </c>
      <c r="J1240" s="1167">
        <f t="shared" si="1762"/>
        <v>0</v>
      </c>
      <c r="K1240" s="1168">
        <f t="shared" si="1773"/>
        <v>0</v>
      </c>
      <c r="L1240" s="1372"/>
      <c r="M1240" s="1127">
        <f t="shared" si="1748"/>
        <v>0</v>
      </c>
      <c r="N1240" s="1127">
        <f t="shared" si="1748"/>
        <v>0</v>
      </c>
      <c r="O1240" s="1127">
        <f t="shared" si="1748"/>
        <v>0</v>
      </c>
      <c r="P1240" s="1127">
        <f t="shared" si="1774"/>
        <v>0</v>
      </c>
      <c r="Q1240" s="1127">
        <f t="shared" si="1748"/>
        <v>0</v>
      </c>
      <c r="R1240" s="1127">
        <f t="shared" si="1775"/>
        <v>0</v>
      </c>
      <c r="S1240" s="1127">
        <f t="shared" si="1718"/>
        <v>0</v>
      </c>
      <c r="T1240" s="1374">
        <f t="shared" si="1719"/>
        <v>0</v>
      </c>
      <c r="U1240" s="1173">
        <f t="shared" si="1749"/>
        <v>0</v>
      </c>
      <c r="V1240" s="1127">
        <f t="shared" si="1749"/>
        <v>0</v>
      </c>
      <c r="W1240" s="1127">
        <f t="shared" si="1749"/>
        <v>0</v>
      </c>
      <c r="X1240" s="1127">
        <f t="shared" si="1749"/>
        <v>0</v>
      </c>
      <c r="Y1240" s="1127">
        <f t="shared" si="1749"/>
        <v>0</v>
      </c>
      <c r="Z1240" s="1127">
        <f t="shared" si="1749"/>
        <v>0</v>
      </c>
      <c r="AA1240" s="1127">
        <f t="shared" si="1749"/>
        <v>0</v>
      </c>
      <c r="AB1240" s="1375">
        <f t="shared" si="1721"/>
        <v>0</v>
      </c>
      <c r="AC1240" s="1374">
        <f t="shared" si="1722"/>
        <v>0</v>
      </c>
      <c r="AD1240" s="1376">
        <f t="shared" si="1750"/>
        <v>0</v>
      </c>
      <c r="AE1240" s="1127">
        <f t="shared" si="1750"/>
        <v>0</v>
      </c>
      <c r="AF1240" s="1127">
        <f t="shared" si="1750"/>
        <v>0</v>
      </c>
      <c r="AG1240" s="1127">
        <f t="shared" si="1750"/>
        <v>0</v>
      </c>
      <c r="AH1240" s="1127">
        <f t="shared" si="1750"/>
        <v>0</v>
      </c>
      <c r="AI1240" s="1127">
        <f t="shared" si="1750"/>
        <v>0</v>
      </c>
      <c r="AJ1240" s="1127">
        <f t="shared" si="1750"/>
        <v>0</v>
      </c>
      <c r="AK1240" s="1127">
        <f t="shared" si="1724"/>
        <v>0</v>
      </c>
      <c r="AL1240" s="1374">
        <f t="shared" si="1725"/>
        <v>0</v>
      </c>
      <c r="AM1240" s="1376">
        <f t="shared" si="1751"/>
        <v>0</v>
      </c>
      <c r="AN1240" s="1173">
        <f t="shared" si="1751"/>
        <v>0</v>
      </c>
      <c r="AO1240" s="1173">
        <f t="shared" si="1751"/>
        <v>0</v>
      </c>
      <c r="AP1240" s="1173">
        <f t="shared" si="1751"/>
        <v>0</v>
      </c>
      <c r="AQ1240" s="1173">
        <f t="shared" si="1751"/>
        <v>0</v>
      </c>
      <c r="AR1240" s="1173">
        <f t="shared" si="1751"/>
        <v>0</v>
      </c>
      <c r="AS1240" s="1173">
        <f t="shared" si="1751"/>
        <v>0</v>
      </c>
      <c r="AT1240" s="1173">
        <f t="shared" si="1727"/>
        <v>0</v>
      </c>
      <c r="AU1240" s="1377" t="e">
        <f t="shared" si="1728"/>
        <v>#DIV/0!</v>
      </c>
      <c r="AV1240" s="1173">
        <f t="shared" si="1755"/>
        <v>0</v>
      </c>
      <c r="AW1240" s="1127">
        <f t="shared" si="1755"/>
        <v>0</v>
      </c>
      <c r="AX1240" s="1127">
        <f t="shared" si="1755"/>
        <v>0</v>
      </c>
      <c r="AY1240" s="1127">
        <f t="shared" si="1755"/>
        <v>0</v>
      </c>
      <c r="AZ1240" s="1127">
        <f t="shared" si="1755"/>
        <v>0</v>
      </c>
      <c r="BA1240" s="1127">
        <f t="shared" si="1755"/>
        <v>0</v>
      </c>
      <c r="BB1240" s="1127">
        <f t="shared" si="1755"/>
        <v>0</v>
      </c>
      <c r="BC1240" s="1177">
        <f t="shared" si="1730"/>
        <v>0</v>
      </c>
      <c r="BD1240" s="1378">
        <f t="shared" si="1731"/>
        <v>0</v>
      </c>
      <c r="BE1240" s="1024"/>
      <c r="BF1240" s="1024"/>
      <c r="BG1240" s="1008"/>
      <c r="BH1240" s="1008"/>
      <c r="BI1240" s="1008"/>
      <c r="BJ1240" s="1008"/>
      <c r="BK1240" s="1008"/>
      <c r="BL1240" s="1008"/>
      <c r="BM1240" s="1008"/>
    </row>
    <row r="1241" s="1215" customFormat="1">
      <c r="A1241" s="999" t="str">
        <f t="shared" si="1712"/>
        <v xml:space="preserve">Соболева Т.Ю.</v>
      </c>
      <c r="B1241" s="1202" t="s">
        <v>426</v>
      </c>
      <c r="C1241" s="1202" t="s">
        <v>497</v>
      </c>
      <c r="D1241" s="1202"/>
      <c r="E1241" s="1164">
        <f t="shared" si="1771"/>
        <v>22618.120000000003</v>
      </c>
      <c r="F1241" s="1164">
        <f t="shared" si="1771"/>
        <v>403305.22999999998</v>
      </c>
      <c r="G1241" s="1165">
        <f t="shared" si="1772"/>
        <v>425923.34999999998</v>
      </c>
      <c r="H1241" s="1166">
        <f t="shared" si="1715"/>
        <v>0.0047140899709647308</v>
      </c>
      <c r="I1241" s="1167">
        <f t="shared" si="1745"/>
        <v>22618.120000000003</v>
      </c>
      <c r="J1241" s="1167">
        <f t="shared" si="1762"/>
        <v>395795.19</v>
      </c>
      <c r="K1241" s="1168">
        <f t="shared" si="1773"/>
        <v>418413.31</v>
      </c>
      <c r="L1241" s="1372"/>
      <c r="M1241" s="1127">
        <f t="shared" si="1748"/>
        <v>0</v>
      </c>
      <c r="N1241" s="1127">
        <f t="shared" si="1748"/>
        <v>0</v>
      </c>
      <c r="O1241" s="1127">
        <f t="shared" si="1748"/>
        <v>0</v>
      </c>
      <c r="P1241" s="1127">
        <f t="shared" si="1774"/>
        <v>22618.120000000003</v>
      </c>
      <c r="Q1241" s="1127">
        <f t="shared" si="1748"/>
        <v>22618.120000000003</v>
      </c>
      <c r="R1241" s="1127">
        <f t="shared" si="1775"/>
        <v>395795.19</v>
      </c>
      <c r="S1241" s="1127">
        <f t="shared" si="1718"/>
        <v>418413.31</v>
      </c>
      <c r="T1241" s="1374">
        <f t="shared" si="1719"/>
        <v>0.0052408193898840216</v>
      </c>
      <c r="U1241" s="1173">
        <f t="shared" si="1749"/>
        <v>0</v>
      </c>
      <c r="V1241" s="1127">
        <f t="shared" si="1749"/>
        <v>0</v>
      </c>
      <c r="W1241" s="1127">
        <f t="shared" si="1749"/>
        <v>0</v>
      </c>
      <c r="X1241" s="1127">
        <f t="shared" si="1749"/>
        <v>0</v>
      </c>
      <c r="Y1241" s="1127">
        <f t="shared" si="1749"/>
        <v>0</v>
      </c>
      <c r="Z1241" s="1127">
        <f t="shared" si="1749"/>
        <v>0</v>
      </c>
      <c r="AA1241" s="1127">
        <f t="shared" si="1749"/>
        <v>7510.04</v>
      </c>
      <c r="AB1241" s="1375">
        <f t="shared" si="1721"/>
        <v>7510.04</v>
      </c>
      <c r="AC1241" s="1374">
        <f t="shared" si="1722"/>
        <v>0.00097099079348281735</v>
      </c>
      <c r="AD1241" s="1376">
        <f t="shared" si="1750"/>
        <v>0</v>
      </c>
      <c r="AE1241" s="1127">
        <f t="shared" si="1750"/>
        <v>0</v>
      </c>
      <c r="AF1241" s="1127">
        <f t="shared" si="1750"/>
        <v>0</v>
      </c>
      <c r="AG1241" s="1127">
        <f t="shared" si="1750"/>
        <v>0</v>
      </c>
      <c r="AH1241" s="1127">
        <f t="shared" si="1750"/>
        <v>0</v>
      </c>
      <c r="AI1241" s="1127">
        <f t="shared" si="1750"/>
        <v>0</v>
      </c>
      <c r="AJ1241" s="1127">
        <f t="shared" si="1750"/>
        <v>0</v>
      </c>
      <c r="AK1241" s="1127">
        <f t="shared" si="1724"/>
        <v>0</v>
      </c>
      <c r="AL1241" s="1374">
        <f t="shared" si="1725"/>
        <v>0</v>
      </c>
      <c r="AM1241" s="1376">
        <f t="shared" si="1751"/>
        <v>0</v>
      </c>
      <c r="AN1241" s="1173">
        <f t="shared" si="1751"/>
        <v>0</v>
      </c>
      <c r="AO1241" s="1173">
        <f t="shared" si="1751"/>
        <v>0</v>
      </c>
      <c r="AP1241" s="1173">
        <f t="shared" si="1751"/>
        <v>0</v>
      </c>
      <c r="AQ1241" s="1173">
        <f t="shared" si="1751"/>
        <v>0</v>
      </c>
      <c r="AR1241" s="1173">
        <f t="shared" si="1751"/>
        <v>0</v>
      </c>
      <c r="AS1241" s="1173">
        <f t="shared" si="1751"/>
        <v>0</v>
      </c>
      <c r="AT1241" s="1173">
        <f t="shared" si="1727"/>
        <v>0</v>
      </c>
      <c r="AU1241" s="1377" t="e">
        <f t="shared" si="1728"/>
        <v>#DIV/0!</v>
      </c>
      <c r="AV1241" s="1173">
        <f t="shared" si="1755"/>
        <v>0</v>
      </c>
      <c r="AW1241" s="1127">
        <f t="shared" si="1755"/>
        <v>0</v>
      </c>
      <c r="AX1241" s="1127">
        <f t="shared" si="1755"/>
        <v>0</v>
      </c>
      <c r="AY1241" s="1127">
        <f t="shared" si="1755"/>
        <v>0</v>
      </c>
      <c r="AZ1241" s="1127">
        <f t="shared" si="1755"/>
        <v>0</v>
      </c>
      <c r="BA1241" s="1127">
        <f t="shared" si="1755"/>
        <v>0</v>
      </c>
      <c r="BB1241" s="1127">
        <f t="shared" si="1755"/>
        <v>0</v>
      </c>
      <c r="BC1241" s="1177">
        <f t="shared" si="1730"/>
        <v>0</v>
      </c>
      <c r="BD1241" s="1378">
        <f t="shared" si="1731"/>
        <v>0</v>
      </c>
      <c r="BE1241" s="1024"/>
      <c r="BF1241" s="1024"/>
      <c r="BG1241" s="1008"/>
      <c r="BH1241" s="1008"/>
      <c r="BI1241" s="1008"/>
      <c r="BJ1241" s="1008"/>
      <c r="BK1241" s="1008"/>
      <c r="BL1241" s="1008"/>
      <c r="BM1241" s="1008"/>
    </row>
    <row r="1242" s="1215" customFormat="1">
      <c r="A1242" s="999">
        <f t="shared" si="1712"/>
        <v>0</v>
      </c>
      <c r="B1242" s="1202" t="s">
        <v>427</v>
      </c>
      <c r="C1242" s="1202" t="s">
        <v>497</v>
      </c>
      <c r="D1242" s="1202"/>
      <c r="E1242" s="1164">
        <f t="shared" si="1771"/>
        <v>0</v>
      </c>
      <c r="F1242" s="1164">
        <f t="shared" si="1771"/>
        <v>0</v>
      </c>
      <c r="G1242" s="1165">
        <f t="shared" si="1772"/>
        <v>0</v>
      </c>
      <c r="H1242" s="1166">
        <f t="shared" si="1715"/>
        <v>0</v>
      </c>
      <c r="I1242" s="1167">
        <f t="shared" si="1745"/>
        <v>0</v>
      </c>
      <c r="J1242" s="1167">
        <f t="shared" si="1762"/>
        <v>0</v>
      </c>
      <c r="K1242" s="1168">
        <f t="shared" si="1773"/>
        <v>0</v>
      </c>
      <c r="L1242" s="1372"/>
      <c r="M1242" s="1127">
        <f t="shared" si="1748"/>
        <v>0</v>
      </c>
      <c r="N1242" s="1127">
        <f t="shared" si="1748"/>
        <v>0</v>
      </c>
      <c r="O1242" s="1127">
        <f t="shared" si="1748"/>
        <v>0</v>
      </c>
      <c r="P1242" s="1127">
        <f t="shared" si="1774"/>
        <v>0</v>
      </c>
      <c r="Q1242" s="1127">
        <f t="shared" si="1748"/>
        <v>0</v>
      </c>
      <c r="R1242" s="1127">
        <f t="shared" si="1775"/>
        <v>0</v>
      </c>
      <c r="S1242" s="1127">
        <f t="shared" si="1718"/>
        <v>0</v>
      </c>
      <c r="T1242" s="1374">
        <f t="shared" si="1719"/>
        <v>0</v>
      </c>
      <c r="U1242" s="1173">
        <f t="shared" si="1749"/>
        <v>0</v>
      </c>
      <c r="V1242" s="1127">
        <f t="shared" si="1749"/>
        <v>0</v>
      </c>
      <c r="W1242" s="1127">
        <f t="shared" si="1749"/>
        <v>0</v>
      </c>
      <c r="X1242" s="1127">
        <f t="shared" si="1749"/>
        <v>0</v>
      </c>
      <c r="Y1242" s="1127">
        <f t="shared" si="1749"/>
        <v>0</v>
      </c>
      <c r="Z1242" s="1127">
        <f t="shared" si="1749"/>
        <v>0</v>
      </c>
      <c r="AA1242" s="1127">
        <f t="shared" si="1749"/>
        <v>0</v>
      </c>
      <c r="AB1242" s="1375">
        <f t="shared" si="1721"/>
        <v>0</v>
      </c>
      <c r="AC1242" s="1374">
        <f t="shared" si="1722"/>
        <v>0</v>
      </c>
      <c r="AD1242" s="1376">
        <f t="shared" si="1750"/>
        <v>0</v>
      </c>
      <c r="AE1242" s="1127">
        <f t="shared" si="1750"/>
        <v>0</v>
      </c>
      <c r="AF1242" s="1127">
        <f t="shared" si="1750"/>
        <v>0</v>
      </c>
      <c r="AG1242" s="1127">
        <f t="shared" si="1750"/>
        <v>0</v>
      </c>
      <c r="AH1242" s="1127">
        <f t="shared" si="1750"/>
        <v>0</v>
      </c>
      <c r="AI1242" s="1127">
        <f t="shared" si="1750"/>
        <v>0</v>
      </c>
      <c r="AJ1242" s="1127">
        <f t="shared" si="1750"/>
        <v>0</v>
      </c>
      <c r="AK1242" s="1127">
        <f t="shared" si="1724"/>
        <v>0</v>
      </c>
      <c r="AL1242" s="1374">
        <f t="shared" si="1725"/>
        <v>0</v>
      </c>
      <c r="AM1242" s="1376">
        <f t="shared" si="1751"/>
        <v>0</v>
      </c>
      <c r="AN1242" s="1173">
        <f t="shared" si="1751"/>
        <v>0</v>
      </c>
      <c r="AO1242" s="1173">
        <f t="shared" si="1751"/>
        <v>0</v>
      </c>
      <c r="AP1242" s="1173">
        <f t="shared" si="1751"/>
        <v>0</v>
      </c>
      <c r="AQ1242" s="1173">
        <f t="shared" si="1751"/>
        <v>0</v>
      </c>
      <c r="AR1242" s="1173">
        <f t="shared" si="1751"/>
        <v>0</v>
      </c>
      <c r="AS1242" s="1173">
        <f t="shared" si="1751"/>
        <v>0</v>
      </c>
      <c r="AT1242" s="1173">
        <f t="shared" si="1727"/>
        <v>0</v>
      </c>
      <c r="AU1242" s="1377" t="e">
        <f t="shared" si="1728"/>
        <v>#DIV/0!</v>
      </c>
      <c r="AV1242" s="1173">
        <f t="shared" si="1755"/>
        <v>0</v>
      </c>
      <c r="AW1242" s="1127">
        <f t="shared" si="1755"/>
        <v>0</v>
      </c>
      <c r="AX1242" s="1127">
        <f t="shared" si="1755"/>
        <v>0</v>
      </c>
      <c r="AY1242" s="1127">
        <f t="shared" si="1755"/>
        <v>0</v>
      </c>
      <c r="AZ1242" s="1127">
        <f t="shared" si="1755"/>
        <v>0</v>
      </c>
      <c r="BA1242" s="1127">
        <f t="shared" si="1755"/>
        <v>0</v>
      </c>
      <c r="BB1242" s="1127">
        <f t="shared" si="1755"/>
        <v>0</v>
      </c>
      <c r="BC1242" s="1177">
        <f t="shared" si="1730"/>
        <v>0</v>
      </c>
      <c r="BD1242" s="1378">
        <f t="shared" si="1731"/>
        <v>0</v>
      </c>
      <c r="BE1242" s="1024"/>
      <c r="BF1242" s="1024"/>
      <c r="BG1242" s="1008"/>
      <c r="BH1242" s="1008"/>
      <c r="BI1242" s="1008"/>
      <c r="BJ1242" s="1008"/>
      <c r="BK1242" s="1008"/>
      <c r="BL1242" s="1008"/>
      <c r="BM1242" s="1008"/>
    </row>
    <row r="1243" s="1215" customFormat="1">
      <c r="A1243" s="999" t="str">
        <f t="shared" si="1712"/>
        <v xml:space="preserve">Астапова С.А.</v>
      </c>
      <c r="B1243" s="1202" t="s">
        <v>73</v>
      </c>
      <c r="C1243" s="1202" t="s">
        <v>497</v>
      </c>
      <c r="D1243" s="1202"/>
      <c r="E1243" s="1164">
        <f t="shared" si="1771"/>
        <v>3212.5799999999999</v>
      </c>
      <c r="F1243" s="1164">
        <f t="shared" si="1771"/>
        <v>46844.700000000004</v>
      </c>
      <c r="G1243" s="1165">
        <f t="shared" si="1772"/>
        <v>50057.280000000006</v>
      </c>
      <c r="H1243" s="1166">
        <f t="shared" si="1715"/>
        <v>0.00055403048840072617</v>
      </c>
      <c r="I1243" s="1390">
        <f t="shared" si="1745"/>
        <v>3212.5799999999999</v>
      </c>
      <c r="J1243" s="1167">
        <f t="shared" si="1762"/>
        <v>39334.660000000003</v>
      </c>
      <c r="K1243" s="1168">
        <f t="shared" si="1773"/>
        <v>42547.240000000005</v>
      </c>
      <c r="L1243" s="1372"/>
      <c r="M1243" s="1127">
        <f t="shared" si="1748"/>
        <v>0</v>
      </c>
      <c r="N1243" s="1127">
        <f t="shared" si="1748"/>
        <v>0</v>
      </c>
      <c r="O1243" s="1127">
        <f t="shared" si="1748"/>
        <v>0</v>
      </c>
      <c r="P1243" s="1127">
        <f t="shared" si="1774"/>
        <v>3212.5799999999999</v>
      </c>
      <c r="Q1243" s="1127">
        <f t="shared" si="1748"/>
        <v>3212.5799999999999</v>
      </c>
      <c r="R1243" s="1127">
        <f t="shared" si="1775"/>
        <v>34784.440000000002</v>
      </c>
      <c r="S1243" s="1127">
        <f t="shared" si="1718"/>
        <v>37997.020000000004</v>
      </c>
      <c r="T1243" s="1374">
        <f t="shared" si="1719"/>
        <v>0.00047593017338241699</v>
      </c>
      <c r="U1243" s="1173">
        <f t="shared" si="1749"/>
        <v>0</v>
      </c>
      <c r="V1243" s="1127">
        <f t="shared" si="1749"/>
        <v>0</v>
      </c>
      <c r="W1243" s="1127">
        <f t="shared" si="1749"/>
        <v>0</v>
      </c>
      <c r="X1243" s="1127">
        <f t="shared" si="1749"/>
        <v>0</v>
      </c>
      <c r="Y1243" s="1127">
        <f t="shared" si="1749"/>
        <v>0</v>
      </c>
      <c r="Z1243" s="1127">
        <f t="shared" si="1749"/>
        <v>0</v>
      </c>
      <c r="AA1243" s="1127">
        <f t="shared" si="1749"/>
        <v>7510.04</v>
      </c>
      <c r="AB1243" s="1375">
        <f t="shared" si="1721"/>
        <v>7510.04</v>
      </c>
      <c r="AC1243" s="1374">
        <f t="shared" si="1722"/>
        <v>0.00097099079348281735</v>
      </c>
      <c r="AD1243" s="1376">
        <f t="shared" si="1750"/>
        <v>0</v>
      </c>
      <c r="AE1243" s="1127">
        <f t="shared" si="1750"/>
        <v>0</v>
      </c>
      <c r="AF1243" s="1127">
        <f t="shared" si="1750"/>
        <v>0</v>
      </c>
      <c r="AG1243" s="1127">
        <f t="shared" si="1750"/>
        <v>0</v>
      </c>
      <c r="AH1243" s="1127">
        <f t="shared" si="1750"/>
        <v>0</v>
      </c>
      <c r="AI1243" s="1127">
        <f t="shared" si="1750"/>
        <v>0</v>
      </c>
      <c r="AJ1243" s="1127">
        <f t="shared" si="1750"/>
        <v>4550.2199999999993</v>
      </c>
      <c r="AK1243" s="1127">
        <f t="shared" si="1724"/>
        <v>4550.2199999999993</v>
      </c>
      <c r="AL1243" s="1374">
        <f t="shared" si="1725"/>
        <v>0.001698657618776876</v>
      </c>
      <c r="AM1243" s="1376">
        <f t="shared" si="1751"/>
        <v>0</v>
      </c>
      <c r="AN1243" s="1173">
        <f t="shared" si="1751"/>
        <v>0</v>
      </c>
      <c r="AO1243" s="1173">
        <f t="shared" si="1751"/>
        <v>0</v>
      </c>
      <c r="AP1243" s="1173">
        <f t="shared" si="1751"/>
        <v>0</v>
      </c>
      <c r="AQ1243" s="1173">
        <f t="shared" si="1751"/>
        <v>0</v>
      </c>
      <c r="AR1243" s="1173">
        <f t="shared" si="1751"/>
        <v>0</v>
      </c>
      <c r="AS1243" s="1173">
        <f t="shared" si="1751"/>
        <v>0</v>
      </c>
      <c r="AT1243" s="1173">
        <f t="shared" si="1727"/>
        <v>0</v>
      </c>
      <c r="AU1243" s="1377" t="e">
        <f t="shared" si="1728"/>
        <v>#DIV/0!</v>
      </c>
      <c r="AV1243" s="1173">
        <f t="shared" si="1755"/>
        <v>0</v>
      </c>
      <c r="AW1243" s="1127">
        <f t="shared" si="1755"/>
        <v>0</v>
      </c>
      <c r="AX1243" s="1127">
        <f t="shared" si="1755"/>
        <v>0</v>
      </c>
      <c r="AY1243" s="1127">
        <f t="shared" si="1755"/>
        <v>0</v>
      </c>
      <c r="AZ1243" s="1127">
        <f t="shared" si="1755"/>
        <v>0</v>
      </c>
      <c r="BA1243" s="1127">
        <f t="shared" si="1755"/>
        <v>0</v>
      </c>
      <c r="BB1243" s="1127">
        <f t="shared" si="1755"/>
        <v>0</v>
      </c>
      <c r="BC1243" s="1177">
        <f t="shared" si="1730"/>
        <v>0</v>
      </c>
      <c r="BD1243" s="1378">
        <f t="shared" si="1731"/>
        <v>0</v>
      </c>
      <c r="BE1243" s="1024"/>
      <c r="BF1243" s="1024"/>
      <c r="BG1243" s="1008"/>
      <c r="BH1243" s="1008"/>
      <c r="BI1243" s="1008"/>
      <c r="BJ1243" s="1008"/>
      <c r="BK1243" s="1008"/>
      <c r="BL1243" s="1008"/>
      <c r="BM1243" s="1008"/>
    </row>
    <row r="1244" s="1215" customFormat="1" ht="20.25" customHeight="1">
      <c r="A1244" s="999" t="str">
        <f t="shared" si="1712"/>
        <v xml:space="preserve">Кирпа Е.Д.</v>
      </c>
      <c r="B1244" s="1202" t="s">
        <v>75</v>
      </c>
      <c r="C1244" s="1203" t="s">
        <v>496</v>
      </c>
      <c r="D1244" s="1202"/>
      <c r="E1244" s="1164">
        <f t="shared" si="1771"/>
        <v>0</v>
      </c>
      <c r="F1244" s="1164">
        <f t="shared" si="1771"/>
        <v>16082.389999999999</v>
      </c>
      <c r="G1244" s="1165">
        <f t="shared" si="1772"/>
        <v>16082.389999999999</v>
      </c>
      <c r="H1244" s="1166">
        <f t="shared" si="1715"/>
        <v>0.00017799877233343387</v>
      </c>
      <c r="I1244" s="1167">
        <f t="shared" si="1745"/>
        <v>0</v>
      </c>
      <c r="J1244" s="1167">
        <f t="shared" si="1762"/>
        <v>12853.07</v>
      </c>
      <c r="K1244" s="1168">
        <f t="shared" si="1773"/>
        <v>12853.07</v>
      </c>
      <c r="L1244" s="1372"/>
      <c r="M1244" s="1127">
        <f t="shared" si="1748"/>
        <v>0</v>
      </c>
      <c r="N1244" s="1127">
        <f t="shared" si="1748"/>
        <v>0</v>
      </c>
      <c r="O1244" s="1127">
        <f t="shared" si="1748"/>
        <v>0</v>
      </c>
      <c r="P1244" s="1127">
        <f t="shared" si="1774"/>
        <v>0</v>
      </c>
      <c r="Q1244" s="1127">
        <f t="shared" si="1748"/>
        <v>0</v>
      </c>
      <c r="R1244" s="1127">
        <f t="shared" si="1775"/>
        <v>12160.279999999999</v>
      </c>
      <c r="S1244" s="1127">
        <f t="shared" si="1718"/>
        <v>12160.279999999999</v>
      </c>
      <c r="T1244" s="1374">
        <f t="shared" si="1719"/>
        <v>0.00015231310689045447</v>
      </c>
      <c r="U1244" s="1173">
        <f t="shared" si="1749"/>
        <v>0</v>
      </c>
      <c r="V1244" s="1127">
        <f t="shared" si="1749"/>
        <v>0</v>
      </c>
      <c r="W1244" s="1127">
        <f t="shared" si="1749"/>
        <v>0</v>
      </c>
      <c r="X1244" s="1127">
        <f t="shared" si="1749"/>
        <v>0</v>
      </c>
      <c r="Y1244" s="1127">
        <f t="shared" si="1749"/>
        <v>0</v>
      </c>
      <c r="Z1244" s="1127">
        <f t="shared" si="1749"/>
        <v>0</v>
      </c>
      <c r="AA1244" s="1127">
        <f t="shared" si="1749"/>
        <v>3229.3199999999997</v>
      </c>
      <c r="AB1244" s="1375">
        <f t="shared" si="1721"/>
        <v>3229.3199999999997</v>
      </c>
      <c r="AC1244" s="1374">
        <f t="shared" si="1722"/>
        <v>0.00041752640321621876</v>
      </c>
      <c r="AD1244" s="1376">
        <f t="shared" si="1750"/>
        <v>0</v>
      </c>
      <c r="AE1244" s="1127">
        <f t="shared" si="1750"/>
        <v>0</v>
      </c>
      <c r="AF1244" s="1127">
        <f t="shared" si="1750"/>
        <v>0</v>
      </c>
      <c r="AG1244" s="1127">
        <f t="shared" si="1750"/>
        <v>0</v>
      </c>
      <c r="AH1244" s="1127">
        <f t="shared" si="1750"/>
        <v>0</v>
      </c>
      <c r="AI1244" s="1127">
        <f t="shared" si="1750"/>
        <v>0</v>
      </c>
      <c r="AJ1244" s="1127">
        <f t="shared" si="1750"/>
        <v>692.78999999999996</v>
      </c>
      <c r="AK1244" s="1127">
        <f t="shared" si="1724"/>
        <v>692.78999999999996</v>
      </c>
      <c r="AL1244" s="1374">
        <f t="shared" si="1725"/>
        <v>0.00025862771727794086</v>
      </c>
      <c r="AM1244" s="1376">
        <f t="shared" si="1751"/>
        <v>0</v>
      </c>
      <c r="AN1244" s="1173">
        <f t="shared" si="1751"/>
        <v>0</v>
      </c>
      <c r="AO1244" s="1173">
        <f t="shared" si="1751"/>
        <v>0</v>
      </c>
      <c r="AP1244" s="1173">
        <f t="shared" si="1751"/>
        <v>0</v>
      </c>
      <c r="AQ1244" s="1173">
        <f t="shared" si="1751"/>
        <v>0</v>
      </c>
      <c r="AR1244" s="1173">
        <f t="shared" si="1751"/>
        <v>0</v>
      </c>
      <c r="AS1244" s="1173">
        <f t="shared" si="1751"/>
        <v>0</v>
      </c>
      <c r="AT1244" s="1173">
        <f t="shared" si="1727"/>
        <v>0</v>
      </c>
      <c r="AU1244" s="1377" t="e">
        <f t="shared" si="1728"/>
        <v>#DIV/0!</v>
      </c>
      <c r="AV1244" s="1173">
        <f t="shared" si="1755"/>
        <v>0</v>
      </c>
      <c r="AW1244" s="1127">
        <f t="shared" si="1755"/>
        <v>0</v>
      </c>
      <c r="AX1244" s="1127">
        <f t="shared" si="1755"/>
        <v>0</v>
      </c>
      <c r="AY1244" s="1127">
        <f t="shared" si="1755"/>
        <v>0</v>
      </c>
      <c r="AZ1244" s="1127">
        <f t="shared" si="1755"/>
        <v>0</v>
      </c>
      <c r="BA1244" s="1127">
        <f t="shared" si="1755"/>
        <v>0</v>
      </c>
      <c r="BB1244" s="1127">
        <f t="shared" si="1755"/>
        <v>0</v>
      </c>
      <c r="BC1244" s="1177">
        <f t="shared" si="1730"/>
        <v>0</v>
      </c>
      <c r="BD1244" s="1378">
        <f t="shared" si="1731"/>
        <v>0</v>
      </c>
      <c r="BE1244" s="1024"/>
      <c r="BF1244" s="1024"/>
      <c r="BG1244" s="1008"/>
      <c r="BH1244" s="1008"/>
      <c r="BI1244" s="1008"/>
      <c r="BJ1244" s="1008"/>
      <c r="BK1244" s="1008"/>
      <c r="BL1244" s="1008"/>
      <c r="BM1244" s="1008"/>
    </row>
    <row r="1245" s="1215" customFormat="1" ht="20.25" customHeight="1">
      <c r="A1245" s="999" t="str">
        <f t="shared" si="1712"/>
        <v xml:space="preserve">Трофимкина Н.В.</v>
      </c>
      <c r="B1245" s="1202" t="s">
        <v>431</v>
      </c>
      <c r="C1245" s="1203" t="s">
        <v>496</v>
      </c>
      <c r="D1245" s="1202"/>
      <c r="E1245" s="1164">
        <f t="shared" si="1771"/>
        <v>0</v>
      </c>
      <c r="F1245" s="1164">
        <f t="shared" si="1771"/>
        <v>93054.690000000002</v>
      </c>
      <c r="G1245" s="1165">
        <f t="shared" si="1772"/>
        <v>93054.690000000002</v>
      </c>
      <c r="H1245" s="1166">
        <f t="shared" si="1715"/>
        <v>0.0010299228273825138</v>
      </c>
      <c r="I1245" s="1167">
        <f t="shared" si="1745"/>
        <v>0</v>
      </c>
      <c r="J1245" s="1167">
        <f t="shared" si="1762"/>
        <v>85544.650000000009</v>
      </c>
      <c r="K1245" s="1168">
        <f t="shared" si="1773"/>
        <v>85544.650000000009</v>
      </c>
      <c r="L1245" s="1372"/>
      <c r="M1245" s="1127">
        <f t="shared" si="1748"/>
        <v>0</v>
      </c>
      <c r="N1245" s="1127">
        <f t="shared" si="1748"/>
        <v>0</v>
      </c>
      <c r="O1245" s="1127">
        <f t="shared" si="1748"/>
        <v>0</v>
      </c>
      <c r="P1245" s="1127">
        <f t="shared" si="1774"/>
        <v>0</v>
      </c>
      <c r="Q1245" s="1127">
        <f t="shared" si="1748"/>
        <v>0</v>
      </c>
      <c r="R1245" s="1127">
        <f t="shared" si="1775"/>
        <v>84057.990000000005</v>
      </c>
      <c r="S1245" s="1127">
        <f t="shared" si="1718"/>
        <v>84057.990000000005</v>
      </c>
      <c r="T1245" s="1374">
        <f t="shared" si="1719"/>
        <v>0.0010528650340178643</v>
      </c>
      <c r="U1245" s="1173">
        <f t="shared" si="1749"/>
        <v>0</v>
      </c>
      <c r="V1245" s="1127">
        <f t="shared" si="1749"/>
        <v>0</v>
      </c>
      <c r="W1245" s="1127">
        <f t="shared" si="1749"/>
        <v>0</v>
      </c>
      <c r="X1245" s="1127">
        <f t="shared" si="1749"/>
        <v>0</v>
      </c>
      <c r="Y1245" s="1127">
        <f t="shared" si="1749"/>
        <v>0</v>
      </c>
      <c r="Z1245" s="1127">
        <f t="shared" si="1749"/>
        <v>0</v>
      </c>
      <c r="AA1245" s="1127">
        <f t="shared" si="1749"/>
        <v>7510.04</v>
      </c>
      <c r="AB1245" s="1375">
        <f t="shared" si="1721"/>
        <v>7510.04</v>
      </c>
      <c r="AC1245" s="1374">
        <f t="shared" si="1722"/>
        <v>0.00097099079348281735</v>
      </c>
      <c r="AD1245" s="1376">
        <f t="shared" si="1750"/>
        <v>0</v>
      </c>
      <c r="AE1245" s="1127">
        <f t="shared" si="1750"/>
        <v>0</v>
      </c>
      <c r="AF1245" s="1127">
        <f t="shared" si="1750"/>
        <v>0</v>
      </c>
      <c r="AG1245" s="1127">
        <f t="shared" si="1750"/>
        <v>0</v>
      </c>
      <c r="AH1245" s="1127">
        <f t="shared" si="1750"/>
        <v>0</v>
      </c>
      <c r="AI1245" s="1127">
        <f t="shared" si="1750"/>
        <v>0</v>
      </c>
      <c r="AJ1245" s="1127">
        <f t="shared" si="1750"/>
        <v>1486.6600000000001</v>
      </c>
      <c r="AK1245" s="1127">
        <f t="shared" si="1724"/>
        <v>1486.6600000000001</v>
      </c>
      <c r="AL1245" s="1374">
        <f t="shared" si="1725"/>
        <v>0.00055498994236121129</v>
      </c>
      <c r="AM1245" s="1376">
        <f t="shared" si="1751"/>
        <v>0</v>
      </c>
      <c r="AN1245" s="1173">
        <f t="shared" si="1751"/>
        <v>0</v>
      </c>
      <c r="AO1245" s="1173">
        <f t="shared" si="1751"/>
        <v>0</v>
      </c>
      <c r="AP1245" s="1173">
        <f t="shared" si="1751"/>
        <v>0</v>
      </c>
      <c r="AQ1245" s="1173">
        <f t="shared" si="1751"/>
        <v>0</v>
      </c>
      <c r="AR1245" s="1173">
        <f t="shared" si="1751"/>
        <v>0</v>
      </c>
      <c r="AS1245" s="1173">
        <f t="shared" si="1751"/>
        <v>0</v>
      </c>
      <c r="AT1245" s="1173">
        <f t="shared" si="1727"/>
        <v>0</v>
      </c>
      <c r="AU1245" s="1377" t="e">
        <f t="shared" si="1728"/>
        <v>#DIV/0!</v>
      </c>
      <c r="AV1245" s="1173">
        <f t="shared" si="1755"/>
        <v>0</v>
      </c>
      <c r="AW1245" s="1127">
        <f t="shared" si="1755"/>
        <v>0</v>
      </c>
      <c r="AX1245" s="1127">
        <f t="shared" si="1755"/>
        <v>0</v>
      </c>
      <c r="AY1245" s="1127">
        <f t="shared" si="1755"/>
        <v>0</v>
      </c>
      <c r="AZ1245" s="1127">
        <f t="shared" si="1755"/>
        <v>0</v>
      </c>
      <c r="BA1245" s="1127">
        <f t="shared" si="1755"/>
        <v>0</v>
      </c>
      <c r="BB1245" s="1127">
        <f t="shared" si="1755"/>
        <v>0</v>
      </c>
      <c r="BC1245" s="1177">
        <f t="shared" si="1730"/>
        <v>0</v>
      </c>
      <c r="BD1245" s="1378">
        <f t="shared" si="1731"/>
        <v>0</v>
      </c>
      <c r="BE1245" s="1024"/>
      <c r="BF1245" s="1024"/>
      <c r="BG1245" s="1008"/>
      <c r="BH1245" s="1008"/>
      <c r="BI1245" s="1008"/>
      <c r="BJ1245" s="1008"/>
      <c r="BK1245" s="1008"/>
      <c r="BL1245" s="1008"/>
      <c r="BM1245" s="1008"/>
    </row>
    <row r="1246" s="1215" customFormat="1" ht="20.25" customHeight="1">
      <c r="A1246" s="999" t="str">
        <f t="shared" si="1712"/>
        <v xml:space="preserve">Жилкина В.В.</v>
      </c>
      <c r="B1246" s="1202" t="s">
        <v>433</v>
      </c>
      <c r="C1246" s="1203" t="s">
        <v>496</v>
      </c>
      <c r="D1246" s="1217"/>
      <c r="E1246" s="1164">
        <f t="shared" si="1771"/>
        <v>0</v>
      </c>
      <c r="F1246" s="1164">
        <f t="shared" si="1771"/>
        <v>47356.220000000001</v>
      </c>
      <c r="G1246" s="1165">
        <f t="shared" si="1772"/>
        <v>47356.220000000001</v>
      </c>
      <c r="H1246" s="1166">
        <f t="shared" si="1715"/>
        <v>0.00052413534445763397</v>
      </c>
      <c r="I1246" s="1167">
        <f t="shared" si="1745"/>
        <v>0</v>
      </c>
      <c r="J1246" s="1167">
        <f t="shared" si="1762"/>
        <v>39846.18</v>
      </c>
      <c r="K1246" s="1168">
        <f t="shared" si="1773"/>
        <v>39846.18</v>
      </c>
      <c r="L1246" s="1372"/>
      <c r="M1246" s="1127">
        <f t="shared" si="1748"/>
        <v>0</v>
      </c>
      <c r="N1246" s="1127">
        <f t="shared" si="1748"/>
        <v>0</v>
      </c>
      <c r="O1246" s="1127">
        <f t="shared" si="1748"/>
        <v>0</v>
      </c>
      <c r="P1246" s="1127">
        <f t="shared" si="1774"/>
        <v>0</v>
      </c>
      <c r="Q1246" s="1127">
        <f t="shared" si="1748"/>
        <v>0</v>
      </c>
      <c r="R1246" s="1127">
        <f t="shared" si="1775"/>
        <v>37027.43</v>
      </c>
      <c r="S1246" s="1127">
        <f t="shared" si="1718"/>
        <v>37027.43</v>
      </c>
      <c r="T1246" s="1374">
        <f t="shared" si="1719"/>
        <v>0.00046378561212972249</v>
      </c>
      <c r="U1246" s="1173">
        <f t="shared" si="1749"/>
        <v>0</v>
      </c>
      <c r="V1246" s="1127">
        <f t="shared" si="1749"/>
        <v>0</v>
      </c>
      <c r="W1246" s="1127">
        <f t="shared" si="1749"/>
        <v>0</v>
      </c>
      <c r="X1246" s="1127">
        <f t="shared" si="1749"/>
        <v>0</v>
      </c>
      <c r="Y1246" s="1127">
        <f t="shared" si="1749"/>
        <v>0</v>
      </c>
      <c r="Z1246" s="1127">
        <f t="shared" si="1749"/>
        <v>0</v>
      </c>
      <c r="AA1246" s="1127">
        <f t="shared" si="1749"/>
        <v>7510.04</v>
      </c>
      <c r="AB1246" s="1375">
        <f t="shared" si="1721"/>
        <v>7510.04</v>
      </c>
      <c r="AC1246" s="1374">
        <f t="shared" si="1722"/>
        <v>0.00097099079348281735</v>
      </c>
      <c r="AD1246" s="1376">
        <f t="shared" si="1750"/>
        <v>0</v>
      </c>
      <c r="AE1246" s="1127">
        <f t="shared" si="1750"/>
        <v>0</v>
      </c>
      <c r="AF1246" s="1127">
        <f t="shared" si="1750"/>
        <v>0</v>
      </c>
      <c r="AG1246" s="1127">
        <f t="shared" si="1750"/>
        <v>0</v>
      </c>
      <c r="AH1246" s="1127">
        <f t="shared" si="1750"/>
        <v>0</v>
      </c>
      <c r="AI1246" s="1127">
        <f t="shared" si="1750"/>
        <v>0</v>
      </c>
      <c r="AJ1246" s="1127">
        <f t="shared" si="1750"/>
        <v>2818.75</v>
      </c>
      <c r="AK1246" s="1127">
        <f t="shared" si="1724"/>
        <v>2818.75</v>
      </c>
      <c r="AL1246" s="1374">
        <f t="shared" si="1725"/>
        <v>0.0010522768487957329</v>
      </c>
      <c r="AM1246" s="1376">
        <f t="shared" si="1751"/>
        <v>0</v>
      </c>
      <c r="AN1246" s="1173">
        <f t="shared" si="1751"/>
        <v>0</v>
      </c>
      <c r="AO1246" s="1173">
        <f t="shared" si="1751"/>
        <v>0</v>
      </c>
      <c r="AP1246" s="1173">
        <f t="shared" si="1751"/>
        <v>0</v>
      </c>
      <c r="AQ1246" s="1173">
        <f t="shared" si="1751"/>
        <v>0</v>
      </c>
      <c r="AR1246" s="1173">
        <f t="shared" si="1751"/>
        <v>0</v>
      </c>
      <c r="AS1246" s="1173">
        <f t="shared" si="1751"/>
        <v>0</v>
      </c>
      <c r="AT1246" s="1173">
        <f t="shared" si="1727"/>
        <v>0</v>
      </c>
      <c r="AU1246" s="1377" t="e">
        <f t="shared" si="1728"/>
        <v>#DIV/0!</v>
      </c>
      <c r="AV1246" s="1173">
        <f t="shared" si="1755"/>
        <v>0</v>
      </c>
      <c r="AW1246" s="1127">
        <f t="shared" si="1755"/>
        <v>0</v>
      </c>
      <c r="AX1246" s="1127">
        <f t="shared" si="1755"/>
        <v>0</v>
      </c>
      <c r="AY1246" s="1127">
        <f t="shared" si="1755"/>
        <v>0</v>
      </c>
      <c r="AZ1246" s="1127">
        <f t="shared" si="1755"/>
        <v>0</v>
      </c>
      <c r="BA1246" s="1127">
        <f t="shared" si="1755"/>
        <v>0</v>
      </c>
      <c r="BB1246" s="1127">
        <f t="shared" si="1755"/>
        <v>0</v>
      </c>
      <c r="BC1246" s="1177">
        <f t="shared" si="1730"/>
        <v>0</v>
      </c>
      <c r="BD1246" s="1378">
        <f t="shared" si="1731"/>
        <v>0</v>
      </c>
      <c r="BE1246" s="1024"/>
      <c r="BF1246" s="1024"/>
      <c r="BG1246" s="1008"/>
      <c r="BH1246" s="1008"/>
      <c r="BI1246" s="1008"/>
      <c r="BJ1246" s="1008"/>
      <c r="BK1246" s="1008"/>
      <c r="BL1246" s="1008"/>
      <c r="BM1246" s="1008"/>
    </row>
    <row r="1247" s="1215" customFormat="1" ht="20.25" customHeight="1">
      <c r="A1247" s="999" t="str">
        <f t="shared" si="1712"/>
        <v xml:space="preserve">Марушенко В.Н. Донцова Н.Г.</v>
      </c>
      <c r="B1247" s="1202" t="s">
        <v>435</v>
      </c>
      <c r="C1247" s="1203" t="s">
        <v>496</v>
      </c>
      <c r="D1247" s="1202"/>
      <c r="E1247" s="1164">
        <f t="shared" si="1771"/>
        <v>20286.5</v>
      </c>
      <c r="F1247" s="1164">
        <f t="shared" si="1771"/>
        <v>271280.15999999997</v>
      </c>
      <c r="G1247" s="1165">
        <f t="shared" si="1772"/>
        <v>291566.65999999997</v>
      </c>
      <c r="H1247" s="1166">
        <f t="shared" si="1715"/>
        <v>0.0032270394843900512</v>
      </c>
      <c r="I1247" s="1167">
        <f t="shared" si="1745"/>
        <v>20286.5</v>
      </c>
      <c r="J1247" s="1167">
        <f t="shared" si="1762"/>
        <v>263770.12</v>
      </c>
      <c r="K1247" s="1168">
        <f t="shared" si="1773"/>
        <v>284056.62</v>
      </c>
      <c r="L1247" s="1372"/>
      <c r="M1247" s="1127">
        <f t="shared" si="1748"/>
        <v>0</v>
      </c>
      <c r="N1247" s="1127">
        <f t="shared" si="1748"/>
        <v>0</v>
      </c>
      <c r="O1247" s="1127">
        <f t="shared" si="1748"/>
        <v>0</v>
      </c>
      <c r="P1247" s="1127">
        <f t="shared" si="1774"/>
        <v>20286.5</v>
      </c>
      <c r="Q1247" s="1127">
        <f t="shared" si="1748"/>
        <v>20286.5</v>
      </c>
      <c r="R1247" s="1127">
        <f t="shared" si="1775"/>
        <v>263770.12</v>
      </c>
      <c r="S1247" s="1127">
        <f t="shared" si="1718"/>
        <v>284056.62</v>
      </c>
      <c r="T1247" s="1374">
        <f t="shared" si="1719"/>
        <v>0.0035579399754776383</v>
      </c>
      <c r="U1247" s="1173">
        <f t="shared" si="1749"/>
        <v>0</v>
      </c>
      <c r="V1247" s="1127">
        <f t="shared" si="1749"/>
        <v>0</v>
      </c>
      <c r="W1247" s="1127">
        <f t="shared" si="1749"/>
        <v>0</v>
      </c>
      <c r="X1247" s="1127">
        <f t="shared" si="1749"/>
        <v>0</v>
      </c>
      <c r="Y1247" s="1127">
        <f t="shared" si="1749"/>
        <v>0</v>
      </c>
      <c r="Z1247" s="1127">
        <f t="shared" si="1749"/>
        <v>0</v>
      </c>
      <c r="AA1247" s="1127">
        <f t="shared" si="1749"/>
        <v>7510.04</v>
      </c>
      <c r="AB1247" s="1375">
        <f t="shared" si="1721"/>
        <v>7510.04</v>
      </c>
      <c r="AC1247" s="1374">
        <f t="shared" si="1722"/>
        <v>0.00097099079348281735</v>
      </c>
      <c r="AD1247" s="1376">
        <f t="shared" si="1750"/>
        <v>0</v>
      </c>
      <c r="AE1247" s="1127">
        <f t="shared" si="1750"/>
        <v>0</v>
      </c>
      <c r="AF1247" s="1127">
        <f t="shared" si="1750"/>
        <v>0</v>
      </c>
      <c r="AG1247" s="1127">
        <f t="shared" si="1750"/>
        <v>0</v>
      </c>
      <c r="AH1247" s="1127">
        <f t="shared" si="1750"/>
        <v>0</v>
      </c>
      <c r="AI1247" s="1127">
        <f t="shared" si="1750"/>
        <v>0</v>
      </c>
      <c r="AJ1247" s="1127">
        <f t="shared" si="1750"/>
        <v>0</v>
      </c>
      <c r="AK1247" s="1127">
        <f t="shared" si="1724"/>
        <v>0</v>
      </c>
      <c r="AL1247" s="1374">
        <f t="shared" si="1725"/>
        <v>0</v>
      </c>
      <c r="AM1247" s="1376">
        <f t="shared" si="1751"/>
        <v>0</v>
      </c>
      <c r="AN1247" s="1173">
        <f t="shared" si="1751"/>
        <v>0</v>
      </c>
      <c r="AO1247" s="1173">
        <f t="shared" si="1751"/>
        <v>0</v>
      </c>
      <c r="AP1247" s="1173">
        <f t="shared" si="1751"/>
        <v>0</v>
      </c>
      <c r="AQ1247" s="1173">
        <f t="shared" si="1751"/>
        <v>0</v>
      </c>
      <c r="AR1247" s="1173">
        <f t="shared" si="1751"/>
        <v>0</v>
      </c>
      <c r="AS1247" s="1173">
        <f t="shared" si="1751"/>
        <v>0</v>
      </c>
      <c r="AT1247" s="1173">
        <f t="shared" si="1727"/>
        <v>0</v>
      </c>
      <c r="AU1247" s="1377" t="e">
        <f t="shared" si="1728"/>
        <v>#DIV/0!</v>
      </c>
      <c r="AV1247" s="1173">
        <f t="shared" si="1755"/>
        <v>0</v>
      </c>
      <c r="AW1247" s="1127">
        <f t="shared" si="1755"/>
        <v>0</v>
      </c>
      <c r="AX1247" s="1127">
        <f t="shared" si="1755"/>
        <v>0</v>
      </c>
      <c r="AY1247" s="1127">
        <f t="shared" si="1755"/>
        <v>0</v>
      </c>
      <c r="AZ1247" s="1127">
        <f t="shared" si="1755"/>
        <v>0</v>
      </c>
      <c r="BA1247" s="1127">
        <f t="shared" si="1755"/>
        <v>0</v>
      </c>
      <c r="BB1247" s="1127">
        <f t="shared" si="1755"/>
        <v>0</v>
      </c>
      <c r="BC1247" s="1177">
        <f t="shared" si="1730"/>
        <v>0</v>
      </c>
      <c r="BD1247" s="1378">
        <f t="shared" si="1731"/>
        <v>0</v>
      </c>
      <c r="BE1247" s="1024"/>
      <c r="BF1247" s="1024"/>
      <c r="BG1247" s="1008"/>
      <c r="BH1247" s="1008"/>
      <c r="BI1247" s="1008"/>
      <c r="BJ1247" s="1008"/>
      <c r="BK1247" s="1008"/>
      <c r="BL1247" s="1008"/>
      <c r="BM1247" s="1008"/>
    </row>
    <row r="1248" s="1215" customFormat="1" ht="20.25" customHeight="1">
      <c r="A1248" s="999">
        <f t="shared" si="1712"/>
        <v>0</v>
      </c>
      <c r="B1248" s="1202" t="s">
        <v>436</v>
      </c>
      <c r="C1248" s="1202"/>
      <c r="D1248" s="1202"/>
      <c r="E1248" s="1164">
        <f t="shared" si="1771"/>
        <v>0</v>
      </c>
      <c r="F1248" s="1164">
        <f t="shared" si="1771"/>
        <v>0</v>
      </c>
      <c r="G1248" s="1165">
        <f t="shared" si="1772"/>
        <v>0</v>
      </c>
      <c r="H1248" s="1166">
        <f t="shared" si="1715"/>
        <v>0</v>
      </c>
      <c r="I1248" s="1167">
        <f t="shared" si="1745"/>
        <v>0</v>
      </c>
      <c r="J1248" s="1167">
        <f t="shared" si="1762"/>
        <v>0</v>
      </c>
      <c r="K1248" s="1168">
        <f t="shared" si="1773"/>
        <v>0</v>
      </c>
      <c r="L1248" s="1372"/>
      <c r="M1248" s="1127">
        <f t="shared" si="1748"/>
        <v>0</v>
      </c>
      <c r="N1248" s="1127">
        <f t="shared" si="1748"/>
        <v>0</v>
      </c>
      <c r="O1248" s="1127">
        <f t="shared" si="1748"/>
        <v>0</v>
      </c>
      <c r="P1248" s="1127">
        <f t="shared" si="1748"/>
        <v>0</v>
      </c>
      <c r="Q1248" s="1127">
        <f t="shared" si="1748"/>
        <v>0</v>
      </c>
      <c r="R1248" s="1127">
        <f>R1150+R1053+R955+R857+R756+R658+R561+R464+S366+R269+R171+R73</f>
        <v>0</v>
      </c>
      <c r="S1248" s="1127">
        <f t="shared" si="1718"/>
        <v>0</v>
      </c>
      <c r="T1248" s="1374">
        <f t="shared" si="1719"/>
        <v>0</v>
      </c>
      <c r="U1248" s="1173">
        <f t="shared" si="1749"/>
        <v>0</v>
      </c>
      <c r="V1248" s="1127">
        <f t="shared" si="1749"/>
        <v>0</v>
      </c>
      <c r="W1248" s="1127">
        <f t="shared" si="1749"/>
        <v>0</v>
      </c>
      <c r="X1248" s="1127">
        <f t="shared" si="1749"/>
        <v>0</v>
      </c>
      <c r="Y1248" s="1127">
        <f t="shared" si="1749"/>
        <v>0</v>
      </c>
      <c r="Z1248" s="1127">
        <f t="shared" si="1749"/>
        <v>0</v>
      </c>
      <c r="AA1248" s="1127">
        <f t="shared" si="1749"/>
        <v>0</v>
      </c>
      <c r="AB1248" s="1375">
        <f t="shared" si="1721"/>
        <v>0</v>
      </c>
      <c r="AC1248" s="1374">
        <f t="shared" si="1722"/>
        <v>0</v>
      </c>
      <c r="AD1248" s="1376">
        <f t="shared" si="1750"/>
        <v>0</v>
      </c>
      <c r="AE1248" s="1127">
        <f t="shared" si="1750"/>
        <v>0</v>
      </c>
      <c r="AF1248" s="1127">
        <f t="shared" si="1750"/>
        <v>0</v>
      </c>
      <c r="AG1248" s="1127">
        <f t="shared" si="1750"/>
        <v>0</v>
      </c>
      <c r="AH1248" s="1127">
        <f t="shared" si="1750"/>
        <v>0</v>
      </c>
      <c r="AI1248" s="1127">
        <f t="shared" si="1750"/>
        <v>0</v>
      </c>
      <c r="AJ1248" s="1127">
        <f t="shared" si="1750"/>
        <v>0</v>
      </c>
      <c r="AK1248" s="1127">
        <f t="shared" si="1724"/>
        <v>0</v>
      </c>
      <c r="AL1248" s="1374">
        <f t="shared" si="1725"/>
        <v>0</v>
      </c>
      <c r="AM1248" s="1376">
        <f t="shared" si="1751"/>
        <v>0</v>
      </c>
      <c r="AN1248" s="1173">
        <f t="shared" si="1751"/>
        <v>0</v>
      </c>
      <c r="AO1248" s="1173">
        <f t="shared" si="1751"/>
        <v>0</v>
      </c>
      <c r="AP1248" s="1173">
        <f t="shared" si="1751"/>
        <v>0</v>
      </c>
      <c r="AQ1248" s="1173">
        <f t="shared" si="1751"/>
        <v>0</v>
      </c>
      <c r="AR1248" s="1173">
        <f t="shared" si="1751"/>
        <v>0</v>
      </c>
      <c r="AS1248" s="1173">
        <f t="shared" si="1751"/>
        <v>0</v>
      </c>
      <c r="AT1248" s="1173">
        <f t="shared" si="1727"/>
        <v>0</v>
      </c>
      <c r="AU1248" s="1377" t="e">
        <f t="shared" si="1728"/>
        <v>#DIV/0!</v>
      </c>
      <c r="AV1248" s="1173">
        <f t="shared" si="1755"/>
        <v>0</v>
      </c>
      <c r="AW1248" s="1127">
        <f t="shared" si="1755"/>
        <v>0</v>
      </c>
      <c r="AX1248" s="1127">
        <f t="shared" si="1755"/>
        <v>0</v>
      </c>
      <c r="AY1248" s="1127">
        <f t="shared" si="1755"/>
        <v>0</v>
      </c>
      <c r="AZ1248" s="1127">
        <f t="shared" si="1755"/>
        <v>0</v>
      </c>
      <c r="BA1248" s="1127">
        <f t="shared" si="1755"/>
        <v>0</v>
      </c>
      <c r="BB1248" s="1127">
        <f t="shared" si="1755"/>
        <v>0</v>
      </c>
      <c r="BC1248" s="1177">
        <f t="shared" si="1730"/>
        <v>0</v>
      </c>
      <c r="BD1248" s="1378">
        <f t="shared" si="1731"/>
        <v>0</v>
      </c>
      <c r="BE1248" s="1024"/>
      <c r="BF1248" s="1024"/>
      <c r="BG1248" s="1008"/>
      <c r="BH1248" s="1008"/>
      <c r="BI1248" s="1008"/>
      <c r="BJ1248" s="1008"/>
      <c r="BK1248" s="1008"/>
      <c r="BL1248" s="1008"/>
      <c r="BM1248" s="1008"/>
    </row>
    <row r="1249" s="1215" customFormat="1" ht="20.25" customHeight="1">
      <c r="A1249" s="999" t="str">
        <f t="shared" si="1712"/>
        <v xml:space="preserve">Кузнецова Е.В.</v>
      </c>
      <c r="B1249" s="1202" t="s">
        <v>78</v>
      </c>
      <c r="C1249" s="1223" t="s">
        <v>498</v>
      </c>
      <c r="D1249" s="1223"/>
      <c r="E1249" s="1164">
        <f t="shared" si="1771"/>
        <v>0</v>
      </c>
      <c r="F1249" s="1164">
        <f t="shared" si="1771"/>
        <v>0</v>
      </c>
      <c r="G1249" s="1165">
        <f t="shared" si="1772"/>
        <v>0</v>
      </c>
      <c r="H1249" s="1166">
        <f t="shared" si="1715"/>
        <v>0</v>
      </c>
      <c r="I1249" s="1167">
        <f t="shared" si="1745"/>
        <v>0</v>
      </c>
      <c r="J1249" s="1167">
        <f t="shared" si="1762"/>
        <v>0</v>
      </c>
      <c r="K1249" s="1168">
        <f t="shared" si="1773"/>
        <v>0</v>
      </c>
      <c r="L1249" s="1372"/>
      <c r="M1249" s="1127">
        <f t="shared" si="1748"/>
        <v>0</v>
      </c>
      <c r="N1249" s="1127">
        <f t="shared" si="1748"/>
        <v>0</v>
      </c>
      <c r="O1249" s="1127">
        <f t="shared" si="1748"/>
        <v>0</v>
      </c>
      <c r="P1249" s="1127">
        <f t="shared" si="1748"/>
        <v>0</v>
      </c>
      <c r="Q1249" s="1127">
        <f t="shared" si="1748"/>
        <v>0</v>
      </c>
      <c r="R1249" s="1127">
        <f t="shared" si="1748"/>
        <v>0</v>
      </c>
      <c r="S1249" s="1127">
        <f t="shared" si="1718"/>
        <v>0</v>
      </c>
      <c r="T1249" s="1374">
        <f t="shared" si="1719"/>
        <v>0</v>
      </c>
      <c r="U1249" s="1173">
        <f t="shared" si="1749"/>
        <v>0</v>
      </c>
      <c r="V1249" s="1127">
        <f t="shared" si="1749"/>
        <v>0</v>
      </c>
      <c r="W1249" s="1127">
        <f t="shared" si="1749"/>
        <v>0</v>
      </c>
      <c r="X1249" s="1127">
        <f t="shared" si="1749"/>
        <v>0</v>
      </c>
      <c r="Y1249" s="1127">
        <f t="shared" si="1749"/>
        <v>0</v>
      </c>
      <c r="Z1249" s="1127">
        <f t="shared" si="1749"/>
        <v>0</v>
      </c>
      <c r="AA1249" s="1127">
        <f t="shared" si="1749"/>
        <v>0</v>
      </c>
      <c r="AB1249" s="1375">
        <f t="shared" si="1721"/>
        <v>0</v>
      </c>
      <c r="AC1249" s="1374">
        <f t="shared" si="1722"/>
        <v>0</v>
      </c>
      <c r="AD1249" s="1376">
        <f t="shared" si="1750"/>
        <v>0</v>
      </c>
      <c r="AE1249" s="1127">
        <f t="shared" si="1750"/>
        <v>0</v>
      </c>
      <c r="AF1249" s="1127">
        <f t="shared" si="1750"/>
        <v>0</v>
      </c>
      <c r="AG1249" s="1127">
        <f t="shared" si="1750"/>
        <v>0</v>
      </c>
      <c r="AH1249" s="1127">
        <f t="shared" si="1750"/>
        <v>0</v>
      </c>
      <c r="AI1249" s="1127">
        <f t="shared" si="1750"/>
        <v>0</v>
      </c>
      <c r="AJ1249" s="1127">
        <f t="shared" si="1750"/>
        <v>0</v>
      </c>
      <c r="AK1249" s="1127">
        <f t="shared" si="1724"/>
        <v>0</v>
      </c>
      <c r="AL1249" s="1374">
        <f t="shared" si="1725"/>
        <v>0</v>
      </c>
      <c r="AM1249" s="1376">
        <f t="shared" si="1751"/>
        <v>0</v>
      </c>
      <c r="AN1249" s="1173">
        <f t="shared" si="1751"/>
        <v>0</v>
      </c>
      <c r="AO1249" s="1173">
        <f t="shared" si="1751"/>
        <v>0</v>
      </c>
      <c r="AP1249" s="1173">
        <f t="shared" si="1751"/>
        <v>0</v>
      </c>
      <c r="AQ1249" s="1173">
        <f t="shared" si="1751"/>
        <v>0</v>
      </c>
      <c r="AR1249" s="1173">
        <f t="shared" si="1751"/>
        <v>0</v>
      </c>
      <c r="AS1249" s="1173">
        <f t="shared" si="1751"/>
        <v>0</v>
      </c>
      <c r="AT1249" s="1173">
        <f t="shared" si="1727"/>
        <v>0</v>
      </c>
      <c r="AU1249" s="1377" t="e">
        <f t="shared" si="1728"/>
        <v>#DIV/0!</v>
      </c>
      <c r="AV1249" s="1173">
        <f t="shared" si="1755"/>
        <v>0</v>
      </c>
      <c r="AW1249" s="1127">
        <f t="shared" si="1755"/>
        <v>0</v>
      </c>
      <c r="AX1249" s="1127">
        <f t="shared" si="1755"/>
        <v>0</v>
      </c>
      <c r="AY1249" s="1127">
        <f t="shared" si="1755"/>
        <v>0</v>
      </c>
      <c r="AZ1249" s="1127">
        <f t="shared" si="1755"/>
        <v>0</v>
      </c>
      <c r="BA1249" s="1127">
        <f t="shared" si="1755"/>
        <v>0</v>
      </c>
      <c r="BB1249" s="1127">
        <f t="shared" si="1755"/>
        <v>0</v>
      </c>
      <c r="BC1249" s="1177">
        <f t="shared" si="1730"/>
        <v>0</v>
      </c>
      <c r="BD1249" s="1378">
        <f t="shared" si="1731"/>
        <v>0</v>
      </c>
      <c r="BE1249" s="1024"/>
      <c r="BF1249" s="1024"/>
      <c r="BG1249" s="1008"/>
      <c r="BH1249" s="1008"/>
      <c r="BI1249" s="1008"/>
      <c r="BJ1249" s="1008"/>
      <c r="BK1249" s="1008"/>
      <c r="BL1249" s="1008"/>
      <c r="BM1249" s="1008"/>
    </row>
    <row r="1250" s="1387" customFormat="1" ht="20.25" customHeight="1">
      <c r="A1250" s="999">
        <f t="shared" ref="A1250:A1276" si="1776">A1152</f>
        <v>0</v>
      </c>
      <c r="B1250" s="1205" t="s">
        <v>22</v>
      </c>
      <c r="C1250" s="1205"/>
      <c r="D1250" s="1205"/>
      <c r="E1250" s="1183">
        <f>SUM(E1237:E1249)</f>
        <v>1881314.2200000004</v>
      </c>
      <c r="F1250" s="1183">
        <f>SUM(F1237:F1249)</f>
        <v>30240225.939999998</v>
      </c>
      <c r="G1250" s="1184">
        <f>SUM(G1237:G1249)</f>
        <v>32121540.160000004</v>
      </c>
      <c r="H1250" s="1185">
        <f t="shared" ref="H1250:H1278" si="1777">G1250/$G$1278</f>
        <v>0.35551896912953201</v>
      </c>
      <c r="I1250" s="1167">
        <f t="shared" si="1745"/>
        <v>1881287.9300000004</v>
      </c>
      <c r="J1250" s="1167">
        <f t="shared" si="1762"/>
        <v>29966703.049999997</v>
      </c>
      <c r="K1250" s="1187">
        <f>SUM(K1237:K1249)</f>
        <v>31847990.979999997</v>
      </c>
      <c r="L1250" s="1360"/>
      <c r="M1250" s="1319">
        <f t="shared" si="1748"/>
        <v>0</v>
      </c>
      <c r="N1250" s="1319">
        <f t="shared" si="1748"/>
        <v>0</v>
      </c>
      <c r="O1250" s="1319">
        <f t="shared" si="1748"/>
        <v>0</v>
      </c>
      <c r="P1250" s="1319">
        <f t="shared" si="1748"/>
        <v>1807859.6800000002</v>
      </c>
      <c r="Q1250" s="1319">
        <f t="shared" si="1748"/>
        <v>1807859.6800000002</v>
      </c>
      <c r="R1250" s="1319">
        <f t="shared" si="1748"/>
        <v>29758201.860000003</v>
      </c>
      <c r="S1250" s="1319">
        <f t="shared" ref="S1250:S1278" si="1778">Q1250+R1250</f>
        <v>31566061.540000003</v>
      </c>
      <c r="T1250" s="1374">
        <f t="shared" ref="T1250:T1278" si="1779">S1250/$S$1278</f>
        <v>0.39537945717143724</v>
      </c>
      <c r="U1250" s="1350">
        <f t="shared" si="1749"/>
        <v>0</v>
      </c>
      <c r="V1250" s="1319">
        <f t="shared" si="1749"/>
        <v>0</v>
      </c>
      <c r="W1250" s="1319">
        <f t="shared" si="1749"/>
        <v>0</v>
      </c>
      <c r="X1250" s="1319">
        <f t="shared" si="1749"/>
        <v>0</v>
      </c>
      <c r="Y1250" s="1319">
        <f t="shared" si="1749"/>
        <v>26.289999999999999</v>
      </c>
      <c r="Z1250" s="1319">
        <f t="shared" si="1749"/>
        <v>26.289999999999999</v>
      </c>
      <c r="AA1250" s="1319">
        <f t="shared" si="1749"/>
        <v>273522.89000000001</v>
      </c>
      <c r="AB1250" s="1383">
        <f t="shared" ref="AB1250:AB1278" si="1780">Z1250+AA1250</f>
        <v>273549.17999999999</v>
      </c>
      <c r="AC1250" s="1374">
        <f t="shared" ref="AC1250:AC1278" si="1781">AB1250/$AB$1278</f>
        <v>0.035367818992278872</v>
      </c>
      <c r="AD1250" s="1349">
        <f t="shared" si="1750"/>
        <v>0</v>
      </c>
      <c r="AE1250" s="1319">
        <f t="shared" si="1750"/>
        <v>0</v>
      </c>
      <c r="AF1250" s="1319">
        <f t="shared" si="1750"/>
        <v>0</v>
      </c>
      <c r="AG1250" s="1319">
        <f t="shared" si="1750"/>
        <v>0</v>
      </c>
      <c r="AH1250" s="1319">
        <f t="shared" si="1750"/>
        <v>73428.25</v>
      </c>
      <c r="AI1250" s="1319">
        <f t="shared" si="1750"/>
        <v>73428.25</v>
      </c>
      <c r="AJ1250" s="1319">
        <f t="shared" si="1750"/>
        <v>208501.19</v>
      </c>
      <c r="AK1250" s="1319">
        <f t="shared" ref="AK1250:AK1278" si="1782">AI1250+AJ1250</f>
        <v>281929.44</v>
      </c>
      <c r="AL1250" s="1374">
        <f t="shared" ref="AL1250:AL1278" si="1783">AK1250/$AK$1278</f>
        <v>0.1052480080553244</v>
      </c>
      <c r="AM1250" s="1349">
        <f t="shared" si="1751"/>
        <v>0</v>
      </c>
      <c r="AN1250" s="1350">
        <f t="shared" si="1751"/>
        <v>0</v>
      </c>
      <c r="AO1250" s="1350">
        <f t="shared" si="1751"/>
        <v>0</v>
      </c>
      <c r="AP1250" s="1350">
        <f t="shared" si="1751"/>
        <v>0</v>
      </c>
      <c r="AQ1250" s="1350">
        <f t="shared" si="1751"/>
        <v>0</v>
      </c>
      <c r="AR1250" s="1350">
        <f t="shared" si="1751"/>
        <v>0</v>
      </c>
      <c r="AS1250" s="1350">
        <f t="shared" si="1751"/>
        <v>0</v>
      </c>
      <c r="AT1250" s="1350">
        <f t="shared" ref="AT1250:AT1278" si="1784">AR1250+AS1250</f>
        <v>0</v>
      </c>
      <c r="AU1250" s="1377" t="e">
        <f t="shared" ref="AU1250:AU1278" si="1785">AT1250/$AT$1278</f>
        <v>#DIV/0!</v>
      </c>
      <c r="AV1250" s="1350">
        <f t="shared" si="1755"/>
        <v>0</v>
      </c>
      <c r="AW1250" s="1319">
        <f t="shared" si="1755"/>
        <v>0</v>
      </c>
      <c r="AX1250" s="1319">
        <f t="shared" si="1755"/>
        <v>0</v>
      </c>
      <c r="AY1250" s="1319">
        <f t="shared" si="1755"/>
        <v>0</v>
      </c>
      <c r="AZ1250" s="1319">
        <f t="shared" si="1755"/>
        <v>0</v>
      </c>
      <c r="BA1250" s="1319">
        <f t="shared" si="1755"/>
        <v>0</v>
      </c>
      <c r="BB1250" s="1319">
        <f t="shared" si="1755"/>
        <v>0</v>
      </c>
      <c r="BC1250" s="1281">
        <f t="shared" ref="BC1250:BC1278" si="1786">BA1250+BB1250</f>
        <v>0</v>
      </c>
      <c r="BD1250" s="1378">
        <f t="shared" ref="BD1250:BD1278" si="1787">BC1250/$BC$1278</f>
        <v>0</v>
      </c>
      <c r="BE1250" s="1388"/>
      <c r="BF1250" s="1388"/>
      <c r="BG1250" s="1389"/>
      <c r="BH1250" s="1389"/>
      <c r="BI1250" s="1389"/>
      <c r="BJ1250" s="1389"/>
      <c r="BK1250" s="1389"/>
      <c r="BL1250" s="1389"/>
      <c r="BM1250" s="1389"/>
    </row>
    <row r="1251" s="1215" customFormat="1" ht="20.25" customHeight="1">
      <c r="A1251" s="999" t="str">
        <f t="shared" si="1776"/>
        <v xml:space="preserve">Титякова Т.А.</v>
      </c>
      <c r="B1251" s="1202" t="s">
        <v>26</v>
      </c>
      <c r="C1251" s="1202" t="s">
        <v>494</v>
      </c>
      <c r="D1251" s="1202"/>
      <c r="E1251" s="1164">
        <f t="shared" ref="E1251:F1276" si="1788">Q1251+Z1251+AI1251+AR1251+BA1251</f>
        <v>111929.13</v>
      </c>
      <c r="F1251" s="1164">
        <f t="shared" si="1788"/>
        <v>208831.47</v>
      </c>
      <c r="G1251" s="1165">
        <f t="shared" ref="G1251:G1276" si="1789">E1251+F1251</f>
        <v>320760.59999999998</v>
      </c>
      <c r="H1251" s="1166">
        <f t="shared" si="1777"/>
        <v>0.003550155978864811</v>
      </c>
      <c r="I1251" s="1167">
        <f t="shared" si="1745"/>
        <v>111294.63</v>
      </c>
      <c r="J1251" s="1167">
        <f t="shared" si="1762"/>
        <v>201321.42999999999</v>
      </c>
      <c r="K1251" s="1168">
        <f t="shared" ref="K1251:K1276" si="1790">I1251+J1251</f>
        <v>312616.06</v>
      </c>
      <c r="L1251" s="1372"/>
      <c r="M1251" s="1127">
        <f t="shared" si="1748"/>
        <v>0</v>
      </c>
      <c r="N1251" s="1127">
        <f t="shared" si="1748"/>
        <v>0</v>
      </c>
      <c r="O1251" s="1127">
        <f t="shared" si="1748"/>
        <v>0</v>
      </c>
      <c r="P1251" s="1127">
        <f t="shared" si="1748"/>
        <v>111294.63</v>
      </c>
      <c r="Q1251" s="1127">
        <f t="shared" si="1748"/>
        <v>111294.63</v>
      </c>
      <c r="R1251" s="1127">
        <f t="shared" si="1748"/>
        <v>201321.42999999999</v>
      </c>
      <c r="S1251" s="1127">
        <f t="shared" si="1778"/>
        <v>312616.06</v>
      </c>
      <c r="T1251" s="1374">
        <f t="shared" si="1779"/>
        <v>0.0039156601132912016</v>
      </c>
      <c r="U1251" s="1173">
        <f t="shared" si="1749"/>
        <v>0</v>
      </c>
      <c r="V1251" s="1127">
        <f t="shared" si="1749"/>
        <v>0</v>
      </c>
      <c r="W1251" s="1127">
        <f t="shared" si="1749"/>
        <v>0</v>
      </c>
      <c r="X1251" s="1127">
        <f t="shared" si="1749"/>
        <v>0</v>
      </c>
      <c r="Y1251" s="1127">
        <f t="shared" si="1749"/>
        <v>634.5</v>
      </c>
      <c r="Z1251" s="1127">
        <f t="shared" si="1749"/>
        <v>634.5</v>
      </c>
      <c r="AA1251" s="1127">
        <f t="shared" si="1749"/>
        <v>7510.04</v>
      </c>
      <c r="AB1251" s="1375">
        <f t="shared" si="1780"/>
        <v>8144.54</v>
      </c>
      <c r="AC1251" s="1374">
        <f t="shared" si="1781"/>
        <v>0.0010530267957497624</v>
      </c>
      <c r="AD1251" s="1376">
        <f t="shared" si="1750"/>
        <v>0</v>
      </c>
      <c r="AE1251" s="1127">
        <f t="shared" si="1750"/>
        <v>0</v>
      </c>
      <c r="AF1251" s="1127">
        <f t="shared" si="1750"/>
        <v>0</v>
      </c>
      <c r="AG1251" s="1127">
        <f t="shared" si="1750"/>
        <v>0</v>
      </c>
      <c r="AH1251" s="1127">
        <f t="shared" si="1750"/>
        <v>0</v>
      </c>
      <c r="AI1251" s="1127">
        <f t="shared" si="1750"/>
        <v>0</v>
      </c>
      <c r="AJ1251" s="1127">
        <f t="shared" si="1750"/>
        <v>0</v>
      </c>
      <c r="AK1251" s="1127">
        <f t="shared" si="1782"/>
        <v>0</v>
      </c>
      <c r="AL1251" s="1374">
        <f t="shared" si="1783"/>
        <v>0</v>
      </c>
      <c r="AM1251" s="1376">
        <f t="shared" si="1751"/>
        <v>0</v>
      </c>
      <c r="AN1251" s="1173">
        <f t="shared" si="1751"/>
        <v>0</v>
      </c>
      <c r="AO1251" s="1173">
        <f t="shared" si="1751"/>
        <v>0</v>
      </c>
      <c r="AP1251" s="1173">
        <f t="shared" si="1751"/>
        <v>0</v>
      </c>
      <c r="AQ1251" s="1173">
        <f t="shared" si="1751"/>
        <v>0</v>
      </c>
      <c r="AR1251" s="1173">
        <f t="shared" si="1751"/>
        <v>0</v>
      </c>
      <c r="AS1251" s="1173">
        <f t="shared" si="1751"/>
        <v>0</v>
      </c>
      <c r="AT1251" s="1173">
        <f t="shared" si="1784"/>
        <v>0</v>
      </c>
      <c r="AU1251" s="1377" t="e">
        <f t="shared" si="1785"/>
        <v>#DIV/0!</v>
      </c>
      <c r="AV1251" s="1173">
        <f t="shared" si="1755"/>
        <v>0</v>
      </c>
      <c r="AW1251" s="1127">
        <f t="shared" si="1755"/>
        <v>0</v>
      </c>
      <c r="AX1251" s="1127">
        <f t="shared" si="1755"/>
        <v>0</v>
      </c>
      <c r="AY1251" s="1127">
        <f t="shared" si="1755"/>
        <v>0</v>
      </c>
      <c r="AZ1251" s="1127">
        <f t="shared" si="1755"/>
        <v>0</v>
      </c>
      <c r="BA1251" s="1127">
        <f t="shared" si="1755"/>
        <v>0</v>
      </c>
      <c r="BB1251" s="1127">
        <f t="shared" si="1755"/>
        <v>0</v>
      </c>
      <c r="BC1251" s="1177">
        <f t="shared" si="1786"/>
        <v>0</v>
      </c>
      <c r="BD1251" s="1378">
        <f t="shared" si="1787"/>
        <v>0</v>
      </c>
      <c r="BE1251" s="1024"/>
      <c r="BF1251" s="1024"/>
      <c r="BG1251" s="1008"/>
      <c r="BH1251" s="1008"/>
      <c r="BI1251" s="1008"/>
      <c r="BJ1251" s="1008"/>
      <c r="BK1251" s="1008"/>
      <c r="BL1251" s="1008"/>
      <c r="BM1251" s="1008"/>
    </row>
    <row r="1252" s="1215" customFormat="1">
      <c r="A1252" s="999">
        <f t="shared" si="1776"/>
        <v>0</v>
      </c>
      <c r="B1252" s="1202" t="s">
        <v>439</v>
      </c>
      <c r="C1252" s="1202"/>
      <c r="D1252" s="1202"/>
      <c r="E1252" s="1164">
        <f t="shared" si="1788"/>
        <v>0</v>
      </c>
      <c r="F1252" s="1164">
        <f t="shared" si="1788"/>
        <v>0</v>
      </c>
      <c r="G1252" s="1165">
        <f t="shared" si="1789"/>
        <v>0</v>
      </c>
      <c r="H1252" s="1166">
        <f t="shared" si="1777"/>
        <v>0</v>
      </c>
      <c r="I1252" s="1167">
        <f t="shared" si="1745"/>
        <v>0</v>
      </c>
      <c r="J1252" s="1167">
        <f t="shared" si="1762"/>
        <v>0</v>
      </c>
      <c r="K1252" s="1168">
        <f t="shared" si="1790"/>
        <v>0</v>
      </c>
      <c r="L1252" s="1372"/>
      <c r="M1252" s="1127">
        <f t="shared" si="1748"/>
        <v>0</v>
      </c>
      <c r="N1252" s="1127">
        <f t="shared" si="1748"/>
        <v>0</v>
      </c>
      <c r="O1252" s="1127">
        <f t="shared" si="1748"/>
        <v>0</v>
      </c>
      <c r="P1252" s="1127">
        <f t="shared" si="1748"/>
        <v>0</v>
      </c>
      <c r="Q1252" s="1127">
        <f t="shared" si="1748"/>
        <v>0</v>
      </c>
      <c r="R1252" s="1127">
        <f t="shared" si="1748"/>
        <v>0</v>
      </c>
      <c r="S1252" s="1127">
        <f t="shared" si="1778"/>
        <v>0</v>
      </c>
      <c r="T1252" s="1374">
        <f t="shared" si="1779"/>
        <v>0</v>
      </c>
      <c r="U1252" s="1173">
        <f t="shared" si="1749"/>
        <v>0</v>
      </c>
      <c r="V1252" s="1127">
        <f t="shared" si="1749"/>
        <v>0</v>
      </c>
      <c r="W1252" s="1127">
        <f t="shared" si="1749"/>
        <v>0</v>
      </c>
      <c r="X1252" s="1127">
        <f t="shared" si="1749"/>
        <v>0</v>
      </c>
      <c r="Y1252" s="1127">
        <f t="shared" si="1749"/>
        <v>0</v>
      </c>
      <c r="Z1252" s="1127">
        <f t="shared" si="1749"/>
        <v>0</v>
      </c>
      <c r="AA1252" s="1127">
        <f t="shared" si="1749"/>
        <v>0</v>
      </c>
      <c r="AB1252" s="1375">
        <f t="shared" si="1780"/>
        <v>0</v>
      </c>
      <c r="AC1252" s="1374">
        <f t="shared" si="1781"/>
        <v>0</v>
      </c>
      <c r="AD1252" s="1376">
        <f t="shared" si="1750"/>
        <v>0</v>
      </c>
      <c r="AE1252" s="1127">
        <f t="shared" si="1750"/>
        <v>0</v>
      </c>
      <c r="AF1252" s="1127">
        <f t="shared" si="1750"/>
        <v>0</v>
      </c>
      <c r="AG1252" s="1127">
        <f t="shared" si="1750"/>
        <v>0</v>
      </c>
      <c r="AH1252" s="1127">
        <f t="shared" si="1750"/>
        <v>0</v>
      </c>
      <c r="AI1252" s="1127">
        <f t="shared" si="1750"/>
        <v>0</v>
      </c>
      <c r="AJ1252" s="1127">
        <f t="shared" si="1750"/>
        <v>0</v>
      </c>
      <c r="AK1252" s="1127">
        <f t="shared" si="1782"/>
        <v>0</v>
      </c>
      <c r="AL1252" s="1374">
        <f t="shared" si="1783"/>
        <v>0</v>
      </c>
      <c r="AM1252" s="1376">
        <f t="shared" si="1751"/>
        <v>0</v>
      </c>
      <c r="AN1252" s="1173">
        <f t="shared" si="1751"/>
        <v>0</v>
      </c>
      <c r="AO1252" s="1173">
        <f t="shared" si="1751"/>
        <v>0</v>
      </c>
      <c r="AP1252" s="1173">
        <f t="shared" si="1751"/>
        <v>0</v>
      </c>
      <c r="AQ1252" s="1173">
        <f t="shared" si="1751"/>
        <v>0</v>
      </c>
      <c r="AR1252" s="1173">
        <f t="shared" si="1751"/>
        <v>0</v>
      </c>
      <c r="AS1252" s="1173">
        <f t="shared" si="1751"/>
        <v>0</v>
      </c>
      <c r="AT1252" s="1173">
        <f t="shared" si="1784"/>
        <v>0</v>
      </c>
      <c r="AU1252" s="1377" t="e">
        <f t="shared" si="1785"/>
        <v>#DIV/0!</v>
      </c>
      <c r="AV1252" s="1173">
        <f t="shared" si="1755"/>
        <v>0</v>
      </c>
      <c r="AW1252" s="1127">
        <f t="shared" si="1755"/>
        <v>0</v>
      </c>
      <c r="AX1252" s="1127">
        <f t="shared" si="1755"/>
        <v>0</v>
      </c>
      <c r="AY1252" s="1127">
        <f t="shared" si="1755"/>
        <v>0</v>
      </c>
      <c r="AZ1252" s="1127">
        <f t="shared" si="1755"/>
        <v>0</v>
      </c>
      <c r="BA1252" s="1127">
        <f t="shared" si="1755"/>
        <v>0</v>
      </c>
      <c r="BB1252" s="1127">
        <f t="shared" si="1755"/>
        <v>0</v>
      </c>
      <c r="BC1252" s="1177">
        <f t="shared" si="1786"/>
        <v>0</v>
      </c>
      <c r="BD1252" s="1378">
        <f t="shared" si="1787"/>
        <v>0</v>
      </c>
      <c r="BE1252" s="1024"/>
      <c r="BF1252" s="1024"/>
      <c r="BG1252" s="1008"/>
      <c r="BH1252" s="1008"/>
      <c r="BI1252" s="1008"/>
      <c r="BJ1252" s="1008"/>
      <c r="BK1252" s="1008"/>
      <c r="BL1252" s="1008"/>
      <c r="BM1252" s="1008"/>
    </row>
    <row r="1253" s="1215" customFormat="1">
      <c r="A1253" s="999" t="str">
        <f t="shared" si="1776"/>
        <v xml:space="preserve">Стрельникова А.Г.,  Липатова С.Н.</v>
      </c>
      <c r="B1253" s="1202" t="s">
        <v>441</v>
      </c>
      <c r="C1253" s="1202"/>
      <c r="D1253" s="1202"/>
      <c r="E1253" s="1164">
        <f t="shared" si="1788"/>
        <v>5397224.0899999999</v>
      </c>
      <c r="F1253" s="1164">
        <f t="shared" si="1788"/>
        <v>93810.880000000005</v>
      </c>
      <c r="G1253" s="1165">
        <f t="shared" si="1789"/>
        <v>5491034.9699999997</v>
      </c>
      <c r="H1253" s="1166">
        <f t="shared" si="1777"/>
        <v>0.06077439258095059</v>
      </c>
      <c r="I1253" s="1167">
        <f t="shared" si="1745"/>
        <v>161125.76999999955</v>
      </c>
      <c r="J1253" s="1167">
        <f t="shared" si="1762"/>
        <v>86300.840000000011</v>
      </c>
      <c r="K1253" s="1168">
        <f t="shared" si="1790"/>
        <v>247426.60999999958</v>
      </c>
      <c r="L1253" s="1372"/>
      <c r="M1253" s="1127">
        <f t="shared" si="1748"/>
        <v>0</v>
      </c>
      <c r="N1253" s="1127">
        <f t="shared" si="1748"/>
        <v>0</v>
      </c>
      <c r="O1253" s="1127">
        <f t="shared" si="1748"/>
        <v>0</v>
      </c>
      <c r="P1253" s="1127">
        <f t="shared" si="1748"/>
        <v>161125.76999999999</v>
      </c>
      <c r="Q1253" s="1127">
        <f t="shared" si="1748"/>
        <v>161125.76999999999</v>
      </c>
      <c r="R1253" s="1127">
        <f t="shared" si="1748"/>
        <v>24095.389999999999</v>
      </c>
      <c r="S1253" s="1127">
        <f t="shared" si="1778"/>
        <v>185221.15999999997</v>
      </c>
      <c r="T1253" s="1374">
        <f t="shared" si="1779"/>
        <v>0.0023199803245857803</v>
      </c>
      <c r="U1253" s="1173">
        <f t="shared" si="1749"/>
        <v>0</v>
      </c>
      <c r="V1253" s="1127">
        <f t="shared" si="1749"/>
        <v>0</v>
      </c>
      <c r="W1253" s="1127">
        <f t="shared" si="1749"/>
        <v>0</v>
      </c>
      <c r="X1253" s="1127">
        <f t="shared" si="1749"/>
        <v>0</v>
      </c>
      <c r="Y1253" s="1127">
        <f t="shared" si="1749"/>
        <v>5236098.3200000003</v>
      </c>
      <c r="Z1253" s="1127">
        <f t="shared" si="1749"/>
        <v>5236098.3200000003</v>
      </c>
      <c r="AA1253" s="1127">
        <f t="shared" si="1749"/>
        <v>7510.04</v>
      </c>
      <c r="AB1253" s="1375">
        <f t="shared" si="1780"/>
        <v>5243608.3600000003</v>
      </c>
      <c r="AC1253" s="1374">
        <f t="shared" si="1781"/>
        <v>0.67795849851525891</v>
      </c>
      <c r="AD1253" s="1376">
        <f t="shared" si="1750"/>
        <v>0</v>
      </c>
      <c r="AE1253" s="1127">
        <f t="shared" si="1750"/>
        <v>0</v>
      </c>
      <c r="AF1253" s="1127">
        <f t="shared" si="1750"/>
        <v>0</v>
      </c>
      <c r="AG1253" s="1127">
        <f t="shared" si="1750"/>
        <v>0</v>
      </c>
      <c r="AH1253" s="1127">
        <f t="shared" si="1750"/>
        <v>0</v>
      </c>
      <c r="AI1253" s="1127">
        <f t="shared" si="1750"/>
        <v>0</v>
      </c>
      <c r="AJ1253" s="1127">
        <f t="shared" si="1750"/>
        <v>62205.449999999997</v>
      </c>
      <c r="AK1253" s="1127">
        <f t="shared" si="1782"/>
        <v>62205.449999999997</v>
      </c>
      <c r="AL1253" s="1374">
        <f t="shared" si="1783"/>
        <v>0.023222121473674688</v>
      </c>
      <c r="AM1253" s="1376">
        <f t="shared" si="1751"/>
        <v>0</v>
      </c>
      <c r="AN1253" s="1173">
        <f t="shared" si="1751"/>
        <v>0</v>
      </c>
      <c r="AO1253" s="1173">
        <f t="shared" si="1751"/>
        <v>0</v>
      </c>
      <c r="AP1253" s="1173">
        <f t="shared" si="1751"/>
        <v>0</v>
      </c>
      <c r="AQ1253" s="1173">
        <f t="shared" si="1751"/>
        <v>0</v>
      </c>
      <c r="AR1253" s="1173">
        <f t="shared" si="1751"/>
        <v>0</v>
      </c>
      <c r="AS1253" s="1173">
        <f t="shared" si="1751"/>
        <v>0</v>
      </c>
      <c r="AT1253" s="1173">
        <f t="shared" si="1784"/>
        <v>0</v>
      </c>
      <c r="AU1253" s="1377" t="e">
        <f t="shared" si="1785"/>
        <v>#DIV/0!</v>
      </c>
      <c r="AV1253" s="1173">
        <f t="shared" si="1755"/>
        <v>0</v>
      </c>
      <c r="AW1253" s="1127">
        <f t="shared" si="1755"/>
        <v>0</v>
      </c>
      <c r="AX1253" s="1127">
        <f t="shared" si="1755"/>
        <v>0</v>
      </c>
      <c r="AY1253" s="1127">
        <f t="shared" si="1755"/>
        <v>0</v>
      </c>
      <c r="AZ1253" s="1127">
        <f t="shared" si="1755"/>
        <v>0</v>
      </c>
      <c r="BA1253" s="1127">
        <f t="shared" si="1755"/>
        <v>0</v>
      </c>
      <c r="BB1253" s="1127">
        <f t="shared" si="1755"/>
        <v>0</v>
      </c>
      <c r="BC1253" s="1177">
        <f t="shared" si="1786"/>
        <v>0</v>
      </c>
      <c r="BD1253" s="1378">
        <f t="shared" si="1787"/>
        <v>0</v>
      </c>
      <c r="BE1253" s="1024"/>
      <c r="BF1253" s="1024"/>
      <c r="BG1253" s="1008"/>
      <c r="BH1253" s="1008"/>
      <c r="BI1253" s="1008"/>
      <c r="BJ1253" s="1008"/>
      <c r="BK1253" s="1008"/>
      <c r="BL1253" s="1008"/>
      <c r="BM1253" s="1008"/>
    </row>
    <row r="1254" s="1215" customFormat="1">
      <c r="A1254" s="999" t="str">
        <f t="shared" si="1776"/>
        <v xml:space="preserve">Куликова А.Г.</v>
      </c>
      <c r="B1254" s="1202" t="s">
        <v>84</v>
      </c>
      <c r="C1254" s="1202" t="s">
        <v>499</v>
      </c>
      <c r="D1254" s="1202"/>
      <c r="E1254" s="1164">
        <f t="shared" si="1788"/>
        <v>209269.23000000001</v>
      </c>
      <c r="F1254" s="1164">
        <f t="shared" si="1788"/>
        <v>252566.47999999998</v>
      </c>
      <c r="G1254" s="1165">
        <f t="shared" si="1789"/>
        <v>461835.70999999996</v>
      </c>
      <c r="H1254" s="1166">
        <f t="shared" si="1777"/>
        <v>0.0051115654700414417</v>
      </c>
      <c r="I1254" s="1167">
        <f t="shared" si="1745"/>
        <v>134523.66</v>
      </c>
      <c r="J1254" s="1167">
        <f t="shared" si="1762"/>
        <v>227663.39999999997</v>
      </c>
      <c r="K1254" s="1168">
        <f t="shared" si="1790"/>
        <v>362187.05999999994</v>
      </c>
      <c r="L1254" s="1372"/>
      <c r="M1254" s="1127">
        <f t="shared" si="1748"/>
        <v>0</v>
      </c>
      <c r="N1254" s="1127">
        <f t="shared" si="1748"/>
        <v>0</v>
      </c>
      <c r="O1254" s="1127">
        <f t="shared" si="1748"/>
        <v>0</v>
      </c>
      <c r="P1254" s="1127">
        <f t="shared" ref="P1254:P1258" si="1791">P1156+P1059+P961+P863+P762+P664+P567+P470+R372+P275+P177+P79</f>
        <v>134523.66</v>
      </c>
      <c r="Q1254" s="1127">
        <f t="shared" si="1748"/>
        <v>134523.66</v>
      </c>
      <c r="R1254" s="1127">
        <f t="shared" ref="R1254:R1260" si="1792">R1156+R1059+R961+R863+R762+R664+R567+R470+P372+R275+R177+R79</f>
        <v>122571.64999999999</v>
      </c>
      <c r="S1254" s="1127">
        <f t="shared" si="1778"/>
        <v>257095.31</v>
      </c>
      <c r="T1254" s="1374">
        <f t="shared" si="1779"/>
        <v>0.0032202371518636522</v>
      </c>
      <c r="U1254" s="1173">
        <f t="shared" si="1749"/>
        <v>0</v>
      </c>
      <c r="V1254" s="1127">
        <f t="shared" si="1749"/>
        <v>0</v>
      </c>
      <c r="W1254" s="1127">
        <f t="shared" si="1749"/>
        <v>0</v>
      </c>
      <c r="X1254" s="1127">
        <f t="shared" si="1749"/>
        <v>0</v>
      </c>
      <c r="Y1254" s="1127">
        <f t="shared" si="1749"/>
        <v>74745.570000000007</v>
      </c>
      <c r="Z1254" s="1127">
        <f t="shared" si="1749"/>
        <v>74745.570000000007</v>
      </c>
      <c r="AA1254" s="1127">
        <f t="shared" si="1749"/>
        <v>24903.080000000002</v>
      </c>
      <c r="AB1254" s="1375">
        <f t="shared" si="1780"/>
        <v>99648.650000000009</v>
      </c>
      <c r="AC1254" s="1374">
        <f t="shared" si="1781"/>
        <v>0.012883809105276612</v>
      </c>
      <c r="AD1254" s="1376">
        <f t="shared" si="1750"/>
        <v>0</v>
      </c>
      <c r="AE1254" s="1127">
        <f t="shared" si="1750"/>
        <v>0</v>
      </c>
      <c r="AF1254" s="1127">
        <f t="shared" si="1750"/>
        <v>0</v>
      </c>
      <c r="AG1254" s="1127">
        <f t="shared" si="1750"/>
        <v>0</v>
      </c>
      <c r="AH1254" s="1127">
        <f t="shared" si="1750"/>
        <v>0</v>
      </c>
      <c r="AI1254" s="1127">
        <f t="shared" si="1750"/>
        <v>0</v>
      </c>
      <c r="AJ1254" s="1127">
        <f t="shared" si="1750"/>
        <v>105091.75</v>
      </c>
      <c r="AK1254" s="1127">
        <f t="shared" si="1782"/>
        <v>105091.75</v>
      </c>
      <c r="AL1254" s="1374">
        <f t="shared" si="1783"/>
        <v>0.03923214741443156</v>
      </c>
      <c r="AM1254" s="1376">
        <f t="shared" si="1751"/>
        <v>0</v>
      </c>
      <c r="AN1254" s="1173">
        <f t="shared" si="1751"/>
        <v>0</v>
      </c>
      <c r="AO1254" s="1173">
        <f t="shared" si="1751"/>
        <v>0</v>
      </c>
      <c r="AP1254" s="1173">
        <f t="shared" si="1751"/>
        <v>0</v>
      </c>
      <c r="AQ1254" s="1173">
        <f t="shared" si="1751"/>
        <v>0</v>
      </c>
      <c r="AR1254" s="1173">
        <f t="shared" si="1751"/>
        <v>0</v>
      </c>
      <c r="AS1254" s="1173">
        <f t="shared" si="1751"/>
        <v>0</v>
      </c>
      <c r="AT1254" s="1173">
        <f t="shared" si="1784"/>
        <v>0</v>
      </c>
      <c r="AU1254" s="1377" t="e">
        <f t="shared" si="1785"/>
        <v>#DIV/0!</v>
      </c>
      <c r="AV1254" s="1173">
        <f t="shared" si="1755"/>
        <v>0</v>
      </c>
      <c r="AW1254" s="1127">
        <f t="shared" si="1755"/>
        <v>0</v>
      </c>
      <c r="AX1254" s="1127">
        <f t="shared" si="1755"/>
        <v>0</v>
      </c>
      <c r="AY1254" s="1127">
        <f t="shared" si="1755"/>
        <v>0</v>
      </c>
      <c r="AZ1254" s="1127">
        <f t="shared" si="1755"/>
        <v>0</v>
      </c>
      <c r="BA1254" s="1127">
        <f t="shared" si="1755"/>
        <v>0</v>
      </c>
      <c r="BB1254" s="1127">
        <f t="shared" si="1755"/>
        <v>0</v>
      </c>
      <c r="BC1254" s="1177">
        <f t="shared" si="1786"/>
        <v>0</v>
      </c>
      <c r="BD1254" s="1378">
        <f t="shared" si="1787"/>
        <v>0</v>
      </c>
      <c r="BE1254" s="1024"/>
      <c r="BF1254" s="1024"/>
      <c r="BG1254" s="1008"/>
      <c r="BH1254" s="1008"/>
      <c r="BI1254" s="1008"/>
      <c r="BJ1254" s="1008"/>
      <c r="BK1254" s="1008"/>
      <c r="BL1254" s="1008"/>
      <c r="BM1254" s="1008"/>
    </row>
    <row r="1255" s="1215" customFormat="1">
      <c r="A1255" s="999" t="str">
        <f t="shared" si="1776"/>
        <v xml:space="preserve">Елина С.И. Жандарова И.В.</v>
      </c>
      <c r="B1255" s="1202" t="s">
        <v>288</v>
      </c>
      <c r="C1255" s="1202" t="s">
        <v>497</v>
      </c>
      <c r="D1255" s="1202"/>
      <c r="E1255" s="1164">
        <f t="shared" si="1788"/>
        <v>96251.940000000002</v>
      </c>
      <c r="F1255" s="1164">
        <f t="shared" si="1788"/>
        <v>6174954.9900000002</v>
      </c>
      <c r="G1255" s="1165">
        <f t="shared" si="1789"/>
        <v>6271206.9300000006</v>
      </c>
      <c r="H1255" s="1166">
        <f t="shared" si="1777"/>
        <v>0.069409281492920083</v>
      </c>
      <c r="I1255" s="1167">
        <f t="shared" si="1745"/>
        <v>79163.440000000002</v>
      </c>
      <c r="J1255" s="1167">
        <f t="shared" si="1762"/>
        <v>6167668.9900000002</v>
      </c>
      <c r="K1255" s="1168">
        <f t="shared" si="1790"/>
        <v>6246832.4300000006</v>
      </c>
      <c r="L1255" s="1372"/>
      <c r="M1255" s="1127">
        <f t="shared" si="1748"/>
        <v>0</v>
      </c>
      <c r="N1255" s="1127">
        <f t="shared" si="1748"/>
        <v>0</v>
      </c>
      <c r="O1255" s="1127">
        <f t="shared" si="1748"/>
        <v>0</v>
      </c>
      <c r="P1255" s="1127">
        <f t="shared" si="1791"/>
        <v>79163.440000000002</v>
      </c>
      <c r="Q1255" s="1127">
        <f t="shared" si="1748"/>
        <v>79163.440000000002</v>
      </c>
      <c r="R1255" s="1127">
        <f t="shared" si="1792"/>
        <v>6167668.9900000002</v>
      </c>
      <c r="S1255" s="1373">
        <f t="shared" si="1778"/>
        <v>6246832.4300000006</v>
      </c>
      <c r="T1255" s="1374">
        <f t="shared" si="1779"/>
        <v>0.078244452893958663</v>
      </c>
      <c r="U1255" s="1173">
        <f t="shared" si="1749"/>
        <v>0</v>
      </c>
      <c r="V1255" s="1127">
        <f t="shared" si="1749"/>
        <v>0</v>
      </c>
      <c r="W1255" s="1127">
        <f t="shared" si="1749"/>
        <v>0</v>
      </c>
      <c r="X1255" s="1127">
        <f t="shared" si="1749"/>
        <v>0</v>
      </c>
      <c r="Y1255" s="1127">
        <f t="shared" si="1749"/>
        <v>17088.5</v>
      </c>
      <c r="Z1255" s="1127">
        <f t="shared" si="1749"/>
        <v>17088.5</v>
      </c>
      <c r="AA1255" s="1127">
        <f t="shared" si="1749"/>
        <v>7286</v>
      </c>
      <c r="AB1255" s="1375">
        <f t="shared" si="1780"/>
        <v>24374.5</v>
      </c>
      <c r="AC1255" s="1374">
        <f t="shared" si="1781"/>
        <v>0.0031514366229403483</v>
      </c>
      <c r="AD1255" s="1376">
        <f t="shared" si="1750"/>
        <v>0</v>
      </c>
      <c r="AE1255" s="1127">
        <f t="shared" si="1750"/>
        <v>0</v>
      </c>
      <c r="AF1255" s="1127">
        <f t="shared" si="1750"/>
        <v>0</v>
      </c>
      <c r="AG1255" s="1127">
        <f t="shared" si="1750"/>
        <v>0</v>
      </c>
      <c r="AH1255" s="1127">
        <f t="shared" si="1750"/>
        <v>0</v>
      </c>
      <c r="AI1255" s="1127">
        <f t="shared" si="1750"/>
        <v>0</v>
      </c>
      <c r="AJ1255" s="1127">
        <f t="shared" si="1750"/>
        <v>0</v>
      </c>
      <c r="AK1255" s="1127">
        <f t="shared" si="1782"/>
        <v>0</v>
      </c>
      <c r="AL1255" s="1374">
        <f t="shared" si="1783"/>
        <v>0</v>
      </c>
      <c r="AM1255" s="1376">
        <f t="shared" si="1751"/>
        <v>0</v>
      </c>
      <c r="AN1255" s="1173">
        <f t="shared" si="1751"/>
        <v>0</v>
      </c>
      <c r="AO1255" s="1173">
        <f t="shared" si="1751"/>
        <v>0</v>
      </c>
      <c r="AP1255" s="1173">
        <f t="shared" si="1751"/>
        <v>0</v>
      </c>
      <c r="AQ1255" s="1173">
        <f t="shared" si="1751"/>
        <v>0</v>
      </c>
      <c r="AR1255" s="1173">
        <f t="shared" si="1751"/>
        <v>0</v>
      </c>
      <c r="AS1255" s="1173">
        <f t="shared" si="1751"/>
        <v>0</v>
      </c>
      <c r="AT1255" s="1173">
        <f t="shared" si="1784"/>
        <v>0</v>
      </c>
      <c r="AU1255" s="1377" t="e">
        <f t="shared" si="1785"/>
        <v>#DIV/0!</v>
      </c>
      <c r="AV1255" s="1173">
        <f t="shared" si="1755"/>
        <v>0</v>
      </c>
      <c r="AW1255" s="1127">
        <f t="shared" si="1755"/>
        <v>0</v>
      </c>
      <c r="AX1255" s="1127">
        <f t="shared" si="1755"/>
        <v>0</v>
      </c>
      <c r="AY1255" s="1127">
        <f t="shared" si="1755"/>
        <v>0</v>
      </c>
      <c r="AZ1255" s="1127">
        <f t="shared" si="1755"/>
        <v>0</v>
      </c>
      <c r="BA1255" s="1127">
        <f t="shared" si="1755"/>
        <v>0</v>
      </c>
      <c r="BB1255" s="1127">
        <f t="shared" si="1755"/>
        <v>0</v>
      </c>
      <c r="BC1255" s="1177">
        <f t="shared" si="1786"/>
        <v>0</v>
      </c>
      <c r="BD1255" s="1378">
        <f t="shared" si="1787"/>
        <v>0</v>
      </c>
      <c r="BE1255" s="1024"/>
      <c r="BF1255" s="1024"/>
      <c r="BG1255" s="1008"/>
      <c r="BH1255" s="1008"/>
      <c r="BI1255" s="1008"/>
      <c r="BJ1255" s="1008"/>
      <c r="BK1255" s="1008"/>
      <c r="BL1255" s="1008"/>
      <c r="BM1255" s="1008"/>
    </row>
    <row r="1256" s="1215" customFormat="1">
      <c r="A1256" s="999" t="str">
        <f t="shared" si="1776"/>
        <v xml:space="preserve">Бояркина Л.Е. Кондратьева АА</v>
      </c>
      <c r="B1256" s="1176" t="s">
        <v>530</v>
      </c>
      <c r="C1256" s="1176"/>
      <c r="D1256" s="1176"/>
      <c r="E1256" s="1164">
        <f t="shared" si="1788"/>
        <v>207149.60999999999</v>
      </c>
      <c r="F1256" s="1164">
        <f t="shared" si="1788"/>
        <v>304754.92999999999</v>
      </c>
      <c r="G1256" s="1165">
        <f t="shared" si="1789"/>
        <v>511904.53999999998</v>
      </c>
      <c r="H1256" s="1166">
        <f t="shared" si="1777"/>
        <v>0.0056657237930376764</v>
      </c>
      <c r="I1256" s="1167">
        <f t="shared" si="1745"/>
        <v>179813.44</v>
      </c>
      <c r="J1256" s="1167">
        <f t="shared" si="1762"/>
        <v>267204.72999999998</v>
      </c>
      <c r="K1256" s="1168">
        <f t="shared" si="1790"/>
        <v>447018.16999999998</v>
      </c>
      <c r="L1256" s="1372"/>
      <c r="M1256" s="1127">
        <f t="shared" si="1748"/>
        <v>0</v>
      </c>
      <c r="N1256" s="1127">
        <f t="shared" si="1748"/>
        <v>0</v>
      </c>
      <c r="O1256" s="1127">
        <f t="shared" si="1748"/>
        <v>0</v>
      </c>
      <c r="P1256" s="1127">
        <f t="shared" si="1791"/>
        <v>179813.44</v>
      </c>
      <c r="Q1256" s="1127">
        <f t="shared" si="1748"/>
        <v>179813.44</v>
      </c>
      <c r="R1256" s="1127">
        <f t="shared" si="1792"/>
        <v>222622.97</v>
      </c>
      <c r="S1256" s="1373">
        <f t="shared" si="1778"/>
        <v>402436.41000000003</v>
      </c>
      <c r="T1256" s="1374">
        <f t="shared" si="1779"/>
        <v>0.005040701359914474</v>
      </c>
      <c r="U1256" s="1173">
        <f t="shared" si="1749"/>
        <v>0</v>
      </c>
      <c r="V1256" s="1127">
        <f t="shared" si="1749"/>
        <v>0</v>
      </c>
      <c r="W1256" s="1127">
        <f t="shared" si="1749"/>
        <v>0</v>
      </c>
      <c r="X1256" s="1127">
        <f t="shared" si="1749"/>
        <v>0</v>
      </c>
      <c r="Y1256" s="1127">
        <f t="shared" si="1749"/>
        <v>27336.169999999998</v>
      </c>
      <c r="Z1256" s="1127">
        <f t="shared" si="1749"/>
        <v>27336.169999999998</v>
      </c>
      <c r="AA1256" s="1127">
        <f t="shared" si="1749"/>
        <v>37550.199999999997</v>
      </c>
      <c r="AB1256" s="1375">
        <f t="shared" si="1780"/>
        <v>64886.369999999995</v>
      </c>
      <c r="AC1256" s="1374">
        <f t="shared" si="1781"/>
        <v>0.0083893118934812161</v>
      </c>
      <c r="AD1256" s="1376">
        <f t="shared" si="1750"/>
        <v>0</v>
      </c>
      <c r="AE1256" s="1127">
        <f t="shared" si="1750"/>
        <v>0</v>
      </c>
      <c r="AF1256" s="1127">
        <f t="shared" si="1750"/>
        <v>0</v>
      </c>
      <c r="AG1256" s="1127">
        <f t="shared" si="1750"/>
        <v>0</v>
      </c>
      <c r="AH1256" s="1127">
        <f t="shared" si="1750"/>
        <v>0</v>
      </c>
      <c r="AI1256" s="1127">
        <f t="shared" si="1750"/>
        <v>0</v>
      </c>
      <c r="AJ1256" s="1127">
        <f t="shared" si="1750"/>
        <v>44581.760000000002</v>
      </c>
      <c r="AK1256" s="1127">
        <f t="shared" si="1782"/>
        <v>44581.760000000002</v>
      </c>
      <c r="AL1256" s="1374">
        <f t="shared" si="1783"/>
        <v>0.016642963699004046</v>
      </c>
      <c r="AM1256" s="1376">
        <f t="shared" si="1751"/>
        <v>0</v>
      </c>
      <c r="AN1256" s="1173">
        <f t="shared" si="1751"/>
        <v>0</v>
      </c>
      <c r="AO1256" s="1173">
        <f t="shared" si="1751"/>
        <v>0</v>
      </c>
      <c r="AP1256" s="1173">
        <f t="shared" si="1751"/>
        <v>0</v>
      </c>
      <c r="AQ1256" s="1173">
        <f t="shared" si="1751"/>
        <v>0</v>
      </c>
      <c r="AR1256" s="1173">
        <f t="shared" si="1751"/>
        <v>0</v>
      </c>
      <c r="AS1256" s="1173">
        <f t="shared" si="1751"/>
        <v>0</v>
      </c>
      <c r="AT1256" s="1173">
        <f t="shared" si="1784"/>
        <v>0</v>
      </c>
      <c r="AU1256" s="1377" t="e">
        <f t="shared" si="1785"/>
        <v>#DIV/0!</v>
      </c>
      <c r="AV1256" s="1173">
        <f t="shared" si="1755"/>
        <v>0</v>
      </c>
      <c r="AW1256" s="1127">
        <f t="shared" si="1755"/>
        <v>0</v>
      </c>
      <c r="AX1256" s="1127">
        <f t="shared" si="1755"/>
        <v>0</v>
      </c>
      <c r="AY1256" s="1127">
        <f t="shared" si="1755"/>
        <v>0</v>
      </c>
      <c r="AZ1256" s="1127">
        <f t="shared" si="1755"/>
        <v>0</v>
      </c>
      <c r="BA1256" s="1127">
        <f t="shared" si="1755"/>
        <v>0</v>
      </c>
      <c r="BB1256" s="1127">
        <f t="shared" si="1755"/>
        <v>0</v>
      </c>
      <c r="BC1256" s="1177">
        <f t="shared" si="1786"/>
        <v>0</v>
      </c>
      <c r="BD1256" s="1378">
        <f t="shared" si="1787"/>
        <v>0</v>
      </c>
      <c r="BE1256" s="1024"/>
      <c r="BF1256" s="1024"/>
      <c r="BG1256" s="1008"/>
      <c r="BH1256" s="1008"/>
      <c r="BI1256" s="1008"/>
      <c r="BJ1256" s="1008"/>
      <c r="BK1256" s="1008"/>
      <c r="BL1256" s="1008"/>
      <c r="BM1256" s="1008"/>
    </row>
    <row r="1257" s="1215" customFormat="1">
      <c r="A1257" s="999" t="str">
        <f t="shared" si="1776"/>
        <v xml:space="preserve">Трофимчук О.Е., Радченко Т.А.   Куция НЛ  Красносельская (усть-Ивановка)</v>
      </c>
      <c r="B1257" s="1176" t="s">
        <v>531</v>
      </c>
      <c r="C1257" s="1176"/>
      <c r="D1257" s="1176"/>
      <c r="E1257" s="1164">
        <f t="shared" si="1788"/>
        <v>73571.73000000001</v>
      </c>
      <c r="F1257" s="1164">
        <f t="shared" si="1788"/>
        <v>137361.94</v>
      </c>
      <c r="G1257" s="1165">
        <f t="shared" si="1789"/>
        <v>210933.67000000001</v>
      </c>
      <c r="H1257" s="1166">
        <f t="shared" si="1777"/>
        <v>0.0023345991673989794</v>
      </c>
      <c r="I1257" s="1167">
        <f t="shared" si="1745"/>
        <v>42454.160000000011</v>
      </c>
      <c r="J1257" s="1167">
        <f t="shared" si="1762"/>
        <v>46934.920000000013</v>
      </c>
      <c r="K1257" s="1168">
        <f t="shared" si="1790"/>
        <v>89389.080000000016</v>
      </c>
      <c r="L1257" s="1372"/>
      <c r="M1257" s="1127">
        <f t="shared" si="1748"/>
        <v>0</v>
      </c>
      <c r="N1257" s="1127">
        <f t="shared" si="1748"/>
        <v>0</v>
      </c>
      <c r="O1257" s="1127">
        <f t="shared" si="1748"/>
        <v>0</v>
      </c>
      <c r="P1257" s="1127">
        <f t="shared" si="1791"/>
        <v>42454.160000000003</v>
      </c>
      <c r="Q1257" s="1127">
        <f t="shared" si="1748"/>
        <v>42454.160000000003</v>
      </c>
      <c r="R1257" s="1127">
        <f t="shared" si="1792"/>
        <v>46934.919999999998</v>
      </c>
      <c r="S1257" s="1373">
        <f t="shared" si="1778"/>
        <v>89389.080000000002</v>
      </c>
      <c r="T1257" s="1374">
        <f t="shared" si="1779"/>
        <v>0.0011196393912705454</v>
      </c>
      <c r="U1257" s="1173">
        <f t="shared" si="1749"/>
        <v>0</v>
      </c>
      <c r="V1257" s="1127">
        <f t="shared" si="1749"/>
        <v>0</v>
      </c>
      <c r="W1257" s="1127">
        <f t="shared" si="1749"/>
        <v>0</v>
      </c>
      <c r="X1257" s="1127">
        <f t="shared" si="1749"/>
        <v>0</v>
      </c>
      <c r="Y1257" s="1127">
        <f t="shared" si="1749"/>
        <v>31117.57</v>
      </c>
      <c r="Z1257" s="1127">
        <f t="shared" si="1749"/>
        <v>31117.57</v>
      </c>
      <c r="AA1257" s="1127">
        <f t="shared" si="1749"/>
        <v>90427.01999999999</v>
      </c>
      <c r="AB1257" s="1375">
        <f t="shared" si="1780"/>
        <v>121544.59</v>
      </c>
      <c r="AC1257" s="1374">
        <f t="shared" si="1781"/>
        <v>0.01571478685701324</v>
      </c>
      <c r="AD1257" s="1376">
        <f t="shared" si="1750"/>
        <v>0</v>
      </c>
      <c r="AE1257" s="1127">
        <f t="shared" si="1750"/>
        <v>0</v>
      </c>
      <c r="AF1257" s="1127">
        <f t="shared" si="1750"/>
        <v>0</v>
      </c>
      <c r="AG1257" s="1127">
        <f t="shared" si="1750"/>
        <v>0</v>
      </c>
      <c r="AH1257" s="1127">
        <f t="shared" si="1750"/>
        <v>0</v>
      </c>
      <c r="AI1257" s="1127">
        <f t="shared" si="1750"/>
        <v>0</v>
      </c>
      <c r="AJ1257" s="1127">
        <f t="shared" si="1750"/>
        <v>0</v>
      </c>
      <c r="AK1257" s="1127">
        <f t="shared" si="1782"/>
        <v>0</v>
      </c>
      <c r="AL1257" s="1374">
        <f t="shared" si="1783"/>
        <v>0</v>
      </c>
      <c r="AM1257" s="1376">
        <f t="shared" si="1751"/>
        <v>0</v>
      </c>
      <c r="AN1257" s="1173">
        <f t="shared" si="1751"/>
        <v>0</v>
      </c>
      <c r="AO1257" s="1173">
        <f t="shared" si="1751"/>
        <v>0</v>
      </c>
      <c r="AP1257" s="1173">
        <f t="shared" si="1751"/>
        <v>0</v>
      </c>
      <c r="AQ1257" s="1173">
        <f t="shared" si="1751"/>
        <v>0</v>
      </c>
      <c r="AR1257" s="1173">
        <f t="shared" si="1751"/>
        <v>0</v>
      </c>
      <c r="AS1257" s="1173">
        <f t="shared" si="1751"/>
        <v>0</v>
      </c>
      <c r="AT1257" s="1173">
        <f t="shared" si="1784"/>
        <v>0</v>
      </c>
      <c r="AU1257" s="1377" t="e">
        <f t="shared" si="1785"/>
        <v>#DIV/0!</v>
      </c>
      <c r="AV1257" s="1173">
        <f t="shared" si="1755"/>
        <v>0</v>
      </c>
      <c r="AW1257" s="1127">
        <f t="shared" si="1755"/>
        <v>0</v>
      </c>
      <c r="AX1257" s="1127">
        <f t="shared" si="1755"/>
        <v>0</v>
      </c>
      <c r="AY1257" s="1127">
        <f t="shared" si="1755"/>
        <v>0</v>
      </c>
      <c r="AZ1257" s="1127">
        <f t="shared" si="1755"/>
        <v>0</v>
      </c>
      <c r="BA1257" s="1127">
        <f t="shared" si="1755"/>
        <v>0</v>
      </c>
      <c r="BB1257" s="1127">
        <f t="shared" si="1755"/>
        <v>0</v>
      </c>
      <c r="BC1257" s="1177">
        <f t="shared" si="1786"/>
        <v>0</v>
      </c>
      <c r="BD1257" s="1378">
        <f t="shared" si="1787"/>
        <v>0</v>
      </c>
      <c r="BE1257" s="1024"/>
      <c r="BF1257" s="1024"/>
      <c r="BG1257" s="1008"/>
      <c r="BH1257" s="1008"/>
      <c r="BI1257" s="1008"/>
      <c r="BJ1257" s="1008"/>
      <c r="BK1257" s="1008"/>
      <c r="BL1257" s="1008"/>
      <c r="BM1257" s="1008"/>
    </row>
    <row r="1258" s="1215" customFormat="1">
      <c r="A1258" s="999" t="str">
        <f t="shared" si="1776"/>
        <v xml:space="preserve">Третьяк О.М.</v>
      </c>
      <c r="B1258" s="1176" t="s">
        <v>532</v>
      </c>
      <c r="C1258" s="1176"/>
      <c r="D1258" s="1176"/>
      <c r="E1258" s="1164">
        <f t="shared" si="1788"/>
        <v>51393.139999999999</v>
      </c>
      <c r="F1258" s="1164">
        <f t="shared" si="1788"/>
        <v>70072.25</v>
      </c>
      <c r="G1258" s="1165">
        <f t="shared" si="1789"/>
        <v>121465.39</v>
      </c>
      <c r="H1258" s="1166">
        <f t="shared" si="1777"/>
        <v>0.001344370476092282</v>
      </c>
      <c r="I1258" s="1167">
        <f t="shared" si="1745"/>
        <v>51393.139999999999</v>
      </c>
      <c r="J1258" s="1167">
        <f t="shared" si="1762"/>
        <v>32522.050000000003</v>
      </c>
      <c r="K1258" s="1168">
        <f t="shared" si="1790"/>
        <v>83915.190000000002</v>
      </c>
      <c r="L1258" s="1372"/>
      <c r="M1258" s="1127">
        <f t="shared" si="1748"/>
        <v>0</v>
      </c>
      <c r="N1258" s="1127">
        <f t="shared" si="1748"/>
        <v>0</v>
      </c>
      <c r="O1258" s="1127">
        <f t="shared" si="1748"/>
        <v>0</v>
      </c>
      <c r="P1258" s="1127">
        <f t="shared" si="1791"/>
        <v>51393.139999999999</v>
      </c>
      <c r="Q1258" s="1127">
        <f t="shared" si="1748"/>
        <v>51393.139999999999</v>
      </c>
      <c r="R1258" s="1127">
        <f t="shared" si="1792"/>
        <v>32522.049999999999</v>
      </c>
      <c r="S1258" s="1373">
        <f t="shared" si="1778"/>
        <v>83915.190000000002</v>
      </c>
      <c r="T1258" s="1374">
        <f t="shared" si="1779"/>
        <v>0.001051076398257507</v>
      </c>
      <c r="U1258" s="1173">
        <f t="shared" si="1749"/>
        <v>0</v>
      </c>
      <c r="V1258" s="1127">
        <f t="shared" si="1749"/>
        <v>0</v>
      </c>
      <c r="W1258" s="1127">
        <f t="shared" si="1749"/>
        <v>0</v>
      </c>
      <c r="X1258" s="1127">
        <f t="shared" si="1749"/>
        <v>0</v>
      </c>
      <c r="Y1258" s="1127">
        <f t="shared" si="1749"/>
        <v>0</v>
      </c>
      <c r="Z1258" s="1127">
        <f t="shared" si="1749"/>
        <v>0</v>
      </c>
      <c r="AA1258" s="1127">
        <f t="shared" si="1749"/>
        <v>37550.199999999997</v>
      </c>
      <c r="AB1258" s="1375">
        <f t="shared" si="1780"/>
        <v>37550.199999999997</v>
      </c>
      <c r="AC1258" s="1374">
        <f t="shared" si="1781"/>
        <v>0.0048549539674140867</v>
      </c>
      <c r="AD1258" s="1376">
        <f t="shared" si="1750"/>
        <v>0</v>
      </c>
      <c r="AE1258" s="1127">
        <f t="shared" si="1750"/>
        <v>0</v>
      </c>
      <c r="AF1258" s="1127">
        <f t="shared" si="1750"/>
        <v>0</v>
      </c>
      <c r="AG1258" s="1127">
        <f t="shared" si="1750"/>
        <v>0</v>
      </c>
      <c r="AH1258" s="1127">
        <f t="shared" si="1750"/>
        <v>0</v>
      </c>
      <c r="AI1258" s="1127">
        <f t="shared" si="1750"/>
        <v>0</v>
      </c>
      <c r="AJ1258" s="1127">
        <f t="shared" si="1750"/>
        <v>0</v>
      </c>
      <c r="AK1258" s="1127">
        <f t="shared" si="1782"/>
        <v>0</v>
      </c>
      <c r="AL1258" s="1374">
        <f t="shared" si="1783"/>
        <v>0</v>
      </c>
      <c r="AM1258" s="1376">
        <f t="shared" si="1751"/>
        <v>0</v>
      </c>
      <c r="AN1258" s="1173">
        <f t="shared" si="1751"/>
        <v>0</v>
      </c>
      <c r="AO1258" s="1173">
        <f t="shared" si="1751"/>
        <v>0</v>
      </c>
      <c r="AP1258" s="1173">
        <f t="shared" si="1751"/>
        <v>0</v>
      </c>
      <c r="AQ1258" s="1173">
        <f t="shared" si="1751"/>
        <v>0</v>
      </c>
      <c r="AR1258" s="1173">
        <f t="shared" si="1751"/>
        <v>0</v>
      </c>
      <c r="AS1258" s="1173">
        <f t="shared" si="1751"/>
        <v>0</v>
      </c>
      <c r="AT1258" s="1173">
        <f t="shared" si="1784"/>
        <v>0</v>
      </c>
      <c r="AU1258" s="1377" t="e">
        <f t="shared" si="1785"/>
        <v>#DIV/0!</v>
      </c>
      <c r="AV1258" s="1173">
        <f t="shared" si="1755"/>
        <v>0</v>
      </c>
      <c r="AW1258" s="1127">
        <f t="shared" si="1755"/>
        <v>0</v>
      </c>
      <c r="AX1258" s="1127">
        <f t="shared" si="1755"/>
        <v>0</v>
      </c>
      <c r="AY1258" s="1127">
        <f t="shared" si="1755"/>
        <v>0</v>
      </c>
      <c r="AZ1258" s="1127">
        <f t="shared" si="1755"/>
        <v>0</v>
      </c>
      <c r="BA1258" s="1127">
        <f t="shared" si="1755"/>
        <v>0</v>
      </c>
      <c r="BB1258" s="1127">
        <f t="shared" si="1755"/>
        <v>0</v>
      </c>
      <c r="BC1258" s="1177">
        <f t="shared" si="1786"/>
        <v>0</v>
      </c>
      <c r="BD1258" s="1378">
        <f t="shared" si="1787"/>
        <v>0</v>
      </c>
      <c r="BE1258" s="1024"/>
      <c r="BF1258" s="1024"/>
      <c r="BG1258" s="1008"/>
      <c r="BH1258" s="1008"/>
      <c r="BI1258" s="1008"/>
      <c r="BJ1258" s="1008"/>
      <c r="BK1258" s="1008"/>
      <c r="BL1258" s="1008"/>
      <c r="BM1258" s="1008"/>
    </row>
    <row r="1259" s="1215" customFormat="1">
      <c r="A1259" s="999">
        <f t="shared" si="1776"/>
        <v>0</v>
      </c>
      <c r="B1259" s="1176" t="s">
        <v>533</v>
      </c>
      <c r="C1259" s="1176"/>
      <c r="D1259" s="1176"/>
      <c r="E1259" s="1164">
        <f t="shared" si="1788"/>
        <v>0</v>
      </c>
      <c r="F1259" s="1164">
        <f t="shared" si="1788"/>
        <v>0</v>
      </c>
      <c r="G1259" s="1165">
        <f t="shared" si="1789"/>
        <v>0</v>
      </c>
      <c r="H1259" s="1166">
        <f t="shared" si="1777"/>
        <v>0</v>
      </c>
      <c r="I1259" s="1167">
        <f t="shared" si="1745"/>
        <v>0</v>
      </c>
      <c r="J1259" s="1167">
        <f t="shared" si="1762"/>
        <v>0</v>
      </c>
      <c r="K1259" s="1168">
        <f t="shared" si="1790"/>
        <v>0</v>
      </c>
      <c r="L1259" s="1372"/>
      <c r="M1259" s="1127">
        <f t="shared" si="1748"/>
        <v>0</v>
      </c>
      <c r="N1259" s="1127">
        <f t="shared" si="1748"/>
        <v>0</v>
      </c>
      <c r="O1259" s="1127">
        <f t="shared" si="1748"/>
        <v>0</v>
      </c>
      <c r="P1259" s="1127">
        <f t="shared" ref="P1259:P1260" si="1793">P1161+P1064+P966+P868+P767+P669+P572+P475+P377+P280+P182+P84</f>
        <v>0</v>
      </c>
      <c r="Q1259" s="1127">
        <f t="shared" si="1748"/>
        <v>0</v>
      </c>
      <c r="R1259" s="1127">
        <f t="shared" si="1792"/>
        <v>0</v>
      </c>
      <c r="S1259" s="1373">
        <f t="shared" si="1778"/>
        <v>0</v>
      </c>
      <c r="T1259" s="1374">
        <f t="shared" si="1779"/>
        <v>0</v>
      </c>
      <c r="U1259" s="1173">
        <f t="shared" si="1749"/>
        <v>0</v>
      </c>
      <c r="V1259" s="1127">
        <f t="shared" si="1749"/>
        <v>0</v>
      </c>
      <c r="W1259" s="1127">
        <f t="shared" si="1749"/>
        <v>0</v>
      </c>
      <c r="X1259" s="1127">
        <f t="shared" si="1749"/>
        <v>0</v>
      </c>
      <c r="Y1259" s="1127">
        <f t="shared" si="1749"/>
        <v>0</v>
      </c>
      <c r="Z1259" s="1127">
        <f t="shared" si="1749"/>
        <v>0</v>
      </c>
      <c r="AA1259" s="1127">
        <f t="shared" si="1749"/>
        <v>0</v>
      </c>
      <c r="AB1259" s="1375">
        <f t="shared" si="1780"/>
        <v>0</v>
      </c>
      <c r="AC1259" s="1374">
        <f t="shared" si="1781"/>
        <v>0</v>
      </c>
      <c r="AD1259" s="1376">
        <f t="shared" si="1750"/>
        <v>0</v>
      </c>
      <c r="AE1259" s="1127">
        <f t="shared" si="1750"/>
        <v>0</v>
      </c>
      <c r="AF1259" s="1127">
        <f t="shared" si="1750"/>
        <v>0</v>
      </c>
      <c r="AG1259" s="1127">
        <f t="shared" si="1750"/>
        <v>0</v>
      </c>
      <c r="AH1259" s="1127">
        <f t="shared" si="1750"/>
        <v>0</v>
      </c>
      <c r="AI1259" s="1127">
        <f t="shared" si="1750"/>
        <v>0</v>
      </c>
      <c r="AJ1259" s="1127">
        <f t="shared" si="1750"/>
        <v>0</v>
      </c>
      <c r="AK1259" s="1127">
        <f t="shared" si="1782"/>
        <v>0</v>
      </c>
      <c r="AL1259" s="1374">
        <f t="shared" si="1783"/>
        <v>0</v>
      </c>
      <c r="AM1259" s="1376">
        <f t="shared" si="1751"/>
        <v>0</v>
      </c>
      <c r="AN1259" s="1173">
        <f t="shared" si="1751"/>
        <v>0</v>
      </c>
      <c r="AO1259" s="1173">
        <f t="shared" si="1751"/>
        <v>0</v>
      </c>
      <c r="AP1259" s="1173">
        <f t="shared" si="1751"/>
        <v>0</v>
      </c>
      <c r="AQ1259" s="1173">
        <f t="shared" si="1751"/>
        <v>0</v>
      </c>
      <c r="AR1259" s="1173">
        <f t="shared" si="1751"/>
        <v>0</v>
      </c>
      <c r="AS1259" s="1173">
        <f t="shared" si="1751"/>
        <v>0</v>
      </c>
      <c r="AT1259" s="1173">
        <f t="shared" si="1784"/>
        <v>0</v>
      </c>
      <c r="AU1259" s="1377" t="e">
        <f t="shared" si="1785"/>
        <v>#DIV/0!</v>
      </c>
      <c r="AV1259" s="1173">
        <f t="shared" si="1755"/>
        <v>0</v>
      </c>
      <c r="AW1259" s="1127">
        <f t="shared" si="1755"/>
        <v>0</v>
      </c>
      <c r="AX1259" s="1127">
        <f t="shared" si="1755"/>
        <v>0</v>
      </c>
      <c r="AY1259" s="1127">
        <f t="shared" si="1755"/>
        <v>0</v>
      </c>
      <c r="AZ1259" s="1127">
        <f t="shared" si="1755"/>
        <v>0</v>
      </c>
      <c r="BA1259" s="1127">
        <f t="shared" si="1755"/>
        <v>0</v>
      </c>
      <c r="BB1259" s="1127">
        <f t="shared" si="1755"/>
        <v>0</v>
      </c>
      <c r="BC1259" s="1177">
        <f t="shared" si="1786"/>
        <v>0</v>
      </c>
      <c r="BD1259" s="1378">
        <f t="shared" si="1787"/>
        <v>0</v>
      </c>
      <c r="BE1259" s="1024"/>
      <c r="BF1259" s="1024"/>
      <c r="BG1259" s="1008"/>
      <c r="BH1259" s="1008"/>
      <c r="BI1259" s="1008"/>
      <c r="BJ1259" s="1008"/>
      <c r="BK1259" s="1008"/>
      <c r="BL1259" s="1008"/>
      <c r="BM1259" s="1008"/>
    </row>
    <row r="1260" s="1215" customFormat="1">
      <c r="A1260" s="999" t="str">
        <f t="shared" si="1776"/>
        <v xml:space="preserve">Бедина и Позднякова</v>
      </c>
      <c r="B1260" s="1202" t="s">
        <v>452</v>
      </c>
      <c r="C1260" s="1202"/>
      <c r="D1260" s="1202"/>
      <c r="E1260" s="1164">
        <f t="shared" si="1788"/>
        <v>0</v>
      </c>
      <c r="F1260" s="1164">
        <f t="shared" si="1788"/>
        <v>0</v>
      </c>
      <c r="G1260" s="1165">
        <f t="shared" si="1789"/>
        <v>0</v>
      </c>
      <c r="H1260" s="1166">
        <f t="shared" si="1777"/>
        <v>0</v>
      </c>
      <c r="I1260" s="1167">
        <f t="shared" si="1745"/>
        <v>0</v>
      </c>
      <c r="J1260" s="1167">
        <f t="shared" si="1762"/>
        <v>0</v>
      </c>
      <c r="K1260" s="1168">
        <f t="shared" si="1790"/>
        <v>0</v>
      </c>
      <c r="L1260" s="1372"/>
      <c r="M1260" s="1127">
        <f t="shared" si="1748"/>
        <v>0</v>
      </c>
      <c r="N1260" s="1127">
        <f t="shared" si="1748"/>
        <v>0</v>
      </c>
      <c r="O1260" s="1127">
        <f t="shared" si="1748"/>
        <v>0</v>
      </c>
      <c r="P1260" s="1127">
        <f t="shared" si="1793"/>
        <v>0</v>
      </c>
      <c r="Q1260" s="1127">
        <f t="shared" si="1748"/>
        <v>0</v>
      </c>
      <c r="R1260" s="1127">
        <f t="shared" si="1792"/>
        <v>0</v>
      </c>
      <c r="S1260" s="1127">
        <f t="shared" si="1778"/>
        <v>0</v>
      </c>
      <c r="T1260" s="1374">
        <f t="shared" si="1779"/>
        <v>0</v>
      </c>
      <c r="U1260" s="1173">
        <f t="shared" si="1749"/>
        <v>0</v>
      </c>
      <c r="V1260" s="1127">
        <f t="shared" si="1749"/>
        <v>0</v>
      </c>
      <c r="W1260" s="1127">
        <f t="shared" si="1749"/>
        <v>0</v>
      </c>
      <c r="X1260" s="1127">
        <f t="shared" si="1749"/>
        <v>0</v>
      </c>
      <c r="Y1260" s="1127">
        <f t="shared" si="1749"/>
        <v>0</v>
      </c>
      <c r="Z1260" s="1127">
        <f t="shared" si="1749"/>
        <v>0</v>
      </c>
      <c r="AA1260" s="1127">
        <f t="shared" si="1749"/>
        <v>0</v>
      </c>
      <c r="AB1260" s="1375">
        <f t="shared" si="1780"/>
        <v>0</v>
      </c>
      <c r="AC1260" s="1374">
        <f t="shared" si="1781"/>
        <v>0</v>
      </c>
      <c r="AD1260" s="1376">
        <f t="shared" si="1750"/>
        <v>0</v>
      </c>
      <c r="AE1260" s="1127">
        <f t="shared" si="1750"/>
        <v>0</v>
      </c>
      <c r="AF1260" s="1127">
        <f t="shared" si="1750"/>
        <v>0</v>
      </c>
      <c r="AG1260" s="1127">
        <f t="shared" si="1750"/>
        <v>0</v>
      </c>
      <c r="AH1260" s="1127">
        <f t="shared" si="1750"/>
        <v>0</v>
      </c>
      <c r="AI1260" s="1127">
        <f t="shared" si="1750"/>
        <v>0</v>
      </c>
      <c r="AJ1260" s="1127">
        <f t="shared" si="1750"/>
        <v>0</v>
      </c>
      <c r="AK1260" s="1127">
        <f t="shared" si="1782"/>
        <v>0</v>
      </c>
      <c r="AL1260" s="1374">
        <f t="shared" si="1783"/>
        <v>0</v>
      </c>
      <c r="AM1260" s="1376">
        <f t="shared" si="1751"/>
        <v>0</v>
      </c>
      <c r="AN1260" s="1173">
        <f t="shared" si="1751"/>
        <v>0</v>
      </c>
      <c r="AO1260" s="1173">
        <f t="shared" si="1751"/>
        <v>0</v>
      </c>
      <c r="AP1260" s="1173">
        <f t="shared" si="1751"/>
        <v>0</v>
      </c>
      <c r="AQ1260" s="1173">
        <f t="shared" si="1751"/>
        <v>0</v>
      </c>
      <c r="AR1260" s="1173">
        <f t="shared" si="1751"/>
        <v>0</v>
      </c>
      <c r="AS1260" s="1173">
        <f t="shared" si="1751"/>
        <v>0</v>
      </c>
      <c r="AT1260" s="1173">
        <f t="shared" si="1784"/>
        <v>0</v>
      </c>
      <c r="AU1260" s="1377" t="e">
        <f t="shared" si="1785"/>
        <v>#DIV/0!</v>
      </c>
      <c r="AV1260" s="1173">
        <f t="shared" si="1755"/>
        <v>0</v>
      </c>
      <c r="AW1260" s="1127">
        <f t="shared" si="1755"/>
        <v>0</v>
      </c>
      <c r="AX1260" s="1127">
        <f t="shared" si="1755"/>
        <v>0</v>
      </c>
      <c r="AY1260" s="1127">
        <f t="shared" si="1755"/>
        <v>0</v>
      </c>
      <c r="AZ1260" s="1127">
        <f t="shared" si="1755"/>
        <v>0</v>
      </c>
      <c r="BA1260" s="1127">
        <f t="shared" si="1755"/>
        <v>0</v>
      </c>
      <c r="BB1260" s="1127">
        <f t="shared" si="1755"/>
        <v>0</v>
      </c>
      <c r="BC1260" s="1177">
        <f t="shared" si="1786"/>
        <v>0</v>
      </c>
      <c r="BD1260" s="1378">
        <f t="shared" si="1787"/>
        <v>0</v>
      </c>
      <c r="BE1260" s="1024"/>
      <c r="BF1260" s="1024"/>
      <c r="BG1260" s="1008"/>
      <c r="BH1260" s="1008"/>
      <c r="BI1260" s="1008"/>
      <c r="BJ1260" s="1008"/>
      <c r="BK1260" s="1008"/>
      <c r="BL1260" s="1008"/>
      <c r="BM1260" s="1008"/>
    </row>
    <row r="1261" s="1215" customFormat="1">
      <c r="A1261" s="999" t="str">
        <f t="shared" si="1776"/>
        <v xml:space="preserve">Макарова Е.В.</v>
      </c>
      <c r="B1261" s="1202" t="s">
        <v>454</v>
      </c>
      <c r="C1261" s="1202"/>
      <c r="D1261" s="1202"/>
      <c r="E1261" s="1164">
        <f t="shared" si="1788"/>
        <v>8671.0200000000004</v>
      </c>
      <c r="F1261" s="1164">
        <f t="shared" si="1788"/>
        <v>7981.3100000000004</v>
      </c>
      <c r="G1261" s="1165">
        <f t="shared" si="1789"/>
        <v>16652.330000000002</v>
      </c>
      <c r="H1261" s="1166">
        <f t="shared" si="1777"/>
        <v>0.0001843068285554082</v>
      </c>
      <c r="I1261" s="1167">
        <f t="shared" ref="I1261:J1278" si="1794">E1261-Z1261</f>
        <v>0</v>
      </c>
      <c r="J1261" s="1167">
        <f t="shared" si="1762"/>
        <v>0</v>
      </c>
      <c r="K1261" s="1168">
        <f t="shared" si="1790"/>
        <v>0</v>
      </c>
      <c r="L1261" s="1372"/>
      <c r="M1261" s="1127">
        <f t="shared" si="1748"/>
        <v>0</v>
      </c>
      <c r="N1261" s="1127">
        <f t="shared" si="1748"/>
        <v>0</v>
      </c>
      <c r="O1261" s="1127">
        <f t="shared" si="1748"/>
        <v>0</v>
      </c>
      <c r="P1261" s="1127">
        <f t="shared" si="1748"/>
        <v>0</v>
      </c>
      <c r="Q1261" s="1127">
        <f t="shared" si="1748"/>
        <v>0</v>
      </c>
      <c r="R1261" s="1127">
        <f t="shared" si="1748"/>
        <v>0</v>
      </c>
      <c r="S1261" s="1127">
        <f t="shared" si="1778"/>
        <v>0</v>
      </c>
      <c r="T1261" s="1374">
        <f t="shared" si="1779"/>
        <v>0</v>
      </c>
      <c r="U1261" s="1173">
        <f t="shared" si="1749"/>
        <v>0</v>
      </c>
      <c r="V1261" s="1127">
        <f t="shared" si="1749"/>
        <v>0</v>
      </c>
      <c r="W1261" s="1127">
        <f t="shared" si="1749"/>
        <v>0</v>
      </c>
      <c r="X1261" s="1127">
        <f t="shared" si="1749"/>
        <v>0</v>
      </c>
      <c r="Y1261" s="1127">
        <f t="shared" si="1749"/>
        <v>8671.0200000000004</v>
      </c>
      <c r="Z1261" s="1127">
        <f t="shared" si="1749"/>
        <v>8671.0200000000004</v>
      </c>
      <c r="AA1261" s="1127">
        <f t="shared" si="1749"/>
        <v>7981.3100000000004</v>
      </c>
      <c r="AB1261" s="1375">
        <f t="shared" si="1780"/>
        <v>16652.330000000002</v>
      </c>
      <c r="AC1261" s="1374">
        <f t="shared" si="1781"/>
        <v>0.0021530190411819011</v>
      </c>
      <c r="AD1261" s="1376">
        <f t="shared" si="1750"/>
        <v>0</v>
      </c>
      <c r="AE1261" s="1127">
        <f t="shared" si="1750"/>
        <v>0</v>
      </c>
      <c r="AF1261" s="1127">
        <f t="shared" si="1750"/>
        <v>0</v>
      </c>
      <c r="AG1261" s="1127">
        <f t="shared" si="1750"/>
        <v>0</v>
      </c>
      <c r="AH1261" s="1127">
        <f t="shared" si="1750"/>
        <v>0</v>
      </c>
      <c r="AI1261" s="1127">
        <f t="shared" si="1750"/>
        <v>0</v>
      </c>
      <c r="AJ1261" s="1127">
        <f t="shared" si="1750"/>
        <v>0</v>
      </c>
      <c r="AK1261" s="1127">
        <f t="shared" si="1782"/>
        <v>0</v>
      </c>
      <c r="AL1261" s="1374">
        <f t="shared" si="1783"/>
        <v>0</v>
      </c>
      <c r="AM1261" s="1376">
        <f t="shared" si="1751"/>
        <v>0</v>
      </c>
      <c r="AN1261" s="1173">
        <f t="shared" si="1751"/>
        <v>0</v>
      </c>
      <c r="AO1261" s="1173">
        <f t="shared" si="1751"/>
        <v>0</v>
      </c>
      <c r="AP1261" s="1173">
        <f t="shared" si="1751"/>
        <v>0</v>
      </c>
      <c r="AQ1261" s="1173">
        <f t="shared" si="1751"/>
        <v>0</v>
      </c>
      <c r="AR1261" s="1173">
        <f t="shared" si="1751"/>
        <v>0</v>
      </c>
      <c r="AS1261" s="1173">
        <f t="shared" si="1751"/>
        <v>0</v>
      </c>
      <c r="AT1261" s="1173">
        <f t="shared" si="1784"/>
        <v>0</v>
      </c>
      <c r="AU1261" s="1377" t="e">
        <f t="shared" si="1785"/>
        <v>#DIV/0!</v>
      </c>
      <c r="AV1261" s="1173">
        <f t="shared" si="1755"/>
        <v>0</v>
      </c>
      <c r="AW1261" s="1127">
        <f t="shared" si="1755"/>
        <v>0</v>
      </c>
      <c r="AX1261" s="1127">
        <f t="shared" si="1755"/>
        <v>0</v>
      </c>
      <c r="AY1261" s="1127">
        <f t="shared" si="1755"/>
        <v>0</v>
      </c>
      <c r="AZ1261" s="1127">
        <f t="shared" si="1755"/>
        <v>0</v>
      </c>
      <c r="BA1261" s="1127">
        <f t="shared" si="1755"/>
        <v>0</v>
      </c>
      <c r="BB1261" s="1127">
        <f t="shared" si="1755"/>
        <v>0</v>
      </c>
      <c r="BC1261" s="1177">
        <f t="shared" si="1786"/>
        <v>0</v>
      </c>
      <c r="BD1261" s="1378">
        <f t="shared" si="1787"/>
        <v>0</v>
      </c>
      <c r="BE1261" s="1024"/>
      <c r="BF1261" s="1024"/>
      <c r="BG1261" s="1008"/>
      <c r="BH1261" s="1008"/>
      <c r="BI1261" s="1008"/>
      <c r="BJ1261" s="1008"/>
      <c r="BK1261" s="1008"/>
      <c r="BL1261" s="1008"/>
      <c r="BM1261" s="1008"/>
    </row>
    <row r="1262" s="1215" customFormat="1">
      <c r="A1262" s="999" t="str">
        <f t="shared" si="1776"/>
        <v xml:space="preserve">Юшкова Н.Г.</v>
      </c>
      <c r="B1262" s="1202" t="s">
        <v>311</v>
      </c>
      <c r="C1262" s="1202"/>
      <c r="D1262" s="1202"/>
      <c r="E1262" s="1164">
        <f t="shared" si="1788"/>
        <v>4025.21</v>
      </c>
      <c r="F1262" s="1164">
        <f t="shared" si="1788"/>
        <v>15797.5</v>
      </c>
      <c r="G1262" s="1165">
        <f t="shared" si="1789"/>
        <v>19822.709999999999</v>
      </c>
      <c r="H1262" s="1166">
        <f t="shared" si="1777"/>
        <v>0.00021939637356895852</v>
      </c>
      <c r="I1262" s="1167">
        <f t="shared" si="1794"/>
        <v>4025.21</v>
      </c>
      <c r="J1262" s="1167">
        <f t="shared" si="1762"/>
        <v>15797.5</v>
      </c>
      <c r="K1262" s="1168">
        <f t="shared" si="1790"/>
        <v>19822.709999999999</v>
      </c>
      <c r="L1262" s="1372"/>
      <c r="M1262" s="1127">
        <f t="shared" si="1748"/>
        <v>0</v>
      </c>
      <c r="N1262" s="1127">
        <f t="shared" si="1748"/>
        <v>0</v>
      </c>
      <c r="O1262" s="1127">
        <f t="shared" si="1748"/>
        <v>0</v>
      </c>
      <c r="P1262" s="1127">
        <f t="shared" si="1748"/>
        <v>0</v>
      </c>
      <c r="Q1262" s="1127">
        <f t="shared" si="1748"/>
        <v>0</v>
      </c>
      <c r="R1262" s="1127">
        <f t="shared" si="1748"/>
        <v>0</v>
      </c>
      <c r="S1262" s="1127">
        <f t="shared" si="1778"/>
        <v>0</v>
      </c>
      <c r="T1262" s="1374">
        <f t="shared" si="1779"/>
        <v>0</v>
      </c>
      <c r="U1262" s="1173">
        <f t="shared" si="1749"/>
        <v>0</v>
      </c>
      <c r="V1262" s="1127">
        <f t="shared" si="1749"/>
        <v>0</v>
      </c>
      <c r="W1262" s="1127">
        <f t="shared" si="1749"/>
        <v>0</v>
      </c>
      <c r="X1262" s="1127">
        <f t="shared" si="1749"/>
        <v>0</v>
      </c>
      <c r="Y1262" s="1127">
        <f t="shared" si="1749"/>
        <v>0</v>
      </c>
      <c r="Z1262" s="1127">
        <f t="shared" si="1749"/>
        <v>0</v>
      </c>
      <c r="AA1262" s="1127">
        <f t="shared" si="1749"/>
        <v>0</v>
      </c>
      <c r="AB1262" s="1375">
        <f t="shared" si="1780"/>
        <v>0</v>
      </c>
      <c r="AC1262" s="1374">
        <f t="shared" si="1781"/>
        <v>0</v>
      </c>
      <c r="AD1262" s="1376">
        <f t="shared" si="1750"/>
        <v>0</v>
      </c>
      <c r="AE1262" s="1127">
        <f t="shared" si="1750"/>
        <v>0</v>
      </c>
      <c r="AF1262" s="1127">
        <f t="shared" si="1750"/>
        <v>0</v>
      </c>
      <c r="AG1262" s="1127">
        <f t="shared" si="1750"/>
        <v>0</v>
      </c>
      <c r="AH1262" s="1127">
        <f t="shared" si="1750"/>
        <v>4025.21</v>
      </c>
      <c r="AI1262" s="1127">
        <f t="shared" si="1750"/>
        <v>4025.21</v>
      </c>
      <c r="AJ1262" s="1127">
        <f t="shared" si="1750"/>
        <v>15797.5</v>
      </c>
      <c r="AK1262" s="1127">
        <f t="shared" si="1782"/>
        <v>19822.709999999999</v>
      </c>
      <c r="AL1262" s="1374">
        <f t="shared" si="1783"/>
        <v>0.0074000811754826295</v>
      </c>
      <c r="AM1262" s="1376">
        <f t="shared" si="1751"/>
        <v>0</v>
      </c>
      <c r="AN1262" s="1173">
        <f t="shared" si="1751"/>
        <v>0</v>
      </c>
      <c r="AO1262" s="1173">
        <f t="shared" si="1751"/>
        <v>0</v>
      </c>
      <c r="AP1262" s="1173">
        <f t="shared" si="1751"/>
        <v>0</v>
      </c>
      <c r="AQ1262" s="1173">
        <f t="shared" si="1751"/>
        <v>0</v>
      </c>
      <c r="AR1262" s="1173">
        <f t="shared" si="1751"/>
        <v>0</v>
      </c>
      <c r="AS1262" s="1173">
        <f t="shared" si="1751"/>
        <v>0</v>
      </c>
      <c r="AT1262" s="1173">
        <f t="shared" si="1784"/>
        <v>0</v>
      </c>
      <c r="AU1262" s="1377" t="e">
        <f t="shared" si="1785"/>
        <v>#DIV/0!</v>
      </c>
      <c r="AV1262" s="1173">
        <f t="shared" si="1755"/>
        <v>0</v>
      </c>
      <c r="AW1262" s="1127">
        <f t="shared" si="1755"/>
        <v>0</v>
      </c>
      <c r="AX1262" s="1127">
        <f t="shared" si="1755"/>
        <v>0</v>
      </c>
      <c r="AY1262" s="1127">
        <f t="shared" si="1755"/>
        <v>0</v>
      </c>
      <c r="AZ1262" s="1127">
        <f t="shared" si="1755"/>
        <v>0</v>
      </c>
      <c r="BA1262" s="1127">
        <f t="shared" si="1755"/>
        <v>0</v>
      </c>
      <c r="BB1262" s="1127">
        <f t="shared" si="1755"/>
        <v>0</v>
      </c>
      <c r="BC1262" s="1177">
        <f t="shared" si="1786"/>
        <v>0</v>
      </c>
      <c r="BD1262" s="1378">
        <f t="shared" si="1787"/>
        <v>0</v>
      </c>
      <c r="BE1262" s="1024"/>
      <c r="BF1262" s="1024"/>
      <c r="BG1262" s="1008"/>
      <c r="BH1262" s="1008"/>
      <c r="BI1262" s="1008"/>
      <c r="BJ1262" s="1008"/>
      <c r="BK1262" s="1008"/>
      <c r="BL1262" s="1008"/>
      <c r="BM1262" s="1008"/>
    </row>
    <row r="1263" s="1215" customFormat="1">
      <c r="A1263" s="999">
        <f t="shared" si="1776"/>
        <v>0</v>
      </c>
      <c r="B1263" s="1202" t="s">
        <v>456</v>
      </c>
      <c r="C1263" s="1202"/>
      <c r="D1263" s="1202"/>
      <c r="E1263" s="1164">
        <f t="shared" si="1788"/>
        <v>0</v>
      </c>
      <c r="F1263" s="1164">
        <f t="shared" si="1788"/>
        <v>0</v>
      </c>
      <c r="G1263" s="1165">
        <f t="shared" si="1789"/>
        <v>0</v>
      </c>
      <c r="H1263" s="1166">
        <f t="shared" si="1777"/>
        <v>0</v>
      </c>
      <c r="I1263" s="1167">
        <f t="shared" si="1794"/>
        <v>0</v>
      </c>
      <c r="J1263" s="1167">
        <f t="shared" si="1762"/>
        <v>0</v>
      </c>
      <c r="K1263" s="1168">
        <f t="shared" si="1790"/>
        <v>0</v>
      </c>
      <c r="L1263" s="1372"/>
      <c r="M1263" s="1127">
        <f t="shared" si="1748"/>
        <v>0</v>
      </c>
      <c r="N1263" s="1127">
        <f t="shared" si="1748"/>
        <v>0</v>
      </c>
      <c r="O1263" s="1127">
        <f t="shared" si="1748"/>
        <v>0</v>
      </c>
      <c r="P1263" s="1127">
        <f t="shared" si="1748"/>
        <v>0</v>
      </c>
      <c r="Q1263" s="1127">
        <f t="shared" si="1748"/>
        <v>0</v>
      </c>
      <c r="R1263" s="1127">
        <f t="shared" si="1748"/>
        <v>0</v>
      </c>
      <c r="S1263" s="1127">
        <f t="shared" si="1778"/>
        <v>0</v>
      </c>
      <c r="T1263" s="1374">
        <f t="shared" si="1779"/>
        <v>0</v>
      </c>
      <c r="U1263" s="1173">
        <f t="shared" si="1749"/>
        <v>0</v>
      </c>
      <c r="V1263" s="1127">
        <f t="shared" si="1749"/>
        <v>0</v>
      </c>
      <c r="W1263" s="1127">
        <f t="shared" si="1749"/>
        <v>0</v>
      </c>
      <c r="X1263" s="1127">
        <f t="shared" si="1749"/>
        <v>0</v>
      </c>
      <c r="Y1263" s="1127">
        <f t="shared" si="1749"/>
        <v>0</v>
      </c>
      <c r="Z1263" s="1127">
        <f t="shared" si="1749"/>
        <v>0</v>
      </c>
      <c r="AA1263" s="1127">
        <f t="shared" si="1749"/>
        <v>0</v>
      </c>
      <c r="AB1263" s="1375">
        <f t="shared" si="1780"/>
        <v>0</v>
      </c>
      <c r="AC1263" s="1374">
        <f t="shared" si="1781"/>
        <v>0</v>
      </c>
      <c r="AD1263" s="1376">
        <f t="shared" si="1750"/>
        <v>0</v>
      </c>
      <c r="AE1263" s="1127">
        <f t="shared" si="1750"/>
        <v>0</v>
      </c>
      <c r="AF1263" s="1127">
        <f t="shared" si="1750"/>
        <v>0</v>
      </c>
      <c r="AG1263" s="1127">
        <f t="shared" si="1750"/>
        <v>0</v>
      </c>
      <c r="AH1263" s="1127">
        <f t="shared" si="1750"/>
        <v>0</v>
      </c>
      <c r="AI1263" s="1127">
        <f t="shared" si="1750"/>
        <v>0</v>
      </c>
      <c r="AJ1263" s="1127">
        <f t="shared" si="1750"/>
        <v>0</v>
      </c>
      <c r="AK1263" s="1127">
        <f t="shared" si="1782"/>
        <v>0</v>
      </c>
      <c r="AL1263" s="1374">
        <f t="shared" si="1783"/>
        <v>0</v>
      </c>
      <c r="AM1263" s="1376">
        <f t="shared" si="1751"/>
        <v>0</v>
      </c>
      <c r="AN1263" s="1173">
        <f t="shared" si="1751"/>
        <v>0</v>
      </c>
      <c r="AO1263" s="1173">
        <f t="shared" si="1751"/>
        <v>0</v>
      </c>
      <c r="AP1263" s="1173">
        <f t="shared" si="1751"/>
        <v>0</v>
      </c>
      <c r="AQ1263" s="1173">
        <f t="shared" si="1751"/>
        <v>0</v>
      </c>
      <c r="AR1263" s="1173">
        <f t="shared" si="1751"/>
        <v>0</v>
      </c>
      <c r="AS1263" s="1173">
        <f t="shared" si="1751"/>
        <v>0</v>
      </c>
      <c r="AT1263" s="1173">
        <f t="shared" si="1784"/>
        <v>0</v>
      </c>
      <c r="AU1263" s="1377" t="e">
        <f t="shared" si="1785"/>
        <v>#DIV/0!</v>
      </c>
      <c r="AV1263" s="1173">
        <f t="shared" si="1755"/>
        <v>0</v>
      </c>
      <c r="AW1263" s="1127">
        <f t="shared" si="1755"/>
        <v>0</v>
      </c>
      <c r="AX1263" s="1127">
        <f t="shared" si="1755"/>
        <v>0</v>
      </c>
      <c r="AY1263" s="1127">
        <f t="shared" si="1755"/>
        <v>0</v>
      </c>
      <c r="AZ1263" s="1127">
        <f t="shared" si="1755"/>
        <v>0</v>
      </c>
      <c r="BA1263" s="1127">
        <f t="shared" si="1755"/>
        <v>0</v>
      </c>
      <c r="BB1263" s="1127">
        <f t="shared" si="1755"/>
        <v>0</v>
      </c>
      <c r="BC1263" s="1177">
        <f t="shared" si="1786"/>
        <v>0</v>
      </c>
      <c r="BD1263" s="1378">
        <f t="shared" si="1787"/>
        <v>0</v>
      </c>
      <c r="BE1263" s="1024"/>
      <c r="BF1263" s="1024"/>
      <c r="BG1263" s="1008"/>
      <c r="BH1263" s="1008"/>
      <c r="BI1263" s="1008"/>
      <c r="BJ1263" s="1008"/>
      <c r="BK1263" s="1008"/>
      <c r="BL1263" s="1008"/>
      <c r="BM1263" s="1008"/>
    </row>
    <row r="1264" s="1215" customFormat="1">
      <c r="A1264" s="999" t="str">
        <f t="shared" si="1776"/>
        <v xml:space="preserve">Попова ТЕ,  Семеров АВ</v>
      </c>
      <c r="B1264" s="1202" t="s">
        <v>457</v>
      </c>
      <c r="C1264" s="1202"/>
      <c r="D1264" s="1202"/>
      <c r="E1264" s="1164">
        <f t="shared" si="1788"/>
        <v>0</v>
      </c>
      <c r="F1264" s="1164">
        <f t="shared" si="1788"/>
        <v>0</v>
      </c>
      <c r="G1264" s="1165">
        <f t="shared" si="1789"/>
        <v>0</v>
      </c>
      <c r="H1264" s="1166">
        <f t="shared" si="1777"/>
        <v>0</v>
      </c>
      <c r="I1264" s="1167">
        <f t="shared" si="1794"/>
        <v>0</v>
      </c>
      <c r="J1264" s="1167">
        <f t="shared" si="1762"/>
        <v>0</v>
      </c>
      <c r="K1264" s="1168">
        <f t="shared" si="1790"/>
        <v>0</v>
      </c>
      <c r="L1264" s="1372"/>
      <c r="M1264" s="1127">
        <f t="shared" si="1748"/>
        <v>0</v>
      </c>
      <c r="N1264" s="1127">
        <f t="shared" si="1748"/>
        <v>0</v>
      </c>
      <c r="O1264" s="1127">
        <f t="shared" si="1748"/>
        <v>0</v>
      </c>
      <c r="P1264" s="1127">
        <f t="shared" si="1748"/>
        <v>0</v>
      </c>
      <c r="Q1264" s="1127">
        <f t="shared" si="1748"/>
        <v>0</v>
      </c>
      <c r="R1264" s="1127">
        <f t="shared" si="1748"/>
        <v>0</v>
      </c>
      <c r="S1264" s="1127">
        <f t="shared" si="1778"/>
        <v>0</v>
      </c>
      <c r="T1264" s="1374">
        <f t="shared" si="1779"/>
        <v>0</v>
      </c>
      <c r="U1264" s="1173">
        <f t="shared" si="1749"/>
        <v>0</v>
      </c>
      <c r="V1264" s="1127">
        <f t="shared" si="1749"/>
        <v>0</v>
      </c>
      <c r="W1264" s="1127">
        <f t="shared" si="1749"/>
        <v>0</v>
      </c>
      <c r="X1264" s="1127">
        <f t="shared" si="1749"/>
        <v>0</v>
      </c>
      <c r="Y1264" s="1127">
        <f t="shared" si="1749"/>
        <v>0</v>
      </c>
      <c r="Z1264" s="1127">
        <f t="shared" si="1749"/>
        <v>0</v>
      </c>
      <c r="AA1264" s="1127">
        <f t="shared" si="1749"/>
        <v>0</v>
      </c>
      <c r="AB1264" s="1375">
        <f t="shared" si="1780"/>
        <v>0</v>
      </c>
      <c r="AC1264" s="1374">
        <f t="shared" si="1781"/>
        <v>0</v>
      </c>
      <c r="AD1264" s="1376">
        <f t="shared" si="1750"/>
        <v>0</v>
      </c>
      <c r="AE1264" s="1127">
        <f t="shared" si="1750"/>
        <v>0</v>
      </c>
      <c r="AF1264" s="1127">
        <f t="shared" si="1750"/>
        <v>0</v>
      </c>
      <c r="AG1264" s="1127">
        <f t="shared" si="1750"/>
        <v>0</v>
      </c>
      <c r="AH1264" s="1127">
        <f t="shared" si="1750"/>
        <v>0</v>
      </c>
      <c r="AI1264" s="1127">
        <f t="shared" si="1750"/>
        <v>0</v>
      </c>
      <c r="AJ1264" s="1127">
        <f t="shared" si="1750"/>
        <v>0</v>
      </c>
      <c r="AK1264" s="1127">
        <f t="shared" si="1782"/>
        <v>0</v>
      </c>
      <c r="AL1264" s="1374">
        <f t="shared" si="1783"/>
        <v>0</v>
      </c>
      <c r="AM1264" s="1376">
        <f t="shared" si="1751"/>
        <v>0</v>
      </c>
      <c r="AN1264" s="1173">
        <f t="shared" si="1751"/>
        <v>0</v>
      </c>
      <c r="AO1264" s="1173">
        <f t="shared" si="1751"/>
        <v>0</v>
      </c>
      <c r="AP1264" s="1173">
        <f t="shared" si="1751"/>
        <v>0</v>
      </c>
      <c r="AQ1264" s="1173">
        <f t="shared" si="1751"/>
        <v>0</v>
      </c>
      <c r="AR1264" s="1173">
        <f t="shared" si="1751"/>
        <v>0</v>
      </c>
      <c r="AS1264" s="1173">
        <f t="shared" si="1751"/>
        <v>0</v>
      </c>
      <c r="AT1264" s="1173">
        <f t="shared" si="1784"/>
        <v>0</v>
      </c>
      <c r="AU1264" s="1377" t="e">
        <f t="shared" si="1785"/>
        <v>#DIV/0!</v>
      </c>
      <c r="AV1264" s="1173">
        <f t="shared" si="1755"/>
        <v>0</v>
      </c>
      <c r="AW1264" s="1127">
        <f t="shared" si="1755"/>
        <v>0</v>
      </c>
      <c r="AX1264" s="1127">
        <f t="shared" si="1755"/>
        <v>0</v>
      </c>
      <c r="AY1264" s="1127">
        <f t="shared" si="1755"/>
        <v>0</v>
      </c>
      <c r="AZ1264" s="1127">
        <f t="shared" si="1755"/>
        <v>0</v>
      </c>
      <c r="BA1264" s="1127">
        <f t="shared" si="1755"/>
        <v>0</v>
      </c>
      <c r="BB1264" s="1127">
        <f t="shared" si="1755"/>
        <v>0</v>
      </c>
      <c r="BC1264" s="1177">
        <f t="shared" si="1786"/>
        <v>0</v>
      </c>
      <c r="BD1264" s="1378">
        <f t="shared" si="1787"/>
        <v>0</v>
      </c>
      <c r="BE1264" s="1024"/>
      <c r="BF1264" s="1024"/>
      <c r="BG1264" s="1008"/>
      <c r="BH1264" s="1008"/>
      <c r="BI1264" s="1008"/>
      <c r="BJ1264" s="1008"/>
      <c r="BK1264" s="1008"/>
      <c r="BL1264" s="1008"/>
      <c r="BM1264" s="1008"/>
    </row>
    <row r="1265" s="1215" customFormat="1">
      <c r="A1265" s="999">
        <f t="shared" si="1776"/>
        <v>0</v>
      </c>
      <c r="B1265" s="1202" t="s">
        <v>458</v>
      </c>
      <c r="C1265" s="1202"/>
      <c r="D1265" s="1202"/>
      <c r="E1265" s="1164">
        <f t="shared" si="1788"/>
        <v>0</v>
      </c>
      <c r="F1265" s="1164">
        <f t="shared" si="1788"/>
        <v>0</v>
      </c>
      <c r="G1265" s="1165">
        <f t="shared" si="1789"/>
        <v>0</v>
      </c>
      <c r="H1265" s="1166">
        <f t="shared" si="1777"/>
        <v>0</v>
      </c>
      <c r="I1265" s="1167">
        <f t="shared" si="1794"/>
        <v>0</v>
      </c>
      <c r="J1265" s="1167">
        <f t="shared" si="1762"/>
        <v>0</v>
      </c>
      <c r="K1265" s="1168">
        <f t="shared" si="1790"/>
        <v>0</v>
      </c>
      <c r="L1265" s="1372"/>
      <c r="M1265" s="1127">
        <f t="shared" si="1748"/>
        <v>0</v>
      </c>
      <c r="N1265" s="1127">
        <f t="shared" si="1748"/>
        <v>0</v>
      </c>
      <c r="O1265" s="1127">
        <f t="shared" si="1748"/>
        <v>0</v>
      </c>
      <c r="P1265" s="1127">
        <f t="shared" si="1748"/>
        <v>0</v>
      </c>
      <c r="Q1265" s="1127">
        <f t="shared" si="1748"/>
        <v>0</v>
      </c>
      <c r="R1265" s="1127">
        <f t="shared" si="1748"/>
        <v>0</v>
      </c>
      <c r="S1265" s="1127">
        <f t="shared" si="1778"/>
        <v>0</v>
      </c>
      <c r="T1265" s="1374">
        <f t="shared" si="1779"/>
        <v>0</v>
      </c>
      <c r="U1265" s="1173">
        <f t="shared" si="1749"/>
        <v>0</v>
      </c>
      <c r="V1265" s="1127">
        <f t="shared" si="1749"/>
        <v>0</v>
      </c>
      <c r="W1265" s="1127">
        <f t="shared" si="1749"/>
        <v>0</v>
      </c>
      <c r="X1265" s="1127">
        <f t="shared" si="1749"/>
        <v>0</v>
      </c>
      <c r="Y1265" s="1127">
        <f t="shared" si="1749"/>
        <v>0</v>
      </c>
      <c r="Z1265" s="1127">
        <f t="shared" si="1749"/>
        <v>0</v>
      </c>
      <c r="AA1265" s="1127">
        <f t="shared" si="1749"/>
        <v>0</v>
      </c>
      <c r="AB1265" s="1375">
        <f t="shared" si="1780"/>
        <v>0</v>
      </c>
      <c r="AC1265" s="1374">
        <f t="shared" si="1781"/>
        <v>0</v>
      </c>
      <c r="AD1265" s="1376">
        <f t="shared" si="1750"/>
        <v>0</v>
      </c>
      <c r="AE1265" s="1127">
        <f t="shared" si="1750"/>
        <v>0</v>
      </c>
      <c r="AF1265" s="1127">
        <f t="shared" si="1750"/>
        <v>0</v>
      </c>
      <c r="AG1265" s="1127">
        <f t="shared" si="1750"/>
        <v>0</v>
      </c>
      <c r="AH1265" s="1127">
        <f t="shared" si="1750"/>
        <v>0</v>
      </c>
      <c r="AI1265" s="1127">
        <f t="shared" si="1750"/>
        <v>0</v>
      </c>
      <c r="AJ1265" s="1127">
        <f t="shared" si="1750"/>
        <v>0</v>
      </c>
      <c r="AK1265" s="1127">
        <f t="shared" si="1782"/>
        <v>0</v>
      </c>
      <c r="AL1265" s="1374">
        <f t="shared" si="1783"/>
        <v>0</v>
      </c>
      <c r="AM1265" s="1376">
        <f t="shared" si="1751"/>
        <v>0</v>
      </c>
      <c r="AN1265" s="1173">
        <f t="shared" si="1751"/>
        <v>0</v>
      </c>
      <c r="AO1265" s="1173">
        <f t="shared" si="1751"/>
        <v>0</v>
      </c>
      <c r="AP1265" s="1173">
        <f t="shared" si="1751"/>
        <v>0</v>
      </c>
      <c r="AQ1265" s="1173">
        <f t="shared" si="1751"/>
        <v>0</v>
      </c>
      <c r="AR1265" s="1173">
        <f t="shared" si="1751"/>
        <v>0</v>
      </c>
      <c r="AS1265" s="1173">
        <f t="shared" si="1751"/>
        <v>0</v>
      </c>
      <c r="AT1265" s="1173">
        <f t="shared" si="1784"/>
        <v>0</v>
      </c>
      <c r="AU1265" s="1377" t="e">
        <f t="shared" si="1785"/>
        <v>#DIV/0!</v>
      </c>
      <c r="AV1265" s="1173">
        <f t="shared" si="1755"/>
        <v>0</v>
      </c>
      <c r="AW1265" s="1127">
        <f t="shared" si="1755"/>
        <v>0</v>
      </c>
      <c r="AX1265" s="1127">
        <f t="shared" si="1755"/>
        <v>0</v>
      </c>
      <c r="AY1265" s="1127">
        <f t="shared" si="1755"/>
        <v>0</v>
      </c>
      <c r="AZ1265" s="1127">
        <f t="shared" si="1755"/>
        <v>0</v>
      </c>
      <c r="BA1265" s="1127">
        <f t="shared" si="1755"/>
        <v>0</v>
      </c>
      <c r="BB1265" s="1127">
        <f t="shared" si="1755"/>
        <v>0</v>
      </c>
      <c r="BC1265" s="1177">
        <f t="shared" si="1786"/>
        <v>0</v>
      </c>
      <c r="BD1265" s="1378">
        <f t="shared" si="1787"/>
        <v>0</v>
      </c>
      <c r="BE1265" s="1024"/>
      <c r="BF1265" s="1024"/>
      <c r="BG1265" s="1008"/>
      <c r="BH1265" s="1008"/>
      <c r="BI1265" s="1008"/>
      <c r="BJ1265" s="1008"/>
      <c r="BK1265" s="1008"/>
      <c r="BL1265" s="1008"/>
      <c r="BM1265" s="1008"/>
    </row>
    <row r="1266" s="1215" customFormat="1">
      <c r="A1266" s="999">
        <f t="shared" si="1776"/>
        <v>0</v>
      </c>
      <c r="B1266" s="1202" t="s">
        <v>534</v>
      </c>
      <c r="C1266" s="1202"/>
      <c r="D1266" s="1202"/>
      <c r="E1266" s="1164">
        <f t="shared" si="1788"/>
        <v>0</v>
      </c>
      <c r="F1266" s="1164">
        <f t="shared" si="1788"/>
        <v>0</v>
      </c>
      <c r="G1266" s="1165">
        <f t="shared" si="1789"/>
        <v>0</v>
      </c>
      <c r="H1266" s="1166">
        <f t="shared" si="1777"/>
        <v>0</v>
      </c>
      <c r="I1266" s="1167">
        <f t="shared" si="1794"/>
        <v>0</v>
      </c>
      <c r="J1266" s="1167">
        <f t="shared" si="1762"/>
        <v>0</v>
      </c>
      <c r="K1266" s="1168">
        <f t="shared" si="1790"/>
        <v>0</v>
      </c>
      <c r="L1266" s="1372"/>
      <c r="M1266" s="1127">
        <f t="shared" si="1748"/>
        <v>0</v>
      </c>
      <c r="N1266" s="1127">
        <f t="shared" si="1748"/>
        <v>0</v>
      </c>
      <c r="O1266" s="1127">
        <f t="shared" si="1748"/>
        <v>0</v>
      </c>
      <c r="P1266" s="1127">
        <f t="shared" si="1748"/>
        <v>0</v>
      </c>
      <c r="Q1266" s="1127">
        <f t="shared" si="1748"/>
        <v>0</v>
      </c>
      <c r="R1266" s="1127">
        <f t="shared" si="1748"/>
        <v>0</v>
      </c>
      <c r="S1266" s="1127">
        <f t="shared" si="1778"/>
        <v>0</v>
      </c>
      <c r="T1266" s="1374">
        <f t="shared" si="1779"/>
        <v>0</v>
      </c>
      <c r="U1266" s="1173">
        <f t="shared" si="1749"/>
        <v>0</v>
      </c>
      <c r="V1266" s="1127">
        <f t="shared" si="1749"/>
        <v>0</v>
      </c>
      <c r="W1266" s="1127">
        <f t="shared" si="1749"/>
        <v>0</v>
      </c>
      <c r="X1266" s="1127">
        <f t="shared" si="1749"/>
        <v>0</v>
      </c>
      <c r="Y1266" s="1127">
        <f t="shared" si="1749"/>
        <v>0</v>
      </c>
      <c r="Z1266" s="1127">
        <f t="shared" si="1749"/>
        <v>0</v>
      </c>
      <c r="AA1266" s="1127">
        <f t="shared" si="1749"/>
        <v>0</v>
      </c>
      <c r="AB1266" s="1375">
        <f t="shared" si="1780"/>
        <v>0</v>
      </c>
      <c r="AC1266" s="1374">
        <f t="shared" si="1781"/>
        <v>0</v>
      </c>
      <c r="AD1266" s="1376">
        <f t="shared" si="1750"/>
        <v>0</v>
      </c>
      <c r="AE1266" s="1127">
        <f t="shared" si="1750"/>
        <v>0</v>
      </c>
      <c r="AF1266" s="1127">
        <f t="shared" si="1750"/>
        <v>0</v>
      </c>
      <c r="AG1266" s="1127">
        <f t="shared" si="1750"/>
        <v>0</v>
      </c>
      <c r="AH1266" s="1127">
        <f t="shared" si="1750"/>
        <v>0</v>
      </c>
      <c r="AI1266" s="1127">
        <f t="shared" si="1750"/>
        <v>0</v>
      </c>
      <c r="AJ1266" s="1127">
        <f t="shared" si="1750"/>
        <v>0</v>
      </c>
      <c r="AK1266" s="1127">
        <f t="shared" si="1782"/>
        <v>0</v>
      </c>
      <c r="AL1266" s="1374">
        <f t="shared" si="1783"/>
        <v>0</v>
      </c>
      <c r="AM1266" s="1376">
        <f t="shared" si="1751"/>
        <v>0</v>
      </c>
      <c r="AN1266" s="1173">
        <f t="shared" si="1751"/>
        <v>0</v>
      </c>
      <c r="AO1266" s="1173">
        <f t="shared" si="1751"/>
        <v>0</v>
      </c>
      <c r="AP1266" s="1173">
        <f t="shared" si="1751"/>
        <v>0</v>
      </c>
      <c r="AQ1266" s="1173">
        <f t="shared" si="1751"/>
        <v>0</v>
      </c>
      <c r="AR1266" s="1173">
        <f t="shared" si="1751"/>
        <v>0</v>
      </c>
      <c r="AS1266" s="1173">
        <f t="shared" si="1751"/>
        <v>0</v>
      </c>
      <c r="AT1266" s="1173">
        <f t="shared" si="1784"/>
        <v>0</v>
      </c>
      <c r="AU1266" s="1377" t="e">
        <f t="shared" si="1785"/>
        <v>#DIV/0!</v>
      </c>
      <c r="AV1266" s="1173">
        <f t="shared" si="1755"/>
        <v>0</v>
      </c>
      <c r="AW1266" s="1127">
        <f t="shared" si="1755"/>
        <v>0</v>
      </c>
      <c r="AX1266" s="1127">
        <f t="shared" si="1755"/>
        <v>0</v>
      </c>
      <c r="AY1266" s="1127">
        <f t="shared" si="1755"/>
        <v>0</v>
      </c>
      <c r="AZ1266" s="1127">
        <f t="shared" si="1755"/>
        <v>0</v>
      </c>
      <c r="BA1266" s="1127">
        <f t="shared" si="1755"/>
        <v>0</v>
      </c>
      <c r="BB1266" s="1127">
        <f t="shared" si="1755"/>
        <v>0</v>
      </c>
      <c r="BC1266" s="1177">
        <f t="shared" si="1786"/>
        <v>0</v>
      </c>
      <c r="BD1266" s="1378">
        <f t="shared" si="1787"/>
        <v>0</v>
      </c>
      <c r="BE1266" s="1024"/>
      <c r="BF1266" s="1024"/>
      <c r="BG1266" s="1008"/>
      <c r="BH1266" s="1008"/>
      <c r="BI1266" s="1008"/>
      <c r="BJ1266" s="1008"/>
      <c r="BK1266" s="1008"/>
      <c r="BL1266" s="1008"/>
      <c r="BM1266" s="1008"/>
    </row>
    <row r="1267" s="1215" customFormat="1">
      <c r="A1267" s="999">
        <f t="shared" si="1776"/>
        <v>0</v>
      </c>
      <c r="B1267" s="1202" t="s">
        <v>460</v>
      </c>
      <c r="C1267" s="1202"/>
      <c r="D1267" s="1202"/>
      <c r="E1267" s="1164">
        <f t="shared" si="1788"/>
        <v>0</v>
      </c>
      <c r="F1267" s="1164">
        <f t="shared" si="1788"/>
        <v>0</v>
      </c>
      <c r="G1267" s="1165">
        <f t="shared" si="1789"/>
        <v>0</v>
      </c>
      <c r="H1267" s="1166">
        <f t="shared" si="1777"/>
        <v>0</v>
      </c>
      <c r="I1267" s="1167">
        <f t="shared" si="1794"/>
        <v>0</v>
      </c>
      <c r="J1267" s="1167">
        <f t="shared" si="1762"/>
        <v>0</v>
      </c>
      <c r="K1267" s="1168">
        <f t="shared" si="1790"/>
        <v>0</v>
      </c>
      <c r="L1267" s="1372"/>
      <c r="M1267" s="1127">
        <f t="shared" ref="M1267:R1276" si="1795">M1169+M1072+M974+M876+M775+M677+M580+M483+M385+M288+M190+M92</f>
        <v>0</v>
      </c>
      <c r="N1267" s="1127">
        <f t="shared" si="1795"/>
        <v>0</v>
      </c>
      <c r="O1267" s="1127">
        <f t="shared" si="1795"/>
        <v>0</v>
      </c>
      <c r="P1267" s="1127">
        <f t="shared" si="1795"/>
        <v>0</v>
      </c>
      <c r="Q1267" s="1127">
        <f t="shared" si="1795"/>
        <v>0</v>
      </c>
      <c r="R1267" s="1127">
        <f t="shared" si="1795"/>
        <v>0</v>
      </c>
      <c r="S1267" s="1127">
        <f t="shared" si="1778"/>
        <v>0</v>
      </c>
      <c r="T1267" s="1374">
        <f t="shared" si="1779"/>
        <v>0</v>
      </c>
      <c r="U1267" s="1173">
        <f t="shared" ref="U1267:AA1275" si="1796">U1169+U1072+U974+U876+U775+U677+U580+U483+U385+U288+U190+U92</f>
        <v>0</v>
      </c>
      <c r="V1267" s="1127">
        <f t="shared" si="1796"/>
        <v>0</v>
      </c>
      <c r="W1267" s="1127">
        <f t="shared" si="1796"/>
        <v>0</v>
      </c>
      <c r="X1267" s="1127">
        <f t="shared" si="1796"/>
        <v>0</v>
      </c>
      <c r="Y1267" s="1127">
        <f t="shared" si="1796"/>
        <v>0</v>
      </c>
      <c r="Z1267" s="1127">
        <f t="shared" si="1796"/>
        <v>0</v>
      </c>
      <c r="AA1267" s="1127">
        <f t="shared" si="1796"/>
        <v>0</v>
      </c>
      <c r="AB1267" s="1375">
        <f t="shared" si="1780"/>
        <v>0</v>
      </c>
      <c r="AC1267" s="1374">
        <f t="shared" si="1781"/>
        <v>0</v>
      </c>
      <c r="AD1267" s="1376">
        <f t="shared" ref="AD1267:AJ1275" si="1797">AD1169+AD1072+AD974+AD876+AD775+AD677+AD580+AD483+AD385+AD288+AD190+AD92</f>
        <v>0</v>
      </c>
      <c r="AE1267" s="1127">
        <f t="shared" si="1797"/>
        <v>0</v>
      </c>
      <c r="AF1267" s="1127">
        <f t="shared" si="1797"/>
        <v>0</v>
      </c>
      <c r="AG1267" s="1127">
        <f t="shared" si="1797"/>
        <v>0</v>
      </c>
      <c r="AH1267" s="1127">
        <f t="shared" si="1797"/>
        <v>0</v>
      </c>
      <c r="AI1267" s="1127">
        <f t="shared" si="1797"/>
        <v>0</v>
      </c>
      <c r="AJ1267" s="1127">
        <f t="shared" si="1797"/>
        <v>0</v>
      </c>
      <c r="AK1267" s="1127">
        <f t="shared" si="1782"/>
        <v>0</v>
      </c>
      <c r="AL1267" s="1374">
        <f t="shared" si="1783"/>
        <v>0</v>
      </c>
      <c r="AM1267" s="1376">
        <f t="shared" ref="AM1267:AS1277" si="1798">AM1169+AM1072+AM974+AM876+AM775+AM677+AM580+AM483+AM385+AM288+AM190+AM92</f>
        <v>0</v>
      </c>
      <c r="AN1267" s="1173">
        <f t="shared" si="1798"/>
        <v>0</v>
      </c>
      <c r="AO1267" s="1173">
        <f t="shared" si="1798"/>
        <v>0</v>
      </c>
      <c r="AP1267" s="1173">
        <f t="shared" si="1798"/>
        <v>0</v>
      </c>
      <c r="AQ1267" s="1173">
        <f t="shared" si="1798"/>
        <v>0</v>
      </c>
      <c r="AR1267" s="1173">
        <f t="shared" si="1798"/>
        <v>0</v>
      </c>
      <c r="AS1267" s="1173">
        <f t="shared" si="1798"/>
        <v>0</v>
      </c>
      <c r="AT1267" s="1173">
        <f t="shared" si="1784"/>
        <v>0</v>
      </c>
      <c r="AU1267" s="1377" t="e">
        <f t="shared" si="1785"/>
        <v>#DIV/0!</v>
      </c>
      <c r="AV1267" s="1173">
        <f t="shared" si="1755"/>
        <v>0</v>
      </c>
      <c r="AW1267" s="1127">
        <f t="shared" si="1755"/>
        <v>0</v>
      </c>
      <c r="AX1267" s="1127">
        <f t="shared" si="1755"/>
        <v>0</v>
      </c>
      <c r="AY1267" s="1127">
        <f t="shared" si="1755"/>
        <v>0</v>
      </c>
      <c r="AZ1267" s="1127">
        <f t="shared" si="1755"/>
        <v>0</v>
      </c>
      <c r="BA1267" s="1127">
        <f t="shared" si="1755"/>
        <v>0</v>
      </c>
      <c r="BB1267" s="1127">
        <f t="shared" si="1755"/>
        <v>0</v>
      </c>
      <c r="BC1267" s="1177">
        <f t="shared" si="1786"/>
        <v>0</v>
      </c>
      <c r="BD1267" s="1378">
        <f t="shared" si="1787"/>
        <v>0</v>
      </c>
      <c r="BE1267" s="1024"/>
      <c r="BF1267" s="1024"/>
      <c r="BG1267" s="1008"/>
      <c r="BH1267" s="1008"/>
      <c r="BI1267" s="1008"/>
      <c r="BJ1267" s="1008"/>
      <c r="BK1267" s="1008"/>
      <c r="BL1267" s="1008"/>
      <c r="BM1267" s="1008"/>
    </row>
    <row r="1268">
      <c r="A1268" s="999" t="str">
        <f t="shared" si="1776"/>
        <v xml:space="preserve">Белова СА</v>
      </c>
      <c r="B1268" s="1202" t="s">
        <v>461</v>
      </c>
      <c r="C1268" s="1202"/>
      <c r="D1268" s="1202"/>
      <c r="E1268" s="1164">
        <f t="shared" si="1788"/>
        <v>0</v>
      </c>
      <c r="F1268" s="1164">
        <f t="shared" si="1788"/>
        <v>0</v>
      </c>
      <c r="G1268" s="1165">
        <f t="shared" si="1789"/>
        <v>0</v>
      </c>
      <c r="H1268" s="1166">
        <f t="shared" si="1777"/>
        <v>0</v>
      </c>
      <c r="I1268" s="1167">
        <f t="shared" si="1794"/>
        <v>0</v>
      </c>
      <c r="J1268" s="1167">
        <f t="shared" si="1762"/>
        <v>0</v>
      </c>
      <c r="K1268" s="1168">
        <f t="shared" si="1790"/>
        <v>0</v>
      </c>
      <c r="L1268" s="1372"/>
      <c r="M1268" s="1127">
        <f t="shared" si="1795"/>
        <v>0</v>
      </c>
      <c r="N1268" s="1127">
        <f t="shared" si="1795"/>
        <v>0</v>
      </c>
      <c r="O1268" s="1127">
        <f t="shared" si="1795"/>
        <v>0</v>
      </c>
      <c r="P1268" s="1127">
        <f t="shared" si="1795"/>
        <v>0</v>
      </c>
      <c r="Q1268" s="1127">
        <f t="shared" si="1795"/>
        <v>0</v>
      </c>
      <c r="R1268" s="1127">
        <f t="shared" si="1795"/>
        <v>0</v>
      </c>
      <c r="S1268" s="1127">
        <f t="shared" si="1778"/>
        <v>0</v>
      </c>
      <c r="T1268" s="1374">
        <f t="shared" si="1779"/>
        <v>0</v>
      </c>
      <c r="U1268" s="1173">
        <f t="shared" si="1796"/>
        <v>0</v>
      </c>
      <c r="V1268" s="1127">
        <f t="shared" si="1796"/>
        <v>0</v>
      </c>
      <c r="W1268" s="1127">
        <f t="shared" si="1796"/>
        <v>0</v>
      </c>
      <c r="X1268" s="1127">
        <f t="shared" si="1796"/>
        <v>0</v>
      </c>
      <c r="Y1268" s="1127">
        <f t="shared" si="1796"/>
        <v>0</v>
      </c>
      <c r="Z1268" s="1127">
        <f t="shared" si="1796"/>
        <v>0</v>
      </c>
      <c r="AA1268" s="1127">
        <f t="shared" si="1796"/>
        <v>0</v>
      </c>
      <c r="AB1268" s="1375">
        <f t="shared" si="1780"/>
        <v>0</v>
      </c>
      <c r="AC1268" s="1374">
        <f t="shared" si="1781"/>
        <v>0</v>
      </c>
      <c r="AD1268" s="1376">
        <f t="shared" si="1797"/>
        <v>0</v>
      </c>
      <c r="AE1268" s="1127">
        <f t="shared" si="1797"/>
        <v>0</v>
      </c>
      <c r="AF1268" s="1127">
        <f t="shared" si="1797"/>
        <v>0</v>
      </c>
      <c r="AG1268" s="1127">
        <f t="shared" si="1797"/>
        <v>0</v>
      </c>
      <c r="AH1268" s="1127">
        <f t="shared" si="1797"/>
        <v>0</v>
      </c>
      <c r="AI1268" s="1127">
        <f t="shared" si="1797"/>
        <v>0</v>
      </c>
      <c r="AJ1268" s="1127">
        <f t="shared" si="1797"/>
        <v>0</v>
      </c>
      <c r="AK1268" s="1127">
        <f t="shared" si="1782"/>
        <v>0</v>
      </c>
      <c r="AL1268" s="1374">
        <f t="shared" si="1783"/>
        <v>0</v>
      </c>
      <c r="AM1268" s="1376">
        <f t="shared" si="1798"/>
        <v>0</v>
      </c>
      <c r="AN1268" s="1173">
        <f t="shared" si="1798"/>
        <v>0</v>
      </c>
      <c r="AO1268" s="1173">
        <f t="shared" si="1798"/>
        <v>0</v>
      </c>
      <c r="AP1268" s="1173">
        <f t="shared" si="1798"/>
        <v>0</v>
      </c>
      <c r="AQ1268" s="1173">
        <f t="shared" si="1798"/>
        <v>0</v>
      </c>
      <c r="AR1268" s="1173">
        <f t="shared" si="1798"/>
        <v>0</v>
      </c>
      <c r="AS1268" s="1173">
        <f t="shared" si="1798"/>
        <v>0</v>
      </c>
      <c r="AT1268" s="1173">
        <f t="shared" si="1784"/>
        <v>0</v>
      </c>
      <c r="AU1268" s="1377" t="e">
        <f t="shared" si="1785"/>
        <v>#DIV/0!</v>
      </c>
      <c r="AV1268" s="1173">
        <f t="shared" si="1755"/>
        <v>0</v>
      </c>
      <c r="AW1268" s="1127">
        <f t="shared" si="1755"/>
        <v>0</v>
      </c>
      <c r="AX1268" s="1127">
        <f t="shared" si="1755"/>
        <v>0</v>
      </c>
      <c r="AY1268" s="1127">
        <f t="shared" si="1755"/>
        <v>0</v>
      </c>
      <c r="AZ1268" s="1127">
        <f t="shared" si="1755"/>
        <v>0</v>
      </c>
      <c r="BA1268" s="1127">
        <f t="shared" si="1755"/>
        <v>0</v>
      </c>
      <c r="BB1268" s="1127">
        <f t="shared" si="1755"/>
        <v>0</v>
      </c>
      <c r="BC1268" s="1177">
        <f t="shared" si="1786"/>
        <v>0</v>
      </c>
      <c r="BD1268" s="1378">
        <f t="shared" si="1787"/>
        <v>0</v>
      </c>
      <c r="BE1268" s="1029"/>
      <c r="BF1268" s="1029"/>
    </row>
    <row r="1269">
      <c r="A1269" s="999">
        <f t="shared" si="1776"/>
        <v>0</v>
      </c>
      <c r="B1269" s="1202" t="s">
        <v>462</v>
      </c>
      <c r="C1269" s="1202"/>
      <c r="D1269" s="1202"/>
      <c r="E1269" s="1164">
        <f t="shared" si="1788"/>
        <v>0</v>
      </c>
      <c r="F1269" s="1164">
        <f t="shared" si="1788"/>
        <v>0</v>
      </c>
      <c r="G1269" s="1165">
        <f t="shared" si="1789"/>
        <v>0</v>
      </c>
      <c r="H1269" s="1166">
        <f t="shared" si="1777"/>
        <v>0</v>
      </c>
      <c r="I1269" s="1167">
        <f t="shared" si="1794"/>
        <v>0</v>
      </c>
      <c r="J1269" s="1167">
        <f t="shared" si="1762"/>
        <v>0</v>
      </c>
      <c r="K1269" s="1168">
        <f t="shared" si="1790"/>
        <v>0</v>
      </c>
      <c r="L1269" s="1372"/>
      <c r="M1269" s="1127">
        <f t="shared" si="1795"/>
        <v>0</v>
      </c>
      <c r="N1269" s="1127">
        <f t="shared" si="1795"/>
        <v>0</v>
      </c>
      <c r="O1269" s="1127">
        <f t="shared" si="1795"/>
        <v>0</v>
      </c>
      <c r="P1269" s="1127">
        <f t="shared" si="1795"/>
        <v>0</v>
      </c>
      <c r="Q1269" s="1127">
        <f t="shared" si="1795"/>
        <v>0</v>
      </c>
      <c r="R1269" s="1127">
        <f t="shared" si="1795"/>
        <v>0</v>
      </c>
      <c r="S1269" s="1127">
        <f t="shared" si="1778"/>
        <v>0</v>
      </c>
      <c r="T1269" s="1374">
        <f t="shared" si="1779"/>
        <v>0</v>
      </c>
      <c r="U1269" s="1173">
        <f t="shared" si="1796"/>
        <v>0</v>
      </c>
      <c r="V1269" s="1127">
        <f t="shared" si="1796"/>
        <v>0</v>
      </c>
      <c r="W1269" s="1127">
        <f t="shared" si="1796"/>
        <v>0</v>
      </c>
      <c r="X1269" s="1127">
        <f t="shared" si="1796"/>
        <v>0</v>
      </c>
      <c r="Y1269" s="1127">
        <f t="shared" si="1796"/>
        <v>0</v>
      </c>
      <c r="Z1269" s="1127">
        <f t="shared" si="1796"/>
        <v>0</v>
      </c>
      <c r="AA1269" s="1127">
        <f t="shared" si="1796"/>
        <v>0</v>
      </c>
      <c r="AB1269" s="1375">
        <f t="shared" si="1780"/>
        <v>0</v>
      </c>
      <c r="AC1269" s="1374">
        <f t="shared" si="1781"/>
        <v>0</v>
      </c>
      <c r="AD1269" s="1376">
        <f t="shared" si="1797"/>
        <v>0</v>
      </c>
      <c r="AE1269" s="1127">
        <f t="shared" si="1797"/>
        <v>0</v>
      </c>
      <c r="AF1269" s="1127">
        <f t="shared" si="1797"/>
        <v>0</v>
      </c>
      <c r="AG1269" s="1127">
        <f t="shared" si="1797"/>
        <v>0</v>
      </c>
      <c r="AH1269" s="1127">
        <f t="shared" si="1797"/>
        <v>0</v>
      </c>
      <c r="AI1269" s="1127">
        <f t="shared" si="1797"/>
        <v>0</v>
      </c>
      <c r="AJ1269" s="1127">
        <f t="shared" si="1797"/>
        <v>0</v>
      </c>
      <c r="AK1269" s="1127">
        <f t="shared" si="1782"/>
        <v>0</v>
      </c>
      <c r="AL1269" s="1374">
        <f t="shared" si="1783"/>
        <v>0</v>
      </c>
      <c r="AM1269" s="1376">
        <f t="shared" si="1798"/>
        <v>0</v>
      </c>
      <c r="AN1269" s="1173">
        <f t="shared" si="1798"/>
        <v>0</v>
      </c>
      <c r="AO1269" s="1173">
        <f t="shared" si="1798"/>
        <v>0</v>
      </c>
      <c r="AP1269" s="1173">
        <f t="shared" si="1798"/>
        <v>0</v>
      </c>
      <c r="AQ1269" s="1173">
        <f t="shared" si="1798"/>
        <v>0</v>
      </c>
      <c r="AR1269" s="1173">
        <f t="shared" si="1798"/>
        <v>0</v>
      </c>
      <c r="AS1269" s="1173">
        <f t="shared" si="1798"/>
        <v>0</v>
      </c>
      <c r="AT1269" s="1173">
        <f t="shared" si="1784"/>
        <v>0</v>
      </c>
      <c r="AU1269" s="1377" t="e">
        <f t="shared" si="1785"/>
        <v>#DIV/0!</v>
      </c>
      <c r="AV1269" s="1173">
        <f t="shared" si="1755"/>
        <v>0</v>
      </c>
      <c r="AW1269" s="1127">
        <f t="shared" si="1755"/>
        <v>0</v>
      </c>
      <c r="AX1269" s="1127">
        <f t="shared" si="1755"/>
        <v>0</v>
      </c>
      <c r="AY1269" s="1127">
        <f t="shared" si="1755"/>
        <v>0</v>
      </c>
      <c r="AZ1269" s="1127">
        <f t="shared" si="1755"/>
        <v>0</v>
      </c>
      <c r="BA1269" s="1127">
        <f t="shared" si="1755"/>
        <v>0</v>
      </c>
      <c r="BB1269" s="1127">
        <f t="shared" si="1755"/>
        <v>0</v>
      </c>
      <c r="BC1269" s="1177">
        <f t="shared" si="1786"/>
        <v>0</v>
      </c>
      <c r="BD1269" s="1378">
        <f t="shared" si="1787"/>
        <v>0</v>
      </c>
      <c r="BE1269" s="1029"/>
      <c r="BF1269" s="1029"/>
    </row>
    <row r="1270">
      <c r="A1270" s="999">
        <f t="shared" si="1776"/>
        <v>0</v>
      </c>
      <c r="B1270" s="1202" t="s">
        <v>463</v>
      </c>
      <c r="C1270" s="1202"/>
      <c r="D1270" s="1202"/>
      <c r="E1270" s="1164">
        <f t="shared" si="1788"/>
        <v>0</v>
      </c>
      <c r="F1270" s="1164">
        <f t="shared" si="1788"/>
        <v>0</v>
      </c>
      <c r="G1270" s="1165">
        <f t="shared" si="1789"/>
        <v>0</v>
      </c>
      <c r="H1270" s="1166">
        <f t="shared" si="1777"/>
        <v>0</v>
      </c>
      <c r="I1270" s="1167">
        <f t="shared" si="1794"/>
        <v>0</v>
      </c>
      <c r="J1270" s="1167">
        <f t="shared" si="1762"/>
        <v>0</v>
      </c>
      <c r="K1270" s="1168">
        <f t="shared" si="1790"/>
        <v>0</v>
      </c>
      <c r="L1270" s="1372"/>
      <c r="M1270" s="1127">
        <f t="shared" si="1795"/>
        <v>0</v>
      </c>
      <c r="N1270" s="1127">
        <f t="shared" si="1795"/>
        <v>0</v>
      </c>
      <c r="O1270" s="1127">
        <f t="shared" si="1795"/>
        <v>0</v>
      </c>
      <c r="P1270" s="1127">
        <f t="shared" si="1795"/>
        <v>0</v>
      </c>
      <c r="Q1270" s="1127">
        <f t="shared" si="1795"/>
        <v>0</v>
      </c>
      <c r="R1270" s="1127">
        <f t="shared" si="1795"/>
        <v>0</v>
      </c>
      <c r="S1270" s="1127">
        <f t="shared" si="1778"/>
        <v>0</v>
      </c>
      <c r="T1270" s="1374">
        <f t="shared" si="1779"/>
        <v>0</v>
      </c>
      <c r="U1270" s="1173">
        <f t="shared" si="1796"/>
        <v>0</v>
      </c>
      <c r="V1270" s="1127">
        <f t="shared" si="1796"/>
        <v>0</v>
      </c>
      <c r="W1270" s="1127">
        <f t="shared" si="1796"/>
        <v>0</v>
      </c>
      <c r="X1270" s="1127">
        <f t="shared" si="1796"/>
        <v>0</v>
      </c>
      <c r="Y1270" s="1127">
        <f t="shared" si="1796"/>
        <v>0</v>
      </c>
      <c r="Z1270" s="1127">
        <f t="shared" si="1796"/>
        <v>0</v>
      </c>
      <c r="AA1270" s="1127">
        <f t="shared" si="1796"/>
        <v>0</v>
      </c>
      <c r="AB1270" s="1375">
        <f t="shared" si="1780"/>
        <v>0</v>
      </c>
      <c r="AC1270" s="1374">
        <f t="shared" si="1781"/>
        <v>0</v>
      </c>
      <c r="AD1270" s="1376">
        <f t="shared" si="1797"/>
        <v>0</v>
      </c>
      <c r="AE1270" s="1127">
        <f t="shared" si="1797"/>
        <v>0</v>
      </c>
      <c r="AF1270" s="1127">
        <f t="shared" si="1797"/>
        <v>0</v>
      </c>
      <c r="AG1270" s="1127">
        <f t="shared" si="1797"/>
        <v>0</v>
      </c>
      <c r="AH1270" s="1127">
        <f t="shared" si="1797"/>
        <v>0</v>
      </c>
      <c r="AI1270" s="1127">
        <f t="shared" si="1797"/>
        <v>0</v>
      </c>
      <c r="AJ1270" s="1127">
        <f t="shared" si="1797"/>
        <v>0</v>
      </c>
      <c r="AK1270" s="1127">
        <f t="shared" si="1782"/>
        <v>0</v>
      </c>
      <c r="AL1270" s="1374">
        <f t="shared" si="1783"/>
        <v>0</v>
      </c>
      <c r="AM1270" s="1376">
        <f t="shared" si="1798"/>
        <v>0</v>
      </c>
      <c r="AN1270" s="1173">
        <f t="shared" si="1798"/>
        <v>0</v>
      </c>
      <c r="AO1270" s="1173">
        <f t="shared" si="1798"/>
        <v>0</v>
      </c>
      <c r="AP1270" s="1173">
        <f t="shared" si="1798"/>
        <v>0</v>
      </c>
      <c r="AQ1270" s="1173">
        <f t="shared" si="1798"/>
        <v>0</v>
      </c>
      <c r="AR1270" s="1173">
        <f t="shared" si="1798"/>
        <v>0</v>
      </c>
      <c r="AS1270" s="1173">
        <f t="shared" si="1798"/>
        <v>0</v>
      </c>
      <c r="AT1270" s="1173">
        <f t="shared" si="1784"/>
        <v>0</v>
      </c>
      <c r="AU1270" s="1377" t="e">
        <f t="shared" si="1785"/>
        <v>#DIV/0!</v>
      </c>
      <c r="AV1270" s="1173">
        <f t="shared" si="1755"/>
        <v>0</v>
      </c>
      <c r="AW1270" s="1127">
        <f t="shared" si="1755"/>
        <v>0</v>
      </c>
      <c r="AX1270" s="1127">
        <f t="shared" si="1755"/>
        <v>0</v>
      </c>
      <c r="AY1270" s="1127">
        <f t="shared" si="1755"/>
        <v>0</v>
      </c>
      <c r="AZ1270" s="1127">
        <f t="shared" si="1755"/>
        <v>0</v>
      </c>
      <c r="BA1270" s="1127">
        <f t="shared" si="1755"/>
        <v>0</v>
      </c>
      <c r="BB1270" s="1127">
        <f t="shared" si="1755"/>
        <v>0</v>
      </c>
      <c r="BC1270" s="1177">
        <f t="shared" si="1786"/>
        <v>0</v>
      </c>
      <c r="BD1270" s="1378">
        <f t="shared" si="1787"/>
        <v>0</v>
      </c>
      <c r="BE1270" s="1029"/>
      <c r="BF1270" s="1029"/>
    </row>
    <row r="1271">
      <c r="A1271" s="999">
        <f t="shared" si="1776"/>
        <v>0</v>
      </c>
      <c r="B1271" s="1202" t="s">
        <v>464</v>
      </c>
      <c r="C1271" s="1202"/>
      <c r="D1271" s="1202"/>
      <c r="E1271" s="1164">
        <f t="shared" si="1788"/>
        <v>0</v>
      </c>
      <c r="F1271" s="1164">
        <f t="shared" si="1788"/>
        <v>0</v>
      </c>
      <c r="G1271" s="1165">
        <f t="shared" si="1789"/>
        <v>0</v>
      </c>
      <c r="H1271" s="1166">
        <f t="shared" si="1777"/>
        <v>0</v>
      </c>
      <c r="I1271" s="1167">
        <f t="shared" si="1794"/>
        <v>0</v>
      </c>
      <c r="J1271" s="1167">
        <f t="shared" si="1762"/>
        <v>0</v>
      </c>
      <c r="K1271" s="1168">
        <f t="shared" si="1790"/>
        <v>0</v>
      </c>
      <c r="L1271" s="1372"/>
      <c r="M1271" s="1127">
        <f t="shared" si="1795"/>
        <v>0</v>
      </c>
      <c r="N1271" s="1127">
        <f t="shared" si="1795"/>
        <v>0</v>
      </c>
      <c r="O1271" s="1127">
        <f t="shared" si="1795"/>
        <v>0</v>
      </c>
      <c r="P1271" s="1127">
        <f t="shared" si="1795"/>
        <v>0</v>
      </c>
      <c r="Q1271" s="1127">
        <f t="shared" si="1795"/>
        <v>0</v>
      </c>
      <c r="R1271" s="1127">
        <f t="shared" si="1795"/>
        <v>0</v>
      </c>
      <c r="S1271" s="1127">
        <f t="shared" si="1778"/>
        <v>0</v>
      </c>
      <c r="T1271" s="1374">
        <f t="shared" si="1779"/>
        <v>0</v>
      </c>
      <c r="U1271" s="1173">
        <f t="shared" si="1796"/>
        <v>0</v>
      </c>
      <c r="V1271" s="1127">
        <f t="shared" si="1796"/>
        <v>0</v>
      </c>
      <c r="W1271" s="1127">
        <f t="shared" si="1796"/>
        <v>0</v>
      </c>
      <c r="X1271" s="1127">
        <f t="shared" si="1796"/>
        <v>0</v>
      </c>
      <c r="Y1271" s="1127">
        <f t="shared" si="1796"/>
        <v>0</v>
      </c>
      <c r="Z1271" s="1127">
        <f t="shared" si="1796"/>
        <v>0</v>
      </c>
      <c r="AA1271" s="1127">
        <f t="shared" si="1796"/>
        <v>0</v>
      </c>
      <c r="AB1271" s="1375">
        <f t="shared" si="1780"/>
        <v>0</v>
      </c>
      <c r="AC1271" s="1374">
        <f t="shared" si="1781"/>
        <v>0</v>
      </c>
      <c r="AD1271" s="1376">
        <f t="shared" si="1797"/>
        <v>0</v>
      </c>
      <c r="AE1271" s="1127">
        <f t="shared" si="1797"/>
        <v>0</v>
      </c>
      <c r="AF1271" s="1127">
        <f t="shared" si="1797"/>
        <v>0</v>
      </c>
      <c r="AG1271" s="1127">
        <f t="shared" si="1797"/>
        <v>0</v>
      </c>
      <c r="AH1271" s="1127">
        <f t="shared" si="1797"/>
        <v>0</v>
      </c>
      <c r="AI1271" s="1127">
        <f t="shared" si="1797"/>
        <v>0</v>
      </c>
      <c r="AJ1271" s="1127">
        <f t="shared" si="1797"/>
        <v>0</v>
      </c>
      <c r="AK1271" s="1127">
        <f t="shared" si="1782"/>
        <v>0</v>
      </c>
      <c r="AL1271" s="1374">
        <f t="shared" si="1783"/>
        <v>0</v>
      </c>
      <c r="AM1271" s="1376">
        <f t="shared" si="1798"/>
        <v>0</v>
      </c>
      <c r="AN1271" s="1173">
        <f t="shared" si="1798"/>
        <v>0</v>
      </c>
      <c r="AO1271" s="1173">
        <f t="shared" si="1798"/>
        <v>0</v>
      </c>
      <c r="AP1271" s="1173">
        <f t="shared" si="1798"/>
        <v>0</v>
      </c>
      <c r="AQ1271" s="1173">
        <f t="shared" si="1798"/>
        <v>0</v>
      </c>
      <c r="AR1271" s="1173">
        <f t="shared" si="1798"/>
        <v>0</v>
      </c>
      <c r="AS1271" s="1173">
        <f t="shared" si="1798"/>
        <v>0</v>
      </c>
      <c r="AT1271" s="1173">
        <f t="shared" si="1784"/>
        <v>0</v>
      </c>
      <c r="AU1271" s="1377" t="e">
        <f t="shared" si="1785"/>
        <v>#DIV/0!</v>
      </c>
      <c r="AV1271" s="1173">
        <f t="shared" si="1755"/>
        <v>0</v>
      </c>
      <c r="AW1271" s="1127">
        <f t="shared" si="1755"/>
        <v>0</v>
      </c>
      <c r="AX1271" s="1127">
        <f t="shared" si="1755"/>
        <v>0</v>
      </c>
      <c r="AY1271" s="1127">
        <f t="shared" si="1755"/>
        <v>0</v>
      </c>
      <c r="AZ1271" s="1127">
        <f t="shared" si="1755"/>
        <v>0</v>
      </c>
      <c r="BA1271" s="1127">
        <f t="shared" si="1755"/>
        <v>0</v>
      </c>
      <c r="BB1271" s="1127">
        <f t="shared" si="1755"/>
        <v>0</v>
      </c>
      <c r="BC1271" s="1177">
        <f t="shared" si="1786"/>
        <v>0</v>
      </c>
      <c r="BD1271" s="1378">
        <f t="shared" si="1787"/>
        <v>0</v>
      </c>
      <c r="BE1271" s="1029"/>
      <c r="BF1271" s="1029"/>
    </row>
    <row r="1272">
      <c r="A1272" s="999">
        <f t="shared" si="1776"/>
        <v>0</v>
      </c>
      <c r="B1272" s="1202" t="s">
        <v>465</v>
      </c>
      <c r="C1272" s="1202"/>
      <c r="D1272" s="1202"/>
      <c r="E1272" s="1164">
        <f t="shared" si="1788"/>
        <v>0</v>
      </c>
      <c r="F1272" s="1164">
        <f t="shared" si="1788"/>
        <v>0</v>
      </c>
      <c r="G1272" s="1165">
        <f t="shared" si="1789"/>
        <v>0</v>
      </c>
      <c r="H1272" s="1166">
        <f t="shared" si="1777"/>
        <v>0</v>
      </c>
      <c r="I1272" s="1167">
        <f t="shared" si="1794"/>
        <v>0</v>
      </c>
      <c r="J1272" s="1167">
        <f t="shared" si="1762"/>
        <v>0</v>
      </c>
      <c r="K1272" s="1168">
        <f t="shared" si="1790"/>
        <v>0</v>
      </c>
      <c r="L1272" s="1372"/>
      <c r="M1272" s="1127">
        <f t="shared" si="1795"/>
        <v>0</v>
      </c>
      <c r="N1272" s="1127">
        <f t="shared" si="1795"/>
        <v>0</v>
      </c>
      <c r="O1272" s="1127">
        <f t="shared" si="1795"/>
        <v>0</v>
      </c>
      <c r="P1272" s="1127">
        <f t="shared" si="1795"/>
        <v>0</v>
      </c>
      <c r="Q1272" s="1127">
        <f t="shared" si="1795"/>
        <v>0</v>
      </c>
      <c r="R1272" s="1127">
        <f t="shared" si="1795"/>
        <v>0</v>
      </c>
      <c r="S1272" s="1127">
        <f t="shared" si="1778"/>
        <v>0</v>
      </c>
      <c r="T1272" s="1374">
        <f t="shared" si="1779"/>
        <v>0</v>
      </c>
      <c r="U1272" s="1173">
        <f t="shared" si="1796"/>
        <v>0</v>
      </c>
      <c r="V1272" s="1127">
        <f t="shared" si="1796"/>
        <v>0</v>
      </c>
      <c r="W1272" s="1127">
        <f t="shared" si="1796"/>
        <v>0</v>
      </c>
      <c r="X1272" s="1127">
        <f t="shared" si="1796"/>
        <v>0</v>
      </c>
      <c r="Y1272" s="1127">
        <f t="shared" si="1796"/>
        <v>0</v>
      </c>
      <c r="Z1272" s="1127">
        <f t="shared" si="1796"/>
        <v>0</v>
      </c>
      <c r="AA1272" s="1127">
        <f t="shared" si="1796"/>
        <v>0</v>
      </c>
      <c r="AB1272" s="1375">
        <f t="shared" si="1780"/>
        <v>0</v>
      </c>
      <c r="AC1272" s="1374">
        <f t="shared" si="1781"/>
        <v>0</v>
      </c>
      <c r="AD1272" s="1376">
        <f t="shared" si="1797"/>
        <v>0</v>
      </c>
      <c r="AE1272" s="1127">
        <f t="shared" si="1797"/>
        <v>0</v>
      </c>
      <c r="AF1272" s="1127">
        <f t="shared" si="1797"/>
        <v>0</v>
      </c>
      <c r="AG1272" s="1127">
        <f t="shared" si="1797"/>
        <v>0</v>
      </c>
      <c r="AH1272" s="1127">
        <f t="shared" si="1797"/>
        <v>0</v>
      </c>
      <c r="AI1272" s="1127">
        <f t="shared" si="1797"/>
        <v>0</v>
      </c>
      <c r="AJ1272" s="1127">
        <f t="shared" si="1797"/>
        <v>0</v>
      </c>
      <c r="AK1272" s="1127">
        <f t="shared" si="1782"/>
        <v>0</v>
      </c>
      <c r="AL1272" s="1374">
        <f t="shared" si="1783"/>
        <v>0</v>
      </c>
      <c r="AM1272" s="1376">
        <f t="shared" si="1798"/>
        <v>0</v>
      </c>
      <c r="AN1272" s="1173">
        <f t="shared" si="1798"/>
        <v>0</v>
      </c>
      <c r="AO1272" s="1173">
        <f t="shared" si="1798"/>
        <v>0</v>
      </c>
      <c r="AP1272" s="1173">
        <f t="shared" si="1798"/>
        <v>0</v>
      </c>
      <c r="AQ1272" s="1173">
        <f t="shared" si="1798"/>
        <v>0</v>
      </c>
      <c r="AR1272" s="1173">
        <f t="shared" si="1798"/>
        <v>0</v>
      </c>
      <c r="AS1272" s="1173">
        <f t="shared" si="1798"/>
        <v>0</v>
      </c>
      <c r="AT1272" s="1173">
        <f t="shared" si="1784"/>
        <v>0</v>
      </c>
      <c r="AU1272" s="1377" t="e">
        <f t="shared" si="1785"/>
        <v>#DIV/0!</v>
      </c>
      <c r="AV1272" s="1173">
        <f t="shared" si="1755"/>
        <v>0</v>
      </c>
      <c r="AW1272" s="1127">
        <f t="shared" si="1755"/>
        <v>0</v>
      </c>
      <c r="AX1272" s="1127">
        <f t="shared" si="1755"/>
        <v>0</v>
      </c>
      <c r="AY1272" s="1127">
        <f t="shared" si="1755"/>
        <v>0</v>
      </c>
      <c r="AZ1272" s="1127">
        <f t="shared" si="1755"/>
        <v>0</v>
      </c>
      <c r="BA1272" s="1127">
        <f t="shared" si="1755"/>
        <v>0</v>
      </c>
      <c r="BB1272" s="1127">
        <f t="shared" si="1755"/>
        <v>0</v>
      </c>
      <c r="BC1272" s="1177">
        <f t="shared" si="1786"/>
        <v>0</v>
      </c>
      <c r="BD1272" s="1378">
        <f t="shared" si="1787"/>
        <v>0</v>
      </c>
      <c r="BE1272" s="1029"/>
      <c r="BF1272" s="1029"/>
    </row>
    <row r="1273">
      <c r="A1273" s="999">
        <f t="shared" si="1776"/>
        <v>0</v>
      </c>
      <c r="B1273" s="1202" t="s">
        <v>310</v>
      </c>
      <c r="C1273" s="1202"/>
      <c r="D1273" s="1202"/>
      <c r="E1273" s="1164">
        <f t="shared" si="1788"/>
        <v>0</v>
      </c>
      <c r="F1273" s="1164">
        <f t="shared" si="1788"/>
        <v>0</v>
      </c>
      <c r="G1273" s="1165">
        <f t="shared" si="1789"/>
        <v>0</v>
      </c>
      <c r="H1273" s="1166">
        <f t="shared" si="1777"/>
        <v>0</v>
      </c>
      <c r="I1273" s="1167">
        <f t="shared" si="1794"/>
        <v>0</v>
      </c>
      <c r="J1273" s="1167">
        <f t="shared" si="1762"/>
        <v>0</v>
      </c>
      <c r="K1273" s="1168">
        <f t="shared" si="1790"/>
        <v>0</v>
      </c>
      <c r="L1273" s="1372"/>
      <c r="M1273" s="1127">
        <f t="shared" si="1795"/>
        <v>0</v>
      </c>
      <c r="N1273" s="1127">
        <f t="shared" si="1795"/>
        <v>0</v>
      </c>
      <c r="O1273" s="1127">
        <f t="shared" si="1795"/>
        <v>0</v>
      </c>
      <c r="P1273" s="1127">
        <f t="shared" si="1795"/>
        <v>0</v>
      </c>
      <c r="Q1273" s="1127">
        <f t="shared" si="1795"/>
        <v>0</v>
      </c>
      <c r="R1273" s="1127">
        <f t="shared" si="1795"/>
        <v>0</v>
      </c>
      <c r="S1273" s="1127">
        <f t="shared" si="1778"/>
        <v>0</v>
      </c>
      <c r="T1273" s="1374">
        <f t="shared" si="1779"/>
        <v>0</v>
      </c>
      <c r="U1273" s="1173">
        <f t="shared" si="1796"/>
        <v>0</v>
      </c>
      <c r="V1273" s="1127">
        <f t="shared" si="1796"/>
        <v>0</v>
      </c>
      <c r="W1273" s="1127">
        <f t="shared" si="1796"/>
        <v>0</v>
      </c>
      <c r="X1273" s="1127">
        <f t="shared" si="1796"/>
        <v>0</v>
      </c>
      <c r="Y1273" s="1127">
        <f t="shared" si="1796"/>
        <v>0</v>
      </c>
      <c r="Z1273" s="1127">
        <f t="shared" si="1796"/>
        <v>0</v>
      </c>
      <c r="AA1273" s="1127">
        <f t="shared" si="1796"/>
        <v>0</v>
      </c>
      <c r="AB1273" s="1375">
        <f t="shared" si="1780"/>
        <v>0</v>
      </c>
      <c r="AC1273" s="1374">
        <f t="shared" si="1781"/>
        <v>0</v>
      </c>
      <c r="AD1273" s="1376">
        <f t="shared" si="1797"/>
        <v>0</v>
      </c>
      <c r="AE1273" s="1127">
        <f t="shared" si="1797"/>
        <v>0</v>
      </c>
      <c r="AF1273" s="1127">
        <f t="shared" si="1797"/>
        <v>0</v>
      </c>
      <c r="AG1273" s="1127">
        <f t="shared" si="1797"/>
        <v>0</v>
      </c>
      <c r="AH1273" s="1127">
        <f t="shared" si="1797"/>
        <v>0</v>
      </c>
      <c r="AI1273" s="1127">
        <f t="shared" si="1797"/>
        <v>0</v>
      </c>
      <c r="AJ1273" s="1127">
        <f t="shared" si="1797"/>
        <v>0</v>
      </c>
      <c r="AK1273" s="1127">
        <f t="shared" si="1782"/>
        <v>0</v>
      </c>
      <c r="AL1273" s="1374">
        <f t="shared" si="1783"/>
        <v>0</v>
      </c>
      <c r="AM1273" s="1376">
        <f t="shared" si="1798"/>
        <v>0</v>
      </c>
      <c r="AN1273" s="1173">
        <f t="shared" si="1798"/>
        <v>0</v>
      </c>
      <c r="AO1273" s="1173">
        <f t="shared" si="1798"/>
        <v>0</v>
      </c>
      <c r="AP1273" s="1173">
        <f t="shared" si="1798"/>
        <v>0</v>
      </c>
      <c r="AQ1273" s="1173">
        <f t="shared" si="1798"/>
        <v>0</v>
      </c>
      <c r="AR1273" s="1173">
        <f t="shared" si="1798"/>
        <v>0</v>
      </c>
      <c r="AS1273" s="1173">
        <f t="shared" si="1798"/>
        <v>0</v>
      </c>
      <c r="AT1273" s="1173">
        <f t="shared" si="1784"/>
        <v>0</v>
      </c>
      <c r="AU1273" s="1377" t="e">
        <f t="shared" si="1785"/>
        <v>#DIV/0!</v>
      </c>
      <c r="AV1273" s="1173">
        <f t="shared" ref="AV1273:BB1277" si="1799">AV1175+AV1078+AV980+AV882+AV781+AV683+AV586+AV489+AV391+AV294+AV196+AV98</f>
        <v>0</v>
      </c>
      <c r="AW1273" s="1127">
        <f t="shared" si="1799"/>
        <v>0</v>
      </c>
      <c r="AX1273" s="1127">
        <f t="shared" si="1799"/>
        <v>0</v>
      </c>
      <c r="AY1273" s="1127">
        <f t="shared" si="1799"/>
        <v>0</v>
      </c>
      <c r="AZ1273" s="1127">
        <f t="shared" si="1799"/>
        <v>0</v>
      </c>
      <c r="BA1273" s="1127">
        <f t="shared" si="1799"/>
        <v>0</v>
      </c>
      <c r="BB1273" s="1127">
        <f t="shared" si="1799"/>
        <v>0</v>
      </c>
      <c r="BC1273" s="1177">
        <f t="shared" si="1786"/>
        <v>0</v>
      </c>
      <c r="BD1273" s="1378">
        <f t="shared" si="1787"/>
        <v>0</v>
      </c>
      <c r="BE1273" s="1029"/>
      <c r="BF1273" s="1029"/>
    </row>
    <row r="1274">
      <c r="A1274" s="999">
        <f t="shared" si="1776"/>
        <v>0</v>
      </c>
      <c r="B1274" s="1202" t="s">
        <v>312</v>
      </c>
      <c r="C1274" s="1202"/>
      <c r="D1274" s="1202"/>
      <c r="E1274" s="1164">
        <f t="shared" si="1788"/>
        <v>0</v>
      </c>
      <c r="F1274" s="1164">
        <f t="shared" si="1788"/>
        <v>0</v>
      </c>
      <c r="G1274" s="1165">
        <f t="shared" si="1789"/>
        <v>0</v>
      </c>
      <c r="H1274" s="1166">
        <f t="shared" si="1777"/>
        <v>0</v>
      </c>
      <c r="I1274" s="1167">
        <f t="shared" si="1794"/>
        <v>0</v>
      </c>
      <c r="J1274" s="1167">
        <f t="shared" si="1762"/>
        <v>0</v>
      </c>
      <c r="K1274" s="1168">
        <f t="shared" si="1790"/>
        <v>0</v>
      </c>
      <c r="L1274" s="1372"/>
      <c r="M1274" s="1127">
        <f t="shared" si="1795"/>
        <v>0</v>
      </c>
      <c r="N1274" s="1127">
        <f t="shared" si="1795"/>
        <v>0</v>
      </c>
      <c r="O1274" s="1127">
        <f t="shared" si="1795"/>
        <v>0</v>
      </c>
      <c r="P1274" s="1127">
        <f t="shared" si="1795"/>
        <v>0</v>
      </c>
      <c r="Q1274" s="1127">
        <f t="shared" si="1795"/>
        <v>0</v>
      </c>
      <c r="R1274" s="1127">
        <f t="shared" si="1795"/>
        <v>0</v>
      </c>
      <c r="S1274" s="1127">
        <f t="shared" si="1778"/>
        <v>0</v>
      </c>
      <c r="T1274" s="1374">
        <f t="shared" si="1779"/>
        <v>0</v>
      </c>
      <c r="U1274" s="1173">
        <f t="shared" si="1796"/>
        <v>0</v>
      </c>
      <c r="V1274" s="1127">
        <f t="shared" si="1796"/>
        <v>0</v>
      </c>
      <c r="W1274" s="1127">
        <f t="shared" si="1796"/>
        <v>0</v>
      </c>
      <c r="X1274" s="1127">
        <f t="shared" si="1796"/>
        <v>0</v>
      </c>
      <c r="Y1274" s="1127">
        <f t="shared" si="1796"/>
        <v>0</v>
      </c>
      <c r="Z1274" s="1127">
        <f t="shared" si="1796"/>
        <v>0</v>
      </c>
      <c r="AA1274" s="1127">
        <f t="shared" si="1796"/>
        <v>0</v>
      </c>
      <c r="AB1274" s="1375">
        <f t="shared" si="1780"/>
        <v>0</v>
      </c>
      <c r="AC1274" s="1374">
        <f t="shared" si="1781"/>
        <v>0</v>
      </c>
      <c r="AD1274" s="1376">
        <f t="shared" si="1797"/>
        <v>0</v>
      </c>
      <c r="AE1274" s="1127">
        <f t="shared" si="1797"/>
        <v>0</v>
      </c>
      <c r="AF1274" s="1127">
        <f t="shared" si="1797"/>
        <v>0</v>
      </c>
      <c r="AG1274" s="1127">
        <f t="shared" si="1797"/>
        <v>0</v>
      </c>
      <c r="AH1274" s="1127">
        <f t="shared" si="1797"/>
        <v>0</v>
      </c>
      <c r="AI1274" s="1127">
        <f t="shared" si="1797"/>
        <v>0</v>
      </c>
      <c r="AJ1274" s="1127">
        <f t="shared" si="1797"/>
        <v>0</v>
      </c>
      <c r="AK1274" s="1127">
        <f t="shared" si="1782"/>
        <v>0</v>
      </c>
      <c r="AL1274" s="1374">
        <f t="shared" si="1783"/>
        <v>0</v>
      </c>
      <c r="AM1274" s="1376">
        <f t="shared" si="1798"/>
        <v>0</v>
      </c>
      <c r="AN1274" s="1173">
        <f t="shared" si="1798"/>
        <v>0</v>
      </c>
      <c r="AO1274" s="1173">
        <f t="shared" si="1798"/>
        <v>0</v>
      </c>
      <c r="AP1274" s="1173">
        <f t="shared" si="1798"/>
        <v>0</v>
      </c>
      <c r="AQ1274" s="1173">
        <f t="shared" si="1798"/>
        <v>0</v>
      </c>
      <c r="AR1274" s="1173">
        <f t="shared" si="1798"/>
        <v>0</v>
      </c>
      <c r="AS1274" s="1173">
        <f t="shared" si="1798"/>
        <v>0</v>
      </c>
      <c r="AT1274" s="1173">
        <f t="shared" si="1784"/>
        <v>0</v>
      </c>
      <c r="AU1274" s="1377" t="e">
        <f t="shared" si="1785"/>
        <v>#DIV/0!</v>
      </c>
      <c r="AV1274" s="1173">
        <f t="shared" si="1799"/>
        <v>0</v>
      </c>
      <c r="AW1274" s="1127">
        <f t="shared" si="1799"/>
        <v>0</v>
      </c>
      <c r="AX1274" s="1127">
        <f t="shared" si="1799"/>
        <v>0</v>
      </c>
      <c r="AY1274" s="1127">
        <f t="shared" si="1799"/>
        <v>0</v>
      </c>
      <c r="AZ1274" s="1127">
        <f t="shared" si="1799"/>
        <v>0</v>
      </c>
      <c r="BA1274" s="1127">
        <f t="shared" si="1799"/>
        <v>0</v>
      </c>
      <c r="BB1274" s="1127">
        <f t="shared" si="1799"/>
        <v>0</v>
      </c>
      <c r="BC1274" s="1177">
        <f t="shared" si="1786"/>
        <v>0</v>
      </c>
      <c r="BD1274" s="1378">
        <f t="shared" si="1787"/>
        <v>0</v>
      </c>
      <c r="BE1274" s="1029"/>
      <c r="BF1274" s="1029"/>
    </row>
    <row r="1275" ht="18.75" customHeight="1">
      <c r="A1275" s="999" t="str">
        <f t="shared" si="1776"/>
        <v xml:space="preserve">Радченко Т.А.</v>
      </c>
      <c r="B1275" s="1202" t="s">
        <v>467</v>
      </c>
      <c r="C1275" s="1202"/>
      <c r="D1275" s="1202"/>
      <c r="E1275" s="1164">
        <f t="shared" si="1788"/>
        <v>932389.58999999997</v>
      </c>
      <c r="F1275" s="1164">
        <f>R1275+AA1275+AJ1275+AS1275+BB1275</f>
        <v>123391.77</v>
      </c>
      <c r="G1275" s="1165">
        <f t="shared" si="1789"/>
        <v>1055781.3599999999</v>
      </c>
      <c r="H1275" s="1166">
        <f t="shared" si="1777"/>
        <v>0.01168531455415042</v>
      </c>
      <c r="I1275" s="1167">
        <f t="shared" si="1794"/>
        <v>0</v>
      </c>
      <c r="J1275" s="1167">
        <f t="shared" si="1762"/>
        <v>0</v>
      </c>
      <c r="K1275" s="1168">
        <f t="shared" si="1790"/>
        <v>0</v>
      </c>
      <c r="L1275" s="1128"/>
      <c r="M1275" s="1127">
        <f t="shared" si="1795"/>
        <v>0</v>
      </c>
      <c r="N1275" s="1127">
        <f t="shared" si="1795"/>
        <v>0</v>
      </c>
      <c r="O1275" s="1127">
        <f t="shared" si="1795"/>
        <v>0</v>
      </c>
      <c r="P1275" s="1127">
        <f t="shared" si="1795"/>
        <v>0</v>
      </c>
      <c r="Q1275" s="1127">
        <f t="shared" si="1795"/>
        <v>0</v>
      </c>
      <c r="R1275" s="1127">
        <f t="shared" si="1795"/>
        <v>0</v>
      </c>
      <c r="S1275" s="1127">
        <f t="shared" si="1778"/>
        <v>0</v>
      </c>
      <c r="T1275" s="1374">
        <f t="shared" si="1779"/>
        <v>0</v>
      </c>
      <c r="U1275" s="1173">
        <f t="shared" si="1796"/>
        <v>0</v>
      </c>
      <c r="V1275" s="1127">
        <f t="shared" si="1796"/>
        <v>0</v>
      </c>
      <c r="W1275" s="1127">
        <f t="shared" si="1796"/>
        <v>0</v>
      </c>
      <c r="X1275" s="1127">
        <f t="shared" si="1796"/>
        <v>0</v>
      </c>
      <c r="Y1275" s="1127">
        <f t="shared" si="1796"/>
        <v>932389.58999999997</v>
      </c>
      <c r="Z1275" s="1127">
        <f t="shared" si="1796"/>
        <v>932389.58999999997</v>
      </c>
      <c r="AA1275" s="1127">
        <f t="shared" si="1796"/>
        <v>123391.77</v>
      </c>
      <c r="AB1275" s="1375">
        <f t="shared" si="1780"/>
        <v>1055781.3599999999</v>
      </c>
      <c r="AC1275" s="1374">
        <f t="shared" si="1781"/>
        <v>0.13650446342373249</v>
      </c>
      <c r="AD1275" s="1376">
        <f t="shared" si="1797"/>
        <v>0</v>
      </c>
      <c r="AE1275" s="1127">
        <f t="shared" si="1797"/>
        <v>0</v>
      </c>
      <c r="AF1275" s="1127">
        <f t="shared" si="1797"/>
        <v>0</v>
      </c>
      <c r="AG1275" s="1127">
        <f t="shared" si="1797"/>
        <v>0</v>
      </c>
      <c r="AH1275" s="1127">
        <f t="shared" si="1797"/>
        <v>0</v>
      </c>
      <c r="AI1275" s="1127">
        <f t="shared" si="1797"/>
        <v>0</v>
      </c>
      <c r="AJ1275" s="1127">
        <f t="shared" si="1797"/>
        <v>0</v>
      </c>
      <c r="AK1275" s="1127">
        <f t="shared" si="1782"/>
        <v>0</v>
      </c>
      <c r="AL1275" s="1374">
        <f t="shared" si="1783"/>
        <v>0</v>
      </c>
      <c r="AM1275" s="1376">
        <f t="shared" ref="AM1275:AM1277" si="1800">AM1177+AM1080+AM982+AM884+AM783+AM685+AM588+AM491+AM393+AM296+AM198+AM100</f>
        <v>0</v>
      </c>
      <c r="AN1275" s="1173">
        <f t="shared" si="1798"/>
        <v>0</v>
      </c>
      <c r="AO1275" s="1173">
        <f t="shared" si="1798"/>
        <v>0</v>
      </c>
      <c r="AP1275" s="1173">
        <f t="shared" si="1798"/>
        <v>0</v>
      </c>
      <c r="AQ1275" s="1173">
        <f t="shared" si="1798"/>
        <v>0</v>
      </c>
      <c r="AR1275" s="1173">
        <f t="shared" si="1798"/>
        <v>0</v>
      </c>
      <c r="AS1275" s="1173">
        <f t="shared" si="1798"/>
        <v>0</v>
      </c>
      <c r="AT1275" s="1173">
        <f t="shared" si="1784"/>
        <v>0</v>
      </c>
      <c r="AU1275" s="1377" t="e">
        <f t="shared" si="1785"/>
        <v>#DIV/0!</v>
      </c>
      <c r="AV1275" s="1173">
        <f t="shared" si="1799"/>
        <v>0</v>
      </c>
      <c r="AW1275" s="1127">
        <f t="shared" si="1799"/>
        <v>0</v>
      </c>
      <c r="AX1275" s="1127">
        <f t="shared" si="1799"/>
        <v>0</v>
      </c>
      <c r="AY1275" s="1127">
        <f t="shared" si="1799"/>
        <v>0</v>
      </c>
      <c r="AZ1275" s="1127">
        <f t="shared" si="1799"/>
        <v>0</v>
      </c>
      <c r="BA1275" s="1127">
        <f t="shared" si="1799"/>
        <v>0</v>
      </c>
      <c r="BB1275" s="1127">
        <f t="shared" si="1799"/>
        <v>0</v>
      </c>
      <c r="BC1275" s="1177">
        <f t="shared" si="1786"/>
        <v>0</v>
      </c>
      <c r="BD1275" s="1378">
        <f t="shared" si="1787"/>
        <v>0</v>
      </c>
      <c r="BE1275" s="1029"/>
      <c r="BF1275" s="1029"/>
    </row>
    <row r="1276" s="1249" customFormat="1" ht="22.149999999999999" customHeight="1">
      <c r="A1276" s="999" t="str">
        <f t="shared" si="1776"/>
        <v xml:space="preserve">Старшие м.- АОКБ (кислород)</v>
      </c>
      <c r="B1276" s="1202" t="s">
        <v>511</v>
      </c>
      <c r="C1276" s="1202"/>
      <c r="D1276" s="1202"/>
      <c r="E1276" s="1164">
        <f t="shared" si="1788"/>
        <v>0</v>
      </c>
      <c r="F1276" s="1164">
        <f t="shared" si="1788"/>
        <v>0</v>
      </c>
      <c r="G1276" s="1165">
        <f t="shared" si="1789"/>
        <v>0</v>
      </c>
      <c r="H1276" s="1166">
        <f t="shared" si="1777"/>
        <v>0</v>
      </c>
      <c r="I1276" s="1167">
        <f t="shared" si="1794"/>
        <v>0</v>
      </c>
      <c r="J1276" s="1167">
        <f t="shared" si="1762"/>
        <v>0</v>
      </c>
      <c r="K1276" s="1168">
        <f t="shared" si="1790"/>
        <v>0</v>
      </c>
      <c r="L1276" s="1372"/>
      <c r="M1276" s="1127">
        <f t="shared" si="1795"/>
        <v>0</v>
      </c>
      <c r="N1276" s="1127">
        <f t="shared" si="1795"/>
        <v>0</v>
      </c>
      <c r="O1276" s="1127">
        <f t="shared" si="1795"/>
        <v>0</v>
      </c>
      <c r="P1276" s="1127">
        <f t="shared" si="1795"/>
        <v>0</v>
      </c>
      <c r="Q1276" s="1127">
        <f t="shared" si="1795"/>
        <v>0</v>
      </c>
      <c r="R1276" s="1127">
        <f t="shared" si="1795"/>
        <v>0</v>
      </c>
      <c r="S1276" s="1127">
        <f t="shared" si="1778"/>
        <v>0</v>
      </c>
      <c r="T1276" s="1374">
        <f t="shared" si="1779"/>
        <v>0</v>
      </c>
      <c r="U1276" s="1173">
        <f t="shared" ref="U1276:AA1277" si="1801">U1178+U1081+U983+U885+U784+U686+U589+U492+U394+U297+U199+U101</f>
        <v>0</v>
      </c>
      <c r="V1276" s="1127">
        <f t="shared" si="1801"/>
        <v>0</v>
      </c>
      <c r="W1276" s="1127">
        <f t="shared" si="1801"/>
        <v>0</v>
      </c>
      <c r="X1276" s="1127">
        <f t="shared" si="1801"/>
        <v>0</v>
      </c>
      <c r="Y1276" s="1127">
        <f t="shared" si="1801"/>
        <v>0</v>
      </c>
      <c r="Z1276" s="1127">
        <f t="shared" si="1801"/>
        <v>0</v>
      </c>
      <c r="AA1276" s="1127">
        <f t="shared" si="1801"/>
        <v>0</v>
      </c>
      <c r="AB1276" s="1375">
        <f t="shared" si="1780"/>
        <v>0</v>
      </c>
      <c r="AC1276" s="1374">
        <f t="shared" si="1781"/>
        <v>0</v>
      </c>
      <c r="AD1276" s="1376">
        <f t="shared" ref="AD1276:AJ1277" si="1802">AD1178+AD1081+AD983+AD885+AD784+AD686+AD589+AD492+AD394+AD297+AD199+AD101</f>
        <v>0</v>
      </c>
      <c r="AE1276" s="1127">
        <f t="shared" si="1802"/>
        <v>0</v>
      </c>
      <c r="AF1276" s="1127">
        <f t="shared" si="1802"/>
        <v>0</v>
      </c>
      <c r="AG1276" s="1127">
        <f t="shared" si="1802"/>
        <v>0</v>
      </c>
      <c r="AH1276" s="1127">
        <f t="shared" si="1802"/>
        <v>0</v>
      </c>
      <c r="AI1276" s="1127">
        <f t="shared" si="1802"/>
        <v>0</v>
      </c>
      <c r="AJ1276" s="1127">
        <f t="shared" si="1802"/>
        <v>0</v>
      </c>
      <c r="AK1276" s="1127">
        <f t="shared" si="1782"/>
        <v>0</v>
      </c>
      <c r="AL1276" s="1374">
        <f t="shared" si="1783"/>
        <v>0</v>
      </c>
      <c r="AM1276" s="1376">
        <f t="shared" si="1800"/>
        <v>0</v>
      </c>
      <c r="AN1276" s="1173">
        <f t="shared" si="1798"/>
        <v>0</v>
      </c>
      <c r="AO1276" s="1173">
        <f t="shared" si="1798"/>
        <v>0</v>
      </c>
      <c r="AP1276" s="1173">
        <f t="shared" si="1798"/>
        <v>0</v>
      </c>
      <c r="AQ1276" s="1173">
        <f t="shared" si="1798"/>
        <v>0</v>
      </c>
      <c r="AR1276" s="1173">
        <f t="shared" si="1798"/>
        <v>0</v>
      </c>
      <c r="AS1276" s="1173">
        <f t="shared" si="1798"/>
        <v>0</v>
      </c>
      <c r="AT1276" s="1173">
        <f t="shared" si="1784"/>
        <v>0</v>
      </c>
      <c r="AU1276" s="1377" t="e">
        <f t="shared" si="1785"/>
        <v>#DIV/0!</v>
      </c>
      <c r="AV1276" s="1173">
        <f t="shared" si="1799"/>
        <v>0</v>
      </c>
      <c r="AW1276" s="1127">
        <f t="shared" si="1799"/>
        <v>0</v>
      </c>
      <c r="AX1276" s="1127">
        <f t="shared" si="1799"/>
        <v>0</v>
      </c>
      <c r="AY1276" s="1127">
        <f t="shared" si="1799"/>
        <v>0</v>
      </c>
      <c r="AZ1276" s="1127">
        <f t="shared" si="1799"/>
        <v>0</v>
      </c>
      <c r="BA1276" s="1127">
        <f t="shared" si="1799"/>
        <v>0</v>
      </c>
      <c r="BB1276" s="1127">
        <f t="shared" si="1799"/>
        <v>0</v>
      </c>
      <c r="BC1276" s="1177">
        <f t="shared" si="1786"/>
        <v>0</v>
      </c>
      <c r="BD1276" s="1378">
        <f t="shared" si="1787"/>
        <v>0</v>
      </c>
      <c r="BE1276" s="1251"/>
      <c r="BF1276" s="1251"/>
      <c r="BG1276" s="1252"/>
      <c r="BH1276" s="1252"/>
      <c r="BI1276" s="1252"/>
      <c r="BJ1276" s="1252"/>
      <c r="BK1276" s="1252"/>
      <c r="BL1276" s="1252"/>
      <c r="BM1276" s="1252"/>
    </row>
    <row r="1277" s="1180" customFormat="1" ht="22.5">
      <c r="A1277" s="999"/>
      <c r="B1277" s="1205" t="s">
        <v>27</v>
      </c>
      <c r="C1277" s="1205"/>
      <c r="D1277" s="1205"/>
      <c r="E1277" s="1183">
        <f>SUM(E1251:E1276)</f>
        <v>7091874.6900000004</v>
      </c>
      <c r="F1277" s="1183">
        <f>SUM(F1251:F1276)</f>
        <v>7389523.5199999996</v>
      </c>
      <c r="G1277" s="1184">
        <f>SUM(G1251:G1276)</f>
        <v>14481398.210000001</v>
      </c>
      <c r="H1277" s="1185">
        <f t="shared" si="1777"/>
        <v>0.16027910671558065</v>
      </c>
      <c r="I1277" s="1186">
        <f t="shared" si="1794"/>
        <v>763793.45000000019</v>
      </c>
      <c r="J1277" s="1186">
        <f t="shared" si="1762"/>
        <v>7045413.8599999994</v>
      </c>
      <c r="K1277" s="1187">
        <f>SUM(K1251:K1276)</f>
        <v>7809207.3100000005</v>
      </c>
      <c r="L1277" s="1360"/>
      <c r="M1277" s="1319">
        <f t="shared" ref="M1277:R1277" si="1803">M1179+M1082+M984+M886+M785+M687+M590+M493+M395+M298+M200+M102</f>
        <v>0</v>
      </c>
      <c r="N1277" s="1319">
        <f t="shared" si="1803"/>
        <v>0</v>
      </c>
      <c r="O1277" s="1319">
        <f t="shared" si="1803"/>
        <v>0</v>
      </c>
      <c r="P1277" s="1319">
        <f t="shared" si="1803"/>
        <v>759768.23999999999</v>
      </c>
      <c r="Q1277" s="1319">
        <f t="shared" si="1803"/>
        <v>759768.23999999999</v>
      </c>
      <c r="R1277" s="1319">
        <f t="shared" si="1803"/>
        <v>6817737.4000000004</v>
      </c>
      <c r="S1277" s="1319">
        <f t="shared" si="1778"/>
        <v>7577505.6400000006</v>
      </c>
      <c r="T1277" s="1374">
        <f t="shared" si="1779"/>
        <v>0.094911747633141821</v>
      </c>
      <c r="U1277" s="1350">
        <f t="shared" si="1801"/>
        <v>0</v>
      </c>
      <c r="V1277" s="1319">
        <f t="shared" si="1801"/>
        <v>0</v>
      </c>
      <c r="W1277" s="1319">
        <f t="shared" si="1801"/>
        <v>0</v>
      </c>
      <c r="X1277" s="1319">
        <f t="shared" si="1801"/>
        <v>0</v>
      </c>
      <c r="Y1277" s="1319">
        <f t="shared" si="1801"/>
        <v>6328081.2400000002</v>
      </c>
      <c r="Z1277" s="1319">
        <f t="shared" si="1801"/>
        <v>6328081.2400000002</v>
      </c>
      <c r="AA1277" s="1319">
        <f t="shared" si="1801"/>
        <v>344109.66000000003</v>
      </c>
      <c r="AB1277" s="1383">
        <f t="shared" si="1780"/>
        <v>6672190.9000000004</v>
      </c>
      <c r="AC1277" s="1374">
        <f t="shared" si="1781"/>
        <v>0.86266330622204856</v>
      </c>
      <c r="AD1277" s="1349">
        <f t="shared" si="1802"/>
        <v>0</v>
      </c>
      <c r="AE1277" s="1319">
        <f t="shared" si="1802"/>
        <v>0</v>
      </c>
      <c r="AF1277" s="1319">
        <f t="shared" si="1802"/>
        <v>0</v>
      </c>
      <c r="AG1277" s="1319">
        <f t="shared" si="1802"/>
        <v>0</v>
      </c>
      <c r="AH1277" s="1319">
        <f t="shared" si="1802"/>
        <v>4025.21</v>
      </c>
      <c r="AI1277" s="1319">
        <f t="shared" si="1802"/>
        <v>4025.21</v>
      </c>
      <c r="AJ1277" s="1319">
        <f t="shared" si="1802"/>
        <v>227676.45999999996</v>
      </c>
      <c r="AK1277" s="1319">
        <f t="shared" si="1782"/>
        <v>231701.66999999995</v>
      </c>
      <c r="AL1277" s="1374">
        <f t="shared" si="1783"/>
        <v>0.086497313762592912</v>
      </c>
      <c r="AM1277" s="1349">
        <f t="shared" si="1800"/>
        <v>0</v>
      </c>
      <c r="AN1277" s="1350">
        <f t="shared" si="1798"/>
        <v>0</v>
      </c>
      <c r="AO1277" s="1350">
        <f t="shared" si="1798"/>
        <v>0</v>
      </c>
      <c r="AP1277" s="1350">
        <f t="shared" si="1798"/>
        <v>0</v>
      </c>
      <c r="AQ1277" s="1350">
        <f t="shared" si="1798"/>
        <v>0</v>
      </c>
      <c r="AR1277" s="1350">
        <f t="shared" si="1798"/>
        <v>0</v>
      </c>
      <c r="AS1277" s="1350">
        <f t="shared" si="1798"/>
        <v>0</v>
      </c>
      <c r="AT1277" s="1350">
        <f t="shared" si="1784"/>
        <v>0</v>
      </c>
      <c r="AU1277" s="1377" t="e">
        <f t="shared" si="1785"/>
        <v>#DIV/0!</v>
      </c>
      <c r="AV1277" s="1350">
        <f t="shared" si="1799"/>
        <v>0</v>
      </c>
      <c r="AW1277" s="1319">
        <f t="shared" si="1799"/>
        <v>0</v>
      </c>
      <c r="AX1277" s="1319">
        <f t="shared" si="1799"/>
        <v>0</v>
      </c>
      <c r="AY1277" s="1319">
        <f t="shared" si="1799"/>
        <v>0</v>
      </c>
      <c r="AZ1277" s="1319">
        <f t="shared" si="1799"/>
        <v>0</v>
      </c>
      <c r="BA1277" s="1319">
        <f t="shared" si="1799"/>
        <v>0</v>
      </c>
      <c r="BB1277" s="1319">
        <f t="shared" si="1799"/>
        <v>0</v>
      </c>
      <c r="BC1277" s="1281">
        <f t="shared" si="1786"/>
        <v>0</v>
      </c>
      <c r="BD1277" s="1378">
        <f t="shared" si="1787"/>
        <v>0</v>
      </c>
      <c r="BE1277" s="1051"/>
      <c r="BF1277" s="1051"/>
      <c r="BG1277" s="1106"/>
      <c r="BH1277" s="1106"/>
      <c r="BI1277" s="1106"/>
      <c r="BJ1277" s="1106"/>
      <c r="BK1277" s="1106"/>
      <c r="BL1277" s="1106"/>
      <c r="BM1277" s="1106"/>
    </row>
    <row r="1278" s="1180" customFormat="1" ht="22.5">
      <c r="A1278" s="1274"/>
      <c r="B1278" s="1205" t="s">
        <v>535</v>
      </c>
      <c r="C1278" s="1205"/>
      <c r="D1278" s="1205"/>
      <c r="E1278" s="1183">
        <f>E1277+E1250+E1236+E1227</f>
        <v>32010295.579999998</v>
      </c>
      <c r="F1278" s="1183">
        <f>F1277+F1250+F1236+F1227</f>
        <v>58340833.189999998</v>
      </c>
      <c r="G1278" s="1184">
        <f>G1277+G1250+G1236+G1227</f>
        <v>90351128.770000011</v>
      </c>
      <c r="H1278" s="1185">
        <f t="shared" si="1777"/>
        <v>1</v>
      </c>
      <c r="I1278" s="1186">
        <f t="shared" si="1794"/>
        <v>25624750.599999998</v>
      </c>
      <c r="J1278" s="1186">
        <f t="shared" si="1762"/>
        <v>56991969.099999994</v>
      </c>
      <c r="K1278" s="1187">
        <f>K1277+K1250+K1236+K1227</f>
        <v>82616719.700000003</v>
      </c>
      <c r="L1278" s="1385">
        <f t="shared" ref="L1278:R1278" si="1804">L1277+L1250+L1236+L1227</f>
        <v>0</v>
      </c>
      <c r="M1278" s="1209">
        <f t="shared" si="1804"/>
        <v>0</v>
      </c>
      <c r="N1278" s="1209">
        <f t="shared" si="1804"/>
        <v>0</v>
      </c>
      <c r="O1278" s="1209">
        <f t="shared" si="1804"/>
        <v>0</v>
      </c>
      <c r="P1278" s="1209">
        <f t="shared" si="1804"/>
        <v>24513777.590000004</v>
      </c>
      <c r="Q1278" s="1209">
        <f t="shared" si="1804"/>
        <v>24513777.590000004</v>
      </c>
      <c r="R1278" s="1209">
        <f t="shared" si="1804"/>
        <v>55323606.390000001</v>
      </c>
      <c r="S1278" s="1096">
        <f t="shared" si="1778"/>
        <v>79837383.980000004</v>
      </c>
      <c r="T1278" s="1374">
        <f t="shared" si="1779"/>
        <v>1</v>
      </c>
      <c r="U1278" s="1211">
        <f t="shared" ref="U1278:AA1278" si="1805">U1277+U1250+U1236+U1227</f>
        <v>0</v>
      </c>
      <c r="V1278" s="1209">
        <f t="shared" si="1805"/>
        <v>0</v>
      </c>
      <c r="W1278" s="1209">
        <f t="shared" si="1805"/>
        <v>0</v>
      </c>
      <c r="X1278" s="1209">
        <f t="shared" si="1805"/>
        <v>0</v>
      </c>
      <c r="Y1278" s="1209">
        <f t="shared" si="1805"/>
        <v>6385544.9800000004</v>
      </c>
      <c r="Z1278" s="1209">
        <f t="shared" si="1805"/>
        <v>6385544.9800000004</v>
      </c>
      <c r="AA1278" s="1209">
        <f t="shared" si="1805"/>
        <v>1348864.0899999999</v>
      </c>
      <c r="AB1278" s="1383">
        <f t="shared" si="1780"/>
        <v>7734409.0700000003</v>
      </c>
      <c r="AC1278" s="1374">
        <f t="shared" si="1781"/>
        <v>1</v>
      </c>
      <c r="AD1278" s="1210">
        <f t="shared" ref="AD1278:AJ1278" si="1806">AD1277+AD1250+AD1236+AD1227</f>
        <v>0</v>
      </c>
      <c r="AE1278" s="1209">
        <f t="shared" si="1806"/>
        <v>0</v>
      </c>
      <c r="AF1278" s="1209">
        <f t="shared" si="1806"/>
        <v>0</v>
      </c>
      <c r="AG1278" s="1209">
        <f t="shared" si="1806"/>
        <v>0</v>
      </c>
      <c r="AH1278" s="1209">
        <f t="shared" si="1806"/>
        <v>1107273.8899999999</v>
      </c>
      <c r="AI1278" s="1209">
        <f t="shared" si="1806"/>
        <v>1107273.8899999999</v>
      </c>
      <c r="AJ1278" s="1209">
        <f t="shared" si="1806"/>
        <v>1571441.3199999998</v>
      </c>
      <c r="AK1278" s="1319">
        <f t="shared" si="1782"/>
        <v>2678715.21</v>
      </c>
      <c r="AL1278" s="1374">
        <f t="shared" si="1783"/>
        <v>1</v>
      </c>
      <c r="AM1278" s="1210">
        <f t="shared" ref="AM1278:AS1278" si="1807">AM1277+AM1250+AM1236+AM1227</f>
        <v>0</v>
      </c>
      <c r="AN1278" s="1211">
        <f t="shared" si="1807"/>
        <v>0</v>
      </c>
      <c r="AO1278" s="1211">
        <f t="shared" si="1807"/>
        <v>0</v>
      </c>
      <c r="AP1278" s="1211">
        <f t="shared" si="1807"/>
        <v>0</v>
      </c>
      <c r="AQ1278" s="1211">
        <f t="shared" si="1807"/>
        <v>0</v>
      </c>
      <c r="AR1278" s="1211">
        <f t="shared" si="1807"/>
        <v>0</v>
      </c>
      <c r="AS1278" s="1211">
        <f t="shared" si="1807"/>
        <v>0</v>
      </c>
      <c r="AT1278" s="1350">
        <f t="shared" si="1784"/>
        <v>0</v>
      </c>
      <c r="AU1278" s="1377" t="e">
        <f t="shared" si="1785"/>
        <v>#DIV/0!</v>
      </c>
      <c r="AV1278" s="1211">
        <f t="shared" ref="AV1278:BB1278" si="1808">AV1277+AV1250+AV1236+AV1227</f>
        <v>0</v>
      </c>
      <c r="AW1278" s="1209">
        <f t="shared" si="1808"/>
        <v>0</v>
      </c>
      <c r="AX1278" s="1209">
        <f t="shared" si="1808"/>
        <v>0</v>
      </c>
      <c r="AY1278" s="1209">
        <f t="shared" si="1808"/>
        <v>0</v>
      </c>
      <c r="AZ1278" s="1209">
        <f t="shared" si="1808"/>
        <v>3699.1199999999999</v>
      </c>
      <c r="BA1278" s="1209">
        <f t="shared" si="1808"/>
        <v>3699.1199999999999</v>
      </c>
      <c r="BB1278" s="1209">
        <f t="shared" si="1808"/>
        <v>96921.389999999999</v>
      </c>
      <c r="BC1278" s="1281">
        <f t="shared" si="1786"/>
        <v>100620.50999999999</v>
      </c>
      <c r="BD1278" s="1378">
        <f t="shared" si="1787"/>
        <v>1</v>
      </c>
      <c r="BE1278" s="1051"/>
      <c r="BF1278" s="1051"/>
      <c r="BG1278" s="1106"/>
      <c r="BH1278" s="1106"/>
      <c r="BI1278" s="1106"/>
      <c r="BJ1278" s="1106"/>
      <c r="BK1278" s="1106"/>
      <c r="BL1278" s="1106"/>
      <c r="BM1278" s="1106"/>
    </row>
    <row r="1279">
      <c r="A1279" s="1181"/>
      <c r="B1279" s="1029"/>
      <c r="C1279" s="1029"/>
      <c r="D1279" s="1029"/>
      <c r="E1279" s="1391">
        <f>E1180+E1083+E985+E887+E786+E688+E591+E494+E396+E299+E201+E103</f>
        <v>32010295.579999998</v>
      </c>
      <c r="F1279" s="1391">
        <f>F1180+F1083+F985+F887+F786+F688+F591+F494+F396+F299+F201+F103</f>
        <v>58340833.189999998</v>
      </c>
      <c r="G1279" s="1392">
        <f>G1180+G1083+G985+G887+G786+G688+G591+G494+G396+G299+G201+G103</f>
        <v>90351128.770000011</v>
      </c>
      <c r="H1279" s="1393"/>
      <c r="I1279" s="1394"/>
      <c r="J1279" s="1394"/>
      <c r="K1279" s="1395">
        <f>K1180+K1083+K985+K887+K786+K688+K591+K494+K396+K299+K201+K103</f>
        <v>82616719.699999988</v>
      </c>
      <c r="L1279" s="1396">
        <f t="shared" ref="L1279:R1279" si="1809">L1180+L1083+L985+L887+L786+L688+L591+L494+L396+L299+L201+L103</f>
        <v>0</v>
      </c>
      <c r="M1279" s="1023">
        <f t="shared" si="1809"/>
        <v>0</v>
      </c>
      <c r="N1279" s="1023">
        <f t="shared" si="1809"/>
        <v>0</v>
      </c>
      <c r="O1279" s="1023">
        <f t="shared" si="1809"/>
        <v>0</v>
      </c>
      <c r="P1279" s="1023">
        <f t="shared" si="1809"/>
        <v>24513777.590000004</v>
      </c>
      <c r="Q1279" s="1023">
        <f t="shared" si="1809"/>
        <v>24513777.590000004</v>
      </c>
      <c r="R1279" s="1023">
        <f t="shared" si="1809"/>
        <v>55323606.390000001</v>
      </c>
      <c r="S1279" s="1023"/>
      <c r="T1279" s="1262"/>
      <c r="U1279" s="1023">
        <f t="shared" ref="U1279:AA1279" si="1810">U1180+U1083+U985+U887+U786+U688+U591+U494+U396+U299+U201+U103</f>
        <v>0</v>
      </c>
      <c r="V1279" s="1023">
        <f t="shared" si="1810"/>
        <v>0</v>
      </c>
      <c r="W1279" s="1023">
        <f t="shared" si="1810"/>
        <v>0</v>
      </c>
      <c r="X1279" s="1023">
        <f t="shared" si="1810"/>
        <v>0</v>
      </c>
      <c r="Y1279" s="1023">
        <f t="shared" si="1810"/>
        <v>6385544.9800000004</v>
      </c>
      <c r="Z1279" s="1023">
        <f t="shared" si="1810"/>
        <v>6385544.9800000004</v>
      </c>
      <c r="AA1279" s="1023">
        <f t="shared" si="1810"/>
        <v>1348864.0900000001</v>
      </c>
      <c r="AB1279" s="1397"/>
      <c r="AC1279" s="1262"/>
      <c r="AD1279" s="1396">
        <f t="shared" ref="AD1279:AJ1279" si="1811">AD1180+AD1083+AD985+AD887+AD786+AD688+AD591+AD494+AD396+AD299+AD201+AD103</f>
        <v>0</v>
      </c>
      <c r="AE1279" s="1023">
        <f t="shared" si="1811"/>
        <v>0</v>
      </c>
      <c r="AF1279" s="1023">
        <f t="shared" si="1811"/>
        <v>0</v>
      </c>
      <c r="AG1279" s="1023">
        <f t="shared" si="1811"/>
        <v>0</v>
      </c>
      <c r="AH1279" s="1023">
        <f t="shared" si="1811"/>
        <v>1107273.8899999999</v>
      </c>
      <c r="AI1279" s="1023">
        <f t="shared" si="1811"/>
        <v>1107273.8899999999</v>
      </c>
      <c r="AJ1279" s="1023">
        <f t="shared" si="1811"/>
        <v>1571441.3199999998</v>
      </c>
      <c r="AK1279" s="1023"/>
      <c r="AL1279" s="1262"/>
      <c r="AM1279" s="1396">
        <f t="shared" ref="AM1279:AS1279" si="1812">AM1180+AM1083+AM985+AM887+AM786+AM688+AM591+AM494+AM396+AM299+AM201+AM103</f>
        <v>0</v>
      </c>
      <c r="AN1279" s="1023">
        <f t="shared" si="1812"/>
        <v>0</v>
      </c>
      <c r="AO1279" s="1023">
        <f t="shared" si="1812"/>
        <v>0</v>
      </c>
      <c r="AP1279" s="1023">
        <f t="shared" si="1812"/>
        <v>0</v>
      </c>
      <c r="AQ1279" s="1023">
        <f t="shared" si="1812"/>
        <v>0</v>
      </c>
      <c r="AR1279" s="1023">
        <f t="shared" si="1812"/>
        <v>0</v>
      </c>
      <c r="AS1279" s="1023">
        <f t="shared" si="1812"/>
        <v>0</v>
      </c>
      <c r="AT1279" s="1023"/>
      <c r="AU1279" s="1263"/>
      <c r="AV1279" s="1023">
        <f t="shared" ref="AV1279:BB1279" si="1813">AV1180+AV1083+AV985+AV887+AV786+AV688+AV591+AV494+AV396+AV299+AV201+AV103</f>
        <v>0</v>
      </c>
      <c r="AW1279" s="1023">
        <f t="shared" si="1813"/>
        <v>0</v>
      </c>
      <c r="AX1279" s="1023">
        <f t="shared" si="1813"/>
        <v>0</v>
      </c>
      <c r="AY1279" s="1023">
        <f t="shared" si="1813"/>
        <v>0</v>
      </c>
      <c r="AZ1279" s="1023">
        <f t="shared" si="1813"/>
        <v>3699.1199999999999</v>
      </c>
      <c r="BA1279" s="1023">
        <f t="shared" si="1813"/>
        <v>3699.1199999999999</v>
      </c>
      <c r="BB1279" s="1023">
        <f t="shared" si="1813"/>
        <v>96921.389999999999</v>
      </c>
      <c r="BC1279" s="1029"/>
      <c r="BD1279" s="1027"/>
      <c r="BE1279" s="1029"/>
      <c r="BF1279" s="1029"/>
    </row>
    <row r="1280">
      <c r="A1280" s="1181"/>
      <c r="B1280" s="1029"/>
      <c r="C1280" s="1029"/>
      <c r="D1280" s="1029"/>
      <c r="E1280" s="1391">
        <f>E1278-E1279</f>
        <v>0</v>
      </c>
      <c r="F1280" s="1391">
        <f>F1278-F1279</f>
        <v>0</v>
      </c>
      <c r="G1280" s="1392">
        <f>G1278-G1279</f>
        <v>0</v>
      </c>
      <c r="H1280" s="1393"/>
      <c r="I1280" s="1394"/>
      <c r="J1280" s="1394"/>
      <c r="K1280" s="1395">
        <f>K1278-K1279</f>
        <v>0</v>
      </c>
      <c r="L1280" s="1396">
        <f>L1278-L1279</f>
        <v>0</v>
      </c>
      <c r="M1280" s="1023">
        <f>M1278-M1279</f>
        <v>0</v>
      </c>
      <c r="N1280" s="1023">
        <f t="shared" ref="N1280:BB1280" si="1814">N1278-N1279</f>
        <v>0</v>
      </c>
      <c r="O1280" s="1023">
        <f t="shared" si="1814"/>
        <v>0</v>
      </c>
      <c r="P1280" s="1023">
        <f t="shared" si="1814"/>
        <v>0</v>
      </c>
      <c r="Q1280" s="1023">
        <f t="shared" si="1814"/>
        <v>0</v>
      </c>
      <c r="R1280" s="1023">
        <f t="shared" si="1814"/>
        <v>0</v>
      </c>
      <c r="S1280" s="1023"/>
      <c r="T1280" s="1262"/>
      <c r="U1280" s="1023">
        <f t="shared" si="1814"/>
        <v>0</v>
      </c>
      <c r="V1280" s="1023">
        <f t="shared" si="1814"/>
        <v>0</v>
      </c>
      <c r="W1280" s="1023">
        <f t="shared" si="1814"/>
        <v>0</v>
      </c>
      <c r="X1280" s="1023">
        <f t="shared" si="1814"/>
        <v>0</v>
      </c>
      <c r="Y1280" s="1023">
        <f t="shared" si="1814"/>
        <v>0</v>
      </c>
      <c r="Z1280" s="1023">
        <f t="shared" si="1814"/>
        <v>0</v>
      </c>
      <c r="AA1280" s="1023">
        <f t="shared" si="1814"/>
        <v>0</v>
      </c>
      <c r="AB1280" s="1397"/>
      <c r="AC1280" s="1262"/>
      <c r="AD1280" s="1396">
        <f t="shared" si="1814"/>
        <v>0</v>
      </c>
      <c r="AE1280" s="1023">
        <f t="shared" si="1814"/>
        <v>0</v>
      </c>
      <c r="AF1280" s="1023">
        <f t="shared" si="1814"/>
        <v>0</v>
      </c>
      <c r="AG1280" s="1023">
        <f t="shared" si="1814"/>
        <v>0</v>
      </c>
      <c r="AH1280" s="1023">
        <f t="shared" si="1814"/>
        <v>0</v>
      </c>
      <c r="AI1280" s="1023">
        <f t="shared" si="1814"/>
        <v>0</v>
      </c>
      <c r="AJ1280" s="1023">
        <f t="shared" si="1814"/>
        <v>0</v>
      </c>
      <c r="AK1280" s="1023"/>
      <c r="AL1280" s="1262"/>
      <c r="AM1280" s="1396">
        <f t="shared" si="1814"/>
        <v>0</v>
      </c>
      <c r="AN1280" s="1023">
        <f t="shared" si="1814"/>
        <v>0</v>
      </c>
      <c r="AO1280" s="1023">
        <f t="shared" si="1814"/>
        <v>0</v>
      </c>
      <c r="AP1280" s="1023">
        <f t="shared" si="1814"/>
        <v>0</v>
      </c>
      <c r="AQ1280" s="1023">
        <f t="shared" si="1814"/>
        <v>0</v>
      </c>
      <c r="AR1280" s="1023">
        <f t="shared" si="1814"/>
        <v>0</v>
      </c>
      <c r="AS1280" s="1023">
        <f t="shared" si="1814"/>
        <v>0</v>
      </c>
      <c r="AT1280" s="1023"/>
      <c r="AU1280" s="1263"/>
      <c r="AV1280" s="1023">
        <f t="shared" si="1814"/>
        <v>0</v>
      </c>
      <c r="AW1280" s="1023">
        <f t="shared" si="1814"/>
        <v>0</v>
      </c>
      <c r="AX1280" s="1023">
        <f t="shared" si="1814"/>
        <v>0</v>
      </c>
      <c r="AY1280" s="1023">
        <f t="shared" si="1814"/>
        <v>0</v>
      </c>
      <c r="AZ1280" s="1023">
        <f t="shared" si="1814"/>
        <v>0</v>
      </c>
      <c r="BA1280" s="1023">
        <f t="shared" si="1814"/>
        <v>0</v>
      </c>
      <c r="BB1280" s="1023">
        <f t="shared" si="1814"/>
        <v>0</v>
      </c>
      <c r="BC1280" s="1029"/>
      <c r="BD1280" s="1027"/>
      <c r="BE1280" s="1029"/>
      <c r="BF1280" s="1029"/>
    </row>
    <row r="1281">
      <c r="B1281" s="1029"/>
      <c r="C1281" s="1029"/>
      <c r="D1281" s="1029"/>
      <c r="E1281" s="1017"/>
      <c r="F1281" s="1017"/>
      <c r="G1281" s="1398"/>
      <c r="H1281" s="1019">
        <f>H1277+H1250+H1236+H1227</f>
        <v>0.99999999999999989</v>
      </c>
      <c r="I1281" s="1020"/>
      <c r="J1281" s="1020"/>
      <c r="K1281" s="1021"/>
      <c r="L1281" s="1022"/>
      <c r="M1281" s="1023"/>
      <c r="N1281" s="1024"/>
      <c r="O1281" s="1023"/>
      <c r="P1281" s="1023"/>
      <c r="Q1281" s="1024"/>
      <c r="R1281" s="1024"/>
      <c r="S1281" s="1024"/>
      <c r="T1281" s="1025"/>
      <c r="U1281" s="1022"/>
      <c r="V1281" s="1023"/>
      <c r="W1281" s="1024"/>
      <c r="X1281" s="1024"/>
      <c r="Y1281" s="1023"/>
      <c r="Z1281" s="1024"/>
      <c r="AA1281" s="1024"/>
      <c r="AB1281" s="1343"/>
      <c r="AC1281" s="1025"/>
      <c r="AD1281" s="1022"/>
      <c r="AE1281" s="1023"/>
      <c r="AF1281" s="1024"/>
      <c r="AG1281" s="1024"/>
      <c r="AH1281" s="1023"/>
      <c r="AI1281" s="1024"/>
      <c r="AJ1281" s="1024"/>
      <c r="AK1281" s="1024"/>
      <c r="AL1281" s="1025"/>
      <c r="AM1281" s="1022"/>
      <c r="AN1281" s="1023"/>
      <c r="AO1281" s="1024"/>
      <c r="AP1281" s="1024"/>
      <c r="AQ1281" s="1023"/>
      <c r="AR1281" s="1024"/>
      <c r="AS1281" s="1024"/>
      <c r="AT1281" s="1024"/>
      <c r="AU1281" s="1027"/>
      <c r="AV1281" s="1028"/>
      <c r="AW1281" s="1023"/>
      <c r="AX1281" s="1024"/>
      <c r="AY1281" s="1024"/>
      <c r="AZ1281" s="1023"/>
      <c r="BA1281" s="1024"/>
      <c r="BB1281" s="1024"/>
      <c r="BC1281" s="1029"/>
      <c r="BD1281" s="1027"/>
      <c r="BE1281" s="1029"/>
      <c r="BF1281" s="1029"/>
    </row>
    <row r="1282">
      <c r="M1282" s="1107"/>
      <c r="N1282" s="1108"/>
      <c r="O1282" s="1107"/>
      <c r="P1282" s="1107"/>
      <c r="Q1282" s="1108"/>
      <c r="R1282" s="1108"/>
      <c r="S1282" s="1108"/>
      <c r="T1282" s="1025"/>
      <c r="U1282" s="1108"/>
      <c r="V1282" s="1107"/>
      <c r="W1282" s="1108"/>
      <c r="X1282" s="1108"/>
      <c r="Y1282" s="1107"/>
      <c r="Z1282" s="1108"/>
      <c r="AA1282" s="1108"/>
      <c r="AB1282" s="1399"/>
      <c r="AC1282" s="1025"/>
      <c r="AD1282" s="1108"/>
      <c r="AE1282" s="1107"/>
      <c r="AF1282" s="1108"/>
      <c r="AG1282" s="1108"/>
      <c r="AH1282" s="1107"/>
      <c r="AI1282" s="1108"/>
      <c r="AJ1282" s="1108"/>
      <c r="AK1282" s="1108"/>
      <c r="AL1282" s="1025"/>
      <c r="AM1282" s="1108"/>
      <c r="AN1282" s="1107"/>
      <c r="AO1282" s="1108"/>
      <c r="AP1282" s="1108"/>
      <c r="AQ1282" s="1107"/>
      <c r="AR1282" s="1108"/>
      <c r="AS1282" s="1108"/>
      <c r="AT1282" s="1108"/>
      <c r="AU1282" s="1109"/>
      <c r="AV1282" s="1400"/>
      <c r="AW1282" s="1107"/>
      <c r="AX1282" s="1108"/>
      <c r="AY1282" s="1108"/>
      <c r="AZ1282" s="1107"/>
      <c r="BA1282" s="1108"/>
      <c r="BB1282" s="1108"/>
      <c r="BC1282" s="1400"/>
    </row>
    <row r="1283">
      <c r="U1283" s="1008"/>
      <c r="AD1283" s="1008"/>
      <c r="AM1283" s="1008"/>
      <c r="AV1283" s="1000"/>
    </row>
    <row r="1284">
      <c r="E1284" s="1401">
        <f>E1194-E19-E117-E215-E312-E410-E507-E604-E702-E803-E901-E999-E1096</f>
        <v>-1.862645149230957e-09</v>
      </c>
      <c r="F1284" s="1401">
        <f>F1194-F19-F117-F215-F312-F410-F507-F604-F702-F803-F901-F999-F1096</f>
        <v>-5.8207660913467407e-11</v>
      </c>
      <c r="G1284" s="1402">
        <f>G1194-G19-G117-G215-G312-G410-G507-G604-G702-G803-G901-G999-G1096</f>
        <v>-9.3132257461547852e-10</v>
      </c>
      <c r="H1284" s="1403"/>
      <c r="I1284" s="1404"/>
      <c r="J1284" s="1404"/>
      <c r="K1284" s="1405"/>
      <c r="L1284" s="1007">
        <f t="shared" ref="L1284:R1284" si="1815">L1194-L19-L117-L215-L312-L410-L507-L604-L702-L803-L901-L999-L1096</f>
        <v>0</v>
      </c>
      <c r="M1284" s="1007">
        <f t="shared" si="1815"/>
        <v>0</v>
      </c>
      <c r="N1284" s="1007">
        <f t="shared" si="1815"/>
        <v>0</v>
      </c>
      <c r="O1284" s="1007">
        <f t="shared" si="1815"/>
        <v>0</v>
      </c>
      <c r="P1284" s="1007">
        <f t="shared" si="1815"/>
        <v>0</v>
      </c>
      <c r="Q1284" s="1007">
        <f t="shared" si="1815"/>
        <v>0</v>
      </c>
      <c r="R1284" s="1007">
        <f t="shared" si="1815"/>
        <v>0</v>
      </c>
      <c r="S1284" s="1007"/>
      <c r="T1284" s="1231"/>
      <c r="U1284" s="1007">
        <f t="shared" ref="U1284:AA1284" si="1816">U1194-U19-U117-U215-U312-U410-U507-U604-U702-U803-U901-U999-U1096</f>
        <v>0</v>
      </c>
      <c r="V1284" s="1007">
        <f t="shared" si="1816"/>
        <v>0</v>
      </c>
      <c r="W1284" s="1007">
        <f t="shared" si="1816"/>
        <v>0</v>
      </c>
      <c r="X1284" s="1007">
        <f t="shared" si="1816"/>
        <v>0</v>
      </c>
      <c r="Y1284" s="1007">
        <f t="shared" si="1816"/>
        <v>4.5474735088646412e-13</v>
      </c>
      <c r="Z1284" s="1007">
        <f t="shared" si="1816"/>
        <v>4.5474735088646412e-13</v>
      </c>
      <c r="AA1284" s="1007">
        <f t="shared" si="1816"/>
        <v>0</v>
      </c>
      <c r="AB1284" s="1406"/>
      <c r="AC1284" s="1231"/>
      <c r="AD1284" s="1007">
        <f t="shared" ref="AD1284:AJ1284" si="1817">AD1194-AD19-AD117-AD215-AD312-AD410-AD507-AD604-AD702-AD803-AD901-AD999-AD1096</f>
        <v>0</v>
      </c>
      <c r="AE1284" s="1007">
        <f t="shared" si="1817"/>
        <v>0</v>
      </c>
      <c r="AF1284" s="1007">
        <f t="shared" si="1817"/>
        <v>0</v>
      </c>
      <c r="AG1284" s="1007">
        <f t="shared" si="1817"/>
        <v>0</v>
      </c>
      <c r="AH1284" s="1007">
        <f t="shared" si="1817"/>
        <v>0</v>
      </c>
      <c r="AI1284" s="1007">
        <f t="shared" si="1817"/>
        <v>0</v>
      </c>
      <c r="AJ1284" s="1007">
        <f t="shared" si="1817"/>
        <v>0</v>
      </c>
      <c r="AK1284" s="1007"/>
      <c r="AL1284" s="1231"/>
      <c r="AM1284" s="1007">
        <f t="shared" ref="AM1284:AS1284" si="1818">AM1194-AM19-AM117-AM215-AM312-AM410-AM507-AM604-AM702-AM803-AM901-AM999-AM1096</f>
        <v>0</v>
      </c>
      <c r="AN1284" s="1007">
        <f t="shared" si="1818"/>
        <v>0</v>
      </c>
      <c r="AO1284" s="1007">
        <f t="shared" si="1818"/>
        <v>0</v>
      </c>
      <c r="AP1284" s="1007">
        <f t="shared" si="1818"/>
        <v>0</v>
      </c>
      <c r="AQ1284" s="1007">
        <f t="shared" si="1818"/>
        <v>0</v>
      </c>
      <c r="AR1284" s="1007">
        <f t="shared" si="1818"/>
        <v>0</v>
      </c>
      <c r="AS1284" s="1007">
        <f t="shared" si="1818"/>
        <v>0</v>
      </c>
      <c r="AT1284" s="1007"/>
      <c r="AU1284" s="1407"/>
      <c r="AV1284" s="1007">
        <f t="shared" ref="AV1284:BB1284" si="1819">AV1194-AV19-AV117-AV215-AV312-AV410-AV507-AV604-AV702-AV803-AV901-AV999-AV1096</f>
        <v>0</v>
      </c>
      <c r="AW1284" s="1007">
        <f t="shared" si="1819"/>
        <v>0</v>
      </c>
      <c r="AX1284" s="1007">
        <f t="shared" si="1819"/>
        <v>0</v>
      </c>
      <c r="AY1284" s="1007">
        <f t="shared" si="1819"/>
        <v>0</v>
      </c>
      <c r="AZ1284" s="1007">
        <f t="shared" si="1819"/>
        <v>0</v>
      </c>
      <c r="BA1284" s="1007">
        <f t="shared" si="1819"/>
        <v>0</v>
      </c>
      <c r="BB1284" s="1007">
        <f t="shared" si="1819"/>
        <v>0</v>
      </c>
    </row>
    <row r="1285">
      <c r="E1285" s="1401">
        <f>E1208-E33-E131-E229-E326-E424-E521-E618-E716-E817-E915-E1013-E1110</f>
        <v>2.3283064365386963e-10</v>
      </c>
      <c r="F1285" s="1401">
        <f>F1208-F33-F131-F229-F326-F424-F521-F618-F716-F817-F915-F1013-F1110</f>
        <v>-4.6566128730773926e-10</v>
      </c>
      <c r="G1285" s="1402">
        <f>G1208-G33-G131-G229-G326-G424-G521-G618-G716-G817-G915-G1013-G1110</f>
        <v>0</v>
      </c>
      <c r="H1285" s="1403"/>
      <c r="I1285" s="1404"/>
      <c r="J1285" s="1404"/>
      <c r="K1285" s="1405"/>
      <c r="L1285" s="1007">
        <f t="shared" ref="L1285:R1285" si="1820">L1208-L33-L131-L229-L326-L424-L521-L618-L716-L817-L915-L1013-L1110</f>
        <v>0</v>
      </c>
      <c r="M1285" s="1007">
        <f t="shared" si="1820"/>
        <v>0</v>
      </c>
      <c r="N1285" s="1007">
        <f t="shared" si="1820"/>
        <v>0</v>
      </c>
      <c r="O1285" s="1007">
        <f t="shared" si="1820"/>
        <v>0</v>
      </c>
      <c r="P1285" s="1007">
        <f t="shared" si="1820"/>
        <v>-2.3283064365386963e-10</v>
      </c>
      <c r="Q1285" s="1007">
        <f t="shared" si="1820"/>
        <v>-2.3283064365386963e-10</v>
      </c>
      <c r="R1285" s="1007">
        <f t="shared" si="1820"/>
        <v>0</v>
      </c>
      <c r="S1285" s="1007"/>
      <c r="T1285" s="1231"/>
      <c r="U1285" s="1007">
        <f t="shared" ref="U1285:AA1285" si="1821">U1208-U33-U131-U229-U326-U424-U521-U618-U716-U817-U915-U1013-U1110</f>
        <v>0</v>
      </c>
      <c r="V1285" s="1007">
        <f t="shared" si="1821"/>
        <v>0</v>
      </c>
      <c r="W1285" s="1007">
        <f t="shared" si="1821"/>
        <v>0</v>
      </c>
      <c r="X1285" s="1007">
        <f t="shared" si="1821"/>
        <v>0</v>
      </c>
      <c r="Y1285" s="1007">
        <f t="shared" si="1821"/>
        <v>-9.0949470177292824e-13</v>
      </c>
      <c r="Z1285" s="1007">
        <f t="shared" si="1821"/>
        <v>-9.0949470177292824e-13</v>
      </c>
      <c r="AA1285" s="1007">
        <f t="shared" si="1821"/>
        <v>1.4551915228366852e-11</v>
      </c>
      <c r="AB1285" s="1406"/>
      <c r="AC1285" s="1231"/>
      <c r="AD1285" s="1007">
        <f t="shared" ref="AD1285:AJ1285" si="1822">AD1208-AD33-AD131-AD229-AD326-AD424-AD521-AD618-AD716-AD817-AD915-AD1013-AD1110</f>
        <v>0</v>
      </c>
      <c r="AE1285" s="1007">
        <f t="shared" si="1822"/>
        <v>0</v>
      </c>
      <c r="AF1285" s="1007">
        <f t="shared" si="1822"/>
        <v>0</v>
      </c>
      <c r="AG1285" s="1007">
        <f t="shared" si="1822"/>
        <v>0</v>
      </c>
      <c r="AH1285" s="1007">
        <f t="shared" si="1822"/>
        <v>0</v>
      </c>
      <c r="AI1285" s="1007">
        <f t="shared" si="1822"/>
        <v>0</v>
      </c>
      <c r="AJ1285" s="1007">
        <f t="shared" si="1822"/>
        <v>0</v>
      </c>
      <c r="AK1285" s="1007"/>
      <c r="AL1285" s="1231"/>
      <c r="AM1285" s="1007">
        <f t="shared" ref="AM1285:AS1285" si="1823">AM1208-AM33-AM131-AM229-AM326-AM424-AM521-AM618-AM716-AM817-AM915-AM1013-AM1110</f>
        <v>0</v>
      </c>
      <c r="AN1285" s="1007">
        <f t="shared" si="1823"/>
        <v>0</v>
      </c>
      <c r="AO1285" s="1007">
        <f t="shared" si="1823"/>
        <v>0</v>
      </c>
      <c r="AP1285" s="1007">
        <f t="shared" si="1823"/>
        <v>0</v>
      </c>
      <c r="AQ1285" s="1007">
        <f t="shared" si="1823"/>
        <v>0</v>
      </c>
      <c r="AR1285" s="1007">
        <f t="shared" si="1823"/>
        <v>0</v>
      </c>
      <c r="AS1285" s="1007">
        <f t="shared" si="1823"/>
        <v>0</v>
      </c>
      <c r="AT1285" s="1007"/>
      <c r="AU1285" s="1407"/>
      <c r="AV1285" s="1007">
        <f t="shared" ref="AV1285:BB1285" si="1824">AV1208-AV33-AV131-AV229-AV326-AV424-AV521-AV618-AV716-AV817-AV915-AV1013-AV1110</f>
        <v>0</v>
      </c>
      <c r="AW1285" s="1007">
        <f t="shared" si="1824"/>
        <v>0</v>
      </c>
      <c r="AX1285" s="1007">
        <f t="shared" si="1824"/>
        <v>0</v>
      </c>
      <c r="AY1285" s="1007">
        <f t="shared" si="1824"/>
        <v>0</v>
      </c>
      <c r="AZ1285" s="1007">
        <f t="shared" si="1824"/>
        <v>0</v>
      </c>
      <c r="BA1285" s="1007">
        <f t="shared" si="1824"/>
        <v>0</v>
      </c>
      <c r="BB1285" s="1007">
        <f t="shared" si="1824"/>
        <v>0</v>
      </c>
    </row>
    <row r="1286">
      <c r="E1286" s="1401">
        <f>E1227-E52-E150-E248-E345-E443-E540-E637-E735-E836-E934-E1032-E1129</f>
        <v>-3.7252902984619141e-09</v>
      </c>
      <c r="F1286" s="1401">
        <f>F1227-F52-F150-F248-F345-F443-F540-F637-F735-F836-F934-F1032-F1129</f>
        <v>1.862645149230957e-09</v>
      </c>
      <c r="G1286" s="1402">
        <f>G1227-G52-G150-G248-G345-G443-G540-G637-G735-G836-G934-G1032-G1129</f>
        <v>0</v>
      </c>
      <c r="H1286" s="1403"/>
      <c r="I1286" s="1404"/>
      <c r="J1286" s="1404"/>
      <c r="K1286" s="1405"/>
      <c r="L1286" s="1007">
        <f t="shared" ref="L1286:R1286" si="1825">L1227-L52-L150-L248-L345-L443-L540-L637-L735-L836-L934-L1032-L1129</f>
        <v>0</v>
      </c>
      <c r="M1286" s="1007">
        <f t="shared" si="1825"/>
        <v>0</v>
      </c>
      <c r="N1286" s="1007">
        <f t="shared" si="1825"/>
        <v>0</v>
      </c>
      <c r="O1286" s="1007">
        <f t="shared" si="1825"/>
        <v>0</v>
      </c>
      <c r="P1286" s="1007">
        <f t="shared" si="1825"/>
        <v>0</v>
      </c>
      <c r="Q1286" s="1007">
        <f t="shared" si="1825"/>
        <v>0</v>
      </c>
      <c r="R1286" s="1007">
        <f t="shared" si="1825"/>
        <v>0</v>
      </c>
      <c r="S1286" s="1007"/>
      <c r="T1286" s="1231"/>
      <c r="U1286" s="1007">
        <f t="shared" ref="U1286:AA1286" si="1826">U1227-U52-U150-U248-U345-U443-U540-U637-U735-U836-U934-U1032-U1129</f>
        <v>0</v>
      </c>
      <c r="V1286" s="1007">
        <f t="shared" si="1826"/>
        <v>0</v>
      </c>
      <c r="W1286" s="1007">
        <f t="shared" si="1826"/>
        <v>0</v>
      </c>
      <c r="X1286" s="1007">
        <f t="shared" si="1826"/>
        <v>0</v>
      </c>
      <c r="Y1286" s="1007">
        <f t="shared" si="1826"/>
        <v>0</v>
      </c>
      <c r="Z1286" s="1007">
        <f t="shared" si="1826"/>
        <v>0</v>
      </c>
      <c r="AA1286" s="1007">
        <f t="shared" si="1826"/>
        <v>-5.8207660913467407e-11</v>
      </c>
      <c r="AB1286" s="1406"/>
      <c r="AC1286" s="1231"/>
      <c r="AD1286" s="1007">
        <f t="shared" ref="AD1286:AJ1286" si="1827">AD1227-AD52-AD150-AD248-AD345-AD443-AD540-AD637-AD735-AD836-AD934-AD1032-AD1129</f>
        <v>0</v>
      </c>
      <c r="AE1286" s="1007">
        <f t="shared" si="1827"/>
        <v>0</v>
      </c>
      <c r="AF1286" s="1007">
        <f t="shared" si="1827"/>
        <v>0</v>
      </c>
      <c r="AG1286" s="1007">
        <f t="shared" si="1827"/>
        <v>0</v>
      </c>
      <c r="AH1286" s="1007">
        <f t="shared" si="1827"/>
        <v>0</v>
      </c>
      <c r="AI1286" s="1007">
        <f t="shared" si="1827"/>
        <v>0</v>
      </c>
      <c r="AJ1286" s="1007">
        <f t="shared" si="1827"/>
        <v>1.4551915228366852e-11</v>
      </c>
      <c r="AK1286" s="1007"/>
      <c r="AL1286" s="1231"/>
      <c r="AM1286" s="1007">
        <f t="shared" ref="AM1286:AS1286" si="1828">AM1227-AM52-AM150-AM248-AM345-AM443-AM540-AM637-AM735-AM836-AM934-AM1032-AM1129</f>
        <v>0</v>
      </c>
      <c r="AN1286" s="1007">
        <f t="shared" si="1828"/>
        <v>0</v>
      </c>
      <c r="AO1286" s="1007">
        <f t="shared" si="1828"/>
        <v>0</v>
      </c>
      <c r="AP1286" s="1007">
        <f t="shared" si="1828"/>
        <v>0</v>
      </c>
      <c r="AQ1286" s="1007">
        <f t="shared" si="1828"/>
        <v>0</v>
      </c>
      <c r="AR1286" s="1007">
        <f t="shared" si="1828"/>
        <v>0</v>
      </c>
      <c r="AS1286" s="1007">
        <f t="shared" si="1828"/>
        <v>0</v>
      </c>
      <c r="AT1286" s="1007"/>
      <c r="AU1286" s="1407"/>
      <c r="AV1286" s="1007">
        <f t="shared" ref="AV1286:BB1286" si="1829">AV1227-AV52-AV150-AV248-AV345-AV443-AV540-AV637-AV735-AV836-AV934-AV1032-AV1129</f>
        <v>0</v>
      </c>
      <c r="AW1286" s="1007">
        <f t="shared" si="1829"/>
        <v>0</v>
      </c>
      <c r="AX1286" s="1007">
        <f t="shared" si="1829"/>
        <v>0</v>
      </c>
      <c r="AY1286" s="1007">
        <f t="shared" si="1829"/>
        <v>0</v>
      </c>
      <c r="AZ1286" s="1007">
        <f t="shared" si="1829"/>
        <v>0</v>
      </c>
      <c r="BA1286" s="1007">
        <f t="shared" si="1829"/>
        <v>0</v>
      </c>
      <c r="BB1286" s="1007">
        <f t="shared" si="1829"/>
        <v>0</v>
      </c>
    </row>
    <row r="1287">
      <c r="E1287" s="1401">
        <f>E1236-E61-E159-E257-E354-E452-E549-E646-E744-E845-E943-E1041-E1138</f>
        <v>-2.3283064365386963e-10</v>
      </c>
      <c r="F1287" s="1401">
        <f>F1236-F61-F159-F257-F354-F452-F549-F646-F744-F845-F943-F1041-F1138</f>
        <v>1.862645149230957e-09</v>
      </c>
      <c r="G1287" s="1402">
        <f>G1236-G61-G159-G257-G354-G452-G549-G646-G744-G845-G943-G1041-G1138</f>
        <v>0</v>
      </c>
      <c r="H1287" s="1403"/>
      <c r="I1287" s="1404"/>
      <c r="J1287" s="1404"/>
      <c r="K1287" s="1405"/>
      <c r="L1287" s="1007">
        <f t="shared" ref="L1287:R1287" si="1830">L1236-L61-L159-L257-L354-L452-L549-L646-L744-L845-L943-L1041-L1138</f>
        <v>0</v>
      </c>
      <c r="M1287" s="1007">
        <f t="shared" si="1830"/>
        <v>0</v>
      </c>
      <c r="N1287" s="1007">
        <f t="shared" si="1830"/>
        <v>0</v>
      </c>
      <c r="O1287" s="1007">
        <f t="shared" si="1830"/>
        <v>0</v>
      </c>
      <c r="P1287" s="1007">
        <f t="shared" si="1830"/>
        <v>0</v>
      </c>
      <c r="Q1287" s="1007">
        <f t="shared" si="1830"/>
        <v>0</v>
      </c>
      <c r="R1287" s="1007">
        <f t="shared" si="1830"/>
        <v>9.3132257461547852e-10</v>
      </c>
      <c r="S1287" s="1007"/>
      <c r="T1287" s="1231"/>
      <c r="U1287" s="1007">
        <f t="shared" ref="U1287:AA1287" si="1831">U1236-U61-U159-U257-U354-U452-U549-U646-U744-U845-U943-U1041-U1138</f>
        <v>0</v>
      </c>
      <c r="V1287" s="1007">
        <f t="shared" si="1831"/>
        <v>0</v>
      </c>
      <c r="W1287" s="1007">
        <f t="shared" si="1831"/>
        <v>0</v>
      </c>
      <c r="X1287" s="1007">
        <f t="shared" si="1831"/>
        <v>0</v>
      </c>
      <c r="Y1287" s="1007">
        <f t="shared" si="1831"/>
        <v>0</v>
      </c>
      <c r="Z1287" s="1007">
        <f t="shared" si="1831"/>
        <v>0</v>
      </c>
      <c r="AA1287" s="1007">
        <f t="shared" si="1831"/>
        <v>-3.637978807091713e-12</v>
      </c>
      <c r="AB1287" s="1406"/>
      <c r="AC1287" s="1231"/>
      <c r="AD1287" s="1007">
        <f t="shared" ref="AD1287:AJ1287" si="1832">AD1236-AD61-AD159-AD257-AD354-AD452-AD549-AD646-AD744-AD845-AD943-AD1041-AD1138</f>
        <v>0</v>
      </c>
      <c r="AE1287" s="1007">
        <f t="shared" si="1832"/>
        <v>0</v>
      </c>
      <c r="AF1287" s="1007">
        <f t="shared" si="1832"/>
        <v>0</v>
      </c>
      <c r="AG1287" s="1007">
        <f t="shared" si="1832"/>
        <v>0</v>
      </c>
      <c r="AH1287" s="1007">
        <f t="shared" si="1832"/>
        <v>3.637978807091713e-12</v>
      </c>
      <c r="AI1287" s="1007">
        <f t="shared" si="1832"/>
        <v>3.637978807091713e-12</v>
      </c>
      <c r="AJ1287" s="1007">
        <f t="shared" si="1832"/>
        <v>0</v>
      </c>
      <c r="AK1287" s="1007"/>
      <c r="AL1287" s="1231"/>
      <c r="AM1287" s="1007">
        <f t="shared" ref="AM1287:AS1287" si="1833">AM1236-AM61-AM159-AM257-AM354-AM452-AM549-AM646-AM744-AM845-AM943-AM1041-AM1138</f>
        <v>0</v>
      </c>
      <c r="AN1287" s="1007">
        <f t="shared" si="1833"/>
        <v>0</v>
      </c>
      <c r="AO1287" s="1007">
        <f t="shared" si="1833"/>
        <v>0</v>
      </c>
      <c r="AP1287" s="1007">
        <f t="shared" si="1833"/>
        <v>0</v>
      </c>
      <c r="AQ1287" s="1007">
        <f t="shared" si="1833"/>
        <v>0</v>
      </c>
      <c r="AR1287" s="1007">
        <f t="shared" si="1833"/>
        <v>0</v>
      </c>
      <c r="AS1287" s="1007">
        <f t="shared" si="1833"/>
        <v>0</v>
      </c>
      <c r="AT1287" s="1007"/>
      <c r="AU1287" s="1407"/>
      <c r="AV1287" s="1007">
        <f t="shared" ref="AV1287:BB1287" si="1834">AV1236-AV61-AV159-AV257-AV354-AV452-AV549-AV646-AV744-AV845-AV943-AV1041-AV1138</f>
        <v>0</v>
      </c>
      <c r="AW1287" s="1007">
        <f t="shared" si="1834"/>
        <v>0</v>
      </c>
      <c r="AX1287" s="1007">
        <f t="shared" si="1834"/>
        <v>0</v>
      </c>
      <c r="AY1287" s="1007">
        <f t="shared" si="1834"/>
        <v>0</v>
      </c>
      <c r="AZ1287" s="1007">
        <f t="shared" si="1834"/>
        <v>0</v>
      </c>
      <c r="BA1287" s="1007">
        <f t="shared" si="1834"/>
        <v>0</v>
      </c>
      <c r="BB1287" s="1007">
        <f t="shared" si="1834"/>
        <v>0</v>
      </c>
    </row>
    <row r="1288">
      <c r="E1288" s="1401">
        <f>E1277-E102-E200-E298-E395-E493-E590-E687-E785-E886-E984-E1082-E1179</f>
        <v>0</v>
      </c>
      <c r="F1288" s="1401">
        <f>F1277-F102-F200-F298-F395-F493-F590-F687-F785-F886-F984-F1082-F1179</f>
        <v>-9.3132257461547852e-10</v>
      </c>
      <c r="G1288" s="1402">
        <f>G1277-G102-G200-G298-G395-G493-G590-G687-G785-G886-G984-G1082-G1179</f>
        <v>1.862645149230957e-09</v>
      </c>
      <c r="H1288" s="1403"/>
      <c r="I1288" s="1404"/>
      <c r="J1288" s="1404"/>
      <c r="K1288" s="1405"/>
      <c r="L1288" s="1007">
        <f t="shared" ref="L1288:R1288" si="1835">L1277-L102-L200-L298-L395-L493-L590-L687-L785-L886-L984-L1082-L1179</f>
        <v>0</v>
      </c>
      <c r="M1288" s="1007">
        <f t="shared" si="1835"/>
        <v>0</v>
      </c>
      <c r="N1288" s="1007">
        <f t="shared" si="1835"/>
        <v>0</v>
      </c>
      <c r="O1288" s="1007">
        <f t="shared" si="1835"/>
        <v>0</v>
      </c>
      <c r="P1288" s="1007">
        <f t="shared" si="1835"/>
        <v>5.8207660913467407e-11</v>
      </c>
      <c r="Q1288" s="1007">
        <f t="shared" si="1835"/>
        <v>5.8207660913467407e-11</v>
      </c>
      <c r="R1288" s="1007">
        <f t="shared" si="1835"/>
        <v>4.6566128730773926e-10</v>
      </c>
      <c r="S1288" s="1007"/>
      <c r="T1288" s="1231"/>
      <c r="U1288" s="1007">
        <f t="shared" ref="U1288:AA1288" si="1836">U1277-U102-U200-U298-U395-U493-U590-U687-U785-U886-U984-U1082-U1179</f>
        <v>0</v>
      </c>
      <c r="V1288" s="1007">
        <f t="shared" si="1836"/>
        <v>0</v>
      </c>
      <c r="W1288" s="1007">
        <f t="shared" si="1836"/>
        <v>0</v>
      </c>
      <c r="X1288" s="1007">
        <f t="shared" si="1836"/>
        <v>0</v>
      </c>
      <c r="Y1288" s="1007">
        <f t="shared" si="1836"/>
        <v>-9.3132257461547852e-10</v>
      </c>
      <c r="Z1288" s="1007">
        <f t="shared" si="1836"/>
        <v>-9.3132257461547852e-10</v>
      </c>
      <c r="AA1288" s="1007">
        <f t="shared" si="1836"/>
        <v>0</v>
      </c>
      <c r="AB1288" s="1406"/>
      <c r="AC1288" s="1231"/>
      <c r="AD1288" s="1007">
        <f t="shared" ref="AD1288:AJ1288" si="1837">AD1277-AD102-AD200-AD298-AD395-AD493-AD590-AD687-AD785-AD886-AD984-AD1082-AD1179</f>
        <v>0</v>
      </c>
      <c r="AE1288" s="1007">
        <f t="shared" si="1837"/>
        <v>0</v>
      </c>
      <c r="AF1288" s="1007">
        <f t="shared" si="1837"/>
        <v>0</v>
      </c>
      <c r="AG1288" s="1007">
        <f t="shared" si="1837"/>
        <v>0</v>
      </c>
      <c r="AH1288" s="1007">
        <f t="shared" si="1837"/>
        <v>0</v>
      </c>
      <c r="AI1288" s="1007">
        <f t="shared" si="1837"/>
        <v>0</v>
      </c>
      <c r="AJ1288" s="1007">
        <f t="shared" si="1837"/>
        <v>-1.4551915228366852e-11</v>
      </c>
      <c r="AK1288" s="1007"/>
      <c r="AL1288" s="1231"/>
      <c r="AM1288" s="1007">
        <f t="shared" ref="AM1288:AS1288" si="1838">AM1277-AM102-AM200-AM298-AM395-AM493-AM590-AM687-AM785-AM886-AM984-AM1082-AM1179</f>
        <v>0</v>
      </c>
      <c r="AN1288" s="1007">
        <f t="shared" si="1838"/>
        <v>0</v>
      </c>
      <c r="AO1288" s="1007">
        <f t="shared" si="1838"/>
        <v>0</v>
      </c>
      <c r="AP1288" s="1007">
        <f t="shared" si="1838"/>
        <v>0</v>
      </c>
      <c r="AQ1288" s="1007">
        <f t="shared" si="1838"/>
        <v>0</v>
      </c>
      <c r="AR1288" s="1007">
        <f t="shared" si="1838"/>
        <v>0</v>
      </c>
      <c r="AS1288" s="1007">
        <f t="shared" si="1838"/>
        <v>0</v>
      </c>
      <c r="AT1288" s="1007"/>
      <c r="AU1288" s="1407"/>
      <c r="AV1288" s="1007">
        <f t="shared" ref="AV1288:BB1288" si="1839">AV1277-AV102-AV200-AV298-AV395-AV493-AV590-AV687-AV785-AV886-AV984-AV1082-AV1179</f>
        <v>0</v>
      </c>
      <c r="AW1288" s="1007">
        <f t="shared" si="1839"/>
        <v>0</v>
      </c>
      <c r="AX1288" s="1007">
        <f t="shared" si="1839"/>
        <v>0</v>
      </c>
      <c r="AY1288" s="1007">
        <f t="shared" si="1839"/>
        <v>0</v>
      </c>
      <c r="AZ1288" s="1007">
        <f t="shared" si="1839"/>
        <v>0</v>
      </c>
      <c r="BA1288" s="1007">
        <f t="shared" si="1839"/>
        <v>0</v>
      </c>
      <c r="BB1288" s="1007">
        <f t="shared" si="1839"/>
        <v>0</v>
      </c>
    </row>
    <row r="1289">
      <c r="E1289" s="1401">
        <f>E1250-E75-E173-E271-E368-E466-E563-E660-E758-E859-E957-E1055-E1152</f>
        <v>2.3283064365386963e-10</v>
      </c>
      <c r="F1289" s="1401">
        <f>F1250-F75-F173-F271-F368-F466-F563-F660-F758-F859-F957-F1055-F1152</f>
        <v>-3.7252902984619141e-09</v>
      </c>
      <c r="G1289" s="1402">
        <f>G1250-G75-G173-G271-G368-G466-G563-G660-G758-G859-G957-G1055-G1152</f>
        <v>3.7252902984619141e-09</v>
      </c>
      <c r="H1289" s="1403"/>
      <c r="I1289" s="1404"/>
      <c r="J1289" s="1404"/>
      <c r="K1289" s="1405"/>
      <c r="L1289" s="1007">
        <f t="shared" ref="L1289:R1289" si="1840">L1250-L75-L173-L271-L368-L466-L563-L660-L758-L859-L957-L1055-L1152</f>
        <v>0</v>
      </c>
      <c r="M1289" s="1007">
        <f t="shared" si="1840"/>
        <v>0</v>
      </c>
      <c r="N1289" s="1007">
        <f t="shared" si="1840"/>
        <v>0</v>
      </c>
      <c r="O1289" s="1007">
        <f t="shared" si="1840"/>
        <v>0</v>
      </c>
      <c r="P1289" s="1007">
        <f t="shared" si="1840"/>
        <v>0</v>
      </c>
      <c r="Q1289" s="1007">
        <f t="shared" si="1840"/>
        <v>0</v>
      </c>
      <c r="R1289" s="1007">
        <f t="shared" si="1840"/>
        <v>0</v>
      </c>
      <c r="S1289" s="1007"/>
      <c r="T1289" s="1231"/>
      <c r="U1289" s="1007">
        <f t="shared" ref="U1289:AA1289" si="1841">U1250-U75-U173-U271-U368-U466-U563-U660-U758-U859-U957-U1055-U1152</f>
        <v>0</v>
      </c>
      <c r="V1289" s="1007">
        <f t="shared" si="1841"/>
        <v>0</v>
      </c>
      <c r="W1289" s="1007">
        <f t="shared" si="1841"/>
        <v>0</v>
      </c>
      <c r="X1289" s="1007">
        <f t="shared" si="1841"/>
        <v>0</v>
      </c>
      <c r="Y1289" s="1007">
        <f t="shared" si="1841"/>
        <v>0</v>
      </c>
      <c r="Z1289" s="1007">
        <f t="shared" si="1841"/>
        <v>0</v>
      </c>
      <c r="AA1289" s="1007">
        <f t="shared" si="1841"/>
        <v>-2.9103830456733704e-11</v>
      </c>
      <c r="AB1289" s="1406"/>
      <c r="AC1289" s="1231"/>
      <c r="AD1289" s="1007">
        <f t="shared" ref="AD1289:AJ1289" si="1842">AD1250-AD75-AD173-AD271-AD368-AD466-AD563-AD660-AD758-AD859-AD957-AD1055-AD1152</f>
        <v>0</v>
      </c>
      <c r="AE1289" s="1007">
        <f t="shared" si="1842"/>
        <v>0</v>
      </c>
      <c r="AF1289" s="1007">
        <f t="shared" si="1842"/>
        <v>0</v>
      </c>
      <c r="AG1289" s="1007">
        <f t="shared" si="1842"/>
        <v>0</v>
      </c>
      <c r="AH1289" s="1007">
        <f t="shared" si="1842"/>
        <v>0</v>
      </c>
      <c r="AI1289" s="1007">
        <f t="shared" si="1842"/>
        <v>0</v>
      </c>
      <c r="AJ1289" s="1007">
        <f t="shared" si="1842"/>
        <v>0</v>
      </c>
      <c r="AK1289" s="1007"/>
      <c r="AL1289" s="1231"/>
      <c r="AM1289" s="1007">
        <f t="shared" ref="AM1289:AS1289" si="1843">AM1250-AM75-AM173-AM271-AM368-AM466-AM563-AM660-AM758-AM859-AM957-AM1055-AM1152</f>
        <v>0</v>
      </c>
      <c r="AN1289" s="1007">
        <f t="shared" si="1843"/>
        <v>0</v>
      </c>
      <c r="AO1289" s="1007">
        <f t="shared" si="1843"/>
        <v>0</v>
      </c>
      <c r="AP1289" s="1007">
        <f t="shared" si="1843"/>
        <v>0</v>
      </c>
      <c r="AQ1289" s="1007">
        <f t="shared" si="1843"/>
        <v>0</v>
      </c>
      <c r="AR1289" s="1007">
        <f t="shared" si="1843"/>
        <v>0</v>
      </c>
      <c r="AS1289" s="1007">
        <f t="shared" si="1843"/>
        <v>0</v>
      </c>
      <c r="AT1289" s="1007"/>
      <c r="AU1289" s="1407"/>
      <c r="AV1289" s="1007">
        <f t="shared" ref="AV1289:BB1289" si="1844">AV1250-AV75-AV173-AV271-AV368-AV466-AV563-AV660-AV758-AV859-AV957-AV1055-AV1152</f>
        <v>0</v>
      </c>
      <c r="AW1289" s="1007">
        <f t="shared" si="1844"/>
        <v>0</v>
      </c>
      <c r="AX1289" s="1007">
        <f t="shared" si="1844"/>
        <v>0</v>
      </c>
      <c r="AY1289" s="1007">
        <f t="shared" si="1844"/>
        <v>0</v>
      </c>
      <c r="AZ1289" s="1007">
        <f t="shared" si="1844"/>
        <v>0</v>
      </c>
      <c r="BA1289" s="1007">
        <f t="shared" si="1844"/>
        <v>0</v>
      </c>
      <c r="BB1289" s="1007">
        <f t="shared" si="1844"/>
        <v>0</v>
      </c>
    </row>
    <row r="1290">
      <c r="U1290" s="1008"/>
      <c r="AD1290" s="1008"/>
      <c r="AM1290" s="1008"/>
      <c r="AV1290" s="1000"/>
    </row>
    <row r="1291">
      <c r="U1291" s="1008"/>
      <c r="AD1291" s="1008"/>
      <c r="AM1291" s="1008"/>
      <c r="AV1291" s="1000"/>
    </row>
    <row r="1292">
      <c r="M1292" s="1007">
        <f t="shared" ref="M1292:R1292" si="1845">M1194+M1208+M1214+M1218+M1222</f>
        <v>0</v>
      </c>
      <c r="N1292" s="1007">
        <f t="shared" si="1845"/>
        <v>0</v>
      </c>
      <c r="O1292" s="1007">
        <f t="shared" si="1845"/>
        <v>0</v>
      </c>
      <c r="P1292" s="1007">
        <f t="shared" si="1845"/>
        <v>19347876.840000004</v>
      </c>
      <c r="Q1292" s="1007">
        <f t="shared" si="1845"/>
        <v>19347876.840000004</v>
      </c>
      <c r="R1292" s="1007">
        <f t="shared" si="1845"/>
        <v>9676663.0099999998</v>
      </c>
      <c r="S1292" s="1007"/>
      <c r="T1292" s="1231"/>
      <c r="U1292" s="1007">
        <f t="shared" ref="U1292:AA1292" si="1846">U1194+U1208+U1214+U1218+U1222</f>
        <v>0</v>
      </c>
      <c r="V1292" s="1007">
        <f t="shared" si="1846"/>
        <v>0</v>
      </c>
      <c r="W1292" s="1007">
        <f t="shared" si="1846"/>
        <v>0</v>
      </c>
      <c r="X1292" s="1007">
        <f t="shared" si="1846"/>
        <v>0</v>
      </c>
      <c r="Y1292" s="1007">
        <f t="shared" si="1846"/>
        <v>30120.050000000003</v>
      </c>
      <c r="Z1292" s="1007">
        <f t="shared" si="1846"/>
        <v>30120.050000000003</v>
      </c>
      <c r="AA1292" s="1007">
        <f t="shared" si="1846"/>
        <v>475890.17999999999</v>
      </c>
      <c r="AB1292" s="1406"/>
      <c r="AC1292" s="1231"/>
      <c r="AD1292" s="1007">
        <f t="shared" ref="AD1292:AJ1292" si="1847">AD1194+AD1208+AD1214+AD1218+AD1222</f>
        <v>0</v>
      </c>
      <c r="AE1292" s="1007">
        <f t="shared" si="1847"/>
        <v>0</v>
      </c>
      <c r="AF1292" s="1007">
        <f t="shared" si="1847"/>
        <v>0</v>
      </c>
      <c r="AG1292" s="1007">
        <f t="shared" si="1847"/>
        <v>0</v>
      </c>
      <c r="AH1292" s="1007">
        <f t="shared" si="1847"/>
        <v>983747.06999999995</v>
      </c>
      <c r="AI1292" s="1007">
        <f t="shared" si="1847"/>
        <v>983747.06999999995</v>
      </c>
      <c r="AJ1292" s="1007">
        <f t="shared" si="1847"/>
        <v>227543.07999999999</v>
      </c>
      <c r="AK1292" s="1007"/>
      <c r="AL1292" s="1231"/>
      <c r="AM1292" s="1007">
        <f t="shared" ref="AM1292:AS1292" si="1848">AM1194+AM1208+AM1214+AM1218+AM1222</f>
        <v>0</v>
      </c>
      <c r="AN1292" s="1007">
        <f t="shared" si="1848"/>
        <v>0</v>
      </c>
      <c r="AO1292" s="1007">
        <f t="shared" si="1848"/>
        <v>0</v>
      </c>
      <c r="AP1292" s="1007">
        <f t="shared" si="1848"/>
        <v>0</v>
      </c>
      <c r="AQ1292" s="1007">
        <f t="shared" si="1848"/>
        <v>0</v>
      </c>
      <c r="AR1292" s="1007">
        <f t="shared" si="1848"/>
        <v>0</v>
      </c>
      <c r="AS1292" s="1007">
        <f t="shared" si="1848"/>
        <v>0</v>
      </c>
      <c r="AT1292" s="1007"/>
      <c r="AU1292" s="1407"/>
      <c r="AV1292" s="1007">
        <f t="shared" ref="AV1292:BB1292" si="1849">AV1194+AV1208+AV1214+AV1218+AV1222</f>
        <v>0</v>
      </c>
      <c r="AW1292" s="1007">
        <f t="shared" si="1849"/>
        <v>0</v>
      </c>
      <c r="AX1292" s="1007">
        <f t="shared" si="1849"/>
        <v>0</v>
      </c>
      <c r="AY1292" s="1007">
        <f t="shared" si="1849"/>
        <v>0</v>
      </c>
      <c r="AZ1292" s="1007">
        <f t="shared" si="1849"/>
        <v>3699.1199999999999</v>
      </c>
      <c r="BA1292" s="1007">
        <f t="shared" si="1849"/>
        <v>3699.1199999999999</v>
      </c>
      <c r="BB1292" s="1007">
        <f t="shared" si="1849"/>
        <v>96921.389999999999</v>
      </c>
    </row>
    <row r="1293">
      <c r="M1293" s="1007">
        <f t="shared" ref="M1293:R1293" si="1850">M1292-M1223</f>
        <v>0</v>
      </c>
      <c r="N1293" s="1007">
        <f t="shared" si="1850"/>
        <v>0</v>
      </c>
      <c r="O1293" s="1007">
        <f t="shared" si="1850"/>
        <v>0</v>
      </c>
      <c r="P1293" s="1007">
        <f t="shared" si="1850"/>
        <v>0</v>
      </c>
      <c r="Q1293" s="1007">
        <f t="shared" si="1850"/>
        <v>0</v>
      </c>
      <c r="R1293" s="1007">
        <f t="shared" si="1850"/>
        <v>0</v>
      </c>
      <c r="S1293" s="1007"/>
      <c r="T1293" s="1231"/>
      <c r="U1293" s="1007">
        <f t="shared" ref="U1293:AA1293" si="1851">U1292-U1223</f>
        <v>0</v>
      </c>
      <c r="V1293" s="1007">
        <f t="shared" si="1851"/>
        <v>0</v>
      </c>
      <c r="W1293" s="1007">
        <f t="shared" si="1851"/>
        <v>0</v>
      </c>
      <c r="X1293" s="1007">
        <f t="shared" si="1851"/>
        <v>0</v>
      </c>
      <c r="Y1293" s="1007">
        <f t="shared" si="1851"/>
        <v>0</v>
      </c>
      <c r="Z1293" s="1007">
        <f t="shared" si="1851"/>
        <v>0</v>
      </c>
      <c r="AA1293" s="1007">
        <f t="shared" si="1851"/>
        <v>0</v>
      </c>
      <c r="AB1293" s="1406"/>
      <c r="AC1293" s="1231"/>
      <c r="AD1293" s="1007">
        <f t="shared" ref="AD1293:AJ1293" si="1852">AD1292-AD1223</f>
        <v>0</v>
      </c>
      <c r="AE1293" s="1007">
        <f t="shared" si="1852"/>
        <v>0</v>
      </c>
      <c r="AF1293" s="1007">
        <f t="shared" si="1852"/>
        <v>0</v>
      </c>
      <c r="AG1293" s="1007">
        <f t="shared" si="1852"/>
        <v>0</v>
      </c>
      <c r="AH1293" s="1007">
        <f t="shared" si="1852"/>
        <v>0</v>
      </c>
      <c r="AI1293" s="1007">
        <f t="shared" si="1852"/>
        <v>0</v>
      </c>
      <c r="AJ1293" s="1007">
        <f t="shared" si="1852"/>
        <v>0</v>
      </c>
      <c r="AK1293" s="1007"/>
      <c r="AL1293" s="1231"/>
      <c r="AM1293" s="1007">
        <f t="shared" ref="AM1293:AS1293" si="1853">AM1292-AM1223</f>
        <v>0</v>
      </c>
      <c r="AN1293" s="1007">
        <f t="shared" si="1853"/>
        <v>0</v>
      </c>
      <c r="AO1293" s="1007">
        <f t="shared" si="1853"/>
        <v>0</v>
      </c>
      <c r="AP1293" s="1007">
        <f t="shared" si="1853"/>
        <v>0</v>
      </c>
      <c r="AQ1293" s="1007">
        <f t="shared" si="1853"/>
        <v>0</v>
      </c>
      <c r="AR1293" s="1007">
        <f t="shared" si="1853"/>
        <v>0</v>
      </c>
      <c r="AS1293" s="1007">
        <f t="shared" si="1853"/>
        <v>0</v>
      </c>
      <c r="AT1293" s="1007"/>
      <c r="AU1293" s="1407"/>
      <c r="AV1293" s="1007">
        <f t="shared" ref="AV1293:BB1293" si="1854">AV1292-AV1223</f>
        <v>0</v>
      </c>
      <c r="AW1293" s="1007">
        <f t="shared" si="1854"/>
        <v>0</v>
      </c>
      <c r="AX1293" s="1007">
        <f t="shared" si="1854"/>
        <v>0</v>
      </c>
      <c r="AY1293" s="1007">
        <f t="shared" si="1854"/>
        <v>0</v>
      </c>
      <c r="AZ1293" s="1007">
        <f t="shared" si="1854"/>
        <v>0</v>
      </c>
      <c r="BA1293" s="1007">
        <f t="shared" si="1854"/>
        <v>0</v>
      </c>
      <c r="BB1293" s="1007">
        <f t="shared" si="1854"/>
        <v>0</v>
      </c>
    </row>
    <row r="1294">
      <c r="U1294" s="1008"/>
      <c r="AD1294" s="1008"/>
      <c r="AM1294" s="1008"/>
      <c r="AV1294" s="1000"/>
    </row>
    <row r="1295">
      <c r="U1295" s="1008"/>
      <c r="AD1295" s="1008"/>
      <c r="AM1295" s="1008"/>
      <c r="AV1295" s="1000"/>
    </row>
    <row r="1296">
      <c r="U1296" s="1008"/>
      <c r="AD1296" s="1008"/>
      <c r="AM1296" s="1008"/>
      <c r="AV1296" s="1000"/>
    </row>
    <row r="1297">
      <c r="U1297" s="1008"/>
      <c r="AD1297" s="1008"/>
      <c r="AM1297" s="1008"/>
      <c r="AV1297" s="1000"/>
    </row>
    <row r="1298">
      <c r="U1298" s="1008"/>
      <c r="AD1298" s="1008"/>
      <c r="AM1298" s="1008"/>
      <c r="AV1298" s="1000"/>
    </row>
    <row r="1299">
      <c r="U1299" s="1008"/>
      <c r="AD1299" s="1008"/>
      <c r="AM1299" s="1008"/>
      <c r="AV1299" s="1000"/>
    </row>
    <row r="1300">
      <c r="O1300" s="1230"/>
      <c r="P1300" s="1230"/>
      <c r="Q1300" s="1230"/>
      <c r="R1300" s="1230"/>
      <c r="U1300" s="1008"/>
      <c r="AD1300" s="1008"/>
      <c r="AM1300" s="1008"/>
      <c r="AV1300" s="1000"/>
    </row>
    <row r="1301">
      <c r="U1301" s="1008"/>
      <c r="AD1301" s="1008"/>
      <c r="AM1301" s="1008"/>
      <c r="AV1301" s="1000"/>
    </row>
    <row r="1302">
      <c r="M1302" s="1023"/>
      <c r="N1302" s="1023"/>
      <c r="O1302" s="1023"/>
      <c r="P1302" s="1023"/>
      <c r="Q1302" s="1023"/>
      <c r="R1302" s="1023"/>
      <c r="S1302" s="1023"/>
      <c r="U1302" s="1008"/>
      <c r="AD1302" s="1008"/>
      <c r="AM1302" s="1008"/>
      <c r="AV1302" s="1000"/>
    </row>
    <row r="1303">
      <c r="O1303" s="1008"/>
      <c r="P1303" s="1008"/>
      <c r="U1303" s="1008"/>
      <c r="AD1303" s="1008"/>
      <c r="AM1303" s="1008"/>
      <c r="AV1303" s="1000"/>
    </row>
    <row r="1304">
      <c r="U1304" s="1008"/>
      <c r="AD1304" s="1008"/>
      <c r="AM1304" s="1008"/>
      <c r="AV1304" s="1000"/>
    </row>
    <row r="1305">
      <c r="U1305" s="1008"/>
      <c r="AD1305" s="1008"/>
      <c r="AM1305" s="1008"/>
      <c r="AV1305" s="1000"/>
    </row>
    <row r="1306">
      <c r="U1306" s="1008"/>
      <c r="AD1306" s="1008"/>
      <c r="AM1306" s="1008"/>
      <c r="AV1306" s="1000"/>
    </row>
    <row r="1307">
      <c r="U1307" s="1008"/>
      <c r="AD1307" s="1008"/>
      <c r="AM1307" s="1008"/>
      <c r="AV1307" s="1000"/>
    </row>
    <row r="1308">
      <c r="U1308" s="1008"/>
      <c r="AD1308" s="1008"/>
      <c r="AM1308" s="1008"/>
      <c r="AV1308" s="1000"/>
    </row>
    <row r="1309">
      <c r="U1309" s="1008"/>
      <c r="AD1309" s="1008"/>
      <c r="AM1309" s="1008"/>
      <c r="AV1309" s="1000"/>
    </row>
    <row r="1310">
      <c r="U1310" s="1008"/>
      <c r="AD1310" s="1008"/>
      <c r="AM1310" s="1008"/>
      <c r="AV1310" s="1000"/>
    </row>
    <row r="1311">
      <c r="U1311" s="1008"/>
      <c r="AD1311" s="1008"/>
      <c r="AM1311" s="1008"/>
      <c r="AV1311" s="1000"/>
    </row>
    <row r="1312">
      <c r="U1312" s="1008"/>
      <c r="AD1312" s="1008"/>
      <c r="AM1312" s="1008"/>
      <c r="AV1312" s="1000"/>
    </row>
    <row r="1313">
      <c r="U1313" s="1008"/>
      <c r="AD1313" s="1008"/>
      <c r="AM1313" s="1008"/>
      <c r="AV1313" s="1000"/>
    </row>
    <row r="1314">
      <c r="U1314" s="1008"/>
      <c r="AD1314" s="1008"/>
      <c r="AM1314" s="1008"/>
      <c r="AV1314" s="1000"/>
    </row>
    <row r="1315">
      <c r="U1315" s="1008"/>
      <c r="AD1315" s="1008"/>
      <c r="AM1315" s="1008"/>
      <c r="AV1315" s="1000"/>
    </row>
    <row r="1316">
      <c r="U1316" s="1008"/>
      <c r="AD1316" s="1008"/>
      <c r="AM1316" s="1008"/>
      <c r="AV1316" s="1000"/>
    </row>
    <row r="1317">
      <c r="U1317" s="1008"/>
      <c r="AD1317" s="1008"/>
      <c r="AM1317" s="1008"/>
      <c r="AV1317" s="1000"/>
    </row>
    <row r="1318">
      <c r="U1318" s="1008"/>
      <c r="AD1318" s="1008"/>
      <c r="AM1318" s="1008"/>
      <c r="AV1318" s="1000"/>
    </row>
    <row r="1319">
      <c r="U1319" s="1008"/>
      <c r="AD1319" s="1008"/>
      <c r="AM1319" s="1008"/>
      <c r="AV1319" s="1000"/>
    </row>
    <row r="1320">
      <c r="U1320" s="1008"/>
      <c r="AD1320" s="1008"/>
      <c r="AM1320" s="1008"/>
      <c r="AV1320" s="1000"/>
    </row>
    <row r="1321">
      <c r="U1321" s="1008"/>
      <c r="AD1321" s="1008"/>
      <c r="AM1321" s="1008"/>
      <c r="AV1321" s="1000"/>
    </row>
    <row r="1322">
      <c r="U1322" s="1008"/>
      <c r="AD1322" s="1008"/>
      <c r="AM1322" s="1008"/>
      <c r="AV1322" s="1000"/>
    </row>
    <row r="1323">
      <c r="U1323" s="1008"/>
      <c r="AD1323" s="1008"/>
      <c r="AM1323" s="1008"/>
      <c r="AV1323" s="1000"/>
    </row>
    <row r="1324">
      <c r="U1324" s="1008"/>
      <c r="AD1324" s="1008"/>
      <c r="AM1324" s="1008"/>
      <c r="AV1324" s="1000"/>
    </row>
    <row r="1325">
      <c r="U1325" s="1008"/>
      <c r="AD1325" s="1008"/>
      <c r="AM1325" s="1008"/>
      <c r="AV1325" s="1000"/>
    </row>
    <row r="1326">
      <c r="U1326" s="1008"/>
      <c r="AD1326" s="1008"/>
      <c r="AM1326" s="1008"/>
      <c r="AV1326" s="1000"/>
    </row>
    <row r="1327">
      <c r="U1327" s="1008"/>
      <c r="AD1327" s="1008"/>
      <c r="AM1327" s="1008"/>
      <c r="AV1327" s="1000"/>
    </row>
    <row r="1328">
      <c r="U1328" s="1008"/>
      <c r="AD1328" s="1008"/>
      <c r="AM1328" s="1008"/>
      <c r="AV1328" s="1000"/>
    </row>
    <row r="1329">
      <c r="U1329" s="1008"/>
      <c r="AD1329" s="1008"/>
      <c r="AM1329" s="1008"/>
      <c r="AV1329" s="1000"/>
    </row>
    <row r="1330">
      <c r="U1330" s="1008"/>
      <c r="AD1330" s="1008"/>
      <c r="AM1330" s="1008"/>
      <c r="AV1330" s="1000"/>
    </row>
    <row r="1331">
      <c r="U1331" s="1008"/>
      <c r="AD1331" s="1008"/>
      <c r="AM1331" s="1008"/>
      <c r="AV1331" s="1000"/>
    </row>
    <row r="1332">
      <c r="U1332" s="1008"/>
      <c r="AD1332" s="1008"/>
      <c r="AM1332" s="1008"/>
      <c r="AV1332" s="1000"/>
    </row>
    <row r="1333">
      <c r="U1333" s="1008"/>
      <c r="AD1333" s="1008"/>
      <c r="AM1333" s="1008"/>
      <c r="AV1333" s="1000"/>
    </row>
    <row r="1334">
      <c r="U1334" s="1008"/>
      <c r="AD1334" s="1008"/>
      <c r="AM1334" s="1008"/>
      <c r="AV1334" s="1000"/>
    </row>
    <row r="1335">
      <c r="U1335" s="1008"/>
      <c r="AD1335" s="1008"/>
      <c r="AM1335" s="1008"/>
      <c r="AV1335" s="1000"/>
    </row>
    <row r="1336">
      <c r="U1336" s="1008"/>
      <c r="AD1336" s="1008"/>
      <c r="AM1336" s="1008"/>
      <c r="AV1336" s="1000"/>
    </row>
    <row r="1337">
      <c r="U1337" s="1008"/>
      <c r="AD1337" s="1008"/>
      <c r="AM1337" s="1008"/>
      <c r="AV1337" s="1000"/>
    </row>
    <row r="1338">
      <c r="U1338" s="1008"/>
      <c r="AD1338" s="1008"/>
      <c r="AM1338" s="1008"/>
      <c r="AV1338" s="1000"/>
    </row>
    <row r="1339">
      <c r="U1339" s="1008"/>
      <c r="AD1339" s="1008"/>
      <c r="AM1339" s="1008"/>
      <c r="AV1339" s="1000"/>
    </row>
    <row r="1340">
      <c r="U1340" s="1008"/>
      <c r="AD1340" s="1008"/>
      <c r="AM1340" s="1008"/>
      <c r="AV1340" s="1000"/>
    </row>
    <row r="1341">
      <c r="U1341" s="1008"/>
      <c r="AD1341" s="1008"/>
      <c r="AM1341" s="1008"/>
      <c r="AV1341" s="1000"/>
    </row>
    <row r="1342">
      <c r="U1342" s="1008"/>
      <c r="AD1342" s="1008"/>
      <c r="AM1342" s="1008"/>
      <c r="AV1342" s="1000"/>
    </row>
    <row r="1343">
      <c r="U1343" s="1008"/>
      <c r="AD1343" s="1008"/>
      <c r="AM1343" s="1008"/>
      <c r="AV1343" s="1000"/>
    </row>
    <row r="1344">
      <c r="U1344" s="1008"/>
      <c r="AD1344" s="1008"/>
      <c r="AM1344" s="1008"/>
      <c r="AV1344" s="1000"/>
    </row>
    <row r="1345">
      <c r="U1345" s="1008"/>
      <c r="AD1345" s="1008"/>
      <c r="AM1345" s="1008"/>
      <c r="AV1345" s="1000"/>
    </row>
    <row r="1346">
      <c r="U1346" s="1008"/>
      <c r="AD1346" s="1008"/>
      <c r="AM1346" s="1008"/>
      <c r="AV1346" s="1000"/>
    </row>
    <row r="1347">
      <c r="U1347" s="1008"/>
      <c r="AD1347" s="1008"/>
      <c r="AM1347" s="1008"/>
      <c r="AV1347" s="1000"/>
    </row>
    <row r="1348">
      <c r="U1348" s="1008"/>
      <c r="AD1348" s="1008"/>
      <c r="AM1348" s="1008"/>
      <c r="AV1348" s="1000"/>
    </row>
    <row r="1349">
      <c r="U1349" s="1008"/>
      <c r="AD1349" s="1008"/>
      <c r="AM1349" s="1008"/>
      <c r="AV1349" s="1000"/>
    </row>
    <row r="1350">
      <c r="U1350" s="1008"/>
      <c r="AD1350" s="1008"/>
      <c r="AM1350" s="1008"/>
      <c r="AV1350" s="1000"/>
    </row>
    <row r="1351">
      <c r="U1351" s="1008"/>
      <c r="AD1351" s="1008"/>
      <c r="AM1351" s="1008"/>
      <c r="AV1351" s="1000"/>
    </row>
    <row r="1352">
      <c r="U1352" s="1008"/>
      <c r="AD1352" s="1008"/>
      <c r="AM1352" s="1008"/>
      <c r="AV1352" s="1000"/>
    </row>
    <row r="1353">
      <c r="U1353" s="1008"/>
      <c r="AD1353" s="1008"/>
      <c r="AM1353" s="1008"/>
      <c r="AV1353" s="1000"/>
    </row>
    <row r="1354">
      <c r="U1354" s="1008"/>
      <c r="AD1354" s="1008"/>
      <c r="AM1354" s="1008"/>
      <c r="AV1354" s="1000"/>
    </row>
    <row r="1355">
      <c r="U1355" s="1008"/>
      <c r="AD1355" s="1008"/>
      <c r="AM1355" s="1008"/>
      <c r="AV1355" s="1000"/>
    </row>
    <row r="1356">
      <c r="U1356" s="1008"/>
      <c r="AD1356" s="1008"/>
      <c r="AM1356" s="1008"/>
      <c r="AV1356" s="1000"/>
    </row>
    <row r="1357">
      <c r="U1357" s="1008"/>
      <c r="AD1357" s="1008"/>
      <c r="AM1357" s="1008"/>
      <c r="AV1357" s="1000"/>
    </row>
    <row r="1358">
      <c r="U1358" s="1008"/>
      <c r="AD1358" s="1008"/>
      <c r="AM1358" s="1008"/>
      <c r="AV1358" s="1000"/>
    </row>
    <row r="1359">
      <c r="U1359" s="1008"/>
      <c r="AD1359" s="1008"/>
      <c r="AM1359" s="1008"/>
      <c r="AV1359" s="1000"/>
    </row>
    <row r="1360">
      <c r="U1360" s="1008"/>
      <c r="AD1360" s="1008"/>
      <c r="AM1360" s="1008"/>
      <c r="AV1360" s="1000"/>
    </row>
    <row r="1361">
      <c r="U1361" s="1008"/>
      <c r="AD1361" s="1008"/>
      <c r="AM1361" s="1008"/>
      <c r="AV1361" s="1000"/>
    </row>
    <row r="1362">
      <c r="U1362" s="1008"/>
      <c r="AD1362" s="1008"/>
      <c r="AM1362" s="1008"/>
      <c r="AV1362" s="1000"/>
    </row>
    <row r="1363">
      <c r="U1363" s="1008"/>
      <c r="AD1363" s="1008"/>
      <c r="AM1363" s="1008"/>
      <c r="AV1363" s="1000"/>
    </row>
    <row r="1364">
      <c r="U1364" s="1008"/>
      <c r="AD1364" s="1008"/>
      <c r="AM1364" s="1008"/>
      <c r="AV1364" s="1000"/>
    </row>
    <row r="1365">
      <c r="U1365" s="1008"/>
      <c r="AD1365" s="1008"/>
      <c r="AM1365" s="1008"/>
      <c r="AV1365" s="1000"/>
    </row>
    <row r="1366">
      <c r="U1366" s="1008"/>
      <c r="AD1366" s="1008"/>
      <c r="AM1366" s="1008"/>
      <c r="AV1366" s="1000"/>
    </row>
    <row r="1367">
      <c r="U1367" s="1008"/>
      <c r="AD1367" s="1008"/>
      <c r="AM1367" s="1008"/>
      <c r="AV1367" s="1000"/>
    </row>
    <row r="1368">
      <c r="U1368" s="1008"/>
      <c r="AD1368" s="1008"/>
      <c r="AM1368" s="1008"/>
      <c r="AV1368" s="1000"/>
    </row>
    <row r="1369">
      <c r="U1369" s="1008"/>
      <c r="AD1369" s="1008"/>
      <c r="AM1369" s="1008"/>
      <c r="AV1369" s="1000"/>
    </row>
    <row r="1370">
      <c r="U1370" s="1008"/>
      <c r="AD1370" s="1008"/>
      <c r="AM1370" s="1008"/>
      <c r="AV1370" s="1000"/>
    </row>
    <row r="1371">
      <c r="U1371" s="1008"/>
      <c r="AD1371" s="1008"/>
      <c r="AM1371" s="1008"/>
      <c r="AV1371" s="1000"/>
    </row>
    <row r="1372">
      <c r="U1372" s="1008"/>
      <c r="AD1372" s="1008"/>
      <c r="AM1372" s="1008"/>
      <c r="AV1372" s="1000"/>
    </row>
    <row r="1373">
      <c r="U1373" s="1008"/>
      <c r="AD1373" s="1008"/>
      <c r="AM1373" s="1008"/>
      <c r="AV1373" s="1000"/>
    </row>
    <row r="1374">
      <c r="U1374" s="1008"/>
      <c r="AD1374" s="1008"/>
      <c r="AM1374" s="1008"/>
      <c r="AV1374" s="1000"/>
    </row>
    <row r="1375">
      <c r="U1375" s="1008"/>
      <c r="AD1375" s="1008"/>
      <c r="AM1375" s="1008"/>
      <c r="AV1375" s="1000"/>
    </row>
    <row r="1376">
      <c r="U1376" s="1008"/>
      <c r="AD1376" s="1008"/>
      <c r="AM1376" s="1008"/>
      <c r="AV1376" s="1000"/>
    </row>
    <row r="1377">
      <c r="U1377" s="1008"/>
      <c r="AD1377" s="1008"/>
      <c r="AM1377" s="1008"/>
      <c r="AV1377" s="1000"/>
    </row>
    <row r="1378">
      <c r="U1378" s="1008"/>
      <c r="AD1378" s="1008"/>
      <c r="AM1378" s="1008"/>
      <c r="AV1378" s="1000"/>
    </row>
    <row r="1379">
      <c r="U1379" s="1008"/>
      <c r="AD1379" s="1008"/>
      <c r="AM1379" s="1008"/>
      <c r="AV1379" s="1000"/>
    </row>
    <row r="1380">
      <c r="U1380" s="1008"/>
      <c r="AD1380" s="1008"/>
      <c r="AM1380" s="1008"/>
      <c r="AV1380" s="1000"/>
    </row>
    <row r="1381">
      <c r="U1381" s="1008"/>
      <c r="AD1381" s="1008"/>
      <c r="AM1381" s="1008"/>
      <c r="AV1381" s="1000"/>
    </row>
    <row r="1382">
      <c r="U1382" s="1008"/>
      <c r="AD1382" s="1008"/>
      <c r="AM1382" s="1008"/>
      <c r="AV1382" s="1000"/>
    </row>
    <row r="1383">
      <c r="U1383" s="1008"/>
      <c r="AD1383" s="1008"/>
      <c r="AM1383" s="1008"/>
      <c r="AV1383" s="1000"/>
    </row>
    <row r="1384">
      <c r="U1384" s="1008"/>
      <c r="AD1384" s="1008"/>
      <c r="AM1384" s="1008"/>
      <c r="AV1384" s="1000"/>
    </row>
    <row r="1385">
      <c r="U1385" s="1008"/>
      <c r="AD1385" s="1008"/>
      <c r="AM1385" s="1008"/>
      <c r="AV1385" s="1000"/>
    </row>
    <row r="1386">
      <c r="U1386" s="1008"/>
      <c r="AD1386" s="1008"/>
      <c r="AM1386" s="1008"/>
      <c r="AV1386" s="1000"/>
    </row>
    <row r="1387">
      <c r="U1387" s="1008"/>
      <c r="AD1387" s="1008"/>
      <c r="AM1387" s="1008"/>
      <c r="AV1387" s="1000"/>
    </row>
    <row r="1388">
      <c r="U1388" s="1008"/>
      <c r="AD1388" s="1008"/>
      <c r="AM1388" s="1008"/>
      <c r="AV1388" s="1000"/>
    </row>
    <row r="1389">
      <c r="U1389" s="1008"/>
      <c r="AD1389" s="1008"/>
      <c r="AM1389" s="1008"/>
      <c r="AV1389" s="1000"/>
    </row>
    <row r="1390">
      <c r="U1390" s="1008"/>
      <c r="AD1390" s="1008"/>
      <c r="AM1390" s="1008"/>
      <c r="AV1390" s="1000"/>
    </row>
    <row r="1391">
      <c r="U1391" s="1008"/>
      <c r="AD1391" s="1008"/>
      <c r="AM1391" s="1008"/>
      <c r="AV1391" s="1000"/>
    </row>
    <row r="1392">
      <c r="U1392" s="1008"/>
      <c r="AD1392" s="1008"/>
      <c r="AM1392" s="1008"/>
      <c r="AV1392" s="1000"/>
    </row>
    <row r="1393">
      <c r="U1393" s="1008"/>
      <c r="AD1393" s="1008"/>
      <c r="AM1393" s="1008"/>
      <c r="AV1393" s="1000"/>
    </row>
    <row r="1394">
      <c r="U1394" s="1008"/>
      <c r="AD1394" s="1008"/>
      <c r="AM1394" s="1008"/>
      <c r="AV1394" s="1000"/>
    </row>
    <row r="1395">
      <c r="U1395" s="1008"/>
      <c r="AD1395" s="1008"/>
      <c r="AM1395" s="1008"/>
      <c r="AV1395" s="1000"/>
    </row>
    <row r="1396">
      <c r="U1396" s="1008"/>
      <c r="AD1396" s="1008"/>
      <c r="AM1396" s="1008"/>
      <c r="AV1396" s="1000"/>
    </row>
    <row r="1397">
      <c r="U1397" s="1008"/>
      <c r="AD1397" s="1008"/>
      <c r="AM1397" s="1008"/>
      <c r="AV1397" s="1000"/>
    </row>
    <row r="1398">
      <c r="U1398" s="1008"/>
      <c r="AD1398" s="1008"/>
      <c r="AM1398" s="1008"/>
      <c r="AV1398" s="1000"/>
    </row>
    <row r="1399">
      <c r="U1399" s="1008"/>
      <c r="AD1399" s="1008"/>
      <c r="AM1399" s="1008"/>
      <c r="AV1399" s="1000"/>
    </row>
    <row r="1400">
      <c r="U1400" s="1008"/>
      <c r="AD1400" s="1008"/>
      <c r="AM1400" s="1008"/>
      <c r="AV1400" s="1000"/>
    </row>
    <row r="1401">
      <c r="U1401" s="1008"/>
      <c r="AD1401" s="1008"/>
      <c r="AM1401" s="1008"/>
      <c r="AV1401" s="1000"/>
    </row>
    <row r="1402">
      <c r="U1402" s="1008"/>
      <c r="AD1402" s="1008"/>
      <c r="AM1402" s="1008"/>
      <c r="AV1402" s="1000"/>
    </row>
    <row r="1403">
      <c r="U1403" s="1008"/>
      <c r="AD1403" s="1008"/>
      <c r="AM1403" s="1008"/>
      <c r="AV1403" s="1000"/>
    </row>
    <row r="1404">
      <c r="U1404" s="1008"/>
      <c r="AD1404" s="1008"/>
      <c r="AM1404" s="1008"/>
      <c r="AV1404" s="1000"/>
    </row>
    <row r="1405">
      <c r="U1405" s="1008"/>
      <c r="AD1405" s="1008"/>
      <c r="AM1405" s="1008"/>
      <c r="AV1405" s="1000"/>
    </row>
    <row r="1406">
      <c r="U1406" s="1008"/>
      <c r="AD1406" s="1008"/>
      <c r="AM1406" s="1008"/>
      <c r="AV1406" s="1000"/>
    </row>
    <row r="1407">
      <c r="U1407" s="1008"/>
      <c r="AD1407" s="1008"/>
      <c r="AM1407" s="1008"/>
      <c r="AV1407" s="1000"/>
    </row>
    <row r="1408">
      <c r="U1408" s="1008"/>
      <c r="AD1408" s="1008"/>
      <c r="AM1408" s="1008"/>
      <c r="AV1408" s="1000"/>
    </row>
    <row r="1409">
      <c r="U1409" s="1008"/>
      <c r="AD1409" s="1008"/>
      <c r="AM1409" s="1008"/>
      <c r="AV1409" s="1000"/>
    </row>
    <row r="1410">
      <c r="U1410" s="1008"/>
      <c r="AD1410" s="1008"/>
      <c r="AM1410" s="1008"/>
      <c r="AV1410" s="1000"/>
    </row>
    <row r="1411">
      <c r="U1411" s="1008"/>
      <c r="AD1411" s="1008"/>
      <c r="AM1411" s="1008"/>
      <c r="AV1411" s="1000"/>
    </row>
    <row r="1412">
      <c r="U1412" s="1008"/>
      <c r="AD1412" s="1008"/>
      <c r="AM1412" s="1008"/>
      <c r="AV1412" s="1000"/>
    </row>
    <row r="1413">
      <c r="U1413" s="1008"/>
      <c r="AD1413" s="1008"/>
      <c r="AM1413" s="1008"/>
      <c r="AV1413" s="1000"/>
    </row>
    <row r="1414">
      <c r="U1414" s="1008"/>
      <c r="AD1414" s="1008"/>
      <c r="AM1414" s="1008"/>
      <c r="AV1414" s="1000"/>
    </row>
    <row r="1415">
      <c r="U1415" s="1008"/>
      <c r="AD1415" s="1008"/>
      <c r="AM1415" s="1008"/>
      <c r="AV1415" s="1000"/>
    </row>
    <row r="1416">
      <c r="U1416" s="1008"/>
      <c r="AD1416" s="1008"/>
      <c r="AM1416" s="1008"/>
      <c r="AV1416" s="1000"/>
    </row>
    <row r="1417">
      <c r="U1417" s="1008"/>
      <c r="AD1417" s="1008"/>
      <c r="AM1417" s="1008"/>
      <c r="AV1417" s="1000"/>
    </row>
    <row r="1418">
      <c r="U1418" s="1008"/>
      <c r="AD1418" s="1008"/>
      <c r="AM1418" s="1008"/>
      <c r="AV1418" s="1000"/>
    </row>
    <row r="1419">
      <c r="U1419" s="1008"/>
      <c r="AD1419" s="1008"/>
      <c r="AM1419" s="1008"/>
      <c r="AV1419" s="1000"/>
    </row>
    <row r="1420">
      <c r="U1420" s="1008"/>
      <c r="AD1420" s="1008"/>
      <c r="AM1420" s="1008"/>
      <c r="AV1420" s="1000"/>
    </row>
    <row r="1421">
      <c r="U1421" s="1008"/>
      <c r="AD1421" s="1008"/>
      <c r="AM1421" s="1008"/>
      <c r="AV1421" s="1000"/>
    </row>
    <row r="1422">
      <c r="U1422" s="1008"/>
      <c r="AD1422" s="1008"/>
      <c r="AM1422" s="1008"/>
      <c r="AV1422" s="1000"/>
    </row>
    <row r="1423">
      <c r="U1423" s="1008"/>
      <c r="AD1423" s="1008"/>
      <c r="AM1423" s="1008"/>
      <c r="AV1423" s="1000"/>
    </row>
    <row r="1424">
      <c r="U1424" s="1008"/>
      <c r="AD1424" s="1008"/>
      <c r="AM1424" s="1008"/>
      <c r="AV1424" s="1000"/>
    </row>
    <row r="1425">
      <c r="U1425" s="1008"/>
      <c r="AD1425" s="1008"/>
      <c r="AM1425" s="1008"/>
      <c r="AV1425" s="1000"/>
    </row>
    <row r="1426">
      <c r="U1426" s="1008"/>
      <c r="AD1426" s="1008"/>
      <c r="AM1426" s="1008"/>
      <c r="AV1426" s="1000"/>
    </row>
    <row r="1427">
      <c r="U1427" s="1008"/>
      <c r="AD1427" s="1008"/>
      <c r="AM1427" s="1008"/>
      <c r="AV1427" s="1000"/>
    </row>
    <row r="1428">
      <c r="U1428" s="1008"/>
      <c r="AD1428" s="1008"/>
      <c r="AM1428" s="1008"/>
      <c r="AV1428" s="1000"/>
    </row>
    <row r="1429">
      <c r="U1429" s="1008"/>
      <c r="AD1429" s="1008"/>
      <c r="AM1429" s="1008"/>
      <c r="AV1429" s="1000"/>
    </row>
    <row r="1430">
      <c r="U1430" s="1008"/>
      <c r="AD1430" s="1008"/>
      <c r="AM1430" s="1008"/>
      <c r="AV1430" s="1000"/>
    </row>
    <row r="1431">
      <c r="U1431" s="1008"/>
      <c r="AD1431" s="1008"/>
      <c r="AM1431" s="1008"/>
      <c r="AV1431" s="1000"/>
    </row>
    <row r="1432">
      <c r="U1432" s="1008"/>
      <c r="AD1432" s="1008"/>
      <c r="AM1432" s="1008"/>
      <c r="AV1432" s="1000"/>
    </row>
    <row r="1433">
      <c r="U1433" s="1008"/>
      <c r="AD1433" s="1008"/>
      <c r="AM1433" s="1008"/>
      <c r="AV1433" s="1000"/>
    </row>
    <row r="1434">
      <c r="U1434" s="1008"/>
      <c r="AD1434" s="1008"/>
      <c r="AM1434" s="1008"/>
      <c r="AV1434" s="1000"/>
    </row>
    <row r="1435">
      <c r="U1435" s="1008"/>
      <c r="AD1435" s="1008"/>
      <c r="AM1435" s="1008"/>
      <c r="AV1435" s="1000"/>
    </row>
    <row r="1436">
      <c r="U1436" s="1008"/>
      <c r="AD1436" s="1008"/>
      <c r="AM1436" s="1008"/>
      <c r="AV1436" s="1000"/>
    </row>
    <row r="1437">
      <c r="U1437" s="1008"/>
      <c r="AD1437" s="1008"/>
      <c r="AM1437" s="1008"/>
      <c r="AV1437" s="1000"/>
    </row>
    <row r="1438">
      <c r="U1438" s="1008"/>
      <c r="AD1438" s="1008"/>
      <c r="AM1438" s="1008"/>
      <c r="AV1438" s="1000"/>
    </row>
    <row r="1439">
      <c r="U1439" s="1008"/>
      <c r="AD1439" s="1008"/>
      <c r="AM1439" s="1008"/>
      <c r="AV1439" s="1000"/>
    </row>
    <row r="1440">
      <c r="U1440" s="1008"/>
      <c r="AD1440" s="1008"/>
      <c r="AM1440" s="1008"/>
      <c r="AV1440" s="1000"/>
    </row>
    <row r="1441">
      <c r="U1441" s="1008"/>
      <c r="AD1441" s="1008"/>
      <c r="AM1441" s="1008"/>
      <c r="AV1441" s="1000"/>
    </row>
    <row r="1442">
      <c r="U1442" s="1008"/>
      <c r="AD1442" s="1008"/>
      <c r="AM1442" s="1008"/>
      <c r="AV1442" s="1000"/>
    </row>
    <row r="1443">
      <c r="U1443" s="1008"/>
      <c r="AD1443" s="1008"/>
      <c r="AM1443" s="1008"/>
      <c r="AV1443" s="1000"/>
    </row>
    <row r="1444">
      <c r="U1444" s="1008"/>
      <c r="AD1444" s="1008"/>
      <c r="AM1444" s="1008"/>
      <c r="AV1444" s="1000"/>
    </row>
    <row r="1445">
      <c r="U1445" s="1008"/>
      <c r="AD1445" s="1008"/>
      <c r="AM1445" s="1008"/>
      <c r="AV1445" s="1000"/>
    </row>
    <row r="1446">
      <c r="U1446" s="1008"/>
      <c r="AD1446" s="1008"/>
      <c r="AM1446" s="1008"/>
      <c r="AV1446" s="1000"/>
    </row>
    <row r="1447">
      <c r="U1447" s="1008"/>
      <c r="AD1447" s="1008"/>
      <c r="AM1447" s="1008"/>
      <c r="AV1447" s="1000"/>
    </row>
    <row r="1448">
      <c r="U1448" s="1008"/>
      <c r="AD1448" s="1008"/>
      <c r="AM1448" s="1008"/>
      <c r="AV1448" s="1000"/>
    </row>
    <row r="1449">
      <c r="U1449" s="1008"/>
      <c r="AD1449" s="1008"/>
      <c r="AM1449" s="1008"/>
      <c r="AV1449" s="1000"/>
    </row>
    <row r="1450">
      <c r="U1450" s="1008"/>
      <c r="AD1450" s="1008"/>
      <c r="AM1450" s="1008"/>
      <c r="AV1450" s="1000"/>
    </row>
    <row r="1451">
      <c r="U1451" s="1008"/>
      <c r="AD1451" s="1008"/>
      <c r="AM1451" s="1008"/>
      <c r="AV1451" s="1000"/>
    </row>
    <row r="1452">
      <c r="U1452" s="1008"/>
      <c r="AD1452" s="1008"/>
      <c r="AM1452" s="1008"/>
      <c r="AV1452" s="1000"/>
    </row>
    <row r="1453">
      <c r="U1453" s="1008"/>
      <c r="AD1453" s="1008"/>
      <c r="AM1453" s="1008"/>
      <c r="AV1453" s="1000"/>
    </row>
    <row r="1454">
      <c r="U1454" s="1008"/>
      <c r="AD1454" s="1008"/>
      <c r="AM1454" s="1008"/>
      <c r="AV1454" s="1000"/>
    </row>
    <row r="1455">
      <c r="U1455" s="1008"/>
      <c r="AD1455" s="1008"/>
      <c r="AM1455" s="1008"/>
      <c r="AV1455" s="1000"/>
    </row>
    <row r="1456">
      <c r="U1456" s="1008"/>
      <c r="AD1456" s="1008"/>
      <c r="AM1456" s="1008"/>
      <c r="AV1456" s="1000"/>
    </row>
    <row r="1457">
      <c r="U1457" s="1008"/>
      <c r="AD1457" s="1008"/>
      <c r="AM1457" s="1008"/>
      <c r="AV1457" s="1000"/>
    </row>
    <row r="1458">
      <c r="U1458" s="1008"/>
      <c r="AD1458" s="1008"/>
      <c r="AM1458" s="1008"/>
      <c r="AV1458" s="1000"/>
    </row>
    <row r="1459">
      <c r="U1459" s="1008"/>
      <c r="AD1459" s="1008"/>
      <c r="AM1459" s="1008"/>
      <c r="AV1459" s="1000"/>
    </row>
    <row r="1460">
      <c r="U1460" s="1008"/>
      <c r="AD1460" s="1008"/>
      <c r="AM1460" s="1008"/>
      <c r="AV1460" s="1000"/>
    </row>
    <row r="1461">
      <c r="U1461" s="1008"/>
      <c r="AD1461" s="1008"/>
      <c r="AM1461" s="1008"/>
      <c r="AV1461" s="1000"/>
    </row>
    <row r="1462">
      <c r="U1462" s="1008"/>
      <c r="AD1462" s="1008"/>
      <c r="AM1462" s="1008"/>
      <c r="AV1462" s="1000"/>
    </row>
    <row r="1463">
      <c r="U1463" s="1008"/>
      <c r="AD1463" s="1008"/>
      <c r="AM1463" s="1008"/>
      <c r="AV1463" s="1000"/>
    </row>
    <row r="1464">
      <c r="U1464" s="1008"/>
      <c r="AD1464" s="1008"/>
      <c r="AM1464" s="1008"/>
      <c r="AV1464" s="1000"/>
    </row>
    <row r="1465">
      <c r="U1465" s="1008"/>
      <c r="AD1465" s="1008"/>
      <c r="AM1465" s="1008"/>
      <c r="AV1465" s="1000"/>
    </row>
    <row r="1466">
      <c r="U1466" s="1008"/>
      <c r="AD1466" s="1008"/>
      <c r="AM1466" s="1008"/>
      <c r="AV1466" s="1000"/>
    </row>
    <row r="1467">
      <c r="U1467" s="1008"/>
      <c r="AD1467" s="1008"/>
      <c r="AM1467" s="1008"/>
      <c r="AV1467" s="1000"/>
    </row>
    <row r="1468">
      <c r="U1468" s="1008"/>
      <c r="AD1468" s="1008"/>
      <c r="AM1468" s="1008"/>
      <c r="AV1468" s="1000"/>
    </row>
    <row r="1469">
      <c r="U1469" s="1008"/>
      <c r="AD1469" s="1008"/>
      <c r="AM1469" s="1008"/>
      <c r="AV1469" s="1000"/>
    </row>
    <row r="1470">
      <c r="U1470" s="1008"/>
      <c r="AD1470" s="1008"/>
      <c r="AM1470" s="1008"/>
      <c r="AV1470" s="1000"/>
    </row>
    <row r="1471">
      <c r="U1471" s="1008"/>
      <c r="AD1471" s="1008"/>
      <c r="AM1471" s="1008"/>
      <c r="AV1471" s="1000"/>
    </row>
    <row r="1472">
      <c r="U1472" s="1008"/>
      <c r="AD1472" s="1008"/>
      <c r="AM1472" s="1008"/>
      <c r="AV1472" s="1000"/>
    </row>
    <row r="1473">
      <c r="U1473" s="1008"/>
      <c r="AD1473" s="1008"/>
      <c r="AM1473" s="1008"/>
      <c r="AV1473" s="1000"/>
    </row>
    <row r="1474">
      <c r="U1474" s="1008"/>
      <c r="AD1474" s="1008"/>
      <c r="AM1474" s="1008"/>
      <c r="AV1474" s="1000"/>
    </row>
    <row r="1475">
      <c r="U1475" s="1008"/>
      <c r="AD1475" s="1008"/>
      <c r="AM1475" s="1008"/>
      <c r="AV1475" s="1000"/>
    </row>
    <row r="1476">
      <c r="U1476" s="1008"/>
      <c r="AD1476" s="1008"/>
      <c r="AM1476" s="1008"/>
      <c r="AV1476" s="1000"/>
    </row>
    <row r="1477">
      <c r="U1477" s="1008"/>
      <c r="AD1477" s="1008"/>
      <c r="AM1477" s="1008"/>
      <c r="AV1477" s="1000"/>
    </row>
    <row r="1478">
      <c r="U1478" s="1008"/>
      <c r="AD1478" s="1008"/>
      <c r="AM1478" s="1008"/>
      <c r="AV1478" s="1000"/>
    </row>
    <row r="1479">
      <c r="U1479" s="1008"/>
      <c r="AD1479" s="1008"/>
      <c r="AM1479" s="1008"/>
      <c r="AV1479" s="1000"/>
    </row>
    <row r="1480">
      <c r="U1480" s="1008"/>
      <c r="AD1480" s="1008"/>
      <c r="AM1480" s="1008"/>
      <c r="AV1480" s="1000"/>
    </row>
    <row r="1481">
      <c r="U1481" s="1008"/>
      <c r="AD1481" s="1008"/>
      <c r="AM1481" s="1008"/>
      <c r="AV1481" s="1000"/>
    </row>
    <row r="1482">
      <c r="U1482" s="1008"/>
      <c r="AD1482" s="1008"/>
      <c r="AM1482" s="1008"/>
      <c r="AV1482" s="1000"/>
    </row>
    <row r="1483">
      <c r="U1483" s="1008"/>
      <c r="AD1483" s="1008"/>
      <c r="AM1483" s="1008"/>
      <c r="AV1483" s="1000"/>
    </row>
    <row r="1484">
      <c r="U1484" s="1008"/>
      <c r="AD1484" s="1008"/>
      <c r="AM1484" s="1008"/>
      <c r="AV1484" s="1000"/>
    </row>
    <row r="1485">
      <c r="U1485" s="1008"/>
      <c r="AD1485" s="1008"/>
      <c r="AM1485" s="1008"/>
      <c r="AV1485" s="1000"/>
    </row>
    <row r="1486">
      <c r="U1486" s="1008"/>
      <c r="AD1486" s="1008"/>
      <c r="AM1486" s="1008"/>
      <c r="AV1486" s="1000"/>
    </row>
    <row r="1487">
      <c r="U1487" s="1008"/>
      <c r="AD1487" s="1008"/>
      <c r="AM1487" s="1008"/>
      <c r="AV1487" s="1000"/>
    </row>
    <row r="1488">
      <c r="U1488" s="1008"/>
      <c r="AD1488" s="1008"/>
      <c r="AM1488" s="1008"/>
      <c r="AV1488" s="1000"/>
    </row>
    <row r="1489">
      <c r="U1489" s="1008"/>
      <c r="AD1489" s="1008"/>
      <c r="AM1489" s="1008"/>
      <c r="AV1489" s="1000"/>
    </row>
    <row r="1490">
      <c r="U1490" s="1008"/>
      <c r="AD1490" s="1008"/>
      <c r="AM1490" s="1008"/>
      <c r="AV1490" s="1000"/>
    </row>
    <row r="1491">
      <c r="U1491" s="1008"/>
      <c r="AD1491" s="1008"/>
      <c r="AM1491" s="1008"/>
      <c r="AV1491" s="1000"/>
    </row>
    <row r="1492">
      <c r="U1492" s="1008"/>
      <c r="AD1492" s="1008"/>
      <c r="AM1492" s="1008"/>
      <c r="AV1492" s="1000"/>
    </row>
    <row r="1493">
      <c r="U1493" s="1008"/>
      <c r="AD1493" s="1008"/>
      <c r="AM1493" s="1008"/>
      <c r="AV1493" s="1000"/>
    </row>
    <row r="1494">
      <c r="U1494" s="1008"/>
      <c r="AD1494" s="1008"/>
      <c r="AM1494" s="1008"/>
      <c r="AV1494" s="1000"/>
    </row>
    <row r="1495">
      <c r="U1495" s="1008"/>
      <c r="AD1495" s="1008"/>
      <c r="AM1495" s="1008"/>
      <c r="AV1495" s="1000"/>
    </row>
    <row r="1496">
      <c r="U1496" s="1008"/>
      <c r="AD1496" s="1008"/>
      <c r="AM1496" s="1008"/>
      <c r="AV1496" s="1000"/>
    </row>
    <row r="1497">
      <c r="U1497" s="1008"/>
      <c r="AD1497" s="1008"/>
      <c r="AM1497" s="1008"/>
      <c r="AV1497" s="1000"/>
    </row>
    <row r="1498">
      <c r="U1498" s="1008"/>
      <c r="AD1498" s="1008"/>
      <c r="AM1498" s="1008"/>
      <c r="AV1498" s="1000"/>
    </row>
    <row r="1499">
      <c r="U1499" s="1008"/>
      <c r="AD1499" s="1008"/>
      <c r="AM1499" s="1008"/>
      <c r="AV1499" s="1000"/>
    </row>
    <row r="1500">
      <c r="U1500" s="1008"/>
      <c r="AD1500" s="1008"/>
      <c r="AM1500" s="1008"/>
      <c r="AV1500" s="1000"/>
    </row>
    <row r="1501">
      <c r="U1501" s="1008"/>
      <c r="AD1501" s="1008"/>
      <c r="AM1501" s="1008"/>
      <c r="AV1501" s="1000"/>
    </row>
    <row r="1502">
      <c r="U1502" s="1008"/>
      <c r="AD1502" s="1008"/>
      <c r="AM1502" s="1008"/>
      <c r="AV1502" s="1000"/>
    </row>
    <row r="1503">
      <c r="U1503" s="1008"/>
      <c r="AD1503" s="1008"/>
      <c r="AM1503" s="1008"/>
      <c r="AV1503" s="1000"/>
    </row>
    <row r="1504">
      <c r="U1504" s="1008"/>
      <c r="AD1504" s="1008"/>
      <c r="AM1504" s="1008"/>
      <c r="AV1504" s="1000"/>
    </row>
    <row r="1505">
      <c r="U1505" s="1008"/>
      <c r="AD1505" s="1008"/>
      <c r="AM1505" s="1008"/>
      <c r="AV1505" s="1000"/>
    </row>
    <row r="1506">
      <c r="U1506" s="1008"/>
      <c r="AD1506" s="1008"/>
      <c r="AM1506" s="1008"/>
      <c r="AV1506" s="1000"/>
    </row>
    <row r="1507">
      <c r="U1507" s="1008"/>
      <c r="AD1507" s="1008"/>
      <c r="AM1507" s="1008"/>
      <c r="AV1507" s="1000"/>
    </row>
    <row r="1508">
      <c r="U1508" s="1008"/>
      <c r="AD1508" s="1008"/>
      <c r="AM1508" s="1008"/>
      <c r="AV1508" s="1000"/>
    </row>
    <row r="1509">
      <c r="U1509" s="1008"/>
      <c r="AD1509" s="1008"/>
      <c r="AM1509" s="1008"/>
      <c r="AV1509" s="1000"/>
    </row>
    <row r="1510">
      <c r="U1510" s="1008"/>
      <c r="AD1510" s="1008"/>
      <c r="AM1510" s="1008"/>
      <c r="AV1510" s="1000"/>
    </row>
    <row r="1511">
      <c r="U1511" s="1008"/>
      <c r="AD1511" s="1008"/>
      <c r="AM1511" s="1008"/>
      <c r="AV1511" s="1000"/>
    </row>
    <row r="1512">
      <c r="U1512" s="1008"/>
      <c r="AD1512" s="1008"/>
      <c r="AM1512" s="1008"/>
      <c r="AV1512" s="1000"/>
    </row>
    <row r="1513">
      <c r="U1513" s="1008"/>
      <c r="AD1513" s="1008"/>
      <c r="AM1513" s="1008"/>
      <c r="AV1513" s="1000"/>
    </row>
    <row r="1514">
      <c r="U1514" s="1008"/>
      <c r="AD1514" s="1008"/>
      <c r="AM1514" s="1008"/>
      <c r="AV1514" s="1000"/>
    </row>
    <row r="1515">
      <c r="U1515" s="1008"/>
      <c r="AD1515" s="1008"/>
      <c r="AM1515" s="1008"/>
      <c r="AV1515" s="1000"/>
    </row>
    <row r="1516">
      <c r="U1516" s="1008"/>
      <c r="AD1516" s="1008"/>
      <c r="AM1516" s="1008"/>
      <c r="AV1516" s="1000"/>
    </row>
    <row r="1517">
      <c r="U1517" s="1008"/>
      <c r="AD1517" s="1008"/>
      <c r="AM1517" s="1008"/>
      <c r="AV1517" s="1000"/>
    </row>
    <row r="1518">
      <c r="U1518" s="1008"/>
      <c r="AD1518" s="1008"/>
      <c r="AM1518" s="1008"/>
      <c r="AV1518" s="1000"/>
    </row>
    <row r="1519">
      <c r="U1519" s="1008"/>
      <c r="AD1519" s="1008"/>
      <c r="AM1519" s="1008"/>
      <c r="AV1519" s="1000"/>
    </row>
    <row r="1520">
      <c r="U1520" s="1008"/>
      <c r="AD1520" s="1008"/>
      <c r="AM1520" s="1008"/>
      <c r="AV1520" s="1000"/>
    </row>
    <row r="1521">
      <c r="U1521" s="1008"/>
      <c r="AD1521" s="1008"/>
      <c r="AM1521" s="1008"/>
      <c r="AV1521" s="1000"/>
    </row>
    <row r="1522">
      <c r="U1522" s="1008"/>
      <c r="AD1522" s="1008"/>
      <c r="AM1522" s="1008"/>
      <c r="AV1522" s="1000"/>
    </row>
    <row r="1523">
      <c r="U1523" s="1008"/>
      <c r="AD1523" s="1008"/>
      <c r="AM1523" s="1008"/>
      <c r="AV1523" s="1000"/>
    </row>
    <row r="1524">
      <c r="U1524" s="1008"/>
      <c r="AD1524" s="1008"/>
      <c r="AM1524" s="1008"/>
      <c r="AV1524" s="1000"/>
    </row>
    <row r="1525">
      <c r="U1525" s="1008"/>
      <c r="AD1525" s="1008"/>
      <c r="AM1525" s="1008"/>
      <c r="AV1525" s="1000"/>
    </row>
    <row r="1526">
      <c r="U1526" s="1008"/>
      <c r="AD1526" s="1008"/>
      <c r="AM1526" s="1008"/>
      <c r="AV1526" s="1000"/>
    </row>
    <row r="1527">
      <c r="U1527" s="1008"/>
      <c r="AD1527" s="1008"/>
      <c r="AM1527" s="1008"/>
      <c r="AV1527" s="1000"/>
    </row>
    <row r="1528">
      <c r="U1528" s="1008"/>
      <c r="AD1528" s="1008"/>
      <c r="AM1528" s="1008"/>
      <c r="AV1528" s="1000"/>
    </row>
    <row r="1529">
      <c r="U1529" s="1008"/>
      <c r="AD1529" s="1008"/>
      <c r="AM1529" s="1008"/>
      <c r="AV1529" s="1000"/>
    </row>
    <row r="1530">
      <c r="U1530" s="1008"/>
      <c r="AD1530" s="1008"/>
      <c r="AM1530" s="1008"/>
      <c r="AV1530" s="1000"/>
    </row>
    <row r="1531">
      <c r="U1531" s="1008"/>
      <c r="AD1531" s="1008"/>
      <c r="AM1531" s="1008"/>
      <c r="AV1531" s="1000"/>
    </row>
    <row r="1532">
      <c r="U1532" s="1008"/>
      <c r="AD1532" s="1008"/>
      <c r="AM1532" s="1008"/>
      <c r="AV1532" s="1000"/>
    </row>
    <row r="1533">
      <c r="U1533" s="1008"/>
      <c r="AD1533" s="1008"/>
      <c r="AM1533" s="1008"/>
      <c r="AV1533" s="1000"/>
    </row>
    <row r="1534">
      <c r="U1534" s="1008"/>
      <c r="AD1534" s="1008"/>
      <c r="AM1534" s="1008"/>
      <c r="AV1534" s="1000"/>
    </row>
    <row r="1535">
      <c r="U1535" s="1008"/>
      <c r="AD1535" s="1008"/>
      <c r="AM1535" s="1008"/>
      <c r="AV1535" s="1000"/>
    </row>
    <row r="1536">
      <c r="U1536" s="1008"/>
      <c r="AD1536" s="1008"/>
      <c r="AM1536" s="1008"/>
      <c r="AV1536" s="1000"/>
    </row>
    <row r="1537">
      <c r="U1537" s="1008"/>
      <c r="AD1537" s="1008"/>
      <c r="AM1537" s="1008"/>
      <c r="AV1537" s="1000"/>
    </row>
    <row r="1538">
      <c r="U1538" s="1008"/>
      <c r="AD1538" s="1008"/>
      <c r="AM1538" s="1008"/>
      <c r="AV1538" s="1000"/>
    </row>
    <row r="1539">
      <c r="U1539" s="1008"/>
      <c r="AD1539" s="1008"/>
      <c r="AM1539" s="1008"/>
      <c r="AV1539" s="1000"/>
    </row>
    <row r="1540">
      <c r="U1540" s="1008"/>
      <c r="AD1540" s="1008"/>
      <c r="AM1540" s="1008"/>
      <c r="AV1540" s="1000"/>
    </row>
    <row r="1541">
      <c r="U1541" s="1008"/>
      <c r="AD1541" s="1008"/>
      <c r="AM1541" s="1008"/>
      <c r="AV1541" s="1000"/>
    </row>
    <row r="1542">
      <c r="U1542" s="1008"/>
      <c r="AD1542" s="1008"/>
      <c r="AM1542" s="1008"/>
      <c r="AV1542" s="1000"/>
    </row>
    <row r="1543">
      <c r="U1543" s="1008"/>
      <c r="AD1543" s="1008"/>
      <c r="AM1543" s="1008"/>
      <c r="AV1543" s="1000"/>
    </row>
    <row r="1544">
      <c r="U1544" s="1008"/>
      <c r="AD1544" s="1008"/>
      <c r="AM1544" s="1008"/>
      <c r="AV1544" s="1000"/>
    </row>
    <row r="1545">
      <c r="U1545" s="1008"/>
      <c r="AD1545" s="1008"/>
      <c r="AM1545" s="1008"/>
      <c r="AV1545" s="1000"/>
    </row>
    <row r="1546">
      <c r="U1546" s="1008"/>
      <c r="AD1546" s="1008"/>
      <c r="AM1546" s="1008"/>
      <c r="AV1546" s="1000"/>
    </row>
    <row r="1547">
      <c r="U1547" s="1008"/>
      <c r="AD1547" s="1008"/>
      <c r="AM1547" s="1008"/>
      <c r="AV1547" s="1000"/>
    </row>
    <row r="1548">
      <c r="U1548" s="1008"/>
      <c r="AD1548" s="1008"/>
      <c r="AM1548" s="1008"/>
      <c r="AV1548" s="1000"/>
    </row>
    <row r="1549">
      <c r="U1549" s="1008"/>
      <c r="AD1549" s="1008"/>
      <c r="AM1549" s="1008"/>
      <c r="AV1549" s="1000"/>
    </row>
    <row r="1550">
      <c r="U1550" s="1008"/>
      <c r="AD1550" s="1008"/>
      <c r="AM1550" s="1008"/>
      <c r="AV1550" s="1000"/>
    </row>
    <row r="1551">
      <c r="U1551" s="1008"/>
      <c r="AD1551" s="1008"/>
      <c r="AM1551" s="1008"/>
      <c r="AV1551" s="1000"/>
    </row>
    <row r="1552">
      <c r="U1552" s="1008"/>
      <c r="AD1552" s="1008"/>
      <c r="AM1552" s="1008"/>
      <c r="AV1552" s="1000"/>
    </row>
    <row r="1553">
      <c r="U1553" s="1008"/>
      <c r="AD1553" s="1008"/>
      <c r="AM1553" s="1008"/>
      <c r="AV1553" s="1000"/>
    </row>
    <row r="1554">
      <c r="U1554" s="1008"/>
      <c r="AD1554" s="1008"/>
      <c r="AM1554" s="1008"/>
      <c r="AV1554" s="1000"/>
    </row>
    <row r="1555">
      <c r="U1555" s="1008"/>
      <c r="AD1555" s="1008"/>
      <c r="AM1555" s="1008"/>
      <c r="AV1555" s="1000"/>
    </row>
    <row r="1556">
      <c r="U1556" s="1008"/>
      <c r="AD1556" s="1008"/>
      <c r="AM1556" s="1008"/>
      <c r="AV1556" s="1000"/>
    </row>
    <row r="1557">
      <c r="U1557" s="1008"/>
      <c r="AD1557" s="1008"/>
      <c r="AM1557" s="1008"/>
      <c r="AV1557" s="1000"/>
    </row>
    <row r="1558">
      <c r="U1558" s="1008"/>
      <c r="AD1558" s="1008"/>
      <c r="AM1558" s="1008"/>
      <c r="AV1558" s="1000"/>
    </row>
    <row r="1559">
      <c r="U1559" s="1008"/>
      <c r="AD1559" s="1008"/>
      <c r="AM1559" s="1008"/>
      <c r="AV1559" s="1000"/>
    </row>
    <row r="1560">
      <c r="U1560" s="1008"/>
      <c r="AD1560" s="1008"/>
      <c r="AM1560" s="1008"/>
      <c r="AV1560" s="1000"/>
    </row>
    <row r="1561">
      <c r="U1561" s="1008"/>
      <c r="AD1561" s="1008"/>
      <c r="AM1561" s="1008"/>
      <c r="AV1561" s="1000"/>
    </row>
    <row r="1562">
      <c r="U1562" s="1008"/>
      <c r="AD1562" s="1008"/>
      <c r="AM1562" s="1008"/>
      <c r="AV1562" s="1000"/>
    </row>
    <row r="1563">
      <c r="U1563" s="1008"/>
      <c r="AD1563" s="1008"/>
      <c r="AM1563" s="1008"/>
      <c r="AV1563" s="1000"/>
    </row>
    <row r="1564">
      <c r="U1564" s="1008"/>
      <c r="AD1564" s="1008"/>
      <c r="AM1564" s="1008"/>
      <c r="AV1564" s="1000"/>
    </row>
    <row r="1565">
      <c r="U1565" s="1008"/>
      <c r="AD1565" s="1008"/>
      <c r="AM1565" s="1008"/>
      <c r="AV1565" s="1000"/>
    </row>
    <row r="1566">
      <c r="U1566" s="1008"/>
      <c r="AD1566" s="1008"/>
      <c r="AM1566" s="1008"/>
      <c r="AV1566" s="1000"/>
    </row>
    <row r="1567">
      <c r="U1567" s="1008"/>
      <c r="AD1567" s="1008"/>
      <c r="AM1567" s="1008"/>
      <c r="AV1567" s="1000"/>
    </row>
    <row r="1568">
      <c r="U1568" s="1008"/>
      <c r="AD1568" s="1008"/>
      <c r="AM1568" s="1008"/>
      <c r="AV1568" s="1000"/>
    </row>
    <row r="1569">
      <c r="U1569" s="1008"/>
      <c r="AD1569" s="1008"/>
      <c r="AM1569" s="1008"/>
      <c r="AV1569" s="1000"/>
    </row>
    <row r="1570">
      <c r="U1570" s="1008"/>
      <c r="AD1570" s="1008"/>
      <c r="AM1570" s="1008"/>
      <c r="AV1570" s="1000"/>
    </row>
    <row r="1571">
      <c r="U1571" s="1008"/>
      <c r="AD1571" s="1008"/>
      <c r="AM1571" s="1008"/>
      <c r="AV1571" s="1000"/>
    </row>
    <row r="1572">
      <c r="U1572" s="1008"/>
      <c r="AD1572" s="1008"/>
      <c r="AM1572" s="1008"/>
      <c r="AV1572" s="1000"/>
    </row>
    <row r="1573">
      <c r="U1573" s="1008"/>
      <c r="AD1573" s="1008"/>
      <c r="AM1573" s="1008"/>
      <c r="AV1573" s="1000"/>
    </row>
    <row r="1574">
      <c r="U1574" s="1008"/>
      <c r="AD1574" s="1008"/>
      <c r="AM1574" s="1008"/>
      <c r="AV1574" s="1000"/>
    </row>
    <row r="1575">
      <c r="U1575" s="1008"/>
      <c r="AD1575" s="1008"/>
      <c r="AM1575" s="1008"/>
      <c r="AV1575" s="1000"/>
    </row>
    <row r="1576">
      <c r="U1576" s="1008"/>
      <c r="AD1576" s="1008"/>
      <c r="AM1576" s="1008"/>
      <c r="AV1576" s="1000"/>
    </row>
    <row r="1577">
      <c r="U1577" s="1008"/>
      <c r="AD1577" s="1008"/>
      <c r="AM1577" s="1008"/>
      <c r="AV1577" s="1000"/>
    </row>
    <row r="1578">
      <c r="U1578" s="1008"/>
      <c r="AD1578" s="1008"/>
      <c r="AM1578" s="1008"/>
      <c r="AV1578" s="1000"/>
    </row>
    <row r="1579">
      <c r="U1579" s="1008"/>
      <c r="AD1579" s="1008"/>
      <c r="AM1579" s="1008"/>
      <c r="AV1579" s="1000"/>
    </row>
    <row r="1580">
      <c r="U1580" s="1008"/>
      <c r="AD1580" s="1008"/>
      <c r="AM1580" s="1008"/>
      <c r="AV1580" s="1000"/>
    </row>
    <row r="1581">
      <c r="U1581" s="1008"/>
      <c r="AD1581" s="1008"/>
      <c r="AM1581" s="1008"/>
      <c r="AV1581" s="1000"/>
    </row>
    <row r="1582">
      <c r="U1582" s="1008"/>
      <c r="AD1582" s="1008"/>
      <c r="AM1582" s="1008"/>
      <c r="AV1582" s="1000"/>
    </row>
    <row r="1583">
      <c r="U1583" s="1008"/>
      <c r="AD1583" s="1008"/>
      <c r="AM1583" s="1008"/>
      <c r="AV1583" s="1000"/>
    </row>
    <row r="1584">
      <c r="U1584" s="1008"/>
      <c r="AD1584" s="1008"/>
      <c r="AM1584" s="1008"/>
      <c r="AV1584" s="1000"/>
    </row>
    <row r="1585">
      <c r="U1585" s="1008"/>
      <c r="AD1585" s="1008"/>
      <c r="AM1585" s="1008"/>
      <c r="AV1585" s="1000"/>
    </row>
    <row r="1586">
      <c r="U1586" s="1008"/>
      <c r="AD1586" s="1008"/>
      <c r="AM1586" s="1008"/>
      <c r="AV1586" s="1000"/>
    </row>
    <row r="1587">
      <c r="U1587" s="1008"/>
      <c r="AD1587" s="1008"/>
      <c r="AM1587" s="1008"/>
      <c r="AV1587" s="1000"/>
    </row>
    <row r="1588">
      <c r="U1588" s="1008"/>
      <c r="AD1588" s="1008"/>
      <c r="AM1588" s="1008"/>
      <c r="AV1588" s="1000"/>
    </row>
    <row r="1589">
      <c r="U1589" s="1008"/>
      <c r="AD1589" s="1008"/>
      <c r="AM1589" s="1008"/>
      <c r="AV1589" s="1000"/>
    </row>
    <row r="1590">
      <c r="U1590" s="1008"/>
      <c r="AD1590" s="1008"/>
      <c r="AM1590" s="1008"/>
      <c r="AV1590" s="1000"/>
    </row>
    <row r="1591">
      <c r="U1591" s="1008"/>
      <c r="AD1591" s="1008"/>
      <c r="AM1591" s="1008"/>
      <c r="AV1591" s="1000"/>
    </row>
    <row r="1592">
      <c r="U1592" s="1008"/>
      <c r="AD1592" s="1008"/>
      <c r="AM1592" s="1008"/>
      <c r="AV1592" s="1000"/>
    </row>
    <row r="1593">
      <c r="U1593" s="1008"/>
      <c r="AD1593" s="1008"/>
      <c r="AM1593" s="1008"/>
      <c r="AV1593" s="1000"/>
    </row>
    <row r="1594">
      <c r="U1594" s="1008"/>
      <c r="AD1594" s="1008"/>
      <c r="AM1594" s="1008"/>
      <c r="AV1594" s="1000"/>
    </row>
    <row r="1595">
      <c r="U1595" s="1008"/>
      <c r="AD1595" s="1008"/>
      <c r="AM1595" s="1008"/>
      <c r="AV1595" s="1000"/>
    </row>
    <row r="1596">
      <c r="U1596" s="1008"/>
      <c r="AD1596" s="1008"/>
      <c r="AM1596" s="1008"/>
      <c r="AV1596" s="1000"/>
    </row>
    <row r="1597">
      <c r="U1597" s="1008"/>
      <c r="AD1597" s="1008"/>
      <c r="AM1597" s="1008"/>
      <c r="AV1597" s="1000"/>
    </row>
    <row r="1598">
      <c r="U1598" s="1008"/>
      <c r="AD1598" s="1008"/>
      <c r="AM1598" s="1008"/>
      <c r="AV1598" s="1000"/>
    </row>
    <row r="1599">
      <c r="U1599" s="1008"/>
      <c r="AD1599" s="1008"/>
      <c r="AM1599" s="1008"/>
      <c r="AV1599" s="1000"/>
    </row>
    <row r="1600">
      <c r="U1600" s="1008"/>
      <c r="AD1600" s="1008"/>
      <c r="AM1600" s="1008"/>
      <c r="AV1600" s="1000"/>
    </row>
    <row r="1601">
      <c r="U1601" s="1008"/>
      <c r="AD1601" s="1008"/>
      <c r="AM1601" s="1008"/>
      <c r="AV1601" s="1000"/>
    </row>
    <row r="1602">
      <c r="U1602" s="1008"/>
      <c r="AD1602" s="1008"/>
      <c r="AM1602" s="1008"/>
      <c r="AV1602" s="1000"/>
    </row>
    <row r="1603">
      <c r="U1603" s="1008"/>
      <c r="AD1603" s="1008"/>
      <c r="AM1603" s="1008"/>
      <c r="AV1603" s="1000"/>
    </row>
    <row r="1604">
      <c r="U1604" s="1008"/>
      <c r="AD1604" s="1008"/>
      <c r="AM1604" s="1008"/>
      <c r="AV1604" s="1000"/>
    </row>
    <row r="1605">
      <c r="U1605" s="1008"/>
      <c r="AD1605" s="1008"/>
      <c r="AM1605" s="1008"/>
      <c r="AV1605" s="1000"/>
    </row>
    <row r="1606">
      <c r="U1606" s="1008"/>
      <c r="AD1606" s="1008"/>
      <c r="AM1606" s="1008"/>
      <c r="AV1606" s="1000"/>
    </row>
    <row r="1607">
      <c r="U1607" s="1008"/>
      <c r="AD1607" s="1008"/>
      <c r="AM1607" s="1008"/>
      <c r="AV1607" s="1000"/>
    </row>
    <row r="1608">
      <c r="U1608" s="1008"/>
      <c r="AD1608" s="1008"/>
      <c r="AM1608" s="1008"/>
      <c r="AV1608" s="1000"/>
    </row>
    <row r="1609">
      <c r="U1609" s="1008"/>
      <c r="AD1609" s="1008"/>
      <c r="AM1609" s="1008"/>
      <c r="AV1609" s="1000"/>
    </row>
    <row r="1610">
      <c r="U1610" s="1008"/>
      <c r="AD1610" s="1008"/>
      <c r="AM1610" s="1008"/>
      <c r="AV1610" s="1000"/>
    </row>
    <row r="1611">
      <c r="U1611" s="1008"/>
      <c r="AD1611" s="1008"/>
      <c r="AM1611" s="1008"/>
      <c r="AV1611" s="1000"/>
    </row>
    <row r="1612">
      <c r="U1612" s="1008"/>
      <c r="AD1612" s="1008"/>
      <c r="AM1612" s="1008"/>
      <c r="AV1612" s="1000"/>
    </row>
    <row r="1613">
      <c r="U1613" s="1008"/>
      <c r="AD1613" s="1008"/>
      <c r="AM1613" s="1008"/>
      <c r="AV1613" s="1000"/>
    </row>
    <row r="1614">
      <c r="U1614" s="1008"/>
      <c r="AD1614" s="1008"/>
      <c r="AM1614" s="1008"/>
      <c r="AV1614" s="1000"/>
    </row>
    <row r="1615">
      <c r="U1615" s="1008"/>
      <c r="AD1615" s="1008"/>
      <c r="AM1615" s="1008"/>
      <c r="AV1615" s="1000"/>
    </row>
    <row r="1616">
      <c r="U1616" s="1008"/>
      <c r="AD1616" s="1008"/>
      <c r="AM1616" s="1008"/>
      <c r="AV1616" s="1000"/>
    </row>
    <row r="1617">
      <c r="U1617" s="1008"/>
      <c r="AD1617" s="1008"/>
      <c r="AM1617" s="1008"/>
      <c r="AV1617" s="1000"/>
    </row>
    <row r="1618">
      <c r="U1618" s="1008"/>
      <c r="AD1618" s="1008"/>
      <c r="AM1618" s="1008"/>
      <c r="AV1618" s="1000"/>
    </row>
    <row r="1619">
      <c r="U1619" s="1008"/>
      <c r="AD1619" s="1008"/>
      <c r="AM1619" s="1008"/>
      <c r="AV1619" s="1000"/>
    </row>
    <row r="1620">
      <c r="U1620" s="1008"/>
      <c r="AD1620" s="1008"/>
      <c r="AM1620" s="1008"/>
      <c r="AV1620" s="1000"/>
    </row>
    <row r="1621">
      <c r="U1621" s="1008"/>
      <c r="AD1621" s="1008"/>
      <c r="AM1621" s="1008"/>
      <c r="AV1621" s="1000"/>
    </row>
    <row r="1622">
      <c r="U1622" s="1008"/>
      <c r="AD1622" s="1008"/>
      <c r="AM1622" s="1008"/>
      <c r="AV1622" s="1000"/>
    </row>
    <row r="1623">
      <c r="U1623" s="1008"/>
      <c r="AD1623" s="1008"/>
      <c r="AM1623" s="1008"/>
      <c r="AV1623" s="1000"/>
    </row>
    <row r="1624">
      <c r="U1624" s="1008"/>
      <c r="AD1624" s="1008"/>
      <c r="AM1624" s="1008"/>
      <c r="AV1624" s="1000"/>
    </row>
    <row r="1625">
      <c r="U1625" s="1008"/>
      <c r="AD1625" s="1008"/>
      <c r="AM1625" s="1008"/>
      <c r="AV1625" s="1000"/>
    </row>
    <row r="1626">
      <c r="U1626" s="1008"/>
      <c r="AD1626" s="1008"/>
      <c r="AM1626" s="1008"/>
      <c r="AV1626" s="1000"/>
    </row>
    <row r="1627">
      <c r="U1627" s="1008"/>
      <c r="AD1627" s="1008"/>
      <c r="AM1627" s="1008"/>
      <c r="AV1627" s="1000"/>
    </row>
    <row r="1628">
      <c r="U1628" s="1008"/>
      <c r="AD1628" s="1008"/>
      <c r="AM1628" s="1008"/>
      <c r="AV1628" s="1000"/>
    </row>
    <row r="1629">
      <c r="U1629" s="1008"/>
      <c r="AD1629" s="1008"/>
      <c r="AM1629" s="1008"/>
      <c r="AV1629" s="1000"/>
    </row>
    <row r="1630">
      <c r="U1630" s="1008"/>
      <c r="AD1630" s="1008"/>
      <c r="AM1630" s="1008"/>
      <c r="AV1630" s="1000"/>
    </row>
    <row r="1631">
      <c r="U1631" s="1008"/>
      <c r="AD1631" s="1008"/>
      <c r="AM1631" s="1008"/>
      <c r="AV1631" s="1000"/>
    </row>
    <row r="1632">
      <c r="U1632" s="1008"/>
      <c r="AD1632" s="1008"/>
      <c r="AM1632" s="1008"/>
      <c r="AV1632" s="1000"/>
    </row>
    <row r="1633">
      <c r="U1633" s="1008"/>
      <c r="AD1633" s="1008"/>
      <c r="AM1633" s="1008"/>
      <c r="AV1633" s="1000"/>
    </row>
    <row r="1634">
      <c r="U1634" s="1008"/>
      <c r="AD1634" s="1008"/>
      <c r="AM1634" s="1008"/>
      <c r="AV1634" s="1000"/>
    </row>
    <row r="1635">
      <c r="U1635" s="1008"/>
      <c r="AD1635" s="1008"/>
      <c r="AM1635" s="1008"/>
      <c r="AV1635" s="1000"/>
    </row>
    <row r="1636">
      <c r="U1636" s="1008"/>
      <c r="AD1636" s="1008"/>
      <c r="AM1636" s="1008"/>
      <c r="AV1636" s="1000"/>
    </row>
    <row r="1637">
      <c r="U1637" s="1008"/>
      <c r="AD1637" s="1008"/>
      <c r="AM1637" s="1008"/>
      <c r="AV1637" s="1000"/>
    </row>
    <row r="1638">
      <c r="U1638" s="1008"/>
      <c r="AD1638" s="1008"/>
      <c r="AM1638" s="1008"/>
      <c r="AV1638" s="1000"/>
    </row>
    <row r="1639">
      <c r="U1639" s="1008"/>
      <c r="AD1639" s="1008"/>
      <c r="AM1639" s="1008"/>
      <c r="AV1639" s="1000"/>
    </row>
    <row r="1640">
      <c r="U1640" s="1008"/>
      <c r="AD1640" s="1008"/>
      <c r="AM1640" s="1008"/>
      <c r="AV1640" s="1000"/>
    </row>
    <row r="1641">
      <c r="U1641" s="1008"/>
      <c r="AD1641" s="1008"/>
      <c r="AM1641" s="1008"/>
      <c r="AV1641" s="1000"/>
    </row>
    <row r="1642">
      <c r="U1642" s="1008"/>
      <c r="AD1642" s="1008"/>
      <c r="AM1642" s="1008"/>
      <c r="AV1642" s="1000"/>
    </row>
    <row r="1643">
      <c r="U1643" s="1008"/>
      <c r="AD1643" s="1008"/>
      <c r="AM1643" s="1008"/>
      <c r="AV1643" s="1000"/>
    </row>
    <row r="1644">
      <c r="U1644" s="1008"/>
      <c r="AD1644" s="1008"/>
      <c r="AM1644" s="1008"/>
      <c r="AV1644" s="1000"/>
    </row>
    <row r="1645">
      <c r="U1645" s="1008"/>
      <c r="AD1645" s="1008"/>
      <c r="AM1645" s="1008"/>
      <c r="AV1645" s="1000"/>
    </row>
    <row r="1646">
      <c r="U1646" s="1008"/>
      <c r="AD1646" s="1008"/>
      <c r="AM1646" s="1008"/>
      <c r="AV1646" s="1000"/>
    </row>
    <row r="1647">
      <c r="U1647" s="1008"/>
      <c r="AD1647" s="1008"/>
      <c r="AM1647" s="1008"/>
      <c r="AV1647" s="1000"/>
    </row>
    <row r="1648">
      <c r="U1648" s="1008"/>
      <c r="AD1648" s="1008"/>
      <c r="AM1648" s="1008"/>
      <c r="AV1648" s="1000"/>
    </row>
    <row r="1649">
      <c r="U1649" s="1008"/>
      <c r="AD1649" s="1008"/>
      <c r="AM1649" s="1008"/>
      <c r="AV1649" s="1000"/>
    </row>
    <row r="1650">
      <c r="U1650" s="1008"/>
      <c r="AD1650" s="1008"/>
      <c r="AM1650" s="1008"/>
      <c r="AV1650" s="1000"/>
    </row>
    <row r="1651">
      <c r="U1651" s="1008"/>
      <c r="AD1651" s="1008"/>
      <c r="AM1651" s="1008"/>
      <c r="AV1651" s="1000"/>
    </row>
    <row r="1652">
      <c r="U1652" s="1008"/>
      <c r="AD1652" s="1008"/>
      <c r="AM1652" s="1008"/>
      <c r="AV1652" s="1000"/>
    </row>
    <row r="1653">
      <c r="U1653" s="1008"/>
      <c r="AD1653" s="1008"/>
      <c r="AM1653" s="1008"/>
      <c r="AV1653" s="1000"/>
    </row>
    <row r="1654">
      <c r="U1654" s="1008"/>
      <c r="AD1654" s="1008"/>
      <c r="AM1654" s="1008"/>
      <c r="AV1654" s="1000"/>
    </row>
    <row r="1655">
      <c r="U1655" s="1008"/>
      <c r="AD1655" s="1008"/>
      <c r="AM1655" s="1008"/>
      <c r="AV1655" s="1000"/>
    </row>
    <row r="1656">
      <c r="U1656" s="1008"/>
      <c r="AD1656" s="1008"/>
      <c r="AM1656" s="1008"/>
      <c r="AV1656" s="1000"/>
    </row>
    <row r="1657">
      <c r="U1657" s="1008"/>
      <c r="AD1657" s="1008"/>
      <c r="AM1657" s="1008"/>
      <c r="AV1657" s="1000"/>
    </row>
    <row r="1658">
      <c r="U1658" s="1008"/>
      <c r="AD1658" s="1008"/>
      <c r="AM1658" s="1008"/>
      <c r="AV1658" s="1000"/>
    </row>
    <row r="1659">
      <c r="U1659" s="1008"/>
      <c r="AD1659" s="1008"/>
      <c r="AM1659" s="1008"/>
      <c r="AV1659" s="1000"/>
    </row>
    <row r="1660">
      <c r="U1660" s="1008"/>
      <c r="AD1660" s="1008"/>
      <c r="AM1660" s="1008"/>
      <c r="AV1660" s="1000"/>
    </row>
    <row r="1661">
      <c r="U1661" s="1008"/>
      <c r="AD1661" s="1008"/>
      <c r="AM1661" s="1008"/>
      <c r="AV1661" s="1000"/>
    </row>
    <row r="1662">
      <c r="U1662" s="1008"/>
      <c r="AD1662" s="1008"/>
      <c r="AM1662" s="1008"/>
      <c r="AV1662" s="1000"/>
    </row>
    <row r="1663">
      <c r="U1663" s="1008"/>
      <c r="AD1663" s="1008"/>
      <c r="AM1663" s="1008"/>
      <c r="AV1663" s="1000"/>
    </row>
    <row r="1664">
      <c r="U1664" s="1008"/>
      <c r="AD1664" s="1008"/>
      <c r="AM1664" s="1008"/>
      <c r="AV1664" s="1000"/>
    </row>
    <row r="1665">
      <c r="U1665" s="1008"/>
      <c r="AD1665" s="1008"/>
      <c r="AM1665" s="1008"/>
      <c r="AV1665" s="1000"/>
    </row>
    <row r="1666">
      <c r="U1666" s="1008"/>
      <c r="AD1666" s="1008"/>
      <c r="AM1666" s="1008"/>
      <c r="AV1666" s="1000"/>
    </row>
    <row r="1667">
      <c r="U1667" s="1008"/>
      <c r="AD1667" s="1008"/>
      <c r="AM1667" s="1008"/>
      <c r="AV1667" s="1000"/>
    </row>
    <row r="1668">
      <c r="U1668" s="1008"/>
      <c r="AD1668" s="1008"/>
      <c r="AM1668" s="1008"/>
      <c r="AV1668" s="1000"/>
    </row>
    <row r="1669">
      <c r="U1669" s="1008"/>
      <c r="AD1669" s="1008"/>
      <c r="AM1669" s="1008"/>
      <c r="AV1669" s="1000"/>
    </row>
    <row r="1670">
      <c r="U1670" s="1008"/>
      <c r="AD1670" s="1008"/>
      <c r="AM1670" s="1008"/>
      <c r="AV1670" s="1000"/>
    </row>
    <row r="1671">
      <c r="U1671" s="1008"/>
      <c r="AD1671" s="1008"/>
      <c r="AM1671" s="1008"/>
      <c r="AV1671" s="1000"/>
    </row>
    <row r="1672">
      <c r="U1672" s="1008"/>
      <c r="AD1672" s="1008"/>
      <c r="AM1672" s="1008"/>
      <c r="AV1672" s="1000"/>
    </row>
    <row r="1673">
      <c r="U1673" s="1008"/>
      <c r="AD1673" s="1008"/>
      <c r="AM1673" s="1008"/>
      <c r="AV1673" s="1000"/>
    </row>
    <row r="1674">
      <c r="U1674" s="1008"/>
      <c r="AD1674" s="1008"/>
      <c r="AM1674" s="1008"/>
      <c r="AV1674" s="1000"/>
    </row>
    <row r="1675">
      <c r="U1675" s="1008"/>
      <c r="AD1675" s="1008"/>
      <c r="AM1675" s="1008"/>
      <c r="AV1675" s="1000"/>
    </row>
    <row r="1676">
      <c r="U1676" s="1008"/>
      <c r="AD1676" s="1008"/>
      <c r="AM1676" s="1008"/>
      <c r="AV1676" s="1000"/>
    </row>
    <row r="1677">
      <c r="U1677" s="1008"/>
      <c r="AD1677" s="1008"/>
      <c r="AM1677" s="1008"/>
      <c r="AV1677" s="1000"/>
    </row>
    <row r="1678">
      <c r="U1678" s="1008"/>
      <c r="AD1678" s="1008"/>
      <c r="AM1678" s="1008"/>
      <c r="AV1678" s="1000"/>
    </row>
    <row r="1679">
      <c r="U1679" s="1008"/>
      <c r="AD1679" s="1008"/>
      <c r="AM1679" s="1008"/>
      <c r="AV1679" s="1000"/>
    </row>
    <row r="1680">
      <c r="U1680" s="1008"/>
      <c r="AD1680" s="1008"/>
      <c r="AM1680" s="1008"/>
      <c r="AV1680" s="1000"/>
    </row>
    <row r="1681">
      <c r="U1681" s="1008"/>
      <c r="AD1681" s="1008"/>
      <c r="AM1681" s="1008"/>
      <c r="AV1681" s="1000"/>
    </row>
    <row r="1682">
      <c r="U1682" s="1008"/>
      <c r="AD1682" s="1008"/>
      <c r="AM1682" s="1008"/>
      <c r="AV1682" s="1000"/>
    </row>
    <row r="1683">
      <c r="U1683" s="1008"/>
      <c r="AD1683" s="1008"/>
      <c r="AM1683" s="1008"/>
      <c r="AV1683" s="1000"/>
    </row>
    <row r="1684">
      <c r="U1684" s="1008"/>
      <c r="AD1684" s="1008"/>
      <c r="AM1684" s="1008"/>
      <c r="AV1684" s="1000"/>
    </row>
    <row r="1685">
      <c r="U1685" s="1008"/>
      <c r="AD1685" s="1008"/>
      <c r="AM1685" s="1008"/>
      <c r="AV1685" s="1000"/>
    </row>
    <row r="1686">
      <c r="U1686" s="1008"/>
      <c r="AD1686" s="1008"/>
      <c r="AM1686" s="1008"/>
      <c r="AV1686" s="1000"/>
    </row>
    <row r="1687">
      <c r="U1687" s="1008"/>
      <c r="AD1687" s="1008"/>
      <c r="AM1687" s="1008"/>
      <c r="AV1687" s="1000"/>
    </row>
    <row r="1688">
      <c r="U1688" s="1008"/>
      <c r="AD1688" s="1008"/>
      <c r="AM1688" s="1008"/>
      <c r="AV1688" s="1000"/>
    </row>
    <row r="1689">
      <c r="U1689" s="1008"/>
      <c r="AD1689" s="1008"/>
      <c r="AM1689" s="1008"/>
      <c r="AV1689" s="1000"/>
    </row>
    <row r="1690">
      <c r="U1690" s="1008"/>
      <c r="AD1690" s="1008"/>
      <c r="AM1690" s="1008"/>
      <c r="AV1690" s="1000"/>
    </row>
    <row r="1691">
      <c r="U1691" s="1008"/>
      <c r="AD1691" s="1008"/>
      <c r="AM1691" s="1008"/>
      <c r="AV1691" s="1000"/>
    </row>
    <row r="1692">
      <c r="U1692" s="1008"/>
      <c r="AD1692" s="1008"/>
      <c r="AM1692" s="1008"/>
      <c r="AV1692" s="1000"/>
    </row>
    <row r="1693">
      <c r="U1693" s="1008"/>
      <c r="AD1693" s="1008"/>
      <c r="AM1693" s="1008"/>
      <c r="AV1693" s="1000"/>
    </row>
    <row r="1694">
      <c r="U1694" s="1008"/>
      <c r="AD1694" s="1008"/>
      <c r="AM1694" s="1008"/>
      <c r="AV1694" s="1000"/>
    </row>
    <row r="1695">
      <c r="U1695" s="1008"/>
      <c r="AD1695" s="1008"/>
      <c r="AM1695" s="1008"/>
      <c r="AV1695" s="1000"/>
    </row>
    <row r="1696">
      <c r="U1696" s="1008"/>
      <c r="AD1696" s="1008"/>
      <c r="AM1696" s="1008"/>
      <c r="AV1696" s="1000"/>
    </row>
    <row r="1697">
      <c r="U1697" s="1008"/>
      <c r="AD1697" s="1008"/>
      <c r="AM1697" s="1008"/>
      <c r="AV1697" s="1000"/>
    </row>
    <row r="1698">
      <c r="U1698" s="1008"/>
      <c r="AD1698" s="1008"/>
      <c r="AM1698" s="1008"/>
      <c r="AV1698" s="1000"/>
    </row>
    <row r="1699">
      <c r="U1699" s="1008"/>
      <c r="AD1699" s="1008"/>
      <c r="AM1699" s="1008"/>
      <c r="AV1699" s="1000"/>
    </row>
    <row r="1700">
      <c r="U1700" s="1008"/>
      <c r="AD1700" s="1008"/>
      <c r="AM1700" s="1008"/>
      <c r="AV1700" s="1000"/>
    </row>
    <row r="1701">
      <c r="U1701" s="1008"/>
      <c r="AD1701" s="1008"/>
      <c r="AM1701" s="1008"/>
      <c r="AV1701" s="1000"/>
    </row>
    <row r="1702">
      <c r="U1702" s="1008"/>
      <c r="AD1702" s="1008"/>
      <c r="AM1702" s="1008"/>
      <c r="AV1702" s="1000"/>
    </row>
    <row r="1703">
      <c r="U1703" s="1008"/>
      <c r="AD1703" s="1008"/>
      <c r="AM1703" s="1008"/>
      <c r="AV1703" s="1000"/>
    </row>
    <row r="1704">
      <c r="U1704" s="1008"/>
      <c r="AD1704" s="1008"/>
      <c r="AM1704" s="1008"/>
      <c r="AV1704" s="1000"/>
    </row>
    <row r="1705">
      <c r="U1705" s="1008"/>
      <c r="AD1705" s="1008"/>
      <c r="AM1705" s="1008"/>
      <c r="AV1705" s="1000"/>
    </row>
    <row r="1706">
      <c r="U1706" s="1008"/>
      <c r="AD1706" s="1008"/>
      <c r="AM1706" s="1008"/>
      <c r="AV1706" s="1000"/>
    </row>
    <row r="1707">
      <c r="U1707" s="1008"/>
      <c r="AD1707" s="1008"/>
      <c r="AM1707" s="1008"/>
      <c r="AV1707" s="1000"/>
    </row>
    <row r="1708">
      <c r="U1708" s="1008"/>
      <c r="AD1708" s="1008"/>
      <c r="AM1708" s="1008"/>
      <c r="AV1708" s="1000"/>
    </row>
    <row r="1709">
      <c r="U1709" s="1008"/>
      <c r="AD1709" s="1008"/>
      <c r="AM1709" s="1008"/>
      <c r="AV1709" s="1000"/>
    </row>
    <row r="1710">
      <c r="U1710" s="1008"/>
      <c r="AD1710" s="1008"/>
      <c r="AM1710" s="1008"/>
      <c r="AV1710" s="1000"/>
    </row>
    <row r="1711">
      <c r="U1711" s="1008"/>
      <c r="AD1711" s="1008"/>
      <c r="AM1711" s="1008"/>
      <c r="AV1711" s="1000"/>
    </row>
    <row r="1712">
      <c r="U1712" s="1008"/>
      <c r="AD1712" s="1008"/>
      <c r="AM1712" s="1008"/>
      <c r="AV1712" s="1000"/>
    </row>
    <row r="1713">
      <c r="U1713" s="1008"/>
      <c r="AD1713" s="1008"/>
      <c r="AM1713" s="1008"/>
      <c r="AV1713" s="1000"/>
    </row>
    <row r="1714">
      <c r="U1714" s="1008"/>
      <c r="AD1714" s="1008"/>
      <c r="AM1714" s="1008"/>
      <c r="AV1714" s="1000"/>
    </row>
    <row r="1715">
      <c r="U1715" s="1008"/>
      <c r="AD1715" s="1008"/>
      <c r="AM1715" s="1008"/>
      <c r="AV1715" s="1000"/>
    </row>
    <row r="1716">
      <c r="U1716" s="1008"/>
      <c r="AD1716" s="1008"/>
      <c r="AM1716" s="1008"/>
      <c r="AV1716" s="1000"/>
    </row>
    <row r="1717">
      <c r="U1717" s="1008"/>
      <c r="AD1717" s="1008"/>
      <c r="AM1717" s="1008"/>
      <c r="AV1717" s="1000"/>
    </row>
    <row r="1718">
      <c r="U1718" s="1008"/>
      <c r="AD1718" s="1008"/>
      <c r="AM1718" s="1008"/>
      <c r="AV1718" s="1000"/>
    </row>
    <row r="1719">
      <c r="U1719" s="1008"/>
      <c r="AD1719" s="1008"/>
      <c r="AM1719" s="1008"/>
      <c r="AV1719" s="1000"/>
    </row>
    <row r="1720">
      <c r="U1720" s="1008"/>
      <c r="AD1720" s="1008"/>
      <c r="AM1720" s="1008"/>
      <c r="AV1720" s="1000"/>
    </row>
    <row r="1721">
      <c r="U1721" s="1008"/>
      <c r="AD1721" s="1008"/>
      <c r="AM1721" s="1008"/>
      <c r="AV1721" s="1000"/>
    </row>
    <row r="1722">
      <c r="U1722" s="1008"/>
      <c r="AD1722" s="1008"/>
      <c r="AM1722" s="1008"/>
      <c r="AV1722" s="1000"/>
    </row>
    <row r="1723">
      <c r="U1723" s="1008"/>
      <c r="AD1723" s="1008"/>
      <c r="AM1723" s="1008"/>
      <c r="AV1723" s="1000"/>
    </row>
    <row r="1724">
      <c r="U1724" s="1008"/>
      <c r="AD1724" s="1008"/>
      <c r="AM1724" s="1008"/>
      <c r="AV1724" s="1000"/>
    </row>
    <row r="1725">
      <c r="U1725" s="1008"/>
      <c r="AD1725" s="1008"/>
      <c r="AM1725" s="1008"/>
      <c r="AV1725" s="1000"/>
    </row>
    <row r="1726">
      <c r="U1726" s="1008"/>
      <c r="AD1726" s="1008"/>
      <c r="AM1726" s="1008"/>
      <c r="AV1726" s="1000"/>
    </row>
    <row r="1727">
      <c r="U1727" s="1008"/>
      <c r="AD1727" s="1008"/>
      <c r="AM1727" s="1008"/>
      <c r="AV1727" s="1000"/>
    </row>
    <row r="1728">
      <c r="U1728" s="1008"/>
      <c r="AD1728" s="1008"/>
      <c r="AM1728" s="1008"/>
      <c r="AV1728" s="1000"/>
    </row>
    <row r="1729">
      <c r="U1729" s="1008"/>
      <c r="AD1729" s="1008"/>
      <c r="AM1729" s="1008"/>
      <c r="AV1729" s="1000"/>
    </row>
    <row r="1730">
      <c r="U1730" s="1008"/>
      <c r="AD1730" s="1008"/>
      <c r="AM1730" s="1008"/>
      <c r="AV1730" s="1000"/>
    </row>
    <row r="1731">
      <c r="U1731" s="1008"/>
      <c r="AD1731" s="1008"/>
      <c r="AM1731" s="1008"/>
      <c r="AV1731" s="1000"/>
    </row>
    <row r="1732">
      <c r="U1732" s="1008"/>
      <c r="AD1732" s="1008"/>
      <c r="AM1732" s="1008"/>
      <c r="AV1732" s="1000"/>
    </row>
    <row r="1733">
      <c r="U1733" s="1008"/>
      <c r="AD1733" s="1008"/>
      <c r="AM1733" s="1008"/>
      <c r="AV1733" s="1000"/>
    </row>
    <row r="1734">
      <c r="U1734" s="1008"/>
      <c r="AD1734" s="1008"/>
      <c r="AM1734" s="1008"/>
      <c r="AV1734" s="1000"/>
    </row>
    <row r="1735">
      <c r="U1735" s="1008"/>
      <c r="AD1735" s="1008"/>
      <c r="AM1735" s="1008"/>
      <c r="AV1735" s="1000"/>
    </row>
    <row r="1736">
      <c r="U1736" s="1008"/>
      <c r="AD1736" s="1008"/>
      <c r="AM1736" s="1008"/>
      <c r="AV1736" s="1000"/>
    </row>
    <row r="1737">
      <c r="U1737" s="1008"/>
      <c r="AD1737" s="1008"/>
      <c r="AM1737" s="1008"/>
      <c r="AV1737" s="1000"/>
    </row>
    <row r="1738">
      <c r="U1738" s="1008"/>
      <c r="AD1738" s="1008"/>
      <c r="AM1738" s="1008"/>
      <c r="AV1738" s="1000"/>
    </row>
    <row r="1739">
      <c r="U1739" s="1008"/>
      <c r="AD1739" s="1008"/>
      <c r="AM1739" s="1008"/>
      <c r="AV1739" s="1000"/>
    </row>
    <row r="1740">
      <c r="U1740" s="1008"/>
      <c r="AD1740" s="1008"/>
      <c r="AM1740" s="1008"/>
      <c r="AV1740" s="1000"/>
    </row>
    <row r="1741">
      <c r="U1741" s="1008"/>
      <c r="AD1741" s="1008"/>
      <c r="AM1741" s="1008"/>
      <c r="AV1741" s="1000"/>
    </row>
    <row r="1742">
      <c r="U1742" s="1008"/>
      <c r="AD1742" s="1008"/>
      <c r="AM1742" s="1008"/>
      <c r="AV1742" s="1000"/>
    </row>
    <row r="1743">
      <c r="U1743" s="1008"/>
      <c r="AD1743" s="1008"/>
      <c r="AM1743" s="1008"/>
      <c r="AV1743" s="1000"/>
    </row>
    <row r="1744">
      <c r="U1744" s="1008"/>
      <c r="AD1744" s="1008"/>
      <c r="AM1744" s="1008"/>
      <c r="AV1744" s="1000"/>
    </row>
    <row r="1745">
      <c r="U1745" s="1008"/>
      <c r="AD1745" s="1008"/>
      <c r="AM1745" s="1008"/>
      <c r="AV1745" s="1000"/>
    </row>
    <row r="1746">
      <c r="U1746" s="1008"/>
      <c r="AD1746" s="1008"/>
      <c r="AM1746" s="1008"/>
      <c r="AV1746" s="1000"/>
    </row>
    <row r="1747">
      <c r="U1747" s="1008"/>
      <c r="AD1747" s="1008"/>
      <c r="AM1747" s="1008"/>
      <c r="AV1747" s="1000"/>
    </row>
    <row r="1748">
      <c r="U1748" s="1008"/>
      <c r="AD1748" s="1008"/>
      <c r="AM1748" s="1008"/>
      <c r="AV1748" s="1000"/>
    </row>
    <row r="1749">
      <c r="U1749" s="1008"/>
      <c r="AD1749" s="1008"/>
      <c r="AM1749" s="1008"/>
      <c r="AV1749" s="1000"/>
    </row>
    <row r="1750">
      <c r="U1750" s="1008"/>
      <c r="AD1750" s="1008"/>
      <c r="AM1750" s="1008"/>
      <c r="AV1750" s="1000"/>
    </row>
    <row r="1751">
      <c r="U1751" s="1008"/>
      <c r="AD1751" s="1008"/>
      <c r="AM1751" s="1008"/>
      <c r="AV1751" s="1000"/>
    </row>
    <row r="1752">
      <c r="U1752" s="1008"/>
      <c r="AD1752" s="1008"/>
      <c r="AM1752" s="1008"/>
      <c r="AV1752" s="1000"/>
    </row>
    <row r="1753">
      <c r="U1753" s="1008"/>
      <c r="AD1753" s="1008"/>
      <c r="AM1753" s="1008"/>
      <c r="AV1753" s="1000"/>
    </row>
    <row r="1754">
      <c r="U1754" s="1008"/>
      <c r="AD1754" s="1008"/>
      <c r="AM1754" s="1008"/>
      <c r="AV1754" s="1000"/>
    </row>
    <row r="1755">
      <c r="U1755" s="1008"/>
      <c r="AD1755" s="1008"/>
      <c r="AM1755" s="1008"/>
      <c r="AV1755" s="1000"/>
    </row>
    <row r="1756">
      <c r="U1756" s="1008"/>
      <c r="AD1756" s="1008"/>
      <c r="AM1756" s="1008"/>
      <c r="AV1756" s="1000"/>
    </row>
    <row r="1757">
      <c r="U1757" s="1008"/>
      <c r="AD1757" s="1008"/>
      <c r="AM1757" s="1008"/>
      <c r="AV1757" s="1000"/>
    </row>
    <row r="1758">
      <c r="U1758" s="1008"/>
      <c r="AD1758" s="1008"/>
      <c r="AM1758" s="1008"/>
      <c r="AV1758" s="1000"/>
    </row>
    <row r="1759">
      <c r="U1759" s="1008"/>
      <c r="AD1759" s="1008"/>
      <c r="AM1759" s="1008"/>
      <c r="AV1759" s="1000"/>
    </row>
    <row r="1760">
      <c r="U1760" s="1008"/>
      <c r="AD1760" s="1008"/>
      <c r="AM1760" s="1008"/>
      <c r="AV1760" s="1000"/>
    </row>
    <row r="1761">
      <c r="U1761" s="1008"/>
      <c r="AD1761" s="1008"/>
      <c r="AM1761" s="1008"/>
      <c r="AV1761" s="1000"/>
    </row>
    <row r="1762">
      <c r="U1762" s="1008"/>
      <c r="AD1762" s="1008"/>
      <c r="AM1762" s="1008"/>
      <c r="AV1762" s="1000"/>
    </row>
    <row r="1763">
      <c r="U1763" s="1008"/>
      <c r="AD1763" s="1008"/>
      <c r="AM1763" s="1008"/>
      <c r="AV1763" s="1000"/>
    </row>
    <row r="1764">
      <c r="U1764" s="1008"/>
      <c r="AD1764" s="1008"/>
      <c r="AM1764" s="1008"/>
      <c r="AV1764" s="1000"/>
    </row>
    <row r="1765">
      <c r="U1765" s="1008"/>
      <c r="AD1765" s="1008"/>
      <c r="AM1765" s="1008"/>
      <c r="AV1765" s="1000"/>
    </row>
    <row r="1766">
      <c r="U1766" s="1008"/>
      <c r="AD1766" s="1008"/>
      <c r="AM1766" s="1008"/>
      <c r="AV1766" s="1000"/>
    </row>
    <row r="1767">
      <c r="U1767" s="1008"/>
      <c r="AD1767" s="1008"/>
      <c r="AM1767" s="1008"/>
      <c r="AV1767" s="1000"/>
    </row>
    <row r="1768">
      <c r="U1768" s="1008"/>
      <c r="AD1768" s="1008"/>
      <c r="AM1768" s="1008"/>
      <c r="AV1768" s="1000"/>
    </row>
    <row r="1769">
      <c r="U1769" s="1008"/>
      <c r="AD1769" s="1008"/>
      <c r="AM1769" s="1008"/>
      <c r="AV1769" s="1000"/>
    </row>
    <row r="1770">
      <c r="U1770" s="1008"/>
      <c r="AD1770" s="1008"/>
      <c r="AM1770" s="1008"/>
      <c r="AV1770" s="1000"/>
    </row>
    <row r="1771">
      <c r="U1771" s="1008"/>
      <c r="AD1771" s="1008"/>
      <c r="AM1771" s="1008"/>
      <c r="AV1771" s="1000"/>
    </row>
    <row r="1772">
      <c r="U1772" s="1008"/>
      <c r="AD1772" s="1008"/>
      <c r="AM1772" s="1008"/>
      <c r="AV1772" s="1000"/>
    </row>
    <row r="1773">
      <c r="U1773" s="1008"/>
      <c r="AD1773" s="1008"/>
      <c r="AM1773" s="1008"/>
      <c r="AV1773" s="1000"/>
    </row>
    <row r="1774">
      <c r="U1774" s="1008"/>
      <c r="AD1774" s="1008"/>
      <c r="AM1774" s="1008"/>
      <c r="AV1774" s="1000"/>
    </row>
    <row r="1775">
      <c r="U1775" s="1008"/>
      <c r="AD1775" s="1008"/>
      <c r="AM1775" s="1008"/>
      <c r="AV1775" s="1000"/>
    </row>
    <row r="1776">
      <c r="U1776" s="1008"/>
      <c r="AD1776" s="1008"/>
      <c r="AM1776" s="1008"/>
      <c r="AV1776" s="1000"/>
    </row>
    <row r="1777">
      <c r="U1777" s="1008"/>
      <c r="AD1777" s="1008"/>
      <c r="AM1777" s="1008"/>
      <c r="AV1777" s="1000"/>
    </row>
    <row r="1778">
      <c r="U1778" s="1008"/>
      <c r="AD1778" s="1008"/>
      <c r="AM1778" s="1008"/>
      <c r="AV1778" s="1000"/>
    </row>
    <row r="1779">
      <c r="U1779" s="1008"/>
      <c r="AD1779" s="1008"/>
      <c r="AM1779" s="1008"/>
      <c r="AV1779" s="1000"/>
    </row>
    <row r="1780">
      <c r="U1780" s="1008"/>
      <c r="AD1780" s="1008"/>
      <c r="AM1780" s="1008"/>
      <c r="AV1780" s="1000"/>
    </row>
    <row r="1781">
      <c r="U1781" s="1008"/>
      <c r="AD1781" s="1008"/>
      <c r="AM1781" s="1008"/>
      <c r="AV1781" s="1000"/>
    </row>
    <row r="1782">
      <c r="U1782" s="1008"/>
      <c r="AD1782" s="1008"/>
      <c r="AM1782" s="1008"/>
      <c r="AV1782" s="1000"/>
    </row>
    <row r="1783">
      <c r="U1783" s="1008"/>
      <c r="AD1783" s="1008"/>
      <c r="AM1783" s="1008"/>
      <c r="AV1783" s="1000"/>
    </row>
    <row r="1784">
      <c r="U1784" s="1008"/>
      <c r="AD1784" s="1008"/>
      <c r="AM1784" s="1008"/>
      <c r="AV1784" s="1000"/>
    </row>
    <row r="1785">
      <c r="U1785" s="1008"/>
      <c r="AD1785" s="1008"/>
      <c r="AM1785" s="1008"/>
      <c r="AV1785" s="1000"/>
    </row>
    <row r="1786">
      <c r="U1786" s="1008"/>
      <c r="AD1786" s="1008"/>
      <c r="AM1786" s="1008"/>
      <c r="AV1786" s="1000"/>
    </row>
    <row r="1787">
      <c r="U1787" s="1008"/>
      <c r="AD1787" s="1008"/>
      <c r="AM1787" s="1008"/>
      <c r="AV1787" s="1000"/>
    </row>
    <row r="1788">
      <c r="U1788" s="1008"/>
      <c r="AD1788" s="1008"/>
      <c r="AM1788" s="1008"/>
      <c r="AV1788" s="1000"/>
    </row>
    <row r="1789">
      <c r="U1789" s="1008"/>
      <c r="AD1789" s="1008"/>
      <c r="AM1789" s="1008"/>
      <c r="AV1789" s="1000"/>
    </row>
    <row r="1790">
      <c r="U1790" s="1008"/>
      <c r="AD1790" s="1008"/>
      <c r="AM1790" s="1008"/>
      <c r="AV1790" s="1000"/>
    </row>
    <row r="1791">
      <c r="U1791" s="1008"/>
      <c r="AD1791" s="1008"/>
      <c r="AM1791" s="1008"/>
      <c r="AV1791" s="1000"/>
    </row>
    <row r="1792">
      <c r="U1792" s="1008"/>
      <c r="AD1792" s="1008"/>
      <c r="AM1792" s="1008"/>
      <c r="AV1792" s="1000"/>
    </row>
    <row r="1793">
      <c r="U1793" s="1008"/>
      <c r="AD1793" s="1008"/>
      <c r="AM1793" s="1008"/>
      <c r="AV1793" s="1000"/>
    </row>
    <row r="1794">
      <c r="U1794" s="1008"/>
      <c r="AD1794" s="1008"/>
      <c r="AM1794" s="1008"/>
      <c r="AV1794" s="1000"/>
    </row>
    <row r="1795">
      <c r="U1795" s="1008"/>
      <c r="AD1795" s="1008"/>
      <c r="AM1795" s="1008"/>
      <c r="AV1795" s="1000"/>
    </row>
    <row r="1796">
      <c r="U1796" s="1008"/>
      <c r="AD1796" s="1008"/>
      <c r="AM1796" s="1008"/>
      <c r="AV1796" s="1000"/>
    </row>
    <row r="1797">
      <c r="U1797" s="1008"/>
      <c r="AD1797" s="1008"/>
      <c r="AM1797" s="1008"/>
      <c r="AV1797" s="1000"/>
    </row>
    <row r="1798">
      <c r="U1798" s="1008"/>
      <c r="AD1798" s="1008"/>
      <c r="AM1798" s="1008"/>
      <c r="AV1798" s="1000"/>
    </row>
    <row r="1799">
      <c r="U1799" s="1008"/>
      <c r="AD1799" s="1008"/>
      <c r="AM1799" s="1008"/>
      <c r="AV1799" s="1000"/>
    </row>
    <row r="1800">
      <c r="U1800" s="1008"/>
      <c r="AD1800" s="1008"/>
      <c r="AM1800" s="1008"/>
      <c r="AV1800" s="1000"/>
    </row>
    <row r="1801">
      <c r="U1801" s="1008"/>
      <c r="AD1801" s="1008"/>
      <c r="AM1801" s="1008"/>
      <c r="AV1801" s="1000"/>
    </row>
    <row r="1802">
      <c r="U1802" s="1008"/>
      <c r="AD1802" s="1008"/>
      <c r="AM1802" s="1008"/>
      <c r="AV1802" s="1000"/>
    </row>
    <row r="1803">
      <c r="U1803" s="1008"/>
      <c r="AD1803" s="1008"/>
      <c r="AM1803" s="1008"/>
      <c r="AV1803" s="1000"/>
    </row>
    <row r="1804">
      <c r="U1804" s="1008"/>
      <c r="AD1804" s="1008"/>
      <c r="AM1804" s="1008"/>
      <c r="AV1804" s="1000"/>
    </row>
    <row r="1805">
      <c r="U1805" s="1008"/>
      <c r="AD1805" s="1008"/>
      <c r="AM1805" s="1008"/>
      <c r="AV1805" s="1000"/>
    </row>
    <row r="1806">
      <c r="U1806" s="1008"/>
      <c r="AD1806" s="1008"/>
      <c r="AM1806" s="1008"/>
      <c r="AV1806" s="1000"/>
    </row>
    <row r="1807">
      <c r="U1807" s="1008"/>
      <c r="AD1807" s="1008"/>
      <c r="AM1807" s="1008"/>
      <c r="AV1807" s="1000"/>
    </row>
    <row r="1808">
      <c r="U1808" s="1008"/>
      <c r="AD1808" s="1008"/>
      <c r="AM1808" s="1008"/>
      <c r="AV1808" s="1000"/>
    </row>
    <row r="1809">
      <c r="U1809" s="1008"/>
      <c r="AD1809" s="1008"/>
      <c r="AM1809" s="1008"/>
      <c r="AV1809" s="1000"/>
    </row>
    <row r="1810">
      <c r="U1810" s="1008"/>
      <c r="AD1810" s="1008"/>
      <c r="AM1810" s="1008"/>
      <c r="AV1810" s="1000"/>
    </row>
    <row r="1811">
      <c r="U1811" s="1008"/>
      <c r="AD1811" s="1008"/>
      <c r="AM1811" s="1008"/>
      <c r="AV1811" s="1000"/>
    </row>
    <row r="1812">
      <c r="U1812" s="1008"/>
      <c r="AD1812" s="1008"/>
      <c r="AM1812" s="1008"/>
      <c r="AV1812" s="1000"/>
    </row>
    <row r="1813">
      <c r="U1813" s="1008"/>
      <c r="AD1813" s="1008"/>
      <c r="AM1813" s="1008"/>
      <c r="AV1813" s="1000"/>
    </row>
    <row r="1814">
      <c r="U1814" s="1008"/>
      <c r="AD1814" s="1008"/>
      <c r="AM1814" s="1008"/>
      <c r="AV1814" s="1000"/>
    </row>
  </sheetData>
  <autoFilter ref="A8:B103"/>
  <mergeCells count="634">
    <mergeCell ref="AZ1184:AZ1185"/>
    <mergeCell ref="BA1184:BA1185"/>
    <mergeCell ref="BB1184:BB1185"/>
    <mergeCell ref="BC1184:BC1185"/>
    <mergeCell ref="AO1184:AO1185"/>
    <mergeCell ref="AP1184:AP1185"/>
    <mergeCell ref="AQ1184:AQ1185"/>
    <mergeCell ref="AR1184:AR1185"/>
    <mergeCell ref="AS1184:AS1185"/>
    <mergeCell ref="AT1184:AT1185"/>
    <mergeCell ref="AW1184:AW1185"/>
    <mergeCell ref="AX1184:AX1185"/>
    <mergeCell ref="AY1184:AY1185"/>
    <mergeCell ref="AB1184:AB1185"/>
    <mergeCell ref="AE1184:AE1185"/>
    <mergeCell ref="AF1184:AF1185"/>
    <mergeCell ref="AG1184:AG1185"/>
    <mergeCell ref="AH1184:AH1185"/>
    <mergeCell ref="AI1184:AI1185"/>
    <mergeCell ref="AJ1184:AJ1185"/>
    <mergeCell ref="AK1184:AK1185"/>
    <mergeCell ref="AN1184:AN1185"/>
    <mergeCell ref="Q1184:Q1185"/>
    <mergeCell ref="R1184:R1185"/>
    <mergeCell ref="S1184:S1185"/>
    <mergeCell ref="V1184:V1185"/>
    <mergeCell ref="W1184:W1185"/>
    <mergeCell ref="X1184:X1185"/>
    <mergeCell ref="Y1184:Y1185"/>
    <mergeCell ref="Z1184:Z1185"/>
    <mergeCell ref="AA1184:AA1185"/>
    <mergeCell ref="B1184:B1185"/>
    <mergeCell ref="E1184:E1185"/>
    <mergeCell ref="F1184:F1185"/>
    <mergeCell ref="G1184:G1185"/>
    <mergeCell ref="H1184:H1185"/>
    <mergeCell ref="M1184:M1185"/>
    <mergeCell ref="N1184:N1185"/>
    <mergeCell ref="O1184:O1185"/>
    <mergeCell ref="P1184:P1185"/>
    <mergeCell ref="AZ1086:AZ1087"/>
    <mergeCell ref="BA1086:BA1087"/>
    <mergeCell ref="BB1086:BB1087"/>
    <mergeCell ref="BC1086:BC1087"/>
    <mergeCell ref="M1183:T1183"/>
    <mergeCell ref="V1183:AA1183"/>
    <mergeCell ref="AE1183:AJ1183"/>
    <mergeCell ref="AN1183:AS1183"/>
    <mergeCell ref="AW1183:BB1183"/>
    <mergeCell ref="AO1086:AO1087"/>
    <mergeCell ref="AP1086:AP1087"/>
    <mergeCell ref="AQ1086:AQ1087"/>
    <mergeCell ref="AR1086:AR1087"/>
    <mergeCell ref="AS1086:AS1087"/>
    <mergeCell ref="AT1086:AT1087"/>
    <mergeCell ref="AW1086:AW1087"/>
    <mergeCell ref="AX1086:AX1087"/>
    <mergeCell ref="AY1086:AY1087"/>
    <mergeCell ref="AB1086:AB1087"/>
    <mergeCell ref="AE1086:AE1087"/>
    <mergeCell ref="AF1086:AF1087"/>
    <mergeCell ref="AG1086:AG1087"/>
    <mergeCell ref="AH1086:AH1087"/>
    <mergeCell ref="AI1086:AI1087"/>
    <mergeCell ref="AJ1086:AJ1087"/>
    <mergeCell ref="AK1086:AK1087"/>
    <mergeCell ref="AN1086:AN1087"/>
    <mergeCell ref="Q1086:Q1087"/>
    <mergeCell ref="R1086:R1087"/>
    <mergeCell ref="S1086:S1087"/>
    <mergeCell ref="V1086:V1087"/>
    <mergeCell ref="W1086:W1087"/>
    <mergeCell ref="X1086:X1087"/>
    <mergeCell ref="Y1086:Y1087"/>
    <mergeCell ref="Z1086:Z1087"/>
    <mergeCell ref="AA1086:AA1087"/>
    <mergeCell ref="B1086:B1087"/>
    <mergeCell ref="E1086:E1087"/>
    <mergeCell ref="F1086:F1087"/>
    <mergeCell ref="G1086:G1087"/>
    <mergeCell ref="H1086:H1087"/>
    <mergeCell ref="M1086:M1087"/>
    <mergeCell ref="N1086:N1087"/>
    <mergeCell ref="O1086:O1087"/>
    <mergeCell ref="P1086:P1087"/>
    <mergeCell ref="AZ989:AZ990"/>
    <mergeCell ref="BA989:BA990"/>
    <mergeCell ref="BB989:BB990"/>
    <mergeCell ref="BC989:BC990"/>
    <mergeCell ref="M1085:R1085"/>
    <mergeCell ref="V1085:AA1085"/>
    <mergeCell ref="AE1085:AJ1085"/>
    <mergeCell ref="AN1085:AS1085"/>
    <mergeCell ref="AW1085:BB1085"/>
    <mergeCell ref="AO989:AO990"/>
    <mergeCell ref="AP989:AP990"/>
    <mergeCell ref="AQ989:AQ990"/>
    <mergeCell ref="AR989:AR990"/>
    <mergeCell ref="AS989:AS990"/>
    <mergeCell ref="AT989:AT990"/>
    <mergeCell ref="AW989:AW990"/>
    <mergeCell ref="AX989:AX990"/>
    <mergeCell ref="AY989:AY990"/>
    <mergeCell ref="AB989:AB990"/>
    <mergeCell ref="AE989:AE990"/>
    <mergeCell ref="AF989:AF990"/>
    <mergeCell ref="AG989:AG990"/>
    <mergeCell ref="AH989:AH990"/>
    <mergeCell ref="AI989:AI990"/>
    <mergeCell ref="AJ989:AJ990"/>
    <mergeCell ref="AK989:AK990"/>
    <mergeCell ref="AN989:AN990"/>
    <mergeCell ref="Q989:Q990"/>
    <mergeCell ref="R989:R990"/>
    <mergeCell ref="S989:S990"/>
    <mergeCell ref="V989:V990"/>
    <mergeCell ref="W989:W990"/>
    <mergeCell ref="X989:X990"/>
    <mergeCell ref="Y989:Y990"/>
    <mergeCell ref="Z989:Z990"/>
    <mergeCell ref="AA989:AA990"/>
    <mergeCell ref="B989:B990"/>
    <mergeCell ref="E989:E990"/>
    <mergeCell ref="F989:F990"/>
    <mergeCell ref="G989:G990"/>
    <mergeCell ref="H989:H990"/>
    <mergeCell ref="M989:M990"/>
    <mergeCell ref="N989:N990"/>
    <mergeCell ref="O989:O990"/>
    <mergeCell ref="P989:P990"/>
    <mergeCell ref="AZ891:AZ892"/>
    <mergeCell ref="BA891:BA892"/>
    <mergeCell ref="BB891:BB892"/>
    <mergeCell ref="BC891:BC892"/>
    <mergeCell ref="M988:R988"/>
    <mergeCell ref="V988:AA988"/>
    <mergeCell ref="AE988:AJ988"/>
    <mergeCell ref="AN988:AS988"/>
    <mergeCell ref="AW988:BB988"/>
    <mergeCell ref="AO891:AO892"/>
    <mergeCell ref="AP891:AP892"/>
    <mergeCell ref="AQ891:AQ892"/>
    <mergeCell ref="AR891:AR892"/>
    <mergeCell ref="AS891:AS892"/>
    <mergeCell ref="AT891:AT892"/>
    <mergeCell ref="AW891:AW892"/>
    <mergeCell ref="AX891:AX892"/>
    <mergeCell ref="AY891:AY892"/>
    <mergeCell ref="AB891:AB892"/>
    <mergeCell ref="AE891:AE892"/>
    <mergeCell ref="AF891:AF892"/>
    <mergeCell ref="AG891:AG892"/>
    <mergeCell ref="AH891:AH892"/>
    <mergeCell ref="AI891:AI892"/>
    <mergeCell ref="AJ891:AJ892"/>
    <mergeCell ref="AK891:AK892"/>
    <mergeCell ref="AN891:AN892"/>
    <mergeCell ref="Q891:Q892"/>
    <mergeCell ref="R891:R892"/>
    <mergeCell ref="S891:S892"/>
    <mergeCell ref="V891:V892"/>
    <mergeCell ref="W891:W892"/>
    <mergeCell ref="X891:X892"/>
    <mergeCell ref="Y891:Y892"/>
    <mergeCell ref="Z891:Z892"/>
    <mergeCell ref="AA891:AA892"/>
    <mergeCell ref="B891:B892"/>
    <mergeCell ref="E891:E892"/>
    <mergeCell ref="F891:F892"/>
    <mergeCell ref="G891:G892"/>
    <mergeCell ref="H891:H892"/>
    <mergeCell ref="M891:M892"/>
    <mergeCell ref="N891:N892"/>
    <mergeCell ref="O891:O892"/>
    <mergeCell ref="P891:P892"/>
    <mergeCell ref="AZ793:AZ794"/>
    <mergeCell ref="BA793:BA794"/>
    <mergeCell ref="BB793:BB794"/>
    <mergeCell ref="BC793:BC794"/>
    <mergeCell ref="M890:R890"/>
    <mergeCell ref="V890:AA890"/>
    <mergeCell ref="AE890:AJ890"/>
    <mergeCell ref="AN890:AS890"/>
    <mergeCell ref="AW890:BB890"/>
    <mergeCell ref="AO793:AO794"/>
    <mergeCell ref="AP793:AP794"/>
    <mergeCell ref="AQ793:AQ794"/>
    <mergeCell ref="AR793:AR794"/>
    <mergeCell ref="AS793:AS794"/>
    <mergeCell ref="AT793:AT794"/>
    <mergeCell ref="AW793:AW794"/>
    <mergeCell ref="AX793:AX794"/>
    <mergeCell ref="AY793:AY794"/>
    <mergeCell ref="AB793:AB794"/>
    <mergeCell ref="AE793:AE794"/>
    <mergeCell ref="AF793:AF794"/>
    <mergeCell ref="AG793:AG794"/>
    <mergeCell ref="AH793:AH794"/>
    <mergeCell ref="AI793:AI794"/>
    <mergeCell ref="AJ793:AJ794"/>
    <mergeCell ref="AK793:AK794"/>
    <mergeCell ref="AN793:AN794"/>
    <mergeCell ref="Q793:Q794"/>
    <mergeCell ref="R793:R794"/>
    <mergeCell ref="S793:S794"/>
    <mergeCell ref="V793:V794"/>
    <mergeCell ref="W793:W794"/>
    <mergeCell ref="X793:X794"/>
    <mergeCell ref="Y793:Y794"/>
    <mergeCell ref="Z793:Z794"/>
    <mergeCell ref="AA793:AA794"/>
    <mergeCell ref="B793:B794"/>
    <mergeCell ref="E793:E794"/>
    <mergeCell ref="F793:F794"/>
    <mergeCell ref="G793:G794"/>
    <mergeCell ref="H793:H794"/>
    <mergeCell ref="M793:M794"/>
    <mergeCell ref="N793:N794"/>
    <mergeCell ref="O793:O794"/>
    <mergeCell ref="P793:P794"/>
    <mergeCell ref="AZ692:AZ693"/>
    <mergeCell ref="BA692:BA693"/>
    <mergeCell ref="BB692:BB693"/>
    <mergeCell ref="BC692:BC693"/>
    <mergeCell ref="M792:R792"/>
    <mergeCell ref="V792:AA792"/>
    <mergeCell ref="AE792:AJ792"/>
    <mergeCell ref="AN792:AS792"/>
    <mergeCell ref="AW792:BB792"/>
    <mergeCell ref="AO692:AO693"/>
    <mergeCell ref="AP692:AP693"/>
    <mergeCell ref="AQ692:AQ693"/>
    <mergeCell ref="AR692:AR693"/>
    <mergeCell ref="AS692:AS693"/>
    <mergeCell ref="AT692:AT693"/>
    <mergeCell ref="AW692:AW693"/>
    <mergeCell ref="AX692:AX693"/>
    <mergeCell ref="AY692:AY693"/>
    <mergeCell ref="AB692:AB693"/>
    <mergeCell ref="AE692:AE693"/>
    <mergeCell ref="AF692:AF693"/>
    <mergeCell ref="AG692:AG693"/>
    <mergeCell ref="AH692:AH693"/>
    <mergeCell ref="AI692:AI693"/>
    <mergeCell ref="AJ692:AJ693"/>
    <mergeCell ref="AK692:AK693"/>
    <mergeCell ref="AN692:AN693"/>
    <mergeCell ref="Q692:Q693"/>
    <mergeCell ref="R692:R693"/>
    <mergeCell ref="S692:S693"/>
    <mergeCell ref="V692:V693"/>
    <mergeCell ref="W692:W693"/>
    <mergeCell ref="X692:X693"/>
    <mergeCell ref="Y692:Y693"/>
    <mergeCell ref="Z692:Z693"/>
    <mergeCell ref="AA692:AA693"/>
    <mergeCell ref="B692:B693"/>
    <mergeCell ref="E692:E693"/>
    <mergeCell ref="F692:F693"/>
    <mergeCell ref="G692:G693"/>
    <mergeCell ref="H692:H693"/>
    <mergeCell ref="M692:M693"/>
    <mergeCell ref="N692:N693"/>
    <mergeCell ref="O692:O693"/>
    <mergeCell ref="P692:P693"/>
    <mergeCell ref="AZ594:AZ595"/>
    <mergeCell ref="BA594:BA595"/>
    <mergeCell ref="BB594:BB595"/>
    <mergeCell ref="BC594:BC595"/>
    <mergeCell ref="M691:R691"/>
    <mergeCell ref="V691:AA691"/>
    <mergeCell ref="AE691:AJ691"/>
    <mergeCell ref="AN691:AS691"/>
    <mergeCell ref="AW691:BB691"/>
    <mergeCell ref="AO594:AO595"/>
    <mergeCell ref="AP594:AP595"/>
    <mergeCell ref="AQ594:AQ595"/>
    <mergeCell ref="AR594:AR595"/>
    <mergeCell ref="AS594:AS595"/>
    <mergeCell ref="AT594:AT595"/>
    <mergeCell ref="AW594:AW595"/>
    <mergeCell ref="AX594:AX595"/>
    <mergeCell ref="AY594:AY595"/>
    <mergeCell ref="AB594:AB595"/>
    <mergeCell ref="AE594:AE595"/>
    <mergeCell ref="AF594:AF595"/>
    <mergeCell ref="AG594:AG595"/>
    <mergeCell ref="AH594:AH595"/>
    <mergeCell ref="AI594:AI595"/>
    <mergeCell ref="AJ594:AJ595"/>
    <mergeCell ref="AK594:AK595"/>
    <mergeCell ref="AN594:AN595"/>
    <mergeCell ref="Q594:Q595"/>
    <mergeCell ref="R594:R595"/>
    <mergeCell ref="S594:S595"/>
    <mergeCell ref="V594:V595"/>
    <mergeCell ref="W594:W595"/>
    <mergeCell ref="X594:X595"/>
    <mergeCell ref="Y594:Y595"/>
    <mergeCell ref="Z594:Z595"/>
    <mergeCell ref="AA594:AA595"/>
    <mergeCell ref="B594:B595"/>
    <mergeCell ref="E594:E595"/>
    <mergeCell ref="F594:F595"/>
    <mergeCell ref="G594:G595"/>
    <mergeCell ref="H594:H595"/>
    <mergeCell ref="M594:M595"/>
    <mergeCell ref="N594:N595"/>
    <mergeCell ref="O594:O595"/>
    <mergeCell ref="P594:P595"/>
    <mergeCell ref="AZ497:AZ498"/>
    <mergeCell ref="BA497:BA498"/>
    <mergeCell ref="BB497:BB498"/>
    <mergeCell ref="BC497:BC498"/>
    <mergeCell ref="M593:R593"/>
    <mergeCell ref="V593:AA593"/>
    <mergeCell ref="AE593:AJ593"/>
    <mergeCell ref="AN593:AS593"/>
    <mergeCell ref="AW593:BB593"/>
    <mergeCell ref="AO497:AO498"/>
    <mergeCell ref="AP497:AP498"/>
    <mergeCell ref="AQ497:AQ498"/>
    <mergeCell ref="AR497:AR498"/>
    <mergeCell ref="AS497:AS498"/>
    <mergeCell ref="AT497:AT498"/>
    <mergeCell ref="AW497:AW498"/>
    <mergeCell ref="AX497:AX498"/>
    <mergeCell ref="AY497:AY498"/>
    <mergeCell ref="AB497:AB498"/>
    <mergeCell ref="AE497:AE498"/>
    <mergeCell ref="AF497:AF498"/>
    <mergeCell ref="AG497:AG498"/>
    <mergeCell ref="AH497:AH498"/>
    <mergeCell ref="AI497:AI498"/>
    <mergeCell ref="AJ497:AJ498"/>
    <mergeCell ref="AK497:AK498"/>
    <mergeCell ref="AN497:AN498"/>
    <mergeCell ref="Q497:Q498"/>
    <mergeCell ref="R497:R498"/>
    <mergeCell ref="S497:S498"/>
    <mergeCell ref="V497:V498"/>
    <mergeCell ref="W497:W498"/>
    <mergeCell ref="X497:X498"/>
    <mergeCell ref="Y497:Y498"/>
    <mergeCell ref="Z497:Z498"/>
    <mergeCell ref="AA497:AA498"/>
    <mergeCell ref="B497:B498"/>
    <mergeCell ref="E497:E498"/>
    <mergeCell ref="F497:F498"/>
    <mergeCell ref="G497:G498"/>
    <mergeCell ref="H497:H498"/>
    <mergeCell ref="M497:M498"/>
    <mergeCell ref="N497:N498"/>
    <mergeCell ref="O497:O498"/>
    <mergeCell ref="P497:P498"/>
    <mergeCell ref="AZ400:AZ401"/>
    <mergeCell ref="BA400:BA401"/>
    <mergeCell ref="BB400:BB401"/>
    <mergeCell ref="BC400:BC401"/>
    <mergeCell ref="M496:R496"/>
    <mergeCell ref="V496:AA496"/>
    <mergeCell ref="AE496:AJ496"/>
    <mergeCell ref="AN496:AS496"/>
    <mergeCell ref="AW496:BB496"/>
    <mergeCell ref="AO400:AO401"/>
    <mergeCell ref="AP400:AP401"/>
    <mergeCell ref="AQ400:AQ401"/>
    <mergeCell ref="AR400:AR401"/>
    <mergeCell ref="AS400:AS401"/>
    <mergeCell ref="AT400:AT401"/>
    <mergeCell ref="AW400:AW401"/>
    <mergeCell ref="AX400:AX401"/>
    <mergeCell ref="AY400:AY401"/>
    <mergeCell ref="AB400:AB401"/>
    <mergeCell ref="AE400:AE401"/>
    <mergeCell ref="AF400:AF401"/>
    <mergeCell ref="AG400:AG401"/>
    <mergeCell ref="AH400:AH401"/>
    <mergeCell ref="AI400:AI401"/>
    <mergeCell ref="AJ400:AJ401"/>
    <mergeCell ref="AK400:AK401"/>
    <mergeCell ref="AN400:AN401"/>
    <mergeCell ref="Q400:Q401"/>
    <mergeCell ref="R400:R401"/>
    <mergeCell ref="S400:S401"/>
    <mergeCell ref="V400:V401"/>
    <mergeCell ref="W400:W401"/>
    <mergeCell ref="X400:X401"/>
    <mergeCell ref="Y400:Y401"/>
    <mergeCell ref="Z400:Z401"/>
    <mergeCell ref="AA400:AA401"/>
    <mergeCell ref="B400:B401"/>
    <mergeCell ref="E400:E401"/>
    <mergeCell ref="F400:F401"/>
    <mergeCell ref="G400:G401"/>
    <mergeCell ref="H400:H401"/>
    <mergeCell ref="M400:M401"/>
    <mergeCell ref="N400:N401"/>
    <mergeCell ref="O400:O401"/>
    <mergeCell ref="P400:P401"/>
    <mergeCell ref="AZ302:AZ303"/>
    <mergeCell ref="BA302:BA303"/>
    <mergeCell ref="BB302:BB303"/>
    <mergeCell ref="BC302:BC303"/>
    <mergeCell ref="M399:R399"/>
    <mergeCell ref="V399:AA399"/>
    <mergeCell ref="AE399:AJ399"/>
    <mergeCell ref="AN399:AS399"/>
    <mergeCell ref="AW399:BB399"/>
    <mergeCell ref="AO302:AO303"/>
    <mergeCell ref="AP302:AP303"/>
    <mergeCell ref="AQ302:AQ303"/>
    <mergeCell ref="AR302:AR303"/>
    <mergeCell ref="AS302:AS303"/>
    <mergeCell ref="AT302:AT303"/>
    <mergeCell ref="AW302:AW303"/>
    <mergeCell ref="AX302:AX303"/>
    <mergeCell ref="AY302:AY303"/>
    <mergeCell ref="AB302:AB303"/>
    <mergeCell ref="AE302:AE303"/>
    <mergeCell ref="AF302:AF303"/>
    <mergeCell ref="AG302:AG303"/>
    <mergeCell ref="AH302:AH303"/>
    <mergeCell ref="AI302:AI303"/>
    <mergeCell ref="AJ302:AJ303"/>
    <mergeCell ref="AK302:AK303"/>
    <mergeCell ref="AN302:AN303"/>
    <mergeCell ref="Q302:Q303"/>
    <mergeCell ref="R302:R303"/>
    <mergeCell ref="S302:S303"/>
    <mergeCell ref="V302:V303"/>
    <mergeCell ref="W302:W303"/>
    <mergeCell ref="X302:X303"/>
    <mergeCell ref="Y302:Y303"/>
    <mergeCell ref="Z302:Z303"/>
    <mergeCell ref="AA302:AA303"/>
    <mergeCell ref="B302:B303"/>
    <mergeCell ref="E302:E303"/>
    <mergeCell ref="F302:F303"/>
    <mergeCell ref="G302:G303"/>
    <mergeCell ref="H302:H303"/>
    <mergeCell ref="M302:M303"/>
    <mergeCell ref="N302:N303"/>
    <mergeCell ref="O302:O303"/>
    <mergeCell ref="P302:P303"/>
    <mergeCell ref="AZ205:AZ206"/>
    <mergeCell ref="BA205:BA206"/>
    <mergeCell ref="BB205:BB206"/>
    <mergeCell ref="BC205:BC206"/>
    <mergeCell ref="M301:R301"/>
    <mergeCell ref="V301:AA301"/>
    <mergeCell ref="AE301:AJ301"/>
    <mergeCell ref="AN301:AS301"/>
    <mergeCell ref="AW301:BB301"/>
    <mergeCell ref="AO205:AO206"/>
    <mergeCell ref="AP205:AP206"/>
    <mergeCell ref="AQ205:AQ206"/>
    <mergeCell ref="AR205:AR206"/>
    <mergeCell ref="AS205:AS206"/>
    <mergeCell ref="AT205:AT206"/>
    <mergeCell ref="AW205:AW206"/>
    <mergeCell ref="AX205:AX206"/>
    <mergeCell ref="AY205:AY206"/>
    <mergeCell ref="AB205:AB206"/>
    <mergeCell ref="AE205:AE206"/>
    <mergeCell ref="AF205:AF206"/>
    <mergeCell ref="AG205:AG206"/>
    <mergeCell ref="AH205:AH206"/>
    <mergeCell ref="AI205:AI206"/>
    <mergeCell ref="AJ205:AJ206"/>
    <mergeCell ref="AK205:AK206"/>
    <mergeCell ref="AN205:AN206"/>
    <mergeCell ref="Q205:Q206"/>
    <mergeCell ref="R205:R206"/>
    <mergeCell ref="S205:S206"/>
    <mergeCell ref="V205:V206"/>
    <mergeCell ref="W205:W206"/>
    <mergeCell ref="X205:X206"/>
    <mergeCell ref="Y205:Y206"/>
    <mergeCell ref="Z205:Z206"/>
    <mergeCell ref="AA205:AA206"/>
    <mergeCell ref="B205:B206"/>
    <mergeCell ref="E205:E206"/>
    <mergeCell ref="F205:F206"/>
    <mergeCell ref="G205:G206"/>
    <mergeCell ref="H205:H206"/>
    <mergeCell ref="M205:M206"/>
    <mergeCell ref="N205:N206"/>
    <mergeCell ref="O205:O206"/>
    <mergeCell ref="P205:P206"/>
    <mergeCell ref="AZ107:AZ108"/>
    <mergeCell ref="BA107:BA108"/>
    <mergeCell ref="BB107:BB108"/>
    <mergeCell ref="BC107:BC108"/>
    <mergeCell ref="M204:R204"/>
    <mergeCell ref="V204:AA204"/>
    <mergeCell ref="AE204:AJ204"/>
    <mergeCell ref="AN204:AS204"/>
    <mergeCell ref="AW204:BB204"/>
    <mergeCell ref="AO107:AO108"/>
    <mergeCell ref="AP107:AP108"/>
    <mergeCell ref="AQ107:AQ108"/>
    <mergeCell ref="AR107:AR108"/>
    <mergeCell ref="AS107:AS108"/>
    <mergeCell ref="AT107:AT108"/>
    <mergeCell ref="AW107:AW108"/>
    <mergeCell ref="AX107:AX108"/>
    <mergeCell ref="AY107:AY108"/>
    <mergeCell ref="AB107:AB108"/>
    <mergeCell ref="AE107:AE108"/>
    <mergeCell ref="AF107:AF108"/>
    <mergeCell ref="AG107:AG108"/>
    <mergeCell ref="AH107:AH108"/>
    <mergeCell ref="AI107:AI108"/>
    <mergeCell ref="AJ107:AJ108"/>
    <mergeCell ref="AK107:AK108"/>
    <mergeCell ref="AN107:AN108"/>
    <mergeCell ref="Q107:Q108"/>
    <mergeCell ref="R107:R108"/>
    <mergeCell ref="S107:S108"/>
    <mergeCell ref="V107:V108"/>
    <mergeCell ref="W107:W108"/>
    <mergeCell ref="X107:X108"/>
    <mergeCell ref="Y107:Y108"/>
    <mergeCell ref="Z107:Z108"/>
    <mergeCell ref="AA107:AA108"/>
    <mergeCell ref="B107:B108"/>
    <mergeCell ref="E107:E108"/>
    <mergeCell ref="F107:F108"/>
    <mergeCell ref="G107:G108"/>
    <mergeCell ref="H107:H108"/>
    <mergeCell ref="M107:M108"/>
    <mergeCell ref="N107:N108"/>
    <mergeCell ref="O107:O108"/>
    <mergeCell ref="P107:P108"/>
    <mergeCell ref="AZ9:AZ10"/>
    <mergeCell ref="BA9:BA10"/>
    <mergeCell ref="BB9:BB10"/>
    <mergeCell ref="BC9:BC10"/>
    <mergeCell ref="M106:R106"/>
    <mergeCell ref="V106:AA106"/>
    <mergeCell ref="AE106:AJ106"/>
    <mergeCell ref="AN106:AS106"/>
    <mergeCell ref="AW106:BB106"/>
    <mergeCell ref="AO9:AO10"/>
    <mergeCell ref="AP9:AP10"/>
    <mergeCell ref="AQ9:AQ10"/>
    <mergeCell ref="AR9:AR10"/>
    <mergeCell ref="AS9:AS10"/>
    <mergeCell ref="AT9:AT10"/>
    <mergeCell ref="AW9:AW10"/>
    <mergeCell ref="AX9:AX10"/>
    <mergeCell ref="AY9:AY10"/>
    <mergeCell ref="AB9:AB10"/>
    <mergeCell ref="AE9:AE10"/>
    <mergeCell ref="AF9:AF10"/>
    <mergeCell ref="AG9:AG10"/>
    <mergeCell ref="AH9:AH10"/>
    <mergeCell ref="AI9:AI10"/>
    <mergeCell ref="AJ9:AJ10"/>
    <mergeCell ref="AK9:AK10"/>
    <mergeCell ref="AN9:AN10"/>
    <mergeCell ref="Q9:Q10"/>
    <mergeCell ref="R9:R10"/>
    <mergeCell ref="S9:S10"/>
    <mergeCell ref="V9:V10"/>
    <mergeCell ref="W9:W10"/>
    <mergeCell ref="X9:X10"/>
    <mergeCell ref="Y9:Y10"/>
    <mergeCell ref="Z9:Z10"/>
    <mergeCell ref="AA9:AA10"/>
    <mergeCell ref="B9:B10"/>
    <mergeCell ref="E9:E10"/>
    <mergeCell ref="F9:F10"/>
    <mergeCell ref="G9:G10"/>
    <mergeCell ref="H9:H10"/>
    <mergeCell ref="M9:M10"/>
    <mergeCell ref="N9:N10"/>
    <mergeCell ref="O9:O10"/>
    <mergeCell ref="P9:P10"/>
    <mergeCell ref="BB3:BB4"/>
    <mergeCell ref="BC3:BC4"/>
    <mergeCell ref="BD3:BD4"/>
    <mergeCell ref="AZ4:AZ5"/>
    <mergeCell ref="M8:R8"/>
    <mergeCell ref="V8:AA8"/>
    <mergeCell ref="AE8:AJ8"/>
    <mergeCell ref="AN8:AS8"/>
    <mergeCell ref="AW8:BB8"/>
    <mergeCell ref="AL3:AL4"/>
    <mergeCell ref="AN3:AN4"/>
    <mergeCell ref="AO3:AO4"/>
    <mergeCell ref="AP3:AP4"/>
    <mergeCell ref="AQ3:AR3"/>
    <mergeCell ref="AS3:AS4"/>
    <mergeCell ref="AT3:AT4"/>
    <mergeCell ref="AU3:AU4"/>
    <mergeCell ref="AW3:AW4"/>
    <mergeCell ref="AA3:AA4"/>
    <mergeCell ref="AB3:AB4"/>
    <mergeCell ref="AC3:AC4"/>
    <mergeCell ref="AK3:AK4"/>
    <mergeCell ref="V1:AB1"/>
    <mergeCell ref="E2:G2"/>
    <mergeCell ref="M2:T2"/>
    <mergeCell ref="V2:AA2"/>
    <mergeCell ref="AE2:AJ2"/>
    <mergeCell ref="AX3:AX4"/>
    <mergeCell ref="AY3:AY4"/>
    <mergeCell ref="AZ3:BA3"/>
    <mergeCell ref="AN2:AS2"/>
    <mergeCell ref="AW2:BB2"/>
    <mergeCell ref="B3:B4"/>
    <mergeCell ref="C3:C4"/>
    <mergeCell ref="D3:D4"/>
    <mergeCell ref="E3:E4"/>
    <mergeCell ref="F3:F4"/>
    <mergeCell ref="G3:G4"/>
    <mergeCell ref="M3:M4"/>
    <mergeCell ref="N3:N4"/>
    <mergeCell ref="O3:O4"/>
    <mergeCell ref="P3:Q3"/>
    <mergeCell ref="R3:R4"/>
    <mergeCell ref="S3:S4"/>
    <mergeCell ref="T3:T4"/>
    <mergeCell ref="V3:V4"/>
    <mergeCell ref="W3:W4"/>
    <mergeCell ref="X3:X4"/>
    <mergeCell ref="Y3:Z3"/>
    <mergeCell ref="AE3:AE4"/>
    <mergeCell ref="AF3:AF4"/>
    <mergeCell ref="AG3:AG4"/>
    <mergeCell ref="AH3:AI3"/>
    <mergeCell ref="AJ3:AJ4"/>
  </mergeCells>
  <printOptions headings="0" gridLines="0"/>
  <pageMargins left="0.46000000000000008" right="0.27000000000000002" top="0.69999999999999996" bottom="0.40999999999999998" header="0" footer="0"/>
  <pageSetup paperSize="9" scale="12" fitToWidth="1" fitToHeight="0" pageOrder="downThenOver" orientation="portrait" usePrinterDefaults="1" blackAndWhite="0" draft="0" cellComments="none" useFirstPageNumber="0" errors="displayed" horizontalDpi="600" verticalDpi="600" copies="1"/>
  <headerFooter/>
  <colBreaks count="5" manualBreakCount="5">
    <brk id="12" man="1" max="1250" min="6"/>
    <brk id="20" man="1" max="1250" min="6"/>
    <brk id="30" man="1" max="1250" min="6"/>
    <brk id="39" man="1" max="1250" min="6"/>
    <brk id="48" man="1" max="1250" min="6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 codeName="Лист5">
    <tabColor theme="3" tint="0.59999389629810485"/>
    <outlinePr applyStyles="0" summaryBelow="1" summaryRight="1" showOutlineSymbols="1"/>
    <pageSetUpPr autoPageBreaks="1" fitToPage="1"/>
  </sheetPr>
  <sheetViews>
    <sheetView zoomScale="85" workbookViewId="0">
      <pane xSplit="1" ySplit="2" topLeftCell="B3" activePane="bottomRight" state="frozen"/>
      <selection activeCell="C45" activeCellId="0" sqref="C45"/>
    </sheetView>
  </sheetViews>
  <sheetFormatPr defaultColWidth="8.85546875" defaultRowHeight="15.75"/>
  <cols>
    <col customWidth="1" min="1" max="1" style="1409" width="41"/>
    <col customWidth="1" min="2" max="2" style="1410" width="15.5703125"/>
    <col customWidth="1" min="3" max="3" style="1409" width="16"/>
    <col customWidth="1" min="4" max="4" style="1409" width="15"/>
    <col customWidth="1" min="5" max="5" style="1411" width="17.140625"/>
    <col customWidth="1" min="6" max="7" style="1409" width="15.140625"/>
    <col customWidth="1" min="8" max="8" style="1409" width="15.7109375"/>
    <col customWidth="1" min="9" max="9" style="1411" width="16.5703125"/>
    <col customWidth="1" min="10" max="10" style="1412" width="16.42578125"/>
    <col customWidth="1" min="11" max="11" style="1409" width="15.5703125"/>
    <col customWidth="1" min="12" max="12" style="1409" width="15.42578125"/>
    <col customWidth="1" min="13" max="13" style="1409" width="15.140625"/>
    <col customWidth="1" min="14" max="14" style="1411" width="14.7109375"/>
    <col customWidth="1" min="15" max="15" style="1412" width="17"/>
    <col customWidth="1" min="16" max="16" style="1409" width="14.85546875"/>
    <col customWidth="1" min="17" max="17" style="1409" width="13.85546875"/>
    <col customWidth="1" min="18" max="18" style="1413" width="14.5703125"/>
    <col customWidth="1" min="19" max="19" style="1414" width="15.85546875"/>
    <col customWidth="1" min="20" max="20" style="1415" width="21"/>
    <col customWidth="1" min="21" max="21" style="1409" width="15"/>
    <col customWidth="1" min="22" max="22" style="1409" width="43.85546875"/>
    <col customWidth="1" min="23" max="23" style="1409" width="12.140625"/>
    <col customWidth="1" min="24" max="24" style="1409" width="18.140625"/>
    <col customWidth="1" min="25" max="25" style="1409" width="10.7109375"/>
    <col customWidth="1" min="26" max="26" style="1411" width="16.28515625"/>
    <col customWidth="1" min="27" max="27" style="1409" width="16.7109375"/>
    <col customWidth="1" min="28" max="28" style="1409" width="19.140625"/>
    <col customWidth="1" min="29" max="29" style="1409" width="21.140625"/>
    <col customWidth="1" min="30" max="30" style="1411" width="15.85546875"/>
    <col customWidth="1" min="31" max="31" style="1416" width="13.7109375"/>
    <col customWidth="1" min="32" max="32" style="1409" width="14.85546875"/>
    <col customWidth="1" min="33" max="33" style="1409" width="14.28515625"/>
    <col customWidth="1" min="34" max="34" style="1409" width="15.140625"/>
    <col customWidth="1" min="35" max="35" style="1411" width="11.7109375"/>
    <col customWidth="1" min="36" max="36" style="1416" width="16.140625"/>
    <col customWidth="1" min="37" max="37" style="1409" width="12.28515625"/>
    <col customWidth="1" min="38" max="38" style="1417" width="18.140625"/>
    <col customWidth="1" min="39" max="39" style="1409" width="12.85546875"/>
    <col customWidth="1" min="40" max="40" style="1411" width="17"/>
    <col customWidth="1" min="41" max="41" style="1418" width="13.28515625"/>
    <col customWidth="1" min="42" max="42" style="1409" width="19"/>
    <col customWidth="1" min="43" max="43" style="1409" width="13.5703125"/>
    <col customWidth="1" min="44" max="44" style="1409" width="16.7109375"/>
    <col customWidth="1" min="45" max="45" style="1409" width="14.42578125"/>
    <col customWidth="1" min="46" max="46" style="1409" width="16"/>
    <col customWidth="1" min="47" max="47" style="1409" width="14.5703125"/>
    <col customWidth="1" min="48" max="48" style="1409" width="20.5703125"/>
    <col bestFit="1" customWidth="1" min="49" max="49" style="1409" width="17.5703125"/>
    <col customWidth="1" min="50" max="50" style="1409" width="22.42578125"/>
    <col bestFit="1" customWidth="1" min="51" max="51" style="1409" width="9"/>
    <col min="52" max="52" style="1409" width="8.85546875"/>
    <col min="53" max="16384" style="1408" width="8.85546875"/>
  </cols>
  <sheetData>
    <row r="1" ht="33.75" customHeight="1">
      <c r="A1" s="1419" t="s">
        <v>536</v>
      </c>
      <c r="AS1" s="1413"/>
      <c r="AT1" s="1413"/>
      <c r="AU1" s="1413"/>
      <c r="AV1" s="1413"/>
    </row>
    <row r="2" ht="26.25">
      <c r="A2" s="1413" t="s">
        <v>173</v>
      </c>
      <c r="B2" s="1420" t="s">
        <v>6</v>
      </c>
      <c r="C2" s="1413" t="s">
        <v>7</v>
      </c>
      <c r="D2" s="1409" t="s">
        <v>8</v>
      </c>
      <c r="E2" s="1414" t="s">
        <v>9</v>
      </c>
      <c r="F2" s="1421" t="s">
        <v>10</v>
      </c>
      <c r="G2" s="1421" t="s">
        <v>11</v>
      </c>
      <c r="H2" s="1421" t="s">
        <v>12</v>
      </c>
      <c r="I2" s="1422" t="s">
        <v>174</v>
      </c>
      <c r="J2" s="1423" t="s">
        <v>175</v>
      </c>
      <c r="K2" s="1421" t="s">
        <v>14</v>
      </c>
      <c r="L2" s="1421" t="s">
        <v>15</v>
      </c>
      <c r="M2" s="1421" t="s">
        <v>16</v>
      </c>
      <c r="N2" s="1422" t="s">
        <v>17</v>
      </c>
      <c r="O2" s="1423" t="s">
        <v>176</v>
      </c>
      <c r="P2" s="1421" t="s">
        <v>18</v>
      </c>
      <c r="Q2" s="1424" t="s">
        <v>19</v>
      </c>
      <c r="R2" s="1421" t="s">
        <v>20</v>
      </c>
      <c r="S2" s="1425" t="s">
        <v>537</v>
      </c>
      <c r="T2" s="1426" t="s">
        <v>22</v>
      </c>
      <c r="V2" s="1427" t="s">
        <v>173</v>
      </c>
      <c r="W2" s="1427" t="s">
        <v>6</v>
      </c>
      <c r="X2" s="1427" t="s">
        <v>7</v>
      </c>
      <c r="Y2" s="1428" t="s">
        <v>8</v>
      </c>
      <c r="Z2" s="1429" t="s">
        <v>9</v>
      </c>
      <c r="AA2" s="1427" t="s">
        <v>10</v>
      </c>
      <c r="AB2" s="1427" t="s">
        <v>11</v>
      </c>
      <c r="AC2" s="1427" t="s">
        <v>12</v>
      </c>
      <c r="AD2" s="1422" t="s">
        <v>174</v>
      </c>
      <c r="AE2" s="1423" t="s">
        <v>175</v>
      </c>
      <c r="AF2" s="1427" t="s">
        <v>14</v>
      </c>
      <c r="AG2" s="1427" t="s">
        <v>15</v>
      </c>
      <c r="AH2" s="1427" t="s">
        <v>16</v>
      </c>
      <c r="AI2" s="1425" t="s">
        <v>17</v>
      </c>
      <c r="AJ2" s="1430" t="s">
        <v>176</v>
      </c>
      <c r="AK2" s="1427" t="s">
        <v>18</v>
      </c>
      <c r="AL2" s="1424" t="s">
        <v>19</v>
      </c>
      <c r="AM2" s="1421" t="s">
        <v>20</v>
      </c>
      <c r="AN2" s="1425" t="s">
        <v>537</v>
      </c>
      <c r="AO2" s="1426" t="s">
        <v>22</v>
      </c>
      <c r="AP2" s="1431"/>
      <c r="AQ2" s="1432" t="s">
        <v>19</v>
      </c>
      <c r="AR2" s="1433"/>
      <c r="AS2" s="1432" t="s">
        <v>20</v>
      </c>
      <c r="AT2" s="1433"/>
      <c r="AU2" s="1413"/>
      <c r="AV2" s="1413"/>
    </row>
    <row r="3" s="1434" customFormat="1" ht="45.75" customHeight="1">
      <c r="A3" s="1435" t="s">
        <v>538</v>
      </c>
      <c r="B3" s="1436"/>
      <c r="C3" s="1437"/>
      <c r="D3" s="1437"/>
      <c r="E3" s="1437"/>
      <c r="F3" s="1437"/>
      <c r="G3" s="1438"/>
      <c r="H3" s="1438"/>
      <c r="I3" s="1438"/>
      <c r="J3" s="1438"/>
      <c r="K3" s="1438"/>
      <c r="L3" s="1438"/>
      <c r="M3" s="1438"/>
      <c r="N3" s="1438"/>
      <c r="O3" s="1438"/>
      <c r="P3" s="1438"/>
      <c r="Q3" s="1438"/>
      <c r="R3" s="1439"/>
      <c r="S3" s="1439"/>
      <c r="T3" s="1440"/>
      <c r="U3" s="1409"/>
      <c r="V3" s="1441" t="s">
        <v>123</v>
      </c>
      <c r="W3" s="1432" t="s">
        <v>6</v>
      </c>
      <c r="X3" s="1433"/>
      <c r="Y3" s="1433" t="s">
        <v>7</v>
      </c>
      <c r="Z3" s="1433"/>
      <c r="AA3" s="1433" t="s">
        <v>8</v>
      </c>
      <c r="AB3" s="1442"/>
      <c r="AC3" s="1432" t="s">
        <v>10</v>
      </c>
      <c r="AD3" s="1433"/>
      <c r="AE3" s="1433" t="s">
        <v>11</v>
      </c>
      <c r="AF3" s="1433"/>
      <c r="AG3" s="1433" t="s">
        <v>12</v>
      </c>
      <c r="AH3" s="1442"/>
      <c r="AI3" s="1432" t="s">
        <v>14</v>
      </c>
      <c r="AJ3" s="1433"/>
      <c r="AK3" s="1433" t="s">
        <v>15</v>
      </c>
      <c r="AL3" s="1433"/>
      <c r="AM3" s="1433" t="s">
        <v>16</v>
      </c>
      <c r="AN3" s="1442"/>
      <c r="AO3" s="1432" t="s">
        <v>18</v>
      </c>
      <c r="AP3" s="1433"/>
      <c r="AQ3" s="1433" t="s">
        <v>19</v>
      </c>
      <c r="AR3" s="1433"/>
      <c r="AS3" s="1433" t="s">
        <v>20</v>
      </c>
      <c r="AT3" s="1442"/>
      <c r="AU3" s="1443" t="s">
        <v>539</v>
      </c>
      <c r="AV3" s="1444"/>
      <c r="AW3" s="1413"/>
      <c r="AX3" s="1413"/>
      <c r="AY3" s="1413"/>
      <c r="AZ3" s="1409"/>
    </row>
    <row r="4" s="1445" customFormat="1">
      <c r="A4" s="1446" t="s">
        <v>173</v>
      </c>
      <c r="B4" s="1446" t="s">
        <v>6</v>
      </c>
      <c r="C4" s="1446" t="s">
        <v>7</v>
      </c>
      <c r="D4" s="1447" t="s">
        <v>8</v>
      </c>
      <c r="E4" s="1448" t="s">
        <v>9</v>
      </c>
      <c r="F4" s="1447" t="s">
        <v>10</v>
      </c>
      <c r="G4" s="1447" t="s">
        <v>11</v>
      </c>
      <c r="H4" s="1447" t="s">
        <v>12</v>
      </c>
      <c r="I4" s="1448" t="s">
        <v>174</v>
      </c>
      <c r="J4" s="1449" t="s">
        <v>175</v>
      </c>
      <c r="K4" s="1447" t="s">
        <v>14</v>
      </c>
      <c r="L4" s="1447" t="s">
        <v>15</v>
      </c>
      <c r="M4" s="1447" t="s">
        <v>16</v>
      </c>
      <c r="N4" s="1448" t="s">
        <v>17</v>
      </c>
      <c r="O4" s="1449" t="s">
        <v>176</v>
      </c>
      <c r="P4" s="1447" t="s">
        <v>18</v>
      </c>
      <c r="Q4" s="1447" t="s">
        <v>19</v>
      </c>
      <c r="R4" s="1447" t="s">
        <v>20</v>
      </c>
      <c r="S4" s="1448" t="s">
        <v>177</v>
      </c>
      <c r="T4" s="1450" t="s">
        <v>22</v>
      </c>
      <c r="U4" s="1409"/>
      <c r="V4" s="1451"/>
      <c r="W4" s="1452" t="s">
        <v>92</v>
      </c>
      <c r="X4" s="1453" t="s">
        <v>540</v>
      </c>
      <c r="Y4" s="1453" t="s">
        <v>92</v>
      </c>
      <c r="Z4" s="1453" t="s">
        <v>540</v>
      </c>
      <c r="AA4" s="1454" t="s">
        <v>92</v>
      </c>
      <c r="AB4" s="1455" t="s">
        <v>540</v>
      </c>
      <c r="AC4" s="1456" t="s">
        <v>92</v>
      </c>
      <c r="AD4" s="1454" t="s">
        <v>540</v>
      </c>
      <c r="AE4" s="1454" t="s">
        <v>92</v>
      </c>
      <c r="AF4" s="1454" t="s">
        <v>540</v>
      </c>
      <c r="AG4" s="1454" t="s">
        <v>92</v>
      </c>
      <c r="AH4" s="1455" t="s">
        <v>540</v>
      </c>
      <c r="AI4" s="1456" t="s">
        <v>92</v>
      </c>
      <c r="AJ4" s="1454" t="s">
        <v>540</v>
      </c>
      <c r="AK4" s="1454" t="s">
        <v>92</v>
      </c>
      <c r="AL4" s="1457" t="s">
        <v>540</v>
      </c>
      <c r="AM4" s="1454" t="s">
        <v>92</v>
      </c>
      <c r="AN4" s="1455" t="s">
        <v>540</v>
      </c>
      <c r="AO4" s="1456" t="s">
        <v>92</v>
      </c>
      <c r="AP4" s="1458" t="s">
        <v>540</v>
      </c>
      <c r="AQ4" s="1454" t="s">
        <v>92</v>
      </c>
      <c r="AR4" s="1458" t="s">
        <v>540</v>
      </c>
      <c r="AS4" s="1454" t="s">
        <v>92</v>
      </c>
      <c r="AT4" s="1459" t="s">
        <v>540</v>
      </c>
      <c r="AU4" s="1460" t="s">
        <v>92</v>
      </c>
      <c r="AV4" s="1461" t="s">
        <v>540</v>
      </c>
      <c r="AW4" s="1409"/>
      <c r="AX4" s="1409"/>
      <c r="AY4" s="1409"/>
      <c r="AZ4" s="1409"/>
    </row>
    <row r="5">
      <c r="A5" s="1179" t="s">
        <v>178</v>
      </c>
      <c r="B5" s="1462">
        <f t="shared" ref="B5:B12" si="1855">X5</f>
        <v>0</v>
      </c>
      <c r="C5" s="1462">
        <f t="shared" ref="C5:C12" si="1856">Z5</f>
        <v>897.52089999999998</v>
      </c>
      <c r="D5" s="1462">
        <f t="shared" ref="D5:D44" si="1857">AB5</f>
        <v>0</v>
      </c>
      <c r="E5" s="1463">
        <f t="shared" ref="E5:E45" si="1858">B5+C5+D5</f>
        <v>897.52089999999998</v>
      </c>
      <c r="F5" s="1462">
        <f t="shared" ref="F5:F43" si="1859">AD5</f>
        <v>0</v>
      </c>
      <c r="G5" s="1462">
        <f t="shared" ref="G5:G44" si="1860">AF5</f>
        <v>0</v>
      </c>
      <c r="H5" s="1462">
        <f t="shared" ref="H5:H44" si="1861">AH5</f>
        <v>0</v>
      </c>
      <c r="I5" s="1463">
        <f t="shared" ref="I5:I45" si="1862">F5+G5+H5</f>
        <v>0</v>
      </c>
      <c r="J5" s="1464">
        <f t="shared" ref="J5:J45" si="1863">E5+I5</f>
        <v>897.52089999999998</v>
      </c>
      <c r="K5" s="1462">
        <f t="shared" ref="K5:K12" si="1864">AJ5</f>
        <v>0</v>
      </c>
      <c r="L5" s="1462">
        <f t="shared" ref="L5:L12" si="1865">AL5</f>
        <v>0</v>
      </c>
      <c r="M5" s="1462">
        <f t="shared" ref="M5:M12" si="1866">AN5</f>
        <v>0</v>
      </c>
      <c r="N5" s="1463">
        <f t="shared" ref="N5:N45" si="1867">K5+L5+M5</f>
        <v>0</v>
      </c>
      <c r="O5" s="1464">
        <f t="shared" ref="O5:O45" si="1868">J5+N5</f>
        <v>897.52089999999998</v>
      </c>
      <c r="P5" s="1462">
        <f t="shared" ref="P5:P12" si="1869">AP5</f>
        <v>0</v>
      </c>
      <c r="Q5" s="1462">
        <f t="shared" ref="Q5:Q12" si="1870">AR5</f>
        <v>0</v>
      </c>
      <c r="R5" s="1462">
        <f t="shared" ref="R5:R12" si="1871">AT5</f>
        <v>0</v>
      </c>
      <c r="S5" s="1463">
        <f t="shared" ref="S5:S45" si="1872">P5+Q5+R5</f>
        <v>0</v>
      </c>
      <c r="T5" s="1465">
        <f t="shared" ref="T5:T45" si="1873">O5+S5</f>
        <v>897.52089999999998</v>
      </c>
      <c r="V5" s="1466" t="s">
        <v>178</v>
      </c>
      <c r="W5" s="1467">
        <v>0</v>
      </c>
      <c r="X5" s="1468">
        <v>0</v>
      </c>
      <c r="Y5" s="1469">
        <v>1</v>
      </c>
      <c r="Z5" s="1470">
        <v>897.52089999999998</v>
      </c>
      <c r="AA5" s="1469"/>
      <c r="AB5" s="1471"/>
      <c r="AC5" s="1467"/>
      <c r="AD5" s="1470"/>
      <c r="AE5" s="1469"/>
      <c r="AF5" s="1470"/>
      <c r="AG5" s="1469"/>
      <c r="AH5" s="1471"/>
      <c r="AI5" s="1467"/>
      <c r="AJ5" s="1470"/>
      <c r="AK5" s="1472"/>
      <c r="AL5" s="1473"/>
      <c r="AM5" s="1474"/>
      <c r="AN5" s="1475"/>
      <c r="AO5" s="1476"/>
      <c r="AP5" s="1477"/>
      <c r="AQ5" s="1478"/>
      <c r="AR5" s="1477"/>
      <c r="AS5" s="1478"/>
      <c r="AT5" s="1479"/>
      <c r="AU5" s="1480">
        <f t="shared" ref="AU5:AV45" si="1874">W5+Y5+AA5+AC5+AE5+AG5+AI5+AK5+AM5+AO5+AQ5+AS5</f>
        <v>1</v>
      </c>
      <c r="AV5" s="1481">
        <f>X5+Z5+AB5+AD5+AF5+AH5+AJ5+AL5+AN5+AP5+AR5+AT5</f>
        <v>897.52089999999998</v>
      </c>
      <c r="AW5" s="1413"/>
    </row>
    <row r="6">
      <c r="A6" s="1179" t="s">
        <v>354</v>
      </c>
      <c r="B6" s="1462">
        <f t="shared" si="1855"/>
        <v>0</v>
      </c>
      <c r="C6" s="1462">
        <f t="shared" si="1856"/>
        <v>0</v>
      </c>
      <c r="D6" s="1462">
        <f t="shared" si="1857"/>
        <v>0</v>
      </c>
      <c r="E6" s="1463">
        <f t="shared" si="1858"/>
        <v>0</v>
      </c>
      <c r="F6" s="1462">
        <f t="shared" si="1859"/>
        <v>0</v>
      </c>
      <c r="G6" s="1462">
        <f t="shared" si="1860"/>
        <v>0</v>
      </c>
      <c r="H6" s="1462">
        <f t="shared" si="1861"/>
        <v>0</v>
      </c>
      <c r="I6" s="1463">
        <f t="shared" si="1862"/>
        <v>0</v>
      </c>
      <c r="J6" s="1464">
        <f t="shared" si="1863"/>
        <v>0</v>
      </c>
      <c r="K6" s="1462">
        <f t="shared" si="1864"/>
        <v>0</v>
      </c>
      <c r="L6" s="1462">
        <f t="shared" si="1865"/>
        <v>0</v>
      </c>
      <c r="M6" s="1462">
        <f t="shared" si="1866"/>
        <v>0</v>
      </c>
      <c r="N6" s="1463">
        <f t="shared" si="1867"/>
        <v>0</v>
      </c>
      <c r="O6" s="1464">
        <f t="shared" si="1868"/>
        <v>0</v>
      </c>
      <c r="P6" s="1462">
        <f t="shared" si="1869"/>
        <v>0</v>
      </c>
      <c r="Q6" s="1462">
        <f t="shared" si="1870"/>
        <v>0</v>
      </c>
      <c r="R6" s="1462">
        <f t="shared" si="1871"/>
        <v>0</v>
      </c>
      <c r="S6" s="1463">
        <f t="shared" si="1872"/>
        <v>0</v>
      </c>
      <c r="T6" s="1465">
        <f t="shared" si="1873"/>
        <v>0</v>
      </c>
      <c r="V6" s="1482" t="s">
        <v>354</v>
      </c>
      <c r="W6" s="1483">
        <v>0</v>
      </c>
      <c r="X6" s="1484">
        <v>0</v>
      </c>
      <c r="Y6" s="1485">
        <v>0</v>
      </c>
      <c r="Z6" s="1486">
        <v>0</v>
      </c>
      <c r="AA6" s="1485"/>
      <c r="AB6" s="1487"/>
      <c r="AC6" s="1483"/>
      <c r="AD6" s="1486"/>
      <c r="AE6" s="1485"/>
      <c r="AF6" s="1486"/>
      <c r="AG6" s="1485"/>
      <c r="AH6" s="1487"/>
      <c r="AI6" s="1483"/>
      <c r="AJ6" s="1486"/>
      <c r="AK6" s="1472"/>
      <c r="AL6" s="1473"/>
      <c r="AM6" s="1488"/>
      <c r="AN6" s="1489"/>
      <c r="AO6" s="1490"/>
      <c r="AP6" s="1491"/>
      <c r="AQ6" s="1427"/>
      <c r="AR6" s="1491"/>
      <c r="AS6" s="1427"/>
      <c r="AT6" s="1492"/>
      <c r="AU6" s="1493">
        <f t="shared" si="1874"/>
        <v>0</v>
      </c>
      <c r="AV6" s="1494">
        <f t="shared" si="1874"/>
        <v>0</v>
      </c>
      <c r="AW6" s="1413"/>
    </row>
    <row r="7">
      <c r="A7" s="1179" t="s">
        <v>181</v>
      </c>
      <c r="B7" s="1462">
        <f t="shared" si="1855"/>
        <v>0</v>
      </c>
      <c r="C7" s="1462">
        <f t="shared" si="1856"/>
        <v>0</v>
      </c>
      <c r="D7" s="1462">
        <f t="shared" si="1857"/>
        <v>0</v>
      </c>
      <c r="E7" s="1463">
        <f t="shared" si="1858"/>
        <v>0</v>
      </c>
      <c r="F7" s="1462">
        <f t="shared" si="1859"/>
        <v>0</v>
      </c>
      <c r="G7" s="1462">
        <f t="shared" si="1860"/>
        <v>0</v>
      </c>
      <c r="H7" s="1462">
        <f t="shared" si="1861"/>
        <v>0</v>
      </c>
      <c r="I7" s="1463">
        <f t="shared" si="1862"/>
        <v>0</v>
      </c>
      <c r="J7" s="1464">
        <f t="shared" si="1863"/>
        <v>0</v>
      </c>
      <c r="K7" s="1462">
        <f t="shared" si="1864"/>
        <v>0</v>
      </c>
      <c r="L7" s="1462">
        <f t="shared" si="1865"/>
        <v>0</v>
      </c>
      <c r="M7" s="1462">
        <f t="shared" si="1866"/>
        <v>0</v>
      </c>
      <c r="N7" s="1463">
        <f t="shared" si="1867"/>
        <v>0</v>
      </c>
      <c r="O7" s="1464">
        <f t="shared" si="1868"/>
        <v>0</v>
      </c>
      <c r="P7" s="1462">
        <f t="shared" si="1869"/>
        <v>0</v>
      </c>
      <c r="Q7" s="1462">
        <f t="shared" si="1870"/>
        <v>0</v>
      </c>
      <c r="R7" s="1462">
        <f t="shared" si="1871"/>
        <v>0</v>
      </c>
      <c r="S7" s="1463">
        <f t="shared" si="1872"/>
        <v>0</v>
      </c>
      <c r="T7" s="1465">
        <f t="shared" si="1873"/>
        <v>0</v>
      </c>
      <c r="V7" s="1482" t="s">
        <v>181</v>
      </c>
      <c r="W7" s="1483">
        <v>0</v>
      </c>
      <c r="X7" s="1484">
        <v>0</v>
      </c>
      <c r="Y7" s="1485">
        <v>0</v>
      </c>
      <c r="Z7" s="1486">
        <v>0</v>
      </c>
      <c r="AA7" s="1485"/>
      <c r="AB7" s="1487"/>
      <c r="AC7" s="1483"/>
      <c r="AD7" s="1486"/>
      <c r="AE7" s="1485"/>
      <c r="AF7" s="1486"/>
      <c r="AG7" s="1485"/>
      <c r="AH7" s="1487"/>
      <c r="AI7" s="1483"/>
      <c r="AJ7" s="1486"/>
      <c r="AK7" s="1472"/>
      <c r="AL7" s="1473"/>
      <c r="AM7" s="1488"/>
      <c r="AN7" s="1489"/>
      <c r="AO7" s="1490"/>
      <c r="AP7" s="1491"/>
      <c r="AQ7" s="1427"/>
      <c r="AR7" s="1491"/>
      <c r="AS7" s="1427"/>
      <c r="AT7" s="1492"/>
      <c r="AU7" s="1493">
        <f t="shared" si="1874"/>
        <v>0</v>
      </c>
      <c r="AV7" s="1494">
        <f t="shared" si="1874"/>
        <v>0</v>
      </c>
      <c r="AW7" s="1413"/>
    </row>
    <row r="8">
      <c r="A8" s="1179" t="s">
        <v>182</v>
      </c>
      <c r="B8" s="1462">
        <f t="shared" si="1855"/>
        <v>0</v>
      </c>
      <c r="C8" s="1462">
        <f t="shared" si="1856"/>
        <v>0</v>
      </c>
      <c r="D8" s="1462">
        <f t="shared" si="1857"/>
        <v>0</v>
      </c>
      <c r="E8" s="1463">
        <f t="shared" si="1858"/>
        <v>0</v>
      </c>
      <c r="F8" s="1462">
        <f t="shared" si="1859"/>
        <v>0</v>
      </c>
      <c r="G8" s="1462">
        <f t="shared" si="1860"/>
        <v>0</v>
      </c>
      <c r="H8" s="1462">
        <f t="shared" si="1861"/>
        <v>0</v>
      </c>
      <c r="I8" s="1463">
        <f t="shared" si="1862"/>
        <v>0</v>
      </c>
      <c r="J8" s="1464">
        <f t="shared" si="1863"/>
        <v>0</v>
      </c>
      <c r="K8" s="1462">
        <f t="shared" si="1864"/>
        <v>0</v>
      </c>
      <c r="L8" s="1462">
        <f t="shared" si="1865"/>
        <v>0</v>
      </c>
      <c r="M8" s="1462">
        <f t="shared" si="1866"/>
        <v>0</v>
      </c>
      <c r="N8" s="1463">
        <f t="shared" si="1867"/>
        <v>0</v>
      </c>
      <c r="O8" s="1464">
        <f t="shared" si="1868"/>
        <v>0</v>
      </c>
      <c r="P8" s="1462">
        <f t="shared" si="1869"/>
        <v>0</v>
      </c>
      <c r="Q8" s="1462">
        <f t="shared" si="1870"/>
        <v>0</v>
      </c>
      <c r="R8" s="1462">
        <f t="shared" si="1871"/>
        <v>0</v>
      </c>
      <c r="S8" s="1463">
        <f t="shared" si="1872"/>
        <v>0</v>
      </c>
      <c r="T8" s="1465">
        <f t="shared" si="1873"/>
        <v>0</v>
      </c>
      <c r="V8" s="1482" t="s">
        <v>182</v>
      </c>
      <c r="W8" s="1483">
        <v>0</v>
      </c>
      <c r="X8" s="1484">
        <v>0</v>
      </c>
      <c r="Y8" s="1485">
        <v>0</v>
      </c>
      <c r="Z8" s="1486">
        <v>0</v>
      </c>
      <c r="AA8" s="1485"/>
      <c r="AB8" s="1487"/>
      <c r="AC8" s="1483"/>
      <c r="AD8" s="1486"/>
      <c r="AE8" s="1485"/>
      <c r="AF8" s="1486"/>
      <c r="AG8" s="1485"/>
      <c r="AH8" s="1487"/>
      <c r="AI8" s="1483"/>
      <c r="AJ8" s="1486"/>
      <c r="AK8" s="1472"/>
      <c r="AL8" s="1473"/>
      <c r="AM8" s="1488"/>
      <c r="AN8" s="1489"/>
      <c r="AO8" s="1490"/>
      <c r="AP8" s="1491"/>
      <c r="AQ8" s="1427"/>
      <c r="AR8" s="1491"/>
      <c r="AS8" s="1427"/>
      <c r="AT8" s="1492"/>
      <c r="AU8" s="1493">
        <f t="shared" si="1874"/>
        <v>0</v>
      </c>
      <c r="AV8" s="1494">
        <f t="shared" si="1874"/>
        <v>0</v>
      </c>
      <c r="AW8" s="1413"/>
    </row>
    <row r="9">
      <c r="A9" s="1179" t="s">
        <v>183</v>
      </c>
      <c r="B9" s="1462">
        <f t="shared" si="1855"/>
        <v>3452.3297000000002</v>
      </c>
      <c r="C9" s="1462">
        <f t="shared" si="1856"/>
        <v>14099.2875</v>
      </c>
      <c r="D9" s="1462">
        <f t="shared" si="1857"/>
        <v>0</v>
      </c>
      <c r="E9" s="1463">
        <f t="shared" si="1858"/>
        <v>17551.617200000001</v>
      </c>
      <c r="F9" s="1462">
        <f t="shared" si="1859"/>
        <v>0</v>
      </c>
      <c r="G9" s="1462">
        <f t="shared" si="1860"/>
        <v>0</v>
      </c>
      <c r="H9" s="1462">
        <f t="shared" si="1861"/>
        <v>0</v>
      </c>
      <c r="I9" s="1463">
        <f t="shared" si="1862"/>
        <v>0</v>
      </c>
      <c r="J9" s="1464">
        <f t="shared" si="1863"/>
        <v>17551.617200000001</v>
      </c>
      <c r="K9" s="1462">
        <f t="shared" si="1864"/>
        <v>0</v>
      </c>
      <c r="L9" s="1462">
        <f t="shared" si="1865"/>
        <v>0</v>
      </c>
      <c r="M9" s="1462">
        <f t="shared" si="1866"/>
        <v>0</v>
      </c>
      <c r="N9" s="1463">
        <f t="shared" si="1867"/>
        <v>0</v>
      </c>
      <c r="O9" s="1464">
        <f t="shared" si="1868"/>
        <v>17551.617200000001</v>
      </c>
      <c r="P9" s="1462">
        <f t="shared" si="1869"/>
        <v>0</v>
      </c>
      <c r="Q9" s="1462">
        <f t="shared" si="1870"/>
        <v>0</v>
      </c>
      <c r="R9" s="1462">
        <f t="shared" si="1871"/>
        <v>0</v>
      </c>
      <c r="S9" s="1463">
        <f t="shared" si="1872"/>
        <v>0</v>
      </c>
      <c r="T9" s="1465">
        <f t="shared" si="1873"/>
        <v>17551.617200000001</v>
      </c>
      <c r="V9" s="1482" t="s">
        <v>183</v>
      </c>
      <c r="W9" s="1483">
        <v>1</v>
      </c>
      <c r="X9" s="1484">
        <v>3452.3297000000002</v>
      </c>
      <c r="Y9" s="1485">
        <v>5</v>
      </c>
      <c r="Z9" s="1486">
        <v>14099.2875</v>
      </c>
      <c r="AA9" s="1485"/>
      <c r="AB9" s="1487"/>
      <c r="AC9" s="1483"/>
      <c r="AD9" s="1486"/>
      <c r="AE9" s="1485"/>
      <c r="AF9" s="1486"/>
      <c r="AG9" s="1485"/>
      <c r="AH9" s="1487"/>
      <c r="AI9" s="1483"/>
      <c r="AJ9" s="1486"/>
      <c r="AK9" s="1472"/>
      <c r="AL9" s="1473"/>
      <c r="AM9" s="1488"/>
      <c r="AN9" s="1489"/>
      <c r="AO9" s="1490"/>
      <c r="AP9" s="1491"/>
      <c r="AQ9" s="1427"/>
      <c r="AR9" s="1491"/>
      <c r="AS9" s="1427"/>
      <c r="AT9" s="1492"/>
      <c r="AU9" s="1493">
        <f t="shared" si="1874"/>
        <v>6</v>
      </c>
      <c r="AV9" s="1494">
        <f t="shared" si="1874"/>
        <v>17551.617200000001</v>
      </c>
      <c r="AW9" s="1413"/>
    </row>
    <row r="10">
      <c r="A10" s="1179" t="s">
        <v>184</v>
      </c>
      <c r="B10" s="1462">
        <f t="shared" si="1855"/>
        <v>0</v>
      </c>
      <c r="C10" s="1462">
        <f t="shared" si="1856"/>
        <v>0</v>
      </c>
      <c r="D10" s="1462">
        <f t="shared" si="1857"/>
        <v>0</v>
      </c>
      <c r="E10" s="1463">
        <f t="shared" si="1858"/>
        <v>0</v>
      </c>
      <c r="F10" s="1462">
        <f t="shared" si="1859"/>
        <v>0</v>
      </c>
      <c r="G10" s="1462">
        <f t="shared" si="1860"/>
        <v>0</v>
      </c>
      <c r="H10" s="1462">
        <f t="shared" si="1861"/>
        <v>0</v>
      </c>
      <c r="I10" s="1463">
        <f t="shared" si="1862"/>
        <v>0</v>
      </c>
      <c r="J10" s="1464">
        <f t="shared" si="1863"/>
        <v>0</v>
      </c>
      <c r="K10" s="1462">
        <f t="shared" si="1864"/>
        <v>0</v>
      </c>
      <c r="L10" s="1462">
        <f t="shared" si="1865"/>
        <v>0</v>
      </c>
      <c r="M10" s="1462">
        <f t="shared" si="1866"/>
        <v>0</v>
      </c>
      <c r="N10" s="1463">
        <f t="shared" si="1867"/>
        <v>0</v>
      </c>
      <c r="O10" s="1464">
        <f t="shared" si="1868"/>
        <v>0</v>
      </c>
      <c r="P10" s="1462">
        <f t="shared" si="1869"/>
        <v>0</v>
      </c>
      <c r="Q10" s="1462">
        <f t="shared" si="1870"/>
        <v>0</v>
      </c>
      <c r="R10" s="1462">
        <f t="shared" si="1871"/>
        <v>0</v>
      </c>
      <c r="S10" s="1463">
        <f t="shared" si="1872"/>
        <v>0</v>
      </c>
      <c r="T10" s="1465">
        <f t="shared" si="1873"/>
        <v>0</v>
      </c>
      <c r="V10" s="1482" t="s">
        <v>184</v>
      </c>
      <c r="W10" s="1483">
        <v>0</v>
      </c>
      <c r="X10" s="1484">
        <v>0</v>
      </c>
      <c r="Y10" s="1485">
        <v>0</v>
      </c>
      <c r="Z10" s="1486">
        <v>0</v>
      </c>
      <c r="AA10" s="1485"/>
      <c r="AB10" s="1487"/>
      <c r="AC10" s="1483"/>
      <c r="AD10" s="1486"/>
      <c r="AE10" s="1485"/>
      <c r="AF10" s="1486"/>
      <c r="AG10" s="1485"/>
      <c r="AH10" s="1487"/>
      <c r="AI10" s="1483"/>
      <c r="AJ10" s="1486"/>
      <c r="AK10" s="1472"/>
      <c r="AL10" s="1473"/>
      <c r="AM10" s="1488"/>
      <c r="AN10" s="1489"/>
      <c r="AO10" s="1490"/>
      <c r="AP10" s="1491"/>
      <c r="AQ10" s="1427"/>
      <c r="AR10" s="1491"/>
      <c r="AS10" s="1427"/>
      <c r="AT10" s="1492"/>
      <c r="AU10" s="1493">
        <f t="shared" si="1874"/>
        <v>0</v>
      </c>
      <c r="AV10" s="1494">
        <f t="shared" si="1874"/>
        <v>0</v>
      </c>
      <c r="AW10" s="1413"/>
    </row>
    <row r="11" s="1495" customFormat="1">
      <c r="A11" s="1179" t="s">
        <v>541</v>
      </c>
      <c r="B11" s="1462">
        <f t="shared" si="1855"/>
        <v>0</v>
      </c>
      <c r="C11" s="1462">
        <f t="shared" si="1856"/>
        <v>0</v>
      </c>
      <c r="D11" s="1462">
        <f t="shared" si="1857"/>
        <v>0</v>
      </c>
      <c r="E11" s="1463">
        <f t="shared" si="1858"/>
        <v>0</v>
      </c>
      <c r="F11" s="1462">
        <f>AD11</f>
        <v>0</v>
      </c>
      <c r="G11" s="1462">
        <f>AF11</f>
        <v>0</v>
      </c>
      <c r="H11" s="1462">
        <f>AH11</f>
        <v>0</v>
      </c>
      <c r="I11" s="1463">
        <f>F11+G11+H11</f>
        <v>0</v>
      </c>
      <c r="J11" s="1464">
        <f>E11+I11</f>
        <v>0</v>
      </c>
      <c r="K11" s="1462">
        <f>AJ11</f>
        <v>0</v>
      </c>
      <c r="L11" s="1462">
        <f>AL11</f>
        <v>0</v>
      </c>
      <c r="M11" s="1462">
        <f>AN11</f>
        <v>0</v>
      </c>
      <c r="N11" s="1463">
        <f>K11+L11+M11</f>
        <v>0</v>
      </c>
      <c r="O11" s="1464">
        <f>J11+N11</f>
        <v>0</v>
      </c>
      <c r="P11" s="1462">
        <f>AP11</f>
        <v>0</v>
      </c>
      <c r="Q11" s="1462">
        <f>AR11</f>
        <v>0</v>
      </c>
      <c r="R11" s="1462">
        <f>AT11</f>
        <v>0</v>
      </c>
      <c r="S11" s="1463">
        <f>P11+Q11+R11</f>
        <v>0</v>
      </c>
      <c r="T11" s="1465">
        <f>O11+S11</f>
        <v>0</v>
      </c>
      <c r="U11" s="1409"/>
      <c r="V11" s="1179" t="s">
        <v>541</v>
      </c>
      <c r="W11" s="1496">
        <v>0</v>
      </c>
      <c r="X11" s="1497">
        <v>0</v>
      </c>
      <c r="Y11" s="1498">
        <v>0</v>
      </c>
      <c r="Z11" s="1499">
        <v>0</v>
      </c>
      <c r="AA11" s="1498"/>
      <c r="AB11" s="1500"/>
      <c r="AC11" s="1496"/>
      <c r="AD11" s="1499"/>
      <c r="AE11" s="1498"/>
      <c r="AF11" s="1499"/>
      <c r="AG11" s="1498"/>
      <c r="AH11" s="1500"/>
      <c r="AI11" s="1496"/>
      <c r="AJ11" s="1499"/>
      <c r="AK11" s="1472"/>
      <c r="AL11" s="1473"/>
      <c r="AM11" s="1501"/>
      <c r="AN11" s="1502"/>
      <c r="AO11" s="1503"/>
      <c r="AP11" s="1504"/>
      <c r="AQ11" s="1505"/>
      <c r="AR11" s="1504"/>
      <c r="AS11" s="1505"/>
      <c r="AT11" s="1506"/>
      <c r="AU11" s="1493">
        <f>W11+Y11+AA11+AC11+AE11+AG11+AI11+AK11+AM11+AO11+AQ11+AS11</f>
        <v>0</v>
      </c>
      <c r="AV11" s="1494">
        <f>X11+Z11+AB11+AD11+AF11+AH11+AJ11+AL11+AN11+AP11+AR11+AT11</f>
        <v>0</v>
      </c>
      <c r="AW11" s="1413"/>
      <c r="AX11" s="1409"/>
      <c r="AY11" s="1409"/>
      <c r="AZ11" s="1409"/>
      <c r="BA11" s="1408"/>
      <c r="BB11" s="1408"/>
      <c r="BC11" s="1408"/>
      <c r="BD11" s="1408"/>
      <c r="BE11" s="1408"/>
      <c r="BF11" s="1408"/>
      <c r="BG11" s="1408"/>
      <c r="BH11" s="1408"/>
      <c r="BI11" s="1408"/>
      <c r="BJ11" s="1408"/>
      <c r="BK11" s="1408"/>
      <c r="BL11" s="1408"/>
      <c r="BM11" s="1408"/>
      <c r="BN11" s="1408"/>
      <c r="BO11" s="1408"/>
      <c r="BP11" s="1408"/>
      <c r="BQ11" s="1408"/>
      <c r="BR11" s="1408"/>
      <c r="BS11" s="1408"/>
      <c r="BT11" s="1408"/>
      <c r="BU11" s="1408"/>
      <c r="BV11" s="1408"/>
      <c r="BW11" s="1408"/>
      <c r="BX11" s="1408"/>
      <c r="BY11" s="1408"/>
      <c r="BZ11" s="1408"/>
      <c r="CA11" s="1408"/>
      <c r="CB11" s="1408"/>
      <c r="CC11" s="1408"/>
      <c r="CD11" s="1408"/>
      <c r="CE11" s="1408"/>
      <c r="CF11" s="1408"/>
      <c r="CG11" s="1408"/>
      <c r="CH11" s="1408"/>
      <c r="CI11" s="1408"/>
      <c r="CJ11" s="1408"/>
      <c r="CK11" s="1408"/>
      <c r="CL11" s="1408"/>
      <c r="CM11" s="1408"/>
      <c r="CN11" s="1408"/>
      <c r="CO11" s="1408"/>
    </row>
    <row r="12">
      <c r="A12" s="1179" t="s">
        <v>185</v>
      </c>
      <c r="B12" s="1462">
        <f t="shared" si="1855"/>
        <v>0</v>
      </c>
      <c r="C12" s="1462">
        <f t="shared" si="1856"/>
        <v>0</v>
      </c>
      <c r="D12" s="1462">
        <f t="shared" si="1857"/>
        <v>0</v>
      </c>
      <c r="E12" s="1463">
        <f t="shared" si="1858"/>
        <v>0</v>
      </c>
      <c r="F12" s="1462">
        <f t="shared" si="1859"/>
        <v>0</v>
      </c>
      <c r="G12" s="1462">
        <f t="shared" si="1860"/>
        <v>0</v>
      </c>
      <c r="H12" s="1462">
        <f t="shared" si="1861"/>
        <v>0</v>
      </c>
      <c r="I12" s="1463">
        <f t="shared" si="1862"/>
        <v>0</v>
      </c>
      <c r="J12" s="1464">
        <f t="shared" si="1863"/>
        <v>0</v>
      </c>
      <c r="K12" s="1462">
        <f t="shared" si="1864"/>
        <v>0</v>
      </c>
      <c r="L12" s="1462">
        <f t="shared" si="1865"/>
        <v>0</v>
      </c>
      <c r="M12" s="1462">
        <f t="shared" si="1866"/>
        <v>0</v>
      </c>
      <c r="N12" s="1463">
        <f t="shared" si="1867"/>
        <v>0</v>
      </c>
      <c r="O12" s="1464">
        <f t="shared" si="1868"/>
        <v>0</v>
      </c>
      <c r="P12" s="1462">
        <f t="shared" si="1869"/>
        <v>0</v>
      </c>
      <c r="Q12" s="1462">
        <f t="shared" si="1870"/>
        <v>0</v>
      </c>
      <c r="R12" s="1462">
        <f t="shared" si="1871"/>
        <v>0</v>
      </c>
      <c r="S12" s="1463">
        <f t="shared" si="1872"/>
        <v>0</v>
      </c>
      <c r="T12" s="1465">
        <f t="shared" si="1873"/>
        <v>0</v>
      </c>
      <c r="V12" s="1507" t="s">
        <v>185</v>
      </c>
      <c r="W12" s="1496">
        <v>0</v>
      </c>
      <c r="X12" s="1497">
        <v>0</v>
      </c>
      <c r="Y12" s="1498">
        <v>0</v>
      </c>
      <c r="Z12" s="1499">
        <v>0</v>
      </c>
      <c r="AA12" s="1498"/>
      <c r="AB12" s="1500"/>
      <c r="AC12" s="1496"/>
      <c r="AD12" s="1499"/>
      <c r="AE12" s="1498"/>
      <c r="AF12" s="1499"/>
      <c r="AG12" s="1498"/>
      <c r="AH12" s="1500"/>
      <c r="AI12" s="1496"/>
      <c r="AJ12" s="1499"/>
      <c r="AK12" s="1472"/>
      <c r="AL12" s="1473"/>
      <c r="AM12" s="1501"/>
      <c r="AN12" s="1502"/>
      <c r="AO12" s="1503"/>
      <c r="AP12" s="1504"/>
      <c r="AQ12" s="1505"/>
      <c r="AR12" s="1504"/>
      <c r="AS12" s="1505"/>
      <c r="AT12" s="1506"/>
      <c r="AU12" s="1508">
        <f t="shared" si="1874"/>
        <v>0</v>
      </c>
      <c r="AV12" s="1509">
        <f t="shared" si="1874"/>
        <v>0</v>
      </c>
      <c r="AW12" s="1413"/>
    </row>
    <row r="13" s="1510" customFormat="1" ht="24" customHeight="1">
      <c r="A13" s="1511" t="s">
        <v>363</v>
      </c>
      <c r="B13" s="1302">
        <f t="shared" ref="B13:G13" si="1875">SUM(B5:B12)</f>
        <v>3452.3297000000002</v>
      </c>
      <c r="C13" s="1302">
        <f t="shared" si="1875"/>
        <v>14996.8084</v>
      </c>
      <c r="D13" s="1302">
        <f t="shared" si="1875"/>
        <v>0</v>
      </c>
      <c r="E13" s="1302">
        <f t="shared" si="1875"/>
        <v>18449.1381</v>
      </c>
      <c r="F13" s="1302">
        <f t="shared" si="1875"/>
        <v>0</v>
      </c>
      <c r="G13" s="1302">
        <f t="shared" si="1875"/>
        <v>0</v>
      </c>
      <c r="H13" s="1302">
        <f t="shared" ref="H13:M13" si="1876">SUM(H5:H12)</f>
        <v>0</v>
      </c>
      <c r="I13" s="1302">
        <f t="shared" si="1876"/>
        <v>0</v>
      </c>
      <c r="J13" s="1302">
        <f t="shared" si="1876"/>
        <v>18449.1381</v>
      </c>
      <c r="K13" s="1302">
        <f t="shared" si="1876"/>
        <v>0</v>
      </c>
      <c r="L13" s="1302">
        <f t="shared" si="1876"/>
        <v>0</v>
      </c>
      <c r="M13" s="1302">
        <f t="shared" si="1876"/>
        <v>0</v>
      </c>
      <c r="N13" s="1512">
        <f t="shared" si="1867"/>
        <v>0</v>
      </c>
      <c r="O13" s="1513">
        <f t="shared" si="1868"/>
        <v>18449.1381</v>
      </c>
      <c r="P13" s="1302">
        <f>SUM(P5:P12)</f>
        <v>0</v>
      </c>
      <c r="Q13" s="1302">
        <f>SUM(Q5:Q12)</f>
        <v>0</v>
      </c>
      <c r="R13" s="1302">
        <f>SUM(R5:R12)</f>
        <v>0</v>
      </c>
      <c r="S13" s="1512">
        <f t="shared" si="1872"/>
        <v>0</v>
      </c>
      <c r="T13" s="1514">
        <f t="shared" si="1873"/>
        <v>18449.1381</v>
      </c>
      <c r="U13" s="1515"/>
      <c r="V13" s="1516" t="s">
        <v>363</v>
      </c>
      <c r="W13" s="1517">
        <f t="shared" ref="W13:AQ13" si="1877">SUM(W5:W12)</f>
        <v>1</v>
      </c>
      <c r="X13" s="1518">
        <f t="shared" si="1877"/>
        <v>3452.3297000000002</v>
      </c>
      <c r="Y13" s="1519">
        <f t="shared" si="1877"/>
        <v>6</v>
      </c>
      <c r="Z13" s="1520">
        <f t="shared" si="1877"/>
        <v>14996.8084</v>
      </c>
      <c r="AA13" s="1519">
        <f t="shared" si="1877"/>
        <v>0</v>
      </c>
      <c r="AB13" s="1520">
        <f t="shared" si="1877"/>
        <v>0</v>
      </c>
      <c r="AC13" s="1517">
        <f t="shared" si="1877"/>
        <v>0</v>
      </c>
      <c r="AD13" s="1520">
        <f t="shared" si="1877"/>
        <v>0</v>
      </c>
      <c r="AE13" s="1519">
        <f t="shared" si="1877"/>
        <v>0</v>
      </c>
      <c r="AF13" s="1520">
        <f t="shared" si="1877"/>
        <v>0</v>
      </c>
      <c r="AG13" s="1519">
        <f t="shared" si="1877"/>
        <v>0</v>
      </c>
      <c r="AH13" s="1520">
        <f t="shared" si="1877"/>
        <v>0</v>
      </c>
      <c r="AI13" s="1517">
        <f t="shared" si="1877"/>
        <v>0</v>
      </c>
      <c r="AJ13" s="1520">
        <f t="shared" si="1877"/>
        <v>0</v>
      </c>
      <c r="AK13" s="1519">
        <f t="shared" si="1877"/>
        <v>0</v>
      </c>
      <c r="AL13" s="1518">
        <f t="shared" si="1877"/>
        <v>0</v>
      </c>
      <c r="AM13" s="1519">
        <f t="shared" si="1877"/>
        <v>0</v>
      </c>
      <c r="AN13" s="1520">
        <f t="shared" si="1877"/>
        <v>0</v>
      </c>
      <c r="AO13" s="1521">
        <f t="shared" si="1877"/>
        <v>0</v>
      </c>
      <c r="AP13" s="1520">
        <f t="shared" si="1877"/>
        <v>0</v>
      </c>
      <c r="AQ13" s="1522">
        <f t="shared" si="1877"/>
        <v>0</v>
      </c>
      <c r="AR13" s="1520">
        <f>SUM(AR5:AR12)</f>
        <v>0</v>
      </c>
      <c r="AS13" s="1523">
        <f>SUM(AS5:AS12)</f>
        <v>0</v>
      </c>
      <c r="AT13" s="1523">
        <f>SUM(AT5:AT12)</f>
        <v>0</v>
      </c>
      <c r="AU13" s="1524">
        <f>W13+Y13+AA13+AC13+AE13+AG13+AI13+AK13+AM13+AO13+AQ13+AS13</f>
        <v>7</v>
      </c>
      <c r="AV13" s="1525">
        <f t="shared" si="1874"/>
        <v>18449.1381</v>
      </c>
      <c r="AW13" s="1526"/>
      <c r="AX13" s="1515"/>
      <c r="AY13" s="1515"/>
      <c r="AZ13" s="1515"/>
    </row>
    <row r="14">
      <c r="A14" s="1179" t="s">
        <v>542</v>
      </c>
      <c r="B14" s="1462">
        <f t="shared" ref="B14:B26" si="1878">X14</f>
        <v>0</v>
      </c>
      <c r="C14" s="1462">
        <f t="shared" ref="C14:C26" si="1879">Z14</f>
        <v>0</v>
      </c>
      <c r="D14" s="1462">
        <f t="shared" si="1857"/>
        <v>0</v>
      </c>
      <c r="E14" s="1463">
        <f t="shared" si="1858"/>
        <v>0</v>
      </c>
      <c r="F14" s="1462">
        <f t="shared" si="1859"/>
        <v>0</v>
      </c>
      <c r="G14" s="1462">
        <f t="shared" si="1860"/>
        <v>0</v>
      </c>
      <c r="H14" s="1462">
        <f t="shared" si="1861"/>
        <v>0</v>
      </c>
      <c r="I14" s="1463">
        <f t="shared" si="1862"/>
        <v>0</v>
      </c>
      <c r="J14" s="1464">
        <f t="shared" si="1863"/>
        <v>0</v>
      </c>
      <c r="K14" s="1462">
        <f t="shared" ref="K14:K26" si="1880">AJ14</f>
        <v>0</v>
      </c>
      <c r="L14" s="1462">
        <f t="shared" ref="L14:L26" si="1881">AL14</f>
        <v>0</v>
      </c>
      <c r="M14" s="1462">
        <f t="shared" ref="M14:M26" si="1882">AN14</f>
        <v>0</v>
      </c>
      <c r="N14" s="1463">
        <f t="shared" si="1867"/>
        <v>0</v>
      </c>
      <c r="O14" s="1464">
        <f t="shared" si="1868"/>
        <v>0</v>
      </c>
      <c r="P14" s="1462">
        <f t="shared" ref="P14:P26" si="1883">AP14</f>
        <v>0</v>
      </c>
      <c r="Q14" s="1462">
        <f t="shared" ref="Q14:Q26" si="1884">AR14</f>
        <v>0</v>
      </c>
      <c r="R14" s="1462">
        <f t="shared" ref="R14:R26" si="1885">AT14</f>
        <v>0</v>
      </c>
      <c r="S14" s="1463">
        <f t="shared" si="1872"/>
        <v>0</v>
      </c>
      <c r="T14" s="1465">
        <f t="shared" si="1873"/>
        <v>0</v>
      </c>
      <c r="V14" s="1466" t="s">
        <v>542</v>
      </c>
      <c r="W14" s="1467">
        <v>0</v>
      </c>
      <c r="X14" s="1468">
        <v>0</v>
      </c>
      <c r="Y14" s="1469">
        <v>0</v>
      </c>
      <c r="Z14" s="1470">
        <v>0</v>
      </c>
      <c r="AA14" s="1469"/>
      <c r="AB14" s="1471"/>
      <c r="AC14" s="1527"/>
      <c r="AD14" s="1528"/>
      <c r="AE14" s="1469"/>
      <c r="AF14" s="1470"/>
      <c r="AG14" s="1469"/>
      <c r="AH14" s="1471"/>
      <c r="AI14" s="1467"/>
      <c r="AJ14" s="1470"/>
      <c r="AK14" s="1478"/>
      <c r="AL14" s="1468"/>
      <c r="AM14" s="1474"/>
      <c r="AN14" s="1475"/>
      <c r="AO14" s="1476"/>
      <c r="AP14" s="1477"/>
      <c r="AQ14" s="1529"/>
      <c r="AR14" s="1530"/>
      <c r="AS14" s="1531"/>
      <c r="AT14" s="1532"/>
      <c r="AU14" s="1480">
        <f t="shared" si="1874"/>
        <v>0</v>
      </c>
      <c r="AV14" s="1481">
        <f t="shared" si="1874"/>
        <v>0</v>
      </c>
      <c r="AW14" s="1413"/>
    </row>
    <row r="15">
      <c r="A15" s="1179" t="s">
        <v>195</v>
      </c>
      <c r="B15" s="1462">
        <f t="shared" si="1878"/>
        <v>668057.2433999998</v>
      </c>
      <c r="C15" s="1462">
        <f t="shared" si="1879"/>
        <v>861602.38989999995</v>
      </c>
      <c r="D15" s="1462">
        <f t="shared" si="1857"/>
        <v>0</v>
      </c>
      <c r="E15" s="1463">
        <f t="shared" si="1858"/>
        <v>1529659.6332999999</v>
      </c>
      <c r="F15" s="1462">
        <f t="shared" si="1859"/>
        <v>0</v>
      </c>
      <c r="G15" s="1462">
        <f t="shared" si="1860"/>
        <v>0</v>
      </c>
      <c r="H15" s="1462">
        <f t="shared" si="1861"/>
        <v>0</v>
      </c>
      <c r="I15" s="1463">
        <f t="shared" si="1862"/>
        <v>0</v>
      </c>
      <c r="J15" s="1464">
        <f t="shared" si="1863"/>
        <v>1529659.6332999999</v>
      </c>
      <c r="K15" s="1462">
        <f t="shared" si="1880"/>
        <v>0</v>
      </c>
      <c r="L15" s="1462">
        <f t="shared" si="1881"/>
        <v>0</v>
      </c>
      <c r="M15" s="1462">
        <f t="shared" si="1882"/>
        <v>0</v>
      </c>
      <c r="N15" s="1463">
        <f t="shared" si="1867"/>
        <v>0</v>
      </c>
      <c r="O15" s="1464">
        <f t="shared" si="1868"/>
        <v>1529659.6332999999</v>
      </c>
      <c r="P15" s="1462">
        <f t="shared" si="1883"/>
        <v>0</v>
      </c>
      <c r="Q15" s="1462">
        <f t="shared" si="1884"/>
        <v>0</v>
      </c>
      <c r="R15" s="1462">
        <f t="shared" si="1885"/>
        <v>0</v>
      </c>
      <c r="S15" s="1463">
        <f t="shared" si="1872"/>
        <v>0</v>
      </c>
      <c r="T15" s="1465">
        <f t="shared" si="1873"/>
        <v>1529659.6332999999</v>
      </c>
      <c r="V15" s="1482" t="s">
        <v>195</v>
      </c>
      <c r="W15" s="1483">
        <v>95</v>
      </c>
      <c r="X15" s="1484">
        <v>668057.2433999998</v>
      </c>
      <c r="Y15" s="1485">
        <v>121</v>
      </c>
      <c r="Z15" s="1486">
        <v>861602.38989999995</v>
      </c>
      <c r="AA15" s="1485"/>
      <c r="AB15" s="1487"/>
      <c r="AC15" s="1527"/>
      <c r="AD15" s="1528"/>
      <c r="AE15" s="1485"/>
      <c r="AF15" s="1486"/>
      <c r="AG15" s="1485"/>
      <c r="AH15" s="1487"/>
      <c r="AI15" s="1483"/>
      <c r="AJ15" s="1486"/>
      <c r="AK15" s="1427"/>
      <c r="AL15" s="1484"/>
      <c r="AM15" s="1488"/>
      <c r="AN15" s="1489"/>
      <c r="AO15" s="1490"/>
      <c r="AP15" s="1491"/>
      <c r="AQ15" s="1529"/>
      <c r="AR15" s="1530"/>
      <c r="AS15" s="1531"/>
      <c r="AT15" s="1533"/>
      <c r="AU15" s="1493">
        <f t="shared" si="1874"/>
        <v>216</v>
      </c>
      <c r="AV15" s="1494">
        <f t="shared" si="1874"/>
        <v>1529659.6332999999</v>
      </c>
      <c r="AW15" s="1413"/>
    </row>
    <row r="16">
      <c r="A16" s="1179" t="s">
        <v>196</v>
      </c>
      <c r="B16" s="1462">
        <f t="shared" si="1878"/>
        <v>70332.861099999995</v>
      </c>
      <c r="C16" s="1462">
        <f t="shared" si="1879"/>
        <v>141365.62679999997</v>
      </c>
      <c r="D16" s="1462">
        <f t="shared" si="1857"/>
        <v>0</v>
      </c>
      <c r="E16" s="1463">
        <f t="shared" si="1858"/>
        <v>211698.48789999995</v>
      </c>
      <c r="F16" s="1462">
        <f t="shared" si="1859"/>
        <v>0</v>
      </c>
      <c r="G16" s="1462">
        <f t="shared" si="1860"/>
        <v>0</v>
      </c>
      <c r="H16" s="1462">
        <f t="shared" si="1861"/>
        <v>0</v>
      </c>
      <c r="I16" s="1463">
        <f t="shared" si="1862"/>
        <v>0</v>
      </c>
      <c r="J16" s="1464">
        <f t="shared" si="1863"/>
        <v>211698.48789999995</v>
      </c>
      <c r="K16" s="1462">
        <f t="shared" si="1880"/>
        <v>0</v>
      </c>
      <c r="L16" s="1462">
        <f t="shared" si="1881"/>
        <v>0</v>
      </c>
      <c r="M16" s="1462">
        <f t="shared" si="1882"/>
        <v>0</v>
      </c>
      <c r="N16" s="1463">
        <f t="shared" si="1867"/>
        <v>0</v>
      </c>
      <c r="O16" s="1464">
        <f t="shared" si="1868"/>
        <v>211698.48789999995</v>
      </c>
      <c r="P16" s="1462">
        <f t="shared" si="1883"/>
        <v>0</v>
      </c>
      <c r="Q16" s="1462">
        <f t="shared" si="1884"/>
        <v>0</v>
      </c>
      <c r="R16" s="1462">
        <f t="shared" si="1885"/>
        <v>0</v>
      </c>
      <c r="S16" s="1463">
        <f t="shared" si="1872"/>
        <v>0</v>
      </c>
      <c r="T16" s="1465">
        <f t="shared" si="1873"/>
        <v>211698.48789999995</v>
      </c>
      <c r="V16" s="1482" t="s">
        <v>196</v>
      </c>
      <c r="W16" s="1483">
        <v>81</v>
      </c>
      <c r="X16" s="1484">
        <v>70332.861099999995</v>
      </c>
      <c r="Y16" s="1485">
        <v>153</v>
      </c>
      <c r="Z16" s="1486">
        <v>141365.62679999997</v>
      </c>
      <c r="AA16" s="1485"/>
      <c r="AB16" s="1487"/>
      <c r="AC16" s="1527"/>
      <c r="AD16" s="1528"/>
      <c r="AE16" s="1485"/>
      <c r="AF16" s="1486"/>
      <c r="AG16" s="1485"/>
      <c r="AH16" s="1487"/>
      <c r="AI16" s="1483"/>
      <c r="AJ16" s="1486"/>
      <c r="AK16" s="1427"/>
      <c r="AL16" s="1484"/>
      <c r="AM16" s="1488"/>
      <c r="AN16" s="1489"/>
      <c r="AO16" s="1490"/>
      <c r="AP16" s="1491"/>
      <c r="AQ16" s="1529"/>
      <c r="AR16" s="1530"/>
      <c r="AS16" s="1531"/>
      <c r="AT16" s="1532"/>
      <c r="AU16" s="1493">
        <f t="shared" si="1874"/>
        <v>234</v>
      </c>
      <c r="AV16" s="1494">
        <f t="shared" si="1874"/>
        <v>211698.48789999995</v>
      </c>
      <c r="AW16" s="1413"/>
    </row>
    <row r="17">
      <c r="A17" s="1179" t="s">
        <v>367</v>
      </c>
      <c r="B17" s="1462">
        <f t="shared" si="1878"/>
        <v>0</v>
      </c>
      <c r="C17" s="1462">
        <f t="shared" si="1879"/>
        <v>0</v>
      </c>
      <c r="D17" s="1462">
        <f t="shared" si="1857"/>
        <v>0</v>
      </c>
      <c r="E17" s="1463">
        <f t="shared" si="1858"/>
        <v>0</v>
      </c>
      <c r="F17" s="1462">
        <f t="shared" si="1859"/>
        <v>0</v>
      </c>
      <c r="G17" s="1462">
        <f t="shared" si="1860"/>
        <v>0</v>
      </c>
      <c r="H17" s="1462">
        <f t="shared" si="1861"/>
        <v>0</v>
      </c>
      <c r="I17" s="1463">
        <f t="shared" si="1862"/>
        <v>0</v>
      </c>
      <c r="J17" s="1464">
        <f t="shared" si="1863"/>
        <v>0</v>
      </c>
      <c r="K17" s="1462">
        <f t="shared" si="1880"/>
        <v>0</v>
      </c>
      <c r="L17" s="1462">
        <f t="shared" si="1881"/>
        <v>0</v>
      </c>
      <c r="M17" s="1462">
        <f t="shared" si="1882"/>
        <v>0</v>
      </c>
      <c r="N17" s="1463">
        <f t="shared" si="1867"/>
        <v>0</v>
      </c>
      <c r="O17" s="1464">
        <f t="shared" si="1868"/>
        <v>0</v>
      </c>
      <c r="P17" s="1462">
        <f t="shared" si="1883"/>
        <v>0</v>
      </c>
      <c r="Q17" s="1462">
        <f t="shared" si="1884"/>
        <v>0</v>
      </c>
      <c r="R17" s="1462">
        <f t="shared" si="1885"/>
        <v>0</v>
      </c>
      <c r="S17" s="1463">
        <f t="shared" si="1872"/>
        <v>0</v>
      </c>
      <c r="T17" s="1465">
        <f t="shared" si="1873"/>
        <v>0</v>
      </c>
      <c r="V17" s="1482" t="s">
        <v>367</v>
      </c>
      <c r="W17" s="1483"/>
      <c r="X17" s="1484"/>
      <c r="Y17" s="1485"/>
      <c r="Z17" s="1486"/>
      <c r="AA17" s="1485"/>
      <c r="AB17" s="1487"/>
      <c r="AC17" s="1534"/>
      <c r="AD17" s="1535"/>
      <c r="AE17" s="1485"/>
      <c r="AF17" s="1486"/>
      <c r="AG17" s="1485"/>
      <c r="AH17" s="1487"/>
      <c r="AI17" s="1483"/>
      <c r="AJ17" s="1486"/>
      <c r="AK17" s="1427"/>
      <c r="AL17" s="1484"/>
      <c r="AM17" s="1488"/>
      <c r="AN17" s="1489"/>
      <c r="AO17" s="1490"/>
      <c r="AP17" s="1491"/>
      <c r="AQ17" s="1536"/>
      <c r="AR17" s="1482"/>
      <c r="AS17" s="1537"/>
      <c r="AT17" s="1538"/>
      <c r="AU17" s="1493">
        <f t="shared" si="1874"/>
        <v>0</v>
      </c>
      <c r="AV17" s="1494">
        <f t="shared" si="1874"/>
        <v>0</v>
      </c>
      <c r="AW17" s="1413"/>
    </row>
    <row r="18">
      <c r="A18" s="1179" t="s">
        <v>201</v>
      </c>
      <c r="B18" s="1462">
        <f t="shared" si="1878"/>
        <v>230172.79580000002</v>
      </c>
      <c r="C18" s="1462">
        <f t="shared" si="1879"/>
        <v>330226.98300000007</v>
      </c>
      <c r="D18" s="1462">
        <f t="shared" si="1857"/>
        <v>0</v>
      </c>
      <c r="E18" s="1463">
        <f t="shared" si="1858"/>
        <v>560399.77880000009</v>
      </c>
      <c r="F18" s="1462">
        <f t="shared" si="1859"/>
        <v>0</v>
      </c>
      <c r="G18" s="1462">
        <f t="shared" si="1860"/>
        <v>0</v>
      </c>
      <c r="H18" s="1462">
        <f t="shared" si="1861"/>
        <v>0</v>
      </c>
      <c r="I18" s="1463">
        <f t="shared" si="1862"/>
        <v>0</v>
      </c>
      <c r="J18" s="1464">
        <f t="shared" si="1863"/>
        <v>560399.77880000009</v>
      </c>
      <c r="K18" s="1462">
        <f t="shared" si="1880"/>
        <v>0</v>
      </c>
      <c r="L18" s="1462">
        <f t="shared" si="1881"/>
        <v>0</v>
      </c>
      <c r="M18" s="1462">
        <f t="shared" si="1882"/>
        <v>0</v>
      </c>
      <c r="N18" s="1463">
        <f t="shared" si="1867"/>
        <v>0</v>
      </c>
      <c r="O18" s="1464">
        <f t="shared" si="1868"/>
        <v>560399.77880000009</v>
      </c>
      <c r="P18" s="1462">
        <f t="shared" si="1883"/>
        <v>0</v>
      </c>
      <c r="Q18" s="1462">
        <f t="shared" si="1884"/>
        <v>0</v>
      </c>
      <c r="R18" s="1462">
        <f t="shared" si="1885"/>
        <v>0</v>
      </c>
      <c r="S18" s="1463">
        <f t="shared" si="1872"/>
        <v>0</v>
      </c>
      <c r="T18" s="1465">
        <f t="shared" si="1873"/>
        <v>560399.77880000009</v>
      </c>
      <c r="V18" s="1482" t="s">
        <v>201</v>
      </c>
      <c r="W18" s="1483">
        <v>71</v>
      </c>
      <c r="X18" s="1484">
        <v>230172.79580000002</v>
      </c>
      <c r="Y18" s="1485">
        <v>82</v>
      </c>
      <c r="Z18" s="1486">
        <v>330226.98300000007</v>
      </c>
      <c r="AA18" s="1485"/>
      <c r="AB18" s="1487"/>
      <c r="AC18" s="1527"/>
      <c r="AD18" s="1528"/>
      <c r="AE18" s="1485"/>
      <c r="AF18" s="1486"/>
      <c r="AG18" s="1485"/>
      <c r="AH18" s="1487"/>
      <c r="AI18" s="1483"/>
      <c r="AJ18" s="1486"/>
      <c r="AK18" s="1427"/>
      <c r="AL18" s="1484"/>
      <c r="AM18" s="1488"/>
      <c r="AN18" s="1489"/>
      <c r="AO18" s="1490"/>
      <c r="AP18" s="1491"/>
      <c r="AQ18" s="1529"/>
      <c r="AR18" s="1530"/>
      <c r="AS18" s="1531"/>
      <c r="AT18" s="1532"/>
      <c r="AU18" s="1493">
        <f t="shared" si="1874"/>
        <v>153</v>
      </c>
      <c r="AV18" s="1494">
        <f t="shared" si="1874"/>
        <v>560399.77880000009</v>
      </c>
      <c r="AW18" s="1413"/>
    </row>
    <row r="19">
      <c r="A19" s="1179" t="s">
        <v>203</v>
      </c>
      <c r="B19" s="1462">
        <f t="shared" si="1878"/>
        <v>55646.1999</v>
      </c>
      <c r="C19" s="1462">
        <f t="shared" si="1879"/>
        <v>109563.79220000001</v>
      </c>
      <c r="D19" s="1462">
        <f t="shared" si="1857"/>
        <v>0</v>
      </c>
      <c r="E19" s="1463">
        <f t="shared" si="1858"/>
        <v>165209.9921</v>
      </c>
      <c r="F19" s="1462">
        <f t="shared" si="1859"/>
        <v>0</v>
      </c>
      <c r="G19" s="1462">
        <f t="shared" si="1860"/>
        <v>0</v>
      </c>
      <c r="H19" s="1462">
        <f t="shared" si="1861"/>
        <v>0</v>
      </c>
      <c r="I19" s="1463">
        <f t="shared" si="1862"/>
        <v>0</v>
      </c>
      <c r="J19" s="1464">
        <f t="shared" si="1863"/>
        <v>165209.9921</v>
      </c>
      <c r="K19" s="1462">
        <f t="shared" si="1880"/>
        <v>0</v>
      </c>
      <c r="L19" s="1462">
        <f t="shared" si="1881"/>
        <v>0</v>
      </c>
      <c r="M19" s="1462">
        <f t="shared" si="1882"/>
        <v>0</v>
      </c>
      <c r="N19" s="1463">
        <f t="shared" si="1867"/>
        <v>0</v>
      </c>
      <c r="O19" s="1464">
        <f t="shared" si="1868"/>
        <v>165209.9921</v>
      </c>
      <c r="P19" s="1462">
        <f t="shared" si="1883"/>
        <v>0</v>
      </c>
      <c r="Q19" s="1462">
        <f t="shared" si="1884"/>
        <v>0</v>
      </c>
      <c r="R19" s="1462">
        <f t="shared" si="1885"/>
        <v>0</v>
      </c>
      <c r="S19" s="1463">
        <f t="shared" si="1872"/>
        <v>0</v>
      </c>
      <c r="T19" s="1465">
        <f t="shared" si="1873"/>
        <v>165209.9921</v>
      </c>
      <c r="V19" s="1482" t="s">
        <v>203</v>
      </c>
      <c r="W19" s="1483">
        <v>50</v>
      </c>
      <c r="X19" s="1484">
        <v>55646.1999</v>
      </c>
      <c r="Y19" s="1485">
        <v>102</v>
      </c>
      <c r="Z19" s="1486">
        <v>109563.79220000001</v>
      </c>
      <c r="AA19" s="1485"/>
      <c r="AB19" s="1487"/>
      <c r="AC19" s="1527"/>
      <c r="AD19" s="1528"/>
      <c r="AE19" s="1485"/>
      <c r="AF19" s="1486"/>
      <c r="AG19" s="1485"/>
      <c r="AH19" s="1487"/>
      <c r="AI19" s="1483"/>
      <c r="AJ19" s="1486"/>
      <c r="AK19" s="1427"/>
      <c r="AL19" s="1484"/>
      <c r="AM19" s="1488"/>
      <c r="AN19" s="1489"/>
      <c r="AO19" s="1490"/>
      <c r="AP19" s="1491"/>
      <c r="AQ19" s="1529"/>
      <c r="AR19" s="1530"/>
      <c r="AS19" s="1531"/>
      <c r="AT19" s="1532"/>
      <c r="AU19" s="1493">
        <f t="shared" si="1874"/>
        <v>152</v>
      </c>
      <c r="AV19" s="1494">
        <f t="shared" si="1874"/>
        <v>165209.9921</v>
      </c>
      <c r="AW19" s="1413"/>
    </row>
    <row r="20">
      <c r="A20" s="1179" t="s">
        <v>204</v>
      </c>
      <c r="B20" s="1462">
        <f t="shared" si="1878"/>
        <v>37512.726699999999</v>
      </c>
      <c r="C20" s="1462">
        <f t="shared" si="1879"/>
        <v>38010.058480000007</v>
      </c>
      <c r="D20" s="1462">
        <f t="shared" si="1857"/>
        <v>0</v>
      </c>
      <c r="E20" s="1463">
        <f t="shared" si="1858"/>
        <v>75522.785180000006</v>
      </c>
      <c r="F20" s="1462">
        <f t="shared" si="1859"/>
        <v>0</v>
      </c>
      <c r="G20" s="1462">
        <f t="shared" si="1860"/>
        <v>0</v>
      </c>
      <c r="H20" s="1462">
        <f t="shared" si="1861"/>
        <v>0</v>
      </c>
      <c r="I20" s="1463">
        <f t="shared" si="1862"/>
        <v>0</v>
      </c>
      <c r="J20" s="1464">
        <f t="shared" si="1863"/>
        <v>75522.785180000006</v>
      </c>
      <c r="K20" s="1462">
        <f t="shared" si="1880"/>
        <v>0</v>
      </c>
      <c r="L20" s="1462">
        <f t="shared" si="1881"/>
        <v>0</v>
      </c>
      <c r="M20" s="1462">
        <f t="shared" si="1882"/>
        <v>0</v>
      </c>
      <c r="N20" s="1463">
        <f t="shared" si="1867"/>
        <v>0</v>
      </c>
      <c r="O20" s="1464">
        <f t="shared" si="1868"/>
        <v>75522.785180000006</v>
      </c>
      <c r="P20" s="1462">
        <f t="shared" si="1883"/>
        <v>0</v>
      </c>
      <c r="Q20" s="1462">
        <f t="shared" si="1884"/>
        <v>0</v>
      </c>
      <c r="R20" s="1462">
        <f t="shared" si="1885"/>
        <v>0</v>
      </c>
      <c r="S20" s="1463">
        <f t="shared" si="1872"/>
        <v>0</v>
      </c>
      <c r="T20" s="1465">
        <f t="shared" si="1873"/>
        <v>75522.785180000006</v>
      </c>
      <c r="V20" s="1482" t="s">
        <v>204</v>
      </c>
      <c r="W20" s="1483">
        <v>29</v>
      </c>
      <c r="X20" s="1484">
        <v>37512.726699999999</v>
      </c>
      <c r="Y20" s="1485">
        <v>31</v>
      </c>
      <c r="Z20" s="1486">
        <v>38010.058480000007</v>
      </c>
      <c r="AA20" s="1485"/>
      <c r="AB20" s="1487"/>
      <c r="AC20" s="1527"/>
      <c r="AD20" s="1528"/>
      <c r="AE20" s="1485"/>
      <c r="AF20" s="1486"/>
      <c r="AG20" s="1485"/>
      <c r="AH20" s="1487"/>
      <c r="AI20" s="1483"/>
      <c r="AJ20" s="1486"/>
      <c r="AK20" s="1427"/>
      <c r="AL20" s="1484"/>
      <c r="AM20" s="1488"/>
      <c r="AN20" s="1489"/>
      <c r="AO20" s="1490"/>
      <c r="AP20" s="1491"/>
      <c r="AQ20" s="1529"/>
      <c r="AR20" s="1530"/>
      <c r="AS20" s="1531"/>
      <c r="AT20" s="1532"/>
      <c r="AU20" s="1493">
        <f t="shared" si="1874"/>
        <v>60</v>
      </c>
      <c r="AV20" s="1494">
        <f t="shared" si="1874"/>
        <v>75522.785180000006</v>
      </c>
      <c r="AW20" s="1413"/>
    </row>
    <row r="21">
      <c r="A21" s="1179" t="s">
        <v>205</v>
      </c>
      <c r="B21" s="1462">
        <f t="shared" si="1878"/>
        <v>9270.4909000000007</v>
      </c>
      <c r="C21" s="1462">
        <f t="shared" si="1879"/>
        <v>1684.6903</v>
      </c>
      <c r="D21" s="1462">
        <f t="shared" si="1857"/>
        <v>0</v>
      </c>
      <c r="E21" s="1463">
        <f t="shared" si="1858"/>
        <v>10955.181200000001</v>
      </c>
      <c r="F21" s="1462">
        <f t="shared" si="1859"/>
        <v>0</v>
      </c>
      <c r="G21" s="1462">
        <f t="shared" si="1860"/>
        <v>0</v>
      </c>
      <c r="H21" s="1462">
        <f t="shared" si="1861"/>
        <v>0</v>
      </c>
      <c r="I21" s="1463">
        <f t="shared" si="1862"/>
        <v>0</v>
      </c>
      <c r="J21" s="1464">
        <f t="shared" si="1863"/>
        <v>10955.181200000001</v>
      </c>
      <c r="K21" s="1462">
        <f t="shared" si="1880"/>
        <v>0</v>
      </c>
      <c r="L21" s="1462">
        <f t="shared" si="1881"/>
        <v>0</v>
      </c>
      <c r="M21" s="1462">
        <f t="shared" si="1882"/>
        <v>0</v>
      </c>
      <c r="N21" s="1463">
        <f t="shared" si="1867"/>
        <v>0</v>
      </c>
      <c r="O21" s="1464">
        <f t="shared" si="1868"/>
        <v>10955.181200000001</v>
      </c>
      <c r="P21" s="1462">
        <f t="shared" si="1883"/>
        <v>0</v>
      </c>
      <c r="Q21" s="1462">
        <f t="shared" si="1884"/>
        <v>0</v>
      </c>
      <c r="R21" s="1462">
        <f t="shared" si="1885"/>
        <v>0</v>
      </c>
      <c r="S21" s="1463">
        <f t="shared" si="1872"/>
        <v>0</v>
      </c>
      <c r="T21" s="1465">
        <f t="shared" si="1873"/>
        <v>10955.181200000001</v>
      </c>
      <c r="V21" s="1482" t="s">
        <v>205</v>
      </c>
      <c r="W21" s="1483">
        <v>5</v>
      </c>
      <c r="X21" s="1484">
        <v>9270.4909000000007</v>
      </c>
      <c r="Y21" s="1485">
        <v>1</v>
      </c>
      <c r="Z21" s="1486">
        <v>1684.6903</v>
      </c>
      <c r="AA21" s="1485"/>
      <c r="AB21" s="1487"/>
      <c r="AC21" s="1539"/>
      <c r="AD21" s="1540"/>
      <c r="AE21" s="1485"/>
      <c r="AF21" s="1486"/>
      <c r="AG21" s="1485"/>
      <c r="AH21" s="1487"/>
      <c r="AI21" s="1483"/>
      <c r="AJ21" s="1486"/>
      <c r="AK21" s="1427"/>
      <c r="AL21" s="1484"/>
      <c r="AM21" s="1488"/>
      <c r="AN21" s="1489"/>
      <c r="AO21" s="1490"/>
      <c r="AP21" s="1491"/>
      <c r="AQ21" s="1541"/>
      <c r="AR21" s="1542"/>
      <c r="AS21" s="1485"/>
      <c r="AT21" s="1543"/>
      <c r="AU21" s="1493">
        <f t="shared" si="1874"/>
        <v>6</v>
      </c>
      <c r="AV21" s="1494">
        <f t="shared" si="1874"/>
        <v>10955.181200000001</v>
      </c>
      <c r="AW21" s="1413"/>
    </row>
    <row r="22">
      <c r="A22" s="1179" t="s">
        <v>206</v>
      </c>
      <c r="B22" s="1462">
        <f t="shared" si="1878"/>
        <v>39427.693000000007</v>
      </c>
      <c r="C22" s="1462">
        <f t="shared" si="1879"/>
        <v>66887.099300000016</v>
      </c>
      <c r="D22" s="1462">
        <f t="shared" si="1857"/>
        <v>0</v>
      </c>
      <c r="E22" s="1465">
        <f t="shared" si="1858"/>
        <v>106314.79230000003</v>
      </c>
      <c r="F22" s="1462">
        <f t="shared" si="1859"/>
        <v>0</v>
      </c>
      <c r="G22" s="1462">
        <f t="shared" si="1860"/>
        <v>0</v>
      </c>
      <c r="H22" s="1462">
        <f t="shared" si="1861"/>
        <v>0</v>
      </c>
      <c r="I22" s="1465">
        <f t="shared" si="1862"/>
        <v>0</v>
      </c>
      <c r="J22" s="1465">
        <f t="shared" si="1863"/>
        <v>106314.79230000003</v>
      </c>
      <c r="K22" s="1462">
        <f t="shared" si="1880"/>
        <v>0</v>
      </c>
      <c r="L22" s="1462">
        <f t="shared" si="1881"/>
        <v>0</v>
      </c>
      <c r="M22" s="1462">
        <f t="shared" si="1882"/>
        <v>0</v>
      </c>
      <c r="N22" s="1465">
        <f t="shared" si="1867"/>
        <v>0</v>
      </c>
      <c r="O22" s="1465">
        <f t="shared" si="1868"/>
        <v>106314.79230000003</v>
      </c>
      <c r="P22" s="1462">
        <f t="shared" si="1883"/>
        <v>0</v>
      </c>
      <c r="Q22" s="1462">
        <f t="shared" si="1884"/>
        <v>0</v>
      </c>
      <c r="R22" s="1462">
        <f t="shared" si="1885"/>
        <v>0</v>
      </c>
      <c r="S22" s="1465">
        <f t="shared" si="1872"/>
        <v>0</v>
      </c>
      <c r="T22" s="1465">
        <f t="shared" si="1873"/>
        <v>106314.79230000003</v>
      </c>
      <c r="V22" s="1482" t="s">
        <v>206</v>
      </c>
      <c r="W22" s="1483">
        <v>46</v>
      </c>
      <c r="X22" s="1484">
        <v>39427.693000000007</v>
      </c>
      <c r="Y22" s="1485">
        <v>75</v>
      </c>
      <c r="Z22" s="1486">
        <v>66887.099300000016</v>
      </c>
      <c r="AA22" s="1485"/>
      <c r="AB22" s="1487"/>
      <c r="AC22" s="1527"/>
      <c r="AD22" s="1528"/>
      <c r="AE22" s="1485"/>
      <c r="AF22" s="1486"/>
      <c r="AG22" s="1485"/>
      <c r="AH22" s="1487"/>
      <c r="AI22" s="1483"/>
      <c r="AJ22" s="1486"/>
      <c r="AK22" s="1427"/>
      <c r="AL22" s="1484"/>
      <c r="AM22" s="1488"/>
      <c r="AN22" s="1489"/>
      <c r="AO22" s="1490"/>
      <c r="AP22" s="1491"/>
      <c r="AQ22" s="1529"/>
      <c r="AR22" s="1530"/>
      <c r="AS22" s="1531"/>
      <c r="AT22" s="1532"/>
      <c r="AU22" s="1493">
        <f>W22+Y22+AA22+AC22+AE22+AG22+AI22+AK22+AM22+AO22+AQ22+AS22</f>
        <v>121</v>
      </c>
      <c r="AV22" s="1494">
        <f>X22+Z22+AB22+AD22+AF22+AH22+AJ22+AL22+AN22+AP22+AR22+AT22</f>
        <v>106314.79230000003</v>
      </c>
      <c r="AW22" s="1413"/>
    </row>
    <row r="23">
      <c r="A23" s="1179" t="s">
        <v>207</v>
      </c>
      <c r="B23" s="1462">
        <f t="shared" si="1878"/>
        <v>33400.602339999998</v>
      </c>
      <c r="C23" s="1462">
        <f t="shared" si="1879"/>
        <v>33920.292679999999</v>
      </c>
      <c r="D23" s="1462">
        <f t="shared" si="1857"/>
        <v>0</v>
      </c>
      <c r="E23" s="1463">
        <f t="shared" si="1858"/>
        <v>67320.895019999996</v>
      </c>
      <c r="F23" s="1462">
        <f t="shared" si="1859"/>
        <v>0</v>
      </c>
      <c r="G23" s="1462">
        <f t="shared" si="1860"/>
        <v>0</v>
      </c>
      <c r="H23" s="1462">
        <f t="shared" si="1861"/>
        <v>0</v>
      </c>
      <c r="I23" s="1463">
        <f t="shared" si="1862"/>
        <v>0</v>
      </c>
      <c r="J23" s="1464">
        <f t="shared" si="1863"/>
        <v>67320.895019999996</v>
      </c>
      <c r="K23" s="1462">
        <f t="shared" si="1880"/>
        <v>0</v>
      </c>
      <c r="L23" s="1462">
        <f t="shared" si="1881"/>
        <v>0</v>
      </c>
      <c r="M23" s="1462">
        <f t="shared" si="1882"/>
        <v>0</v>
      </c>
      <c r="N23" s="1463">
        <f t="shared" si="1867"/>
        <v>0</v>
      </c>
      <c r="O23" s="1464">
        <f t="shared" si="1868"/>
        <v>67320.895019999996</v>
      </c>
      <c r="P23" s="1462">
        <f t="shared" si="1883"/>
        <v>0</v>
      </c>
      <c r="Q23" s="1462">
        <f t="shared" si="1884"/>
        <v>0</v>
      </c>
      <c r="R23" s="1462">
        <f t="shared" si="1885"/>
        <v>0</v>
      </c>
      <c r="S23" s="1463">
        <f t="shared" si="1872"/>
        <v>0</v>
      </c>
      <c r="T23" s="1465">
        <f t="shared" si="1873"/>
        <v>67320.895019999996</v>
      </c>
      <c r="V23" s="1482" t="s">
        <v>207</v>
      </c>
      <c r="W23" s="1483">
        <v>41</v>
      </c>
      <c r="X23" s="1484">
        <v>33400.602339999998</v>
      </c>
      <c r="Y23" s="1485">
        <v>42</v>
      </c>
      <c r="Z23" s="1486">
        <v>33920.292679999999</v>
      </c>
      <c r="AA23" s="1485"/>
      <c r="AB23" s="1487"/>
      <c r="AC23" s="1527"/>
      <c r="AD23" s="1528"/>
      <c r="AE23" s="1485"/>
      <c r="AF23" s="1486"/>
      <c r="AG23" s="1485"/>
      <c r="AH23" s="1487"/>
      <c r="AI23" s="1483"/>
      <c r="AJ23" s="1486"/>
      <c r="AK23" s="1427"/>
      <c r="AL23" s="1484"/>
      <c r="AM23" s="1488"/>
      <c r="AN23" s="1489"/>
      <c r="AO23" s="1490"/>
      <c r="AP23" s="1491"/>
      <c r="AQ23" s="1529"/>
      <c r="AR23" s="1530"/>
      <c r="AS23" s="1531"/>
      <c r="AT23" s="1532"/>
      <c r="AU23" s="1493">
        <f t="shared" si="1874"/>
        <v>83</v>
      </c>
      <c r="AV23" s="1494">
        <f t="shared" si="1874"/>
        <v>67320.895019999996</v>
      </c>
      <c r="AW23" s="1413"/>
    </row>
    <row r="24">
      <c r="A24" s="1179" t="s">
        <v>209</v>
      </c>
      <c r="B24" s="1462">
        <f t="shared" si="1878"/>
        <v>80749.95640000001</v>
      </c>
      <c r="C24" s="1462">
        <f t="shared" si="1879"/>
        <v>130356.58190000002</v>
      </c>
      <c r="D24" s="1462">
        <f t="shared" si="1857"/>
        <v>0</v>
      </c>
      <c r="E24" s="1463">
        <f t="shared" si="1858"/>
        <v>211106.53830000001</v>
      </c>
      <c r="F24" s="1462">
        <f t="shared" si="1859"/>
        <v>0</v>
      </c>
      <c r="G24" s="1462">
        <f t="shared" si="1860"/>
        <v>0</v>
      </c>
      <c r="H24" s="1462">
        <f t="shared" si="1861"/>
        <v>0</v>
      </c>
      <c r="I24" s="1463">
        <f t="shared" si="1862"/>
        <v>0</v>
      </c>
      <c r="J24" s="1464">
        <f t="shared" si="1863"/>
        <v>211106.53830000001</v>
      </c>
      <c r="K24" s="1462">
        <f t="shared" si="1880"/>
        <v>0</v>
      </c>
      <c r="L24" s="1462">
        <f t="shared" si="1881"/>
        <v>0</v>
      </c>
      <c r="M24" s="1462">
        <f t="shared" si="1882"/>
        <v>0</v>
      </c>
      <c r="N24" s="1463">
        <f t="shared" si="1867"/>
        <v>0</v>
      </c>
      <c r="O24" s="1464">
        <f t="shared" si="1868"/>
        <v>211106.53830000001</v>
      </c>
      <c r="P24" s="1462">
        <f t="shared" si="1883"/>
        <v>0</v>
      </c>
      <c r="Q24" s="1462">
        <f t="shared" si="1884"/>
        <v>0</v>
      </c>
      <c r="R24" s="1462">
        <f t="shared" si="1885"/>
        <v>0</v>
      </c>
      <c r="S24" s="1463">
        <f t="shared" si="1872"/>
        <v>0</v>
      </c>
      <c r="T24" s="1465">
        <f t="shared" si="1873"/>
        <v>211106.53830000001</v>
      </c>
      <c r="V24" s="1482" t="s">
        <v>209</v>
      </c>
      <c r="W24" s="1483">
        <v>53</v>
      </c>
      <c r="X24" s="1484">
        <v>80749.95640000001</v>
      </c>
      <c r="Y24" s="1485">
        <v>75</v>
      </c>
      <c r="Z24" s="1486">
        <v>130356.58190000002</v>
      </c>
      <c r="AA24" s="1485"/>
      <c r="AB24" s="1487"/>
      <c r="AC24" s="1527"/>
      <c r="AD24" s="1544"/>
      <c r="AE24" s="1485"/>
      <c r="AF24" s="1486"/>
      <c r="AG24" s="1485"/>
      <c r="AH24" s="1487"/>
      <c r="AI24" s="1483"/>
      <c r="AJ24" s="1486"/>
      <c r="AK24" s="1427"/>
      <c r="AL24" s="1484"/>
      <c r="AM24" s="1488"/>
      <c r="AN24" s="1489"/>
      <c r="AO24" s="1490"/>
      <c r="AP24" s="1491"/>
      <c r="AQ24" s="1529"/>
      <c r="AR24" s="1545"/>
      <c r="AS24" s="1531"/>
      <c r="AT24" s="1546"/>
      <c r="AU24" s="1493">
        <f t="shared" si="1874"/>
        <v>128</v>
      </c>
      <c r="AV24" s="1494">
        <f t="shared" si="1874"/>
        <v>211106.53830000001</v>
      </c>
      <c r="AW24" s="1413"/>
    </row>
    <row r="25">
      <c r="A25" s="1179" t="s">
        <v>210</v>
      </c>
      <c r="B25" s="1462">
        <f t="shared" si="1878"/>
        <v>5525.6259</v>
      </c>
      <c r="C25" s="1462">
        <f t="shared" si="1879"/>
        <v>6898.7969000000003</v>
      </c>
      <c r="D25" s="1462">
        <f t="shared" si="1857"/>
        <v>0</v>
      </c>
      <c r="E25" s="1463">
        <f t="shared" si="1858"/>
        <v>12424.4228</v>
      </c>
      <c r="F25" s="1462">
        <f t="shared" si="1859"/>
        <v>0</v>
      </c>
      <c r="G25" s="1462">
        <f t="shared" si="1860"/>
        <v>0</v>
      </c>
      <c r="H25" s="1462">
        <f t="shared" si="1861"/>
        <v>0</v>
      </c>
      <c r="I25" s="1463">
        <f t="shared" si="1862"/>
        <v>0</v>
      </c>
      <c r="J25" s="1464">
        <f t="shared" si="1863"/>
        <v>12424.4228</v>
      </c>
      <c r="K25" s="1462">
        <f t="shared" si="1880"/>
        <v>0</v>
      </c>
      <c r="L25" s="1462">
        <f t="shared" si="1881"/>
        <v>0</v>
      </c>
      <c r="M25" s="1462">
        <f t="shared" si="1882"/>
        <v>0</v>
      </c>
      <c r="N25" s="1463">
        <f t="shared" si="1867"/>
        <v>0</v>
      </c>
      <c r="O25" s="1464">
        <f t="shared" si="1868"/>
        <v>12424.4228</v>
      </c>
      <c r="P25" s="1462">
        <f t="shared" si="1883"/>
        <v>0</v>
      </c>
      <c r="Q25" s="1462">
        <f t="shared" si="1884"/>
        <v>0</v>
      </c>
      <c r="R25" s="1462">
        <f t="shared" si="1885"/>
        <v>0</v>
      </c>
      <c r="S25" s="1463">
        <f t="shared" si="1872"/>
        <v>0</v>
      </c>
      <c r="T25" s="1465">
        <f t="shared" si="1873"/>
        <v>12424.4228</v>
      </c>
      <c r="V25" s="1482" t="s">
        <v>210</v>
      </c>
      <c r="W25" s="1483">
        <v>13</v>
      </c>
      <c r="X25" s="1484">
        <v>5525.6259</v>
      </c>
      <c r="Y25" s="1485">
        <v>17</v>
      </c>
      <c r="Z25" s="1486">
        <v>6898.7969000000003</v>
      </c>
      <c r="AA25" s="1485"/>
      <c r="AB25" s="1487"/>
      <c r="AC25" s="1527"/>
      <c r="AD25" s="1528"/>
      <c r="AE25" s="1485"/>
      <c r="AF25" s="1486"/>
      <c r="AG25" s="1485"/>
      <c r="AH25" s="1487"/>
      <c r="AI25" s="1483"/>
      <c r="AJ25" s="1486"/>
      <c r="AK25" s="1427"/>
      <c r="AL25" s="1484"/>
      <c r="AM25" s="1488"/>
      <c r="AN25" s="1489"/>
      <c r="AO25" s="1490"/>
      <c r="AP25" s="1491"/>
      <c r="AQ25" s="1529"/>
      <c r="AR25" s="1530"/>
      <c r="AS25" s="1531"/>
      <c r="AT25" s="1532"/>
      <c r="AU25" s="1493">
        <f t="shared" si="1874"/>
        <v>30</v>
      </c>
      <c r="AV25" s="1494">
        <f t="shared" si="1874"/>
        <v>12424.4228</v>
      </c>
      <c r="AW25" s="1413"/>
    </row>
    <row r="26">
      <c r="A26" s="1179" t="s">
        <v>211</v>
      </c>
      <c r="B26" s="1462">
        <f t="shared" si="1878"/>
        <v>50039.6633</v>
      </c>
      <c r="C26" s="1462">
        <f t="shared" si="1879"/>
        <v>78361.594750000004</v>
      </c>
      <c r="D26" s="1462">
        <f t="shared" si="1857"/>
        <v>0</v>
      </c>
      <c r="E26" s="1463">
        <f t="shared" si="1858"/>
        <v>128401.25805</v>
      </c>
      <c r="F26" s="1462">
        <f t="shared" si="1859"/>
        <v>0</v>
      </c>
      <c r="G26" s="1462">
        <f t="shared" si="1860"/>
        <v>0</v>
      </c>
      <c r="H26" s="1462">
        <f t="shared" si="1861"/>
        <v>0</v>
      </c>
      <c r="I26" s="1463">
        <f t="shared" si="1862"/>
        <v>0</v>
      </c>
      <c r="J26" s="1464">
        <f t="shared" si="1863"/>
        <v>128401.25805</v>
      </c>
      <c r="K26" s="1462">
        <f t="shared" si="1880"/>
        <v>0</v>
      </c>
      <c r="L26" s="1462">
        <f t="shared" si="1881"/>
        <v>0</v>
      </c>
      <c r="M26" s="1462">
        <f t="shared" si="1882"/>
        <v>0</v>
      </c>
      <c r="N26" s="1463">
        <f t="shared" si="1867"/>
        <v>0</v>
      </c>
      <c r="O26" s="1464">
        <f t="shared" si="1868"/>
        <v>128401.25805</v>
      </c>
      <c r="P26" s="1462">
        <f t="shared" si="1883"/>
        <v>0</v>
      </c>
      <c r="Q26" s="1462">
        <f t="shared" si="1884"/>
        <v>0</v>
      </c>
      <c r="R26" s="1462">
        <f t="shared" si="1885"/>
        <v>0</v>
      </c>
      <c r="S26" s="1463">
        <f t="shared" si="1872"/>
        <v>0</v>
      </c>
      <c r="T26" s="1465">
        <f t="shared" si="1873"/>
        <v>128401.25805</v>
      </c>
      <c r="V26" s="1507" t="s">
        <v>211</v>
      </c>
      <c r="W26" s="1496">
        <v>73</v>
      </c>
      <c r="X26" s="1497">
        <v>50039.6633</v>
      </c>
      <c r="Y26" s="1498">
        <v>116</v>
      </c>
      <c r="Z26" s="1499">
        <v>78361.594750000004</v>
      </c>
      <c r="AA26" s="1498"/>
      <c r="AB26" s="1500"/>
      <c r="AC26" s="1527"/>
      <c r="AD26" s="1528"/>
      <c r="AE26" s="1498"/>
      <c r="AF26" s="1499"/>
      <c r="AG26" s="1498"/>
      <c r="AH26" s="1500"/>
      <c r="AI26" s="1496"/>
      <c r="AJ26" s="1499"/>
      <c r="AK26" s="1505"/>
      <c r="AL26" s="1497"/>
      <c r="AM26" s="1501"/>
      <c r="AN26" s="1502"/>
      <c r="AO26" s="1503"/>
      <c r="AP26" s="1504"/>
      <c r="AQ26" s="1529"/>
      <c r="AR26" s="1530"/>
      <c r="AS26" s="1531"/>
      <c r="AT26" s="1532"/>
      <c r="AU26" s="1508">
        <f t="shared" si="1874"/>
        <v>189</v>
      </c>
      <c r="AV26" s="1509">
        <f t="shared" si="1874"/>
        <v>128401.25805</v>
      </c>
      <c r="AW26" s="1413"/>
    </row>
    <row r="27" s="1510" customFormat="1" ht="21.75" customHeight="1">
      <c r="A27" s="1511" t="s">
        <v>363</v>
      </c>
      <c r="B27" s="1302">
        <f t="shared" ref="B27:H27" si="1886">SUM(B14:B26)</f>
        <v>1280135.8587399998</v>
      </c>
      <c r="C27" s="1302">
        <f t="shared" si="1886"/>
        <v>1798877.9062100002</v>
      </c>
      <c r="D27" s="1302">
        <f t="shared" si="1886"/>
        <v>0</v>
      </c>
      <c r="E27" s="1302">
        <f t="shared" si="1886"/>
        <v>3079013.7649499997</v>
      </c>
      <c r="F27" s="1302">
        <f t="shared" si="1886"/>
        <v>0</v>
      </c>
      <c r="G27" s="1302">
        <f t="shared" si="1886"/>
        <v>0</v>
      </c>
      <c r="H27" s="1302">
        <f t="shared" si="1886"/>
        <v>0</v>
      </c>
      <c r="I27" s="1302">
        <f t="shared" ref="I27:T27" si="1887">SUM(I14:I26)</f>
        <v>0</v>
      </c>
      <c r="J27" s="1302">
        <f t="shared" si="1887"/>
        <v>3079013.7649499997</v>
      </c>
      <c r="K27" s="1302">
        <f t="shared" si="1887"/>
        <v>0</v>
      </c>
      <c r="L27" s="1302">
        <f t="shared" si="1887"/>
        <v>0</v>
      </c>
      <c r="M27" s="1302">
        <f t="shared" si="1887"/>
        <v>0</v>
      </c>
      <c r="N27" s="1302">
        <f t="shared" si="1887"/>
        <v>0</v>
      </c>
      <c r="O27" s="1302">
        <f t="shared" si="1887"/>
        <v>3079013.7649499997</v>
      </c>
      <c r="P27" s="1302">
        <f t="shared" si="1887"/>
        <v>0</v>
      </c>
      <c r="Q27" s="1302">
        <f t="shared" si="1887"/>
        <v>0</v>
      </c>
      <c r="R27" s="1302">
        <f t="shared" si="1887"/>
        <v>0</v>
      </c>
      <c r="S27" s="1302">
        <f t="shared" si="1887"/>
        <v>0</v>
      </c>
      <c r="T27" s="1302">
        <f t="shared" si="1887"/>
        <v>3079013.7649499997</v>
      </c>
      <c r="U27" s="1515"/>
      <c r="V27" s="1516" t="s">
        <v>363</v>
      </c>
      <c r="W27" s="1517">
        <f t="shared" ref="W27:AQ27" si="1888">SUM(W14:W26)</f>
        <v>557</v>
      </c>
      <c r="X27" s="1518">
        <f t="shared" si="1888"/>
        <v>1280135.8587399998</v>
      </c>
      <c r="Y27" s="1522">
        <f t="shared" si="1888"/>
        <v>815</v>
      </c>
      <c r="Z27" s="1520">
        <f t="shared" si="1888"/>
        <v>1798877.9062100002</v>
      </c>
      <c r="AA27" s="1522">
        <f t="shared" si="1888"/>
        <v>0</v>
      </c>
      <c r="AB27" s="1547">
        <f t="shared" si="1888"/>
        <v>0</v>
      </c>
      <c r="AC27" s="1522">
        <f t="shared" si="1888"/>
        <v>0</v>
      </c>
      <c r="AD27" s="1547">
        <f t="shared" si="1888"/>
        <v>0</v>
      </c>
      <c r="AE27" s="1522">
        <f t="shared" si="1888"/>
        <v>0</v>
      </c>
      <c r="AF27" s="1520">
        <f t="shared" si="1888"/>
        <v>0</v>
      </c>
      <c r="AG27" s="1522">
        <f t="shared" si="1888"/>
        <v>0</v>
      </c>
      <c r="AH27" s="1548">
        <f t="shared" si="1888"/>
        <v>0</v>
      </c>
      <c r="AI27" s="1549">
        <f t="shared" si="1888"/>
        <v>0</v>
      </c>
      <c r="AJ27" s="1520">
        <f t="shared" si="1888"/>
        <v>0</v>
      </c>
      <c r="AK27" s="1522">
        <f t="shared" si="1888"/>
        <v>0</v>
      </c>
      <c r="AL27" s="1518">
        <f t="shared" si="1888"/>
        <v>0</v>
      </c>
      <c r="AM27" s="1522">
        <f t="shared" si="1888"/>
        <v>0</v>
      </c>
      <c r="AN27" s="1548">
        <f t="shared" si="1888"/>
        <v>0</v>
      </c>
      <c r="AO27" s="1550">
        <f t="shared" si="1888"/>
        <v>0</v>
      </c>
      <c r="AP27" s="1520">
        <f t="shared" si="1888"/>
        <v>0</v>
      </c>
      <c r="AQ27" s="1522">
        <f t="shared" si="1888"/>
        <v>0</v>
      </c>
      <c r="AR27" s="1520">
        <f>SUM(AR14:AR26)</f>
        <v>0</v>
      </c>
      <c r="AS27" s="1522">
        <f>SUM(AS14:AS26)</f>
        <v>0</v>
      </c>
      <c r="AT27" s="1520">
        <f>SUM(AT14:AT26)</f>
        <v>0</v>
      </c>
      <c r="AU27" s="1524">
        <f t="shared" si="1874"/>
        <v>1372</v>
      </c>
      <c r="AV27" s="1525">
        <f t="shared" si="1874"/>
        <v>3079013.7649499997</v>
      </c>
      <c r="AW27" s="1526"/>
      <c r="AX27" s="1515"/>
      <c r="AY27" s="1515"/>
      <c r="AZ27" s="1515"/>
    </row>
    <row r="28">
      <c r="A28" s="1551" t="s">
        <v>379</v>
      </c>
      <c r="B28" s="1462">
        <f t="shared" ref="B28:B30" si="1889">X28</f>
        <v>0</v>
      </c>
      <c r="C28" s="1462">
        <f t="shared" ref="C28:C30" si="1890">Z28</f>
        <v>0</v>
      </c>
      <c r="D28" s="1462">
        <f t="shared" si="1857"/>
        <v>0</v>
      </c>
      <c r="E28" s="1463">
        <f t="shared" si="1858"/>
        <v>0</v>
      </c>
      <c r="F28" s="1462">
        <f t="shared" si="1859"/>
        <v>0</v>
      </c>
      <c r="G28" s="1462">
        <f t="shared" si="1860"/>
        <v>0</v>
      </c>
      <c r="H28" s="1462">
        <f t="shared" si="1861"/>
        <v>0</v>
      </c>
      <c r="I28" s="1463">
        <f t="shared" si="1862"/>
        <v>0</v>
      </c>
      <c r="J28" s="1464">
        <f t="shared" si="1863"/>
        <v>0</v>
      </c>
      <c r="K28" s="1462">
        <f t="shared" ref="K28:K30" si="1891">AJ28</f>
        <v>0</v>
      </c>
      <c r="L28" s="1462">
        <f t="shared" ref="L28:L30" si="1892">AL28</f>
        <v>0</v>
      </c>
      <c r="M28" s="1462">
        <f t="shared" ref="M28:M30" si="1893">AN28</f>
        <v>0</v>
      </c>
      <c r="N28" s="1463">
        <f t="shared" si="1867"/>
        <v>0</v>
      </c>
      <c r="O28" s="1464">
        <f t="shared" si="1868"/>
        <v>0</v>
      </c>
      <c r="P28" s="1462">
        <f t="shared" ref="P28:P30" si="1894">AP28</f>
        <v>0</v>
      </c>
      <c r="Q28" s="1462">
        <f t="shared" ref="Q28:Q30" si="1895">AR28</f>
        <v>0</v>
      </c>
      <c r="R28" s="1462">
        <f t="shared" ref="R28:R30" si="1896">AT28</f>
        <v>0</v>
      </c>
      <c r="S28" s="1463">
        <f t="shared" si="1872"/>
        <v>0</v>
      </c>
      <c r="T28" s="1465">
        <f t="shared" si="1873"/>
        <v>0</v>
      </c>
      <c r="V28" s="1552" t="s">
        <v>379</v>
      </c>
      <c r="W28" s="1553"/>
      <c r="X28" s="1554"/>
      <c r="Y28" s="1555"/>
      <c r="Z28" s="1556"/>
      <c r="AA28" s="1555"/>
      <c r="AB28" s="1557"/>
      <c r="AC28" s="1553"/>
      <c r="AD28" s="1556"/>
      <c r="AE28" s="1558"/>
      <c r="AF28" s="1559"/>
      <c r="AG28" s="1555"/>
      <c r="AH28" s="1557"/>
      <c r="AI28" s="1560"/>
      <c r="AJ28" s="1556"/>
      <c r="AK28" s="1478"/>
      <c r="AL28" s="1468"/>
      <c r="AM28" s="1474"/>
      <c r="AN28" s="1475"/>
      <c r="AO28" s="1476"/>
      <c r="AP28" s="1477"/>
      <c r="AQ28" s="1478"/>
      <c r="AR28" s="1478"/>
      <c r="AS28" s="1478"/>
      <c r="AT28" s="1479"/>
      <c r="AU28" s="1480">
        <f t="shared" si="1874"/>
        <v>0</v>
      </c>
      <c r="AV28" s="1481">
        <f t="shared" si="1874"/>
        <v>0</v>
      </c>
      <c r="AW28" s="1413"/>
    </row>
    <row r="29">
      <c r="A29" s="1561" t="s">
        <v>525</v>
      </c>
      <c r="B29" s="1462">
        <f t="shared" si="1889"/>
        <v>0</v>
      </c>
      <c r="C29" s="1462">
        <f t="shared" si="1890"/>
        <v>0</v>
      </c>
      <c r="D29" s="1462">
        <f t="shared" si="1857"/>
        <v>0</v>
      </c>
      <c r="E29" s="1463">
        <f t="shared" si="1858"/>
        <v>0</v>
      </c>
      <c r="F29" s="1462">
        <f t="shared" si="1859"/>
        <v>0</v>
      </c>
      <c r="G29" s="1462">
        <f t="shared" si="1860"/>
        <v>0</v>
      </c>
      <c r="H29" s="1462">
        <f t="shared" si="1861"/>
        <v>0</v>
      </c>
      <c r="I29" s="1463">
        <f t="shared" si="1862"/>
        <v>0</v>
      </c>
      <c r="J29" s="1464">
        <f t="shared" si="1863"/>
        <v>0</v>
      </c>
      <c r="K29" s="1462">
        <f t="shared" si="1891"/>
        <v>0</v>
      </c>
      <c r="L29" s="1462">
        <f t="shared" si="1892"/>
        <v>0</v>
      </c>
      <c r="M29" s="1462">
        <f t="shared" si="1893"/>
        <v>0</v>
      </c>
      <c r="N29" s="1463">
        <f t="shared" si="1867"/>
        <v>0</v>
      </c>
      <c r="O29" s="1464">
        <f t="shared" si="1868"/>
        <v>0</v>
      </c>
      <c r="P29" s="1462">
        <f t="shared" si="1894"/>
        <v>0</v>
      </c>
      <c r="Q29" s="1462">
        <f t="shared" si="1895"/>
        <v>0</v>
      </c>
      <c r="R29" s="1462">
        <f t="shared" si="1896"/>
        <v>0</v>
      </c>
      <c r="S29" s="1463">
        <f t="shared" si="1872"/>
        <v>0</v>
      </c>
      <c r="T29" s="1465">
        <f t="shared" si="1873"/>
        <v>0</v>
      </c>
      <c r="V29" s="1562" t="s">
        <v>525</v>
      </c>
      <c r="W29" s="1563"/>
      <c r="X29" s="1424"/>
      <c r="Y29" s="1421"/>
      <c r="Z29" s="1564"/>
      <c r="AA29" s="1421"/>
      <c r="AB29" s="1565"/>
      <c r="AC29" s="1563"/>
      <c r="AD29" s="1564"/>
      <c r="AE29" s="1566"/>
      <c r="AF29" s="1567"/>
      <c r="AG29" s="1421"/>
      <c r="AH29" s="1565"/>
      <c r="AI29" s="1568"/>
      <c r="AJ29" s="1564"/>
      <c r="AK29" s="1427"/>
      <c r="AL29" s="1484"/>
      <c r="AM29" s="1488"/>
      <c r="AN29" s="1489"/>
      <c r="AO29" s="1490"/>
      <c r="AP29" s="1491"/>
      <c r="AQ29" s="1427"/>
      <c r="AR29" s="1427"/>
      <c r="AS29" s="1427"/>
      <c r="AT29" s="1492"/>
      <c r="AU29" s="1493">
        <f t="shared" si="1874"/>
        <v>0</v>
      </c>
      <c r="AV29" s="1494">
        <f t="shared" si="1874"/>
        <v>0</v>
      </c>
      <c r="AW29" s="1413"/>
    </row>
    <row r="30">
      <c r="A30" s="1551" t="s">
        <v>543</v>
      </c>
      <c r="B30" s="1462">
        <f t="shared" si="1889"/>
        <v>0</v>
      </c>
      <c r="C30" s="1462">
        <f t="shared" si="1890"/>
        <v>0</v>
      </c>
      <c r="D30" s="1462">
        <f t="shared" si="1857"/>
        <v>0</v>
      </c>
      <c r="E30" s="1463">
        <f t="shared" si="1858"/>
        <v>0</v>
      </c>
      <c r="F30" s="1462">
        <f t="shared" si="1859"/>
        <v>0</v>
      </c>
      <c r="G30" s="1462">
        <f t="shared" si="1860"/>
        <v>0</v>
      </c>
      <c r="H30" s="1462">
        <f t="shared" si="1861"/>
        <v>0</v>
      </c>
      <c r="I30" s="1463">
        <f t="shared" si="1862"/>
        <v>0</v>
      </c>
      <c r="J30" s="1464">
        <f t="shared" si="1863"/>
        <v>0</v>
      </c>
      <c r="K30" s="1462">
        <f t="shared" si="1891"/>
        <v>0</v>
      </c>
      <c r="L30" s="1462">
        <f t="shared" si="1892"/>
        <v>0</v>
      </c>
      <c r="M30" s="1462">
        <f t="shared" si="1893"/>
        <v>0</v>
      </c>
      <c r="N30" s="1463">
        <f t="shared" si="1867"/>
        <v>0</v>
      </c>
      <c r="O30" s="1464">
        <f t="shared" si="1868"/>
        <v>0</v>
      </c>
      <c r="P30" s="1462">
        <f t="shared" si="1894"/>
        <v>0</v>
      </c>
      <c r="Q30" s="1462">
        <f t="shared" si="1895"/>
        <v>0</v>
      </c>
      <c r="R30" s="1462">
        <f t="shared" si="1896"/>
        <v>0</v>
      </c>
      <c r="S30" s="1463">
        <f t="shared" si="1872"/>
        <v>0</v>
      </c>
      <c r="T30" s="1465">
        <f t="shared" si="1873"/>
        <v>0</v>
      </c>
      <c r="V30" s="1569" t="s">
        <v>543</v>
      </c>
      <c r="W30" s="1570"/>
      <c r="X30" s="1571"/>
      <c r="Y30" s="1572"/>
      <c r="Z30" s="1573"/>
      <c r="AA30" s="1572"/>
      <c r="AB30" s="1574"/>
      <c r="AC30" s="1570"/>
      <c r="AD30" s="1573"/>
      <c r="AE30" s="1575"/>
      <c r="AF30" s="1576"/>
      <c r="AG30" s="1572"/>
      <c r="AH30" s="1574"/>
      <c r="AI30" s="1577"/>
      <c r="AJ30" s="1573"/>
      <c r="AK30" s="1505"/>
      <c r="AL30" s="1497"/>
      <c r="AM30" s="1501"/>
      <c r="AN30" s="1502"/>
      <c r="AO30" s="1503"/>
      <c r="AP30" s="1504"/>
      <c r="AQ30" s="1505"/>
      <c r="AR30" s="1505"/>
      <c r="AS30" s="1505"/>
      <c r="AT30" s="1506"/>
      <c r="AU30" s="1508">
        <f t="shared" si="1874"/>
        <v>0</v>
      </c>
      <c r="AV30" s="1509">
        <f t="shared" si="1874"/>
        <v>0</v>
      </c>
      <c r="AW30" s="1413"/>
    </row>
    <row r="31" s="1510" customFormat="1" ht="24.75" customHeight="1">
      <c r="A31" s="1511" t="s">
        <v>544</v>
      </c>
      <c r="B31" s="1302">
        <f>SUM(B28:B30)</f>
        <v>0</v>
      </c>
      <c r="C31" s="1302">
        <f t="shared" ref="C31:H31" si="1897">SUM(C28:C30)</f>
        <v>0</v>
      </c>
      <c r="D31" s="1302">
        <f t="shared" si="1897"/>
        <v>0</v>
      </c>
      <c r="E31" s="1302">
        <f t="shared" si="1897"/>
        <v>0</v>
      </c>
      <c r="F31" s="1302">
        <f t="shared" si="1897"/>
        <v>0</v>
      </c>
      <c r="G31" s="1302">
        <f t="shared" si="1897"/>
        <v>0</v>
      </c>
      <c r="H31" s="1302">
        <f t="shared" si="1897"/>
        <v>0</v>
      </c>
      <c r="I31" s="1302">
        <f t="shared" ref="I31:T31" si="1898">SUM(I28:I30)</f>
        <v>0</v>
      </c>
      <c r="J31" s="1302">
        <f t="shared" si="1898"/>
        <v>0</v>
      </c>
      <c r="K31" s="1302">
        <f t="shared" si="1898"/>
        <v>0</v>
      </c>
      <c r="L31" s="1302">
        <f t="shared" si="1898"/>
        <v>0</v>
      </c>
      <c r="M31" s="1302">
        <f t="shared" si="1898"/>
        <v>0</v>
      </c>
      <c r="N31" s="1302">
        <f t="shared" si="1898"/>
        <v>0</v>
      </c>
      <c r="O31" s="1302">
        <f t="shared" si="1898"/>
        <v>0</v>
      </c>
      <c r="P31" s="1302">
        <f t="shared" si="1898"/>
        <v>0</v>
      </c>
      <c r="Q31" s="1302">
        <f t="shared" si="1898"/>
        <v>0</v>
      </c>
      <c r="R31" s="1302">
        <f t="shared" si="1898"/>
        <v>0</v>
      </c>
      <c r="S31" s="1302">
        <f t="shared" si="1898"/>
        <v>0</v>
      </c>
      <c r="T31" s="1302">
        <f t="shared" si="1898"/>
        <v>0</v>
      </c>
      <c r="U31" s="1515"/>
      <c r="V31" s="1578" t="s">
        <v>544</v>
      </c>
      <c r="W31" s="1579"/>
      <c r="X31" s="1580"/>
      <c r="Y31" s="1581"/>
      <c r="Z31" s="1582"/>
      <c r="AA31" s="1581"/>
      <c r="AB31" s="1583"/>
      <c r="AC31" s="1579"/>
      <c r="AD31" s="1582"/>
      <c r="AE31" s="1581"/>
      <c r="AF31" s="1582"/>
      <c r="AG31" s="1581"/>
      <c r="AH31" s="1583"/>
      <c r="AI31" s="1579"/>
      <c r="AJ31" s="1582"/>
      <c r="AK31" s="1581"/>
      <c r="AL31" s="1580"/>
      <c r="AM31" s="1581"/>
      <c r="AN31" s="1583"/>
      <c r="AO31" s="1579"/>
      <c r="AP31" s="1582"/>
      <c r="AQ31" s="1581"/>
      <c r="AR31" s="1581"/>
      <c r="AS31" s="1584"/>
      <c r="AT31" s="1585"/>
      <c r="AU31" s="1586">
        <f t="shared" si="1874"/>
        <v>0</v>
      </c>
      <c r="AV31" s="1587">
        <f t="shared" si="1874"/>
        <v>0</v>
      </c>
      <c r="AW31" s="1526"/>
      <c r="AX31" s="1515"/>
      <c r="AY31" s="1515"/>
      <c r="AZ31" s="1515"/>
    </row>
    <row r="32">
      <c r="A32" s="1179" t="s">
        <v>390</v>
      </c>
      <c r="B32" s="1462">
        <f t="shared" ref="B32:B34" si="1899">X32</f>
        <v>2619.2578999999996</v>
      </c>
      <c r="C32" s="1462">
        <f t="shared" ref="C32:C34" si="1900">Z32</f>
        <v>2619.2578999999996</v>
      </c>
      <c r="D32" s="1462">
        <f t="shared" si="1857"/>
        <v>0</v>
      </c>
      <c r="E32" s="1463">
        <f t="shared" si="1858"/>
        <v>5238.5157999999992</v>
      </c>
      <c r="F32" s="1462">
        <f t="shared" si="1859"/>
        <v>0</v>
      </c>
      <c r="G32" s="1462">
        <f t="shared" si="1860"/>
        <v>0</v>
      </c>
      <c r="H32" s="1462">
        <f t="shared" si="1861"/>
        <v>0</v>
      </c>
      <c r="I32" s="1463">
        <f t="shared" si="1862"/>
        <v>0</v>
      </c>
      <c r="J32" s="1464">
        <f t="shared" si="1863"/>
        <v>5238.5157999999992</v>
      </c>
      <c r="K32" s="1462">
        <f t="shared" ref="K32:K34" si="1901">AJ32</f>
        <v>0</v>
      </c>
      <c r="L32" s="1462">
        <f t="shared" ref="L32:L34" si="1902">AL32</f>
        <v>0</v>
      </c>
      <c r="M32" s="1462">
        <f t="shared" ref="M32:M34" si="1903">AN32</f>
        <v>0</v>
      </c>
      <c r="N32" s="1463">
        <f t="shared" si="1867"/>
        <v>0</v>
      </c>
      <c r="O32" s="1464">
        <f t="shared" si="1868"/>
        <v>5238.5157999999992</v>
      </c>
      <c r="P32" s="1462">
        <f t="shared" ref="P32:P34" si="1904">AP32</f>
        <v>0</v>
      </c>
      <c r="Q32" s="1462">
        <f t="shared" ref="Q32:Q34" si="1905">AR32</f>
        <v>0</v>
      </c>
      <c r="R32" s="1462">
        <f t="shared" ref="R32:R34" si="1906">AT32</f>
        <v>0</v>
      </c>
      <c r="S32" s="1463">
        <f t="shared" si="1872"/>
        <v>0</v>
      </c>
      <c r="T32" s="1465">
        <f t="shared" si="1873"/>
        <v>5238.5157999999992</v>
      </c>
      <c r="V32" s="1466" t="s">
        <v>390</v>
      </c>
      <c r="W32" s="1467">
        <v>1</v>
      </c>
      <c r="X32" s="1468">
        <v>2619.2578999999996</v>
      </c>
      <c r="Y32" s="1469">
        <v>1</v>
      </c>
      <c r="Z32" s="1470">
        <v>2619.2578999999996</v>
      </c>
      <c r="AA32" s="1469"/>
      <c r="AB32" s="1471"/>
      <c r="AC32" s="1467"/>
      <c r="AD32" s="1470"/>
      <c r="AE32" s="1469"/>
      <c r="AF32" s="1470"/>
      <c r="AG32" s="1469"/>
      <c r="AH32" s="1471"/>
      <c r="AI32" s="1467"/>
      <c r="AJ32" s="1470"/>
      <c r="AK32" s="1478"/>
      <c r="AL32" s="1468"/>
      <c r="AM32" s="1474"/>
      <c r="AN32" s="1475"/>
      <c r="AO32" s="1476"/>
      <c r="AP32" s="1477"/>
      <c r="AQ32" s="1478"/>
      <c r="AR32" s="1477"/>
      <c r="AS32" s="1478"/>
      <c r="AT32" s="1479"/>
      <c r="AU32" s="1480">
        <f t="shared" si="1874"/>
        <v>2</v>
      </c>
      <c r="AV32" s="1481">
        <f t="shared" si="1874"/>
        <v>5238.5157999999992</v>
      </c>
      <c r="AW32" s="1413"/>
    </row>
    <row r="33">
      <c r="A33" s="1179" t="s">
        <v>392</v>
      </c>
      <c r="B33" s="1462">
        <f t="shared" si="1899"/>
        <v>0</v>
      </c>
      <c r="C33" s="1462">
        <f t="shared" si="1900"/>
        <v>37730.234099999994</v>
      </c>
      <c r="D33" s="1462">
        <f t="shared" si="1857"/>
        <v>0</v>
      </c>
      <c r="E33" s="1463">
        <f t="shared" si="1858"/>
        <v>37730.234099999994</v>
      </c>
      <c r="F33" s="1462">
        <f t="shared" si="1859"/>
        <v>0</v>
      </c>
      <c r="G33" s="1462">
        <f t="shared" si="1860"/>
        <v>0</v>
      </c>
      <c r="H33" s="1462">
        <f t="shared" si="1861"/>
        <v>0</v>
      </c>
      <c r="I33" s="1463">
        <f t="shared" si="1862"/>
        <v>0</v>
      </c>
      <c r="J33" s="1464">
        <f t="shared" si="1863"/>
        <v>37730.234099999994</v>
      </c>
      <c r="K33" s="1462">
        <f t="shared" si="1901"/>
        <v>0</v>
      </c>
      <c r="L33" s="1462">
        <f t="shared" si="1902"/>
        <v>0</v>
      </c>
      <c r="M33" s="1462">
        <f t="shared" si="1903"/>
        <v>0</v>
      </c>
      <c r="N33" s="1463">
        <f t="shared" si="1867"/>
        <v>0</v>
      </c>
      <c r="O33" s="1464">
        <f t="shared" si="1868"/>
        <v>37730.234099999994</v>
      </c>
      <c r="P33" s="1462">
        <f t="shared" si="1904"/>
        <v>0</v>
      </c>
      <c r="Q33" s="1462">
        <f t="shared" si="1905"/>
        <v>0</v>
      </c>
      <c r="R33" s="1462">
        <f t="shared" si="1906"/>
        <v>0</v>
      </c>
      <c r="S33" s="1463">
        <f t="shared" si="1872"/>
        <v>0</v>
      </c>
      <c r="T33" s="1465">
        <f t="shared" si="1873"/>
        <v>37730.234099999994</v>
      </c>
      <c r="V33" s="1482" t="s">
        <v>392</v>
      </c>
      <c r="W33" s="1483">
        <v>0</v>
      </c>
      <c r="X33" s="1484">
        <v>0</v>
      </c>
      <c r="Y33" s="1485">
        <v>7</v>
      </c>
      <c r="Z33" s="1486">
        <v>37730.234099999994</v>
      </c>
      <c r="AA33" s="1485"/>
      <c r="AB33" s="1487"/>
      <c r="AC33" s="1483"/>
      <c r="AD33" s="1486"/>
      <c r="AE33" s="1485"/>
      <c r="AF33" s="1486"/>
      <c r="AG33" s="1485"/>
      <c r="AH33" s="1487"/>
      <c r="AI33" s="1483"/>
      <c r="AJ33" s="1486"/>
      <c r="AK33" s="1427"/>
      <c r="AL33" s="1484"/>
      <c r="AM33" s="1488"/>
      <c r="AN33" s="1489"/>
      <c r="AO33" s="1490"/>
      <c r="AP33" s="1491"/>
      <c r="AQ33" s="1427"/>
      <c r="AR33" s="1491"/>
      <c r="AS33" s="1427"/>
      <c r="AT33" s="1492"/>
      <c r="AU33" s="1493">
        <f t="shared" si="1874"/>
        <v>7</v>
      </c>
      <c r="AV33" s="1494">
        <f t="shared" si="1874"/>
        <v>37730.234099999994</v>
      </c>
      <c r="AW33" s="1413"/>
    </row>
    <row r="34">
      <c r="A34" s="1179" t="s">
        <v>265</v>
      </c>
      <c r="B34" s="1462">
        <f t="shared" si="1899"/>
        <v>0</v>
      </c>
      <c r="C34" s="1462">
        <f t="shared" si="1900"/>
        <v>1052.3809000000001</v>
      </c>
      <c r="D34" s="1462">
        <f t="shared" si="1857"/>
        <v>0</v>
      </c>
      <c r="E34" s="1463">
        <f t="shared" si="1858"/>
        <v>1052.3809000000001</v>
      </c>
      <c r="F34" s="1462">
        <f t="shared" si="1859"/>
        <v>0</v>
      </c>
      <c r="G34" s="1462">
        <f t="shared" si="1860"/>
        <v>0</v>
      </c>
      <c r="H34" s="1462">
        <f t="shared" si="1861"/>
        <v>0</v>
      </c>
      <c r="I34" s="1463">
        <f t="shared" si="1862"/>
        <v>0</v>
      </c>
      <c r="J34" s="1464">
        <f t="shared" si="1863"/>
        <v>1052.3809000000001</v>
      </c>
      <c r="K34" s="1462">
        <f t="shared" si="1901"/>
        <v>0</v>
      </c>
      <c r="L34" s="1462">
        <f t="shared" si="1902"/>
        <v>0</v>
      </c>
      <c r="M34" s="1462">
        <f t="shared" si="1903"/>
        <v>0</v>
      </c>
      <c r="N34" s="1463">
        <f t="shared" si="1867"/>
        <v>0</v>
      </c>
      <c r="O34" s="1464">
        <f t="shared" si="1868"/>
        <v>1052.3809000000001</v>
      </c>
      <c r="P34" s="1462">
        <f t="shared" si="1904"/>
        <v>0</v>
      </c>
      <c r="Q34" s="1462">
        <f t="shared" si="1905"/>
        <v>0</v>
      </c>
      <c r="R34" s="1462">
        <f t="shared" si="1906"/>
        <v>0</v>
      </c>
      <c r="S34" s="1463">
        <f t="shared" si="1872"/>
        <v>0</v>
      </c>
      <c r="T34" s="1465">
        <f t="shared" si="1873"/>
        <v>1052.3809000000001</v>
      </c>
      <c r="V34" s="1507" t="s">
        <v>265</v>
      </c>
      <c r="W34" s="1496">
        <v>0</v>
      </c>
      <c r="X34" s="1497">
        <v>0</v>
      </c>
      <c r="Y34" s="1498">
        <v>1</v>
      </c>
      <c r="Z34" s="1499">
        <v>1052.3809000000001</v>
      </c>
      <c r="AA34" s="1498"/>
      <c r="AB34" s="1500"/>
      <c r="AC34" s="1496"/>
      <c r="AD34" s="1499"/>
      <c r="AE34" s="1498"/>
      <c r="AF34" s="1499"/>
      <c r="AG34" s="1498"/>
      <c r="AH34" s="1500"/>
      <c r="AI34" s="1496"/>
      <c r="AJ34" s="1499"/>
      <c r="AK34" s="1505"/>
      <c r="AL34" s="1497"/>
      <c r="AM34" s="1501"/>
      <c r="AN34" s="1502"/>
      <c r="AO34" s="1503"/>
      <c r="AP34" s="1504"/>
      <c r="AQ34" s="1505"/>
      <c r="AR34" s="1504"/>
      <c r="AS34" s="1505"/>
      <c r="AT34" s="1506"/>
      <c r="AU34" s="1508">
        <f t="shared" si="1874"/>
        <v>1</v>
      </c>
      <c r="AV34" s="1509">
        <f>X34+Z34+AB34+AD34+AF34+AH34+AJ34+AL34+AN34+AP34+AR34+AT34</f>
        <v>1052.3809000000001</v>
      </c>
      <c r="AW34" s="1413"/>
    </row>
    <row r="35" s="1510" customFormat="1" ht="21.75" customHeight="1">
      <c r="A35" s="1511" t="s">
        <v>394</v>
      </c>
      <c r="B35" s="1302">
        <f>SUM(B32:B34)</f>
        <v>2619.2578999999996</v>
      </c>
      <c r="C35" s="1302">
        <f t="shared" ref="C35:H35" si="1907">SUM(C32:C34)</f>
        <v>41401.872899999988</v>
      </c>
      <c r="D35" s="1302">
        <f t="shared" si="1907"/>
        <v>0</v>
      </c>
      <c r="E35" s="1302">
        <f t="shared" si="1907"/>
        <v>44021.130799999999</v>
      </c>
      <c r="F35" s="1302">
        <f t="shared" si="1907"/>
        <v>0</v>
      </c>
      <c r="G35" s="1302">
        <f t="shared" si="1907"/>
        <v>0</v>
      </c>
      <c r="H35" s="1302">
        <f t="shared" si="1907"/>
        <v>0</v>
      </c>
      <c r="I35" s="1302">
        <f t="shared" ref="I35:T35" si="1908">SUM(I32:I34)</f>
        <v>0</v>
      </c>
      <c r="J35" s="1302">
        <f t="shared" si="1908"/>
        <v>44021.130799999999</v>
      </c>
      <c r="K35" s="1302">
        <f>SUM(K32:K34)</f>
        <v>0</v>
      </c>
      <c r="L35" s="1302">
        <f>SUM(L32:L34)</f>
        <v>0</v>
      </c>
      <c r="M35" s="1302">
        <f>SUM(M32:M34)</f>
        <v>0</v>
      </c>
      <c r="N35" s="1302">
        <f t="shared" si="1908"/>
        <v>0</v>
      </c>
      <c r="O35" s="1302">
        <f t="shared" si="1908"/>
        <v>44021.130799999999</v>
      </c>
      <c r="P35" s="1302">
        <f>SUM(P32:P34)</f>
        <v>0</v>
      </c>
      <c r="Q35" s="1302">
        <f t="shared" si="1908"/>
        <v>0</v>
      </c>
      <c r="R35" s="1302">
        <f t="shared" si="1908"/>
        <v>0</v>
      </c>
      <c r="S35" s="1302">
        <f t="shared" si="1908"/>
        <v>0</v>
      </c>
      <c r="T35" s="1302">
        <f t="shared" si="1908"/>
        <v>44021.130799999999</v>
      </c>
      <c r="U35" s="1515"/>
      <c r="V35" s="1588" t="s">
        <v>394</v>
      </c>
      <c r="W35" s="1589">
        <f>SUM(W32:W34)</f>
        <v>1</v>
      </c>
      <c r="X35" s="1590">
        <f>SUM(X32:X34)</f>
        <v>2619.2578999999996</v>
      </c>
      <c r="Y35" s="1591">
        <f>SUM(Y32:Y34)</f>
        <v>9</v>
      </c>
      <c r="Z35" s="1592">
        <f t="shared" ref="Z35:AQ35" si="1909">SUM(Z32:Z34)</f>
        <v>41401.872899999988</v>
      </c>
      <c r="AA35" s="1591">
        <f t="shared" si="1909"/>
        <v>0</v>
      </c>
      <c r="AB35" s="1593">
        <f t="shared" si="1909"/>
        <v>0</v>
      </c>
      <c r="AC35" s="1594">
        <f t="shared" si="1909"/>
        <v>0</v>
      </c>
      <c r="AD35" s="1592">
        <f t="shared" si="1909"/>
        <v>0</v>
      </c>
      <c r="AE35" s="1591">
        <f t="shared" si="1909"/>
        <v>0</v>
      </c>
      <c r="AF35" s="1592">
        <f t="shared" si="1909"/>
        <v>0</v>
      </c>
      <c r="AG35" s="1591">
        <f t="shared" si="1909"/>
        <v>0</v>
      </c>
      <c r="AH35" s="1595">
        <f t="shared" si="1909"/>
        <v>0</v>
      </c>
      <c r="AI35" s="1589">
        <f t="shared" si="1909"/>
        <v>0</v>
      </c>
      <c r="AJ35" s="1592">
        <f t="shared" si="1909"/>
        <v>0</v>
      </c>
      <c r="AK35" s="1591">
        <f t="shared" si="1909"/>
        <v>0</v>
      </c>
      <c r="AL35" s="1590">
        <f t="shared" si="1909"/>
        <v>0</v>
      </c>
      <c r="AM35" s="1591">
        <f t="shared" si="1909"/>
        <v>0</v>
      </c>
      <c r="AN35" s="1593">
        <f t="shared" si="1909"/>
        <v>0</v>
      </c>
      <c r="AO35" s="1594">
        <f t="shared" si="1909"/>
        <v>0</v>
      </c>
      <c r="AP35" s="1592">
        <f t="shared" si="1909"/>
        <v>0</v>
      </c>
      <c r="AQ35" s="1596">
        <f t="shared" si="1909"/>
        <v>0</v>
      </c>
      <c r="AR35" s="1592">
        <f>SUM(AR32:AR34)</f>
        <v>0</v>
      </c>
      <c r="AS35" s="1591">
        <f>SUM(AS32:AS34)</f>
        <v>0</v>
      </c>
      <c r="AT35" s="1592">
        <f>SUM(AT32:AT34)</f>
        <v>0</v>
      </c>
      <c r="AU35" s="1597">
        <f t="shared" si="1874"/>
        <v>10</v>
      </c>
      <c r="AV35" s="1598">
        <f t="shared" si="1874"/>
        <v>44021.130799999984</v>
      </c>
      <c r="AW35" s="1526"/>
      <c r="AX35" s="1515"/>
      <c r="AY35" s="1515"/>
      <c r="AZ35" s="1515"/>
    </row>
    <row r="36" s="1510" customFormat="1" ht="27.75" customHeight="1">
      <c r="A36" s="1511" t="s">
        <v>545</v>
      </c>
      <c r="B36" s="1302">
        <f>B13+B27+B31+B35</f>
        <v>1286207.4463399998</v>
      </c>
      <c r="C36" s="1302">
        <f t="shared" ref="C36:H36" si="1910">C13+C27+C31+C35</f>
        <v>1855276.5875100002</v>
      </c>
      <c r="D36" s="1302">
        <f t="shared" si="1910"/>
        <v>0</v>
      </c>
      <c r="E36" s="1302">
        <f t="shared" si="1910"/>
        <v>3141484.0338499998</v>
      </c>
      <c r="F36" s="1302">
        <f t="shared" si="1910"/>
        <v>0</v>
      </c>
      <c r="G36" s="1302">
        <f>G13+G27+G31+G35</f>
        <v>0</v>
      </c>
      <c r="H36" s="1302">
        <f t="shared" si="1910"/>
        <v>0</v>
      </c>
      <c r="I36" s="1302">
        <f t="shared" ref="I36:T36" si="1911">I13+I27+I31+I35</f>
        <v>0</v>
      </c>
      <c r="J36" s="1302">
        <f t="shared" si="1911"/>
        <v>3141484.0338499998</v>
      </c>
      <c r="K36" s="1302">
        <f>K13+K27+K31+K35</f>
        <v>0</v>
      </c>
      <c r="L36" s="1302">
        <f>L13+L27+L31+L35</f>
        <v>0</v>
      </c>
      <c r="M36" s="1302">
        <f>M13+M27+M31+M35</f>
        <v>0</v>
      </c>
      <c r="N36" s="1302">
        <f t="shared" si="1911"/>
        <v>0</v>
      </c>
      <c r="O36" s="1302">
        <f t="shared" si="1911"/>
        <v>3141484.0338499998</v>
      </c>
      <c r="P36" s="1302">
        <f>P13+P27+P31+P35</f>
        <v>0</v>
      </c>
      <c r="Q36" s="1302">
        <f t="shared" si="1911"/>
        <v>0</v>
      </c>
      <c r="R36" s="1302">
        <f t="shared" si="1911"/>
        <v>0</v>
      </c>
      <c r="S36" s="1302">
        <f t="shared" si="1911"/>
        <v>0</v>
      </c>
      <c r="T36" s="1302">
        <f t="shared" si="1911"/>
        <v>3141484.0338499998</v>
      </c>
      <c r="U36" s="1515"/>
      <c r="V36" s="1599" t="s">
        <v>545</v>
      </c>
      <c r="W36" s="1517">
        <f>W13+W27+W31+W35</f>
        <v>559</v>
      </c>
      <c r="X36" s="1518">
        <f t="shared" ref="X36:AQ36" si="1912">X13+X27+X31+X35</f>
        <v>1286207.4463399998</v>
      </c>
      <c r="Y36" s="1519">
        <f t="shared" si="1912"/>
        <v>830</v>
      </c>
      <c r="Z36" s="1600">
        <f t="shared" si="1912"/>
        <v>1855276.5875100002</v>
      </c>
      <c r="AA36" s="1519">
        <f t="shared" si="1912"/>
        <v>0</v>
      </c>
      <c r="AB36" s="1600">
        <f t="shared" si="1912"/>
        <v>0</v>
      </c>
      <c r="AC36" s="1519">
        <f t="shared" si="1912"/>
        <v>0</v>
      </c>
      <c r="AD36" s="1600">
        <f t="shared" si="1912"/>
        <v>0</v>
      </c>
      <c r="AE36" s="1519">
        <f>AE13+AE27+AE31+AE35</f>
        <v>0</v>
      </c>
      <c r="AF36" s="1600">
        <f>AF13+AF27+AF31+AF35</f>
        <v>0</v>
      </c>
      <c r="AG36" s="1519">
        <f t="shared" si="1912"/>
        <v>0</v>
      </c>
      <c r="AH36" s="1600">
        <f t="shared" si="1912"/>
        <v>0</v>
      </c>
      <c r="AI36" s="1519">
        <f t="shared" si="1912"/>
        <v>0</v>
      </c>
      <c r="AJ36" s="1600">
        <f t="shared" si="1912"/>
        <v>0</v>
      </c>
      <c r="AK36" s="1519">
        <f t="shared" si="1912"/>
        <v>0</v>
      </c>
      <c r="AL36" s="1518">
        <f t="shared" si="1912"/>
        <v>0</v>
      </c>
      <c r="AM36" s="1519">
        <f t="shared" si="1912"/>
        <v>0</v>
      </c>
      <c r="AN36" s="1600">
        <f t="shared" si="1912"/>
        <v>0</v>
      </c>
      <c r="AO36" s="1519">
        <f t="shared" si="1912"/>
        <v>0</v>
      </c>
      <c r="AP36" s="1600">
        <f t="shared" si="1912"/>
        <v>0</v>
      </c>
      <c r="AQ36" s="1522">
        <f t="shared" si="1912"/>
        <v>0</v>
      </c>
      <c r="AR36" s="1600">
        <f>AR13+AR27+AR31+AR35</f>
        <v>0</v>
      </c>
      <c r="AS36" s="1519">
        <f>AS13+AS27+AS31+AS35</f>
        <v>0</v>
      </c>
      <c r="AT36" s="1600">
        <f>AT13+AT27+AT31+AT35</f>
        <v>0</v>
      </c>
      <c r="AU36" s="1519">
        <f>AU13+AU27+AU31+AU35</f>
        <v>1389</v>
      </c>
      <c r="AV36" s="1601">
        <f>AV13+AV27+AV31+AV35</f>
        <v>3141484.0338499998</v>
      </c>
      <c r="AW36" s="1515"/>
      <c r="AX36" s="1515"/>
      <c r="AY36" s="1515"/>
      <c r="AZ36" s="1515"/>
    </row>
    <row r="37">
      <c r="A37" s="1179" t="s">
        <v>50</v>
      </c>
      <c r="B37" s="1462">
        <f t="shared" ref="B37:B44" si="1913">X37</f>
        <v>0</v>
      </c>
      <c r="C37" s="1462">
        <f t="shared" ref="C37:C44" si="1914">Z37</f>
        <v>0</v>
      </c>
      <c r="D37" s="1462">
        <f t="shared" si="1857"/>
        <v>0</v>
      </c>
      <c r="E37" s="1463">
        <f t="shared" si="1858"/>
        <v>0</v>
      </c>
      <c r="F37" s="1462">
        <f t="shared" si="1859"/>
        <v>0</v>
      </c>
      <c r="G37" s="1462">
        <f t="shared" si="1860"/>
        <v>0</v>
      </c>
      <c r="H37" s="1462">
        <f t="shared" si="1861"/>
        <v>0</v>
      </c>
      <c r="I37" s="1463">
        <f t="shared" si="1862"/>
        <v>0</v>
      </c>
      <c r="J37" s="1464">
        <f t="shared" si="1863"/>
        <v>0</v>
      </c>
      <c r="K37" s="1462">
        <f t="shared" ref="K37:K44" si="1915">AJ37</f>
        <v>0</v>
      </c>
      <c r="L37" s="1462">
        <f t="shared" ref="L37:L44" si="1916">AL37</f>
        <v>0</v>
      </c>
      <c r="M37" s="1462">
        <f t="shared" ref="M37:M44" si="1917">AN37</f>
        <v>0</v>
      </c>
      <c r="N37" s="1463">
        <f t="shared" si="1867"/>
        <v>0</v>
      </c>
      <c r="O37" s="1464">
        <f t="shared" si="1868"/>
        <v>0</v>
      </c>
      <c r="P37" s="1462">
        <f t="shared" ref="P37:P44" si="1918">AP37</f>
        <v>0</v>
      </c>
      <c r="Q37" s="1462">
        <f t="shared" ref="Q37:Q44" si="1919">AR37</f>
        <v>0</v>
      </c>
      <c r="R37" s="1462">
        <f t="shared" ref="R37:R44" si="1920">AT37</f>
        <v>0</v>
      </c>
      <c r="S37" s="1463">
        <f t="shared" si="1872"/>
        <v>0</v>
      </c>
      <c r="T37" s="1465">
        <f t="shared" si="1873"/>
        <v>0</v>
      </c>
      <c r="V37" s="1466" t="s">
        <v>50</v>
      </c>
      <c r="W37" s="1602"/>
      <c r="X37" s="1468"/>
      <c r="Y37" s="1603"/>
      <c r="Z37" s="1470"/>
      <c r="AA37" s="1603"/>
      <c r="AB37" s="1471"/>
      <c r="AC37" s="1602"/>
      <c r="AD37" s="1470"/>
      <c r="AE37" s="1603"/>
      <c r="AF37" s="1470"/>
      <c r="AG37" s="1603"/>
      <c r="AH37" s="1471"/>
      <c r="AI37" s="1602"/>
      <c r="AJ37" s="1470"/>
      <c r="AK37" s="1478"/>
      <c r="AL37" s="1468"/>
      <c r="AM37" s="1474"/>
      <c r="AN37" s="1475"/>
      <c r="AO37" s="1476"/>
      <c r="AP37" s="1477"/>
      <c r="AQ37" s="1478"/>
      <c r="AR37" s="1478"/>
      <c r="AS37" s="1478"/>
      <c r="AT37" s="1479"/>
      <c r="AU37" s="1480">
        <f t="shared" si="1874"/>
        <v>0</v>
      </c>
      <c r="AV37" s="1481">
        <f t="shared" si="1874"/>
        <v>0</v>
      </c>
    </row>
    <row r="38">
      <c r="A38" s="1179" t="s">
        <v>397</v>
      </c>
      <c r="B38" s="1462">
        <f t="shared" si="1913"/>
        <v>0</v>
      </c>
      <c r="C38" s="1462">
        <f t="shared" si="1914"/>
        <v>0</v>
      </c>
      <c r="D38" s="1462">
        <f t="shared" si="1857"/>
        <v>0</v>
      </c>
      <c r="E38" s="1463">
        <f t="shared" si="1858"/>
        <v>0</v>
      </c>
      <c r="F38" s="1462">
        <f t="shared" si="1859"/>
        <v>0</v>
      </c>
      <c r="G38" s="1462">
        <f t="shared" si="1860"/>
        <v>0</v>
      </c>
      <c r="H38" s="1462">
        <f t="shared" si="1861"/>
        <v>0</v>
      </c>
      <c r="I38" s="1463">
        <f t="shared" si="1862"/>
        <v>0</v>
      </c>
      <c r="J38" s="1464">
        <f t="shared" si="1863"/>
        <v>0</v>
      </c>
      <c r="K38" s="1462">
        <f t="shared" si="1915"/>
        <v>0</v>
      </c>
      <c r="L38" s="1462">
        <f t="shared" si="1916"/>
        <v>0</v>
      </c>
      <c r="M38" s="1462">
        <f t="shared" si="1917"/>
        <v>0</v>
      </c>
      <c r="N38" s="1463">
        <f t="shared" si="1867"/>
        <v>0</v>
      </c>
      <c r="O38" s="1464">
        <f t="shared" si="1868"/>
        <v>0</v>
      </c>
      <c r="P38" s="1462">
        <f t="shared" si="1918"/>
        <v>0</v>
      </c>
      <c r="Q38" s="1462">
        <f t="shared" si="1919"/>
        <v>0</v>
      </c>
      <c r="R38" s="1462">
        <f t="shared" si="1920"/>
        <v>0</v>
      </c>
      <c r="S38" s="1463">
        <f t="shared" si="1872"/>
        <v>0</v>
      </c>
      <c r="T38" s="1465">
        <f t="shared" si="1873"/>
        <v>0</v>
      </c>
      <c r="V38" s="1562" t="s">
        <v>397</v>
      </c>
      <c r="W38" s="1563"/>
      <c r="X38" s="1424"/>
      <c r="Y38" s="1421"/>
      <c r="Z38" s="1564"/>
      <c r="AA38" s="1427"/>
      <c r="AB38" s="1604"/>
      <c r="AC38" s="1563"/>
      <c r="AD38" s="1564"/>
      <c r="AE38" s="1566"/>
      <c r="AF38" s="1567"/>
      <c r="AG38" s="1427"/>
      <c r="AH38" s="1604"/>
      <c r="AI38" s="1605"/>
      <c r="AJ38" s="1606"/>
      <c r="AK38" s="1427"/>
      <c r="AL38" s="1484"/>
      <c r="AM38" s="1488"/>
      <c r="AN38" s="1489"/>
      <c r="AO38" s="1490"/>
      <c r="AP38" s="1491"/>
      <c r="AQ38" s="1427"/>
      <c r="AR38" s="1427"/>
      <c r="AS38" s="1427"/>
      <c r="AT38" s="1492"/>
      <c r="AU38" s="1493">
        <f t="shared" si="1874"/>
        <v>0</v>
      </c>
      <c r="AV38" s="1494">
        <f t="shared" si="1874"/>
        <v>0</v>
      </c>
    </row>
    <row r="39">
      <c r="A39" s="1179" t="s">
        <v>546</v>
      </c>
      <c r="B39" s="1462">
        <f t="shared" si="1913"/>
        <v>0</v>
      </c>
      <c r="C39" s="1462">
        <f t="shared" si="1914"/>
        <v>0</v>
      </c>
      <c r="D39" s="1462">
        <f t="shared" si="1857"/>
        <v>0</v>
      </c>
      <c r="E39" s="1463">
        <f t="shared" si="1858"/>
        <v>0</v>
      </c>
      <c r="F39" s="1462">
        <f t="shared" si="1859"/>
        <v>0</v>
      </c>
      <c r="G39" s="1462">
        <f t="shared" si="1860"/>
        <v>0</v>
      </c>
      <c r="H39" s="1462">
        <f t="shared" si="1861"/>
        <v>0</v>
      </c>
      <c r="I39" s="1463">
        <f t="shared" si="1862"/>
        <v>0</v>
      </c>
      <c r="J39" s="1464">
        <f t="shared" si="1863"/>
        <v>0</v>
      </c>
      <c r="K39" s="1462">
        <f t="shared" si="1915"/>
        <v>0</v>
      </c>
      <c r="L39" s="1462">
        <f t="shared" si="1916"/>
        <v>0</v>
      </c>
      <c r="M39" s="1462">
        <f t="shared" si="1917"/>
        <v>0</v>
      </c>
      <c r="N39" s="1463">
        <f t="shared" si="1867"/>
        <v>0</v>
      </c>
      <c r="O39" s="1464">
        <f t="shared" si="1868"/>
        <v>0</v>
      </c>
      <c r="P39" s="1462">
        <f t="shared" si="1918"/>
        <v>0</v>
      </c>
      <c r="Q39" s="1462">
        <f t="shared" si="1919"/>
        <v>0</v>
      </c>
      <c r="R39" s="1462">
        <f t="shared" si="1920"/>
        <v>0</v>
      </c>
      <c r="S39" s="1463">
        <f t="shared" si="1872"/>
        <v>0</v>
      </c>
      <c r="T39" s="1465">
        <f t="shared" si="1873"/>
        <v>0</v>
      </c>
      <c r="V39" s="1562" t="s">
        <v>546</v>
      </c>
      <c r="W39" s="1563"/>
      <c r="X39" s="1567"/>
      <c r="Y39" s="1421"/>
      <c r="Z39" s="1564"/>
      <c r="AA39" s="1427"/>
      <c r="AB39" s="1604"/>
      <c r="AC39" s="1563"/>
      <c r="AD39" s="1564"/>
      <c r="AE39" s="1566"/>
      <c r="AF39" s="1567"/>
      <c r="AG39" s="1427"/>
      <c r="AH39" s="1604"/>
      <c r="AI39" s="1605"/>
      <c r="AJ39" s="1606"/>
      <c r="AK39" s="1427"/>
      <c r="AL39" s="1484"/>
      <c r="AM39" s="1488"/>
      <c r="AN39" s="1489"/>
      <c r="AO39" s="1490"/>
      <c r="AP39" s="1491"/>
      <c r="AQ39" s="1427"/>
      <c r="AR39" s="1427"/>
      <c r="AS39" s="1427"/>
      <c r="AT39" s="1492"/>
      <c r="AU39" s="1493">
        <f t="shared" si="1874"/>
        <v>0</v>
      </c>
      <c r="AV39" s="1494">
        <f t="shared" si="1874"/>
        <v>0</v>
      </c>
    </row>
    <row r="40">
      <c r="A40" s="1179" t="s">
        <v>547</v>
      </c>
      <c r="B40" s="1462">
        <f t="shared" si="1913"/>
        <v>0</v>
      </c>
      <c r="C40" s="1462">
        <f t="shared" si="1914"/>
        <v>0</v>
      </c>
      <c r="D40" s="1462">
        <f t="shared" si="1857"/>
        <v>0</v>
      </c>
      <c r="E40" s="1463">
        <f t="shared" si="1858"/>
        <v>0</v>
      </c>
      <c r="F40" s="1462">
        <f t="shared" si="1859"/>
        <v>0</v>
      </c>
      <c r="G40" s="1462">
        <f t="shared" si="1860"/>
        <v>0</v>
      </c>
      <c r="H40" s="1462">
        <f t="shared" si="1861"/>
        <v>0</v>
      </c>
      <c r="I40" s="1463">
        <f t="shared" si="1862"/>
        <v>0</v>
      </c>
      <c r="J40" s="1464">
        <f t="shared" si="1863"/>
        <v>0</v>
      </c>
      <c r="K40" s="1462">
        <f t="shared" si="1915"/>
        <v>0</v>
      </c>
      <c r="L40" s="1462">
        <f t="shared" si="1916"/>
        <v>0</v>
      </c>
      <c r="M40" s="1462">
        <f t="shared" si="1917"/>
        <v>0</v>
      </c>
      <c r="N40" s="1463">
        <f t="shared" si="1867"/>
        <v>0</v>
      </c>
      <c r="O40" s="1464">
        <f t="shared" si="1868"/>
        <v>0</v>
      </c>
      <c r="P40" s="1462">
        <f t="shared" si="1918"/>
        <v>0</v>
      </c>
      <c r="Q40" s="1462">
        <f t="shared" si="1919"/>
        <v>0</v>
      </c>
      <c r="R40" s="1462">
        <f t="shared" si="1920"/>
        <v>0</v>
      </c>
      <c r="S40" s="1463">
        <f t="shared" si="1872"/>
        <v>0</v>
      </c>
      <c r="T40" s="1465">
        <f t="shared" si="1873"/>
        <v>0</v>
      </c>
      <c r="V40" s="1562" t="s">
        <v>547</v>
      </c>
      <c r="W40" s="1490"/>
      <c r="X40" s="1491"/>
      <c r="Y40" s="1427"/>
      <c r="Z40" s="1606"/>
      <c r="AA40" s="1427"/>
      <c r="AB40" s="1604"/>
      <c r="AC40" s="1563"/>
      <c r="AD40" s="1564"/>
      <c r="AE40" s="1566"/>
      <c r="AF40" s="1567"/>
      <c r="AG40" s="1427"/>
      <c r="AH40" s="1604"/>
      <c r="AI40" s="1605"/>
      <c r="AJ40" s="1606"/>
      <c r="AK40" s="1427"/>
      <c r="AL40" s="1484"/>
      <c r="AM40" s="1488"/>
      <c r="AN40" s="1489"/>
      <c r="AO40" s="1490"/>
      <c r="AP40" s="1491"/>
      <c r="AQ40" s="1427"/>
      <c r="AR40" s="1427"/>
      <c r="AS40" s="1427"/>
      <c r="AT40" s="1492"/>
      <c r="AU40" s="1493">
        <f t="shared" si="1874"/>
        <v>0</v>
      </c>
      <c r="AV40" s="1494">
        <f t="shared" si="1874"/>
        <v>0</v>
      </c>
    </row>
    <row r="41">
      <c r="A41" s="890" t="s">
        <v>283</v>
      </c>
      <c r="B41" s="1462">
        <f t="shared" si="1913"/>
        <v>0</v>
      </c>
      <c r="C41" s="1462">
        <f t="shared" si="1914"/>
        <v>0</v>
      </c>
      <c r="D41" s="1462">
        <f t="shared" si="1857"/>
        <v>0</v>
      </c>
      <c r="E41" s="1463">
        <f t="shared" si="1858"/>
        <v>0</v>
      </c>
      <c r="F41" s="1462">
        <f t="shared" si="1859"/>
        <v>0</v>
      </c>
      <c r="G41" s="1462">
        <f t="shared" si="1860"/>
        <v>0</v>
      </c>
      <c r="H41" s="1462">
        <f t="shared" si="1861"/>
        <v>0</v>
      </c>
      <c r="I41" s="1463">
        <f t="shared" si="1862"/>
        <v>0</v>
      </c>
      <c r="J41" s="1464">
        <f t="shared" si="1863"/>
        <v>0</v>
      </c>
      <c r="K41" s="1462">
        <f t="shared" si="1915"/>
        <v>0</v>
      </c>
      <c r="L41" s="1462">
        <f t="shared" si="1916"/>
        <v>0</v>
      </c>
      <c r="M41" s="1462">
        <f t="shared" si="1917"/>
        <v>0</v>
      </c>
      <c r="N41" s="1463">
        <f t="shared" si="1867"/>
        <v>0</v>
      </c>
      <c r="O41" s="1464">
        <f t="shared" si="1868"/>
        <v>0</v>
      </c>
      <c r="P41" s="1462">
        <f t="shared" si="1918"/>
        <v>0</v>
      </c>
      <c r="Q41" s="1462">
        <f t="shared" si="1919"/>
        <v>0</v>
      </c>
      <c r="R41" s="1462">
        <f t="shared" si="1920"/>
        <v>0</v>
      </c>
      <c r="S41" s="1463">
        <f t="shared" si="1872"/>
        <v>0</v>
      </c>
      <c r="T41" s="1465">
        <f t="shared" si="1873"/>
        <v>0</v>
      </c>
      <c r="V41" s="890" t="s">
        <v>283</v>
      </c>
      <c r="W41" s="1490"/>
      <c r="X41" s="1491"/>
      <c r="Y41" s="1427"/>
      <c r="Z41" s="1606"/>
      <c r="AA41" s="1427"/>
      <c r="AB41" s="1604"/>
      <c r="AC41" s="1490"/>
      <c r="AD41" s="1606"/>
      <c r="AE41" s="1488"/>
      <c r="AF41" s="1491"/>
      <c r="AG41" s="1427"/>
      <c r="AH41" s="1604"/>
      <c r="AI41" s="1605"/>
      <c r="AJ41" s="1606"/>
      <c r="AK41" s="1427"/>
      <c r="AL41" s="1484"/>
      <c r="AM41" s="1488"/>
      <c r="AN41" s="1489"/>
      <c r="AO41" s="1488"/>
      <c r="AP41" s="1489"/>
      <c r="AQ41" s="1427"/>
      <c r="AR41" s="1427"/>
      <c r="AS41" s="1427"/>
      <c r="AT41" s="1492"/>
      <c r="AU41" s="1493">
        <f t="shared" si="1874"/>
        <v>0</v>
      </c>
      <c r="AV41" s="1494">
        <f t="shared" si="1874"/>
        <v>0</v>
      </c>
    </row>
    <row r="42">
      <c r="A42" s="1179" t="s">
        <v>548</v>
      </c>
      <c r="B42" s="1462">
        <f t="shared" si="1913"/>
        <v>0</v>
      </c>
      <c r="C42" s="1462">
        <f t="shared" si="1914"/>
        <v>0</v>
      </c>
      <c r="D42" s="1462">
        <f t="shared" si="1857"/>
        <v>0</v>
      </c>
      <c r="E42" s="1463">
        <f t="shared" si="1858"/>
        <v>0</v>
      </c>
      <c r="F42" s="1462">
        <f t="shared" si="1859"/>
        <v>0</v>
      </c>
      <c r="G42" s="1462">
        <f t="shared" si="1860"/>
        <v>0</v>
      </c>
      <c r="H42" s="1462">
        <f t="shared" si="1861"/>
        <v>0</v>
      </c>
      <c r="I42" s="1463">
        <f t="shared" si="1862"/>
        <v>0</v>
      </c>
      <c r="J42" s="1464">
        <f t="shared" si="1863"/>
        <v>0</v>
      </c>
      <c r="K42" s="1462">
        <f t="shared" si="1915"/>
        <v>0</v>
      </c>
      <c r="L42" s="1462">
        <f t="shared" si="1916"/>
        <v>0</v>
      </c>
      <c r="M42" s="1462">
        <f t="shared" si="1917"/>
        <v>0</v>
      </c>
      <c r="N42" s="1463">
        <f t="shared" si="1867"/>
        <v>0</v>
      </c>
      <c r="O42" s="1464">
        <f t="shared" si="1868"/>
        <v>0</v>
      </c>
      <c r="P42" s="1462">
        <f t="shared" si="1918"/>
        <v>0</v>
      </c>
      <c r="Q42" s="1462">
        <f t="shared" si="1919"/>
        <v>0</v>
      </c>
      <c r="R42" s="1462">
        <f t="shared" si="1920"/>
        <v>0</v>
      </c>
      <c r="S42" s="1463">
        <f t="shared" si="1872"/>
        <v>0</v>
      </c>
      <c r="T42" s="1465">
        <f t="shared" si="1873"/>
        <v>0</v>
      </c>
      <c r="V42" s="1562" t="s">
        <v>548</v>
      </c>
      <c r="W42" s="1490"/>
      <c r="X42" s="1491"/>
      <c r="Y42" s="1427"/>
      <c r="Z42" s="1606"/>
      <c r="AA42" s="1427"/>
      <c r="AB42" s="1604"/>
      <c r="AC42" s="1563"/>
      <c r="AD42" s="1564"/>
      <c r="AE42" s="1566"/>
      <c r="AF42" s="1567"/>
      <c r="AG42" s="1427"/>
      <c r="AH42" s="1604"/>
      <c r="AI42" s="1605"/>
      <c r="AJ42" s="1606"/>
      <c r="AK42" s="1427"/>
      <c r="AL42" s="1484"/>
      <c r="AM42" s="1488"/>
      <c r="AN42" s="1489"/>
      <c r="AO42" s="1488"/>
      <c r="AP42" s="1489"/>
      <c r="AQ42" s="1427"/>
      <c r="AR42" s="1427"/>
      <c r="AS42" s="1427"/>
      <c r="AT42" s="1492"/>
      <c r="AU42" s="1493">
        <f t="shared" si="1874"/>
        <v>0</v>
      </c>
      <c r="AV42" s="1494">
        <f t="shared" si="1874"/>
        <v>0</v>
      </c>
    </row>
    <row r="43">
      <c r="A43" s="1179" t="s">
        <v>549</v>
      </c>
      <c r="B43" s="1462">
        <f t="shared" si="1913"/>
        <v>0</v>
      </c>
      <c r="C43" s="1462">
        <f t="shared" si="1914"/>
        <v>0</v>
      </c>
      <c r="D43" s="1462">
        <f t="shared" si="1857"/>
        <v>0</v>
      </c>
      <c r="E43" s="1463">
        <f t="shared" si="1858"/>
        <v>0</v>
      </c>
      <c r="F43" s="1462">
        <f t="shared" si="1859"/>
        <v>0</v>
      </c>
      <c r="G43" s="1462">
        <f t="shared" si="1860"/>
        <v>0</v>
      </c>
      <c r="H43" s="1462">
        <f t="shared" si="1861"/>
        <v>0</v>
      </c>
      <c r="I43" s="1463">
        <f t="shared" si="1862"/>
        <v>0</v>
      </c>
      <c r="J43" s="1464">
        <f t="shared" si="1863"/>
        <v>0</v>
      </c>
      <c r="K43" s="1462">
        <f t="shared" si="1915"/>
        <v>0</v>
      </c>
      <c r="L43" s="1462">
        <f t="shared" si="1916"/>
        <v>0</v>
      </c>
      <c r="M43" s="1462">
        <f t="shared" si="1917"/>
        <v>0</v>
      </c>
      <c r="N43" s="1463">
        <f t="shared" si="1867"/>
        <v>0</v>
      </c>
      <c r="O43" s="1464">
        <f t="shared" si="1868"/>
        <v>0</v>
      </c>
      <c r="P43" s="1462">
        <f t="shared" si="1918"/>
        <v>0</v>
      </c>
      <c r="Q43" s="1462">
        <f t="shared" si="1919"/>
        <v>0</v>
      </c>
      <c r="R43" s="1462">
        <f t="shared" si="1920"/>
        <v>0</v>
      </c>
      <c r="S43" s="1463">
        <f t="shared" si="1872"/>
        <v>0</v>
      </c>
      <c r="T43" s="1465">
        <f t="shared" si="1873"/>
        <v>0</v>
      </c>
      <c r="V43" s="1562" t="s">
        <v>549</v>
      </c>
      <c r="W43" s="1490"/>
      <c r="X43" s="1491"/>
      <c r="Y43" s="1427"/>
      <c r="Z43" s="1606"/>
      <c r="AA43" s="1427"/>
      <c r="AB43" s="1604"/>
      <c r="AC43" s="1563"/>
      <c r="AD43" s="1564"/>
      <c r="AE43" s="1566"/>
      <c r="AF43" s="1567"/>
      <c r="AG43" s="1427"/>
      <c r="AH43" s="1604"/>
      <c r="AI43" s="1605"/>
      <c r="AJ43" s="1606"/>
      <c r="AK43" s="1427"/>
      <c r="AL43" s="1484"/>
      <c r="AM43" s="1488"/>
      <c r="AN43" s="1489"/>
      <c r="AO43" s="1488"/>
      <c r="AP43" s="1489"/>
      <c r="AQ43" s="1427"/>
      <c r="AR43" s="1427"/>
      <c r="AS43" s="1427"/>
      <c r="AT43" s="1492"/>
      <c r="AU43" s="1493">
        <f t="shared" si="1874"/>
        <v>0</v>
      </c>
      <c r="AV43" s="1494">
        <f>X43+Z43+AB43+AD43+AF43+AH43+AJ43+AL43+AN43+AP43+AR43+AT43</f>
        <v>0</v>
      </c>
    </row>
    <row r="44">
      <c r="A44" s="1179" t="s">
        <v>125</v>
      </c>
      <c r="B44" s="1462">
        <f t="shared" si="1913"/>
        <v>0</v>
      </c>
      <c r="C44" s="1462">
        <f t="shared" si="1914"/>
        <v>0</v>
      </c>
      <c r="D44" s="1462">
        <f t="shared" si="1857"/>
        <v>0</v>
      </c>
      <c r="E44" s="1463">
        <f t="shared" si="1858"/>
        <v>0</v>
      </c>
      <c r="F44" s="1462">
        <f>AD44</f>
        <v>0</v>
      </c>
      <c r="G44" s="1462">
        <f t="shared" si="1860"/>
        <v>0</v>
      </c>
      <c r="H44" s="1462">
        <f t="shared" si="1861"/>
        <v>0</v>
      </c>
      <c r="I44" s="1463">
        <f t="shared" si="1862"/>
        <v>0</v>
      </c>
      <c r="J44" s="1464">
        <f t="shared" si="1863"/>
        <v>0</v>
      </c>
      <c r="K44" s="1462">
        <f t="shared" si="1915"/>
        <v>0</v>
      </c>
      <c r="L44" s="1462">
        <f t="shared" si="1916"/>
        <v>0</v>
      </c>
      <c r="M44" s="1462">
        <f t="shared" si="1917"/>
        <v>0</v>
      </c>
      <c r="N44" s="1463">
        <f t="shared" si="1867"/>
        <v>0</v>
      </c>
      <c r="O44" s="1464">
        <f t="shared" si="1868"/>
        <v>0</v>
      </c>
      <c r="P44" s="1462">
        <f t="shared" si="1918"/>
        <v>0</v>
      </c>
      <c r="Q44" s="1462">
        <f t="shared" si="1919"/>
        <v>0</v>
      </c>
      <c r="R44" s="1462">
        <f t="shared" si="1920"/>
        <v>0</v>
      </c>
      <c r="S44" s="1463">
        <f t="shared" si="1872"/>
        <v>0</v>
      </c>
      <c r="T44" s="1465">
        <f t="shared" si="1873"/>
        <v>0</v>
      </c>
      <c r="V44" s="1507" t="s">
        <v>125</v>
      </c>
      <c r="W44" s="1496"/>
      <c r="X44" s="1499"/>
      <c r="Y44" s="1498"/>
      <c r="Z44" s="1499"/>
      <c r="AA44" s="1498"/>
      <c r="AB44" s="1500"/>
      <c r="AC44" s="1496"/>
      <c r="AD44" s="1499"/>
      <c r="AE44" s="1496"/>
      <c r="AF44" s="1499"/>
      <c r="AG44" s="1498"/>
      <c r="AH44" s="1500"/>
      <c r="AI44" s="1496"/>
      <c r="AJ44" s="1499"/>
      <c r="AK44" s="1505"/>
      <c r="AL44" s="1497"/>
      <c r="AM44" s="1501"/>
      <c r="AN44" s="1502"/>
      <c r="AO44" s="1501"/>
      <c r="AP44" s="1502"/>
      <c r="AQ44" s="1505"/>
      <c r="AR44" s="1504"/>
      <c r="AS44" s="1505"/>
      <c r="AT44" s="1506"/>
      <c r="AU44" s="1508">
        <f t="shared" si="1874"/>
        <v>0</v>
      </c>
      <c r="AV44" s="1509">
        <f t="shared" si="1874"/>
        <v>0</v>
      </c>
    </row>
    <row r="45" s="1510" customFormat="1" ht="26.25" customHeight="1">
      <c r="A45" s="1511" t="s">
        <v>22</v>
      </c>
      <c r="B45" s="1302">
        <f>SUM(B36:B44)</f>
        <v>1286207.4463399998</v>
      </c>
      <c r="C45" s="1302">
        <f>SUM(C36:C44)</f>
        <v>1855276.5875100002</v>
      </c>
      <c r="D45" s="1302">
        <f>SUM(D36:D44)</f>
        <v>0</v>
      </c>
      <c r="E45" s="1463">
        <f t="shared" si="1858"/>
        <v>3141484.0338500002</v>
      </c>
      <c r="F45" s="1302">
        <f>SUM(F36:F44)</f>
        <v>0</v>
      </c>
      <c r="G45" s="1302">
        <f>SUM(G36:G44)</f>
        <v>0</v>
      </c>
      <c r="H45" s="1302">
        <f>SUM(H36:H44)</f>
        <v>0</v>
      </c>
      <c r="I45" s="1512">
        <f t="shared" si="1862"/>
        <v>0</v>
      </c>
      <c r="J45" s="1513">
        <f t="shared" si="1863"/>
        <v>3141484.0338500002</v>
      </c>
      <c r="K45" s="1302">
        <f>SUM(K36:K44)</f>
        <v>0</v>
      </c>
      <c r="L45" s="1302">
        <f>SUM(L36:L44)</f>
        <v>0</v>
      </c>
      <c r="M45" s="1302">
        <f>SUM(M36:M44)</f>
        <v>0</v>
      </c>
      <c r="N45" s="1512">
        <f t="shared" si="1867"/>
        <v>0</v>
      </c>
      <c r="O45" s="1513">
        <f t="shared" si="1868"/>
        <v>3141484.0338500002</v>
      </c>
      <c r="P45" s="1302">
        <f>SUM(P36:P44)</f>
        <v>0</v>
      </c>
      <c r="Q45" s="1302">
        <f>SUM(Q36:Q44)</f>
        <v>0</v>
      </c>
      <c r="R45" s="1302">
        <f>SUM(R36:R44)</f>
        <v>0</v>
      </c>
      <c r="S45" s="1512">
        <f t="shared" si="1872"/>
        <v>0</v>
      </c>
      <c r="T45" s="1514">
        <f t="shared" si="1873"/>
        <v>3141484.0338500002</v>
      </c>
      <c r="U45" s="1017"/>
      <c r="V45" s="1607" t="s">
        <v>22</v>
      </c>
      <c r="W45" s="1517">
        <f>SUM(W36:W44)</f>
        <v>559</v>
      </c>
      <c r="X45" s="1608">
        <f t="shared" ref="X45:AQ45" si="1921">SUM(X36:X44)</f>
        <v>1286207.4463399998</v>
      </c>
      <c r="Y45" s="1517">
        <f>SUM(Y36:Y44)</f>
        <v>830</v>
      </c>
      <c r="Z45" s="1608">
        <f t="shared" si="1921"/>
        <v>1855276.5875100002</v>
      </c>
      <c r="AA45" s="1517">
        <f t="shared" si="1921"/>
        <v>0</v>
      </c>
      <c r="AB45" s="1608">
        <f t="shared" si="1921"/>
        <v>0</v>
      </c>
      <c r="AC45" s="1517">
        <f t="shared" si="1921"/>
        <v>0</v>
      </c>
      <c r="AD45" s="1608">
        <f t="shared" si="1921"/>
        <v>0</v>
      </c>
      <c r="AE45" s="1517">
        <f t="shared" si="1921"/>
        <v>0</v>
      </c>
      <c r="AF45" s="1608">
        <f t="shared" si="1921"/>
        <v>0</v>
      </c>
      <c r="AG45" s="1517">
        <f t="shared" si="1921"/>
        <v>0</v>
      </c>
      <c r="AH45" s="1608">
        <f t="shared" si="1921"/>
        <v>0</v>
      </c>
      <c r="AI45" s="1517">
        <f t="shared" si="1921"/>
        <v>0</v>
      </c>
      <c r="AJ45" s="1608">
        <f t="shared" si="1921"/>
        <v>0</v>
      </c>
      <c r="AK45" s="1517">
        <f t="shared" si="1921"/>
        <v>0</v>
      </c>
      <c r="AL45" s="1609">
        <f t="shared" si="1921"/>
        <v>0</v>
      </c>
      <c r="AM45" s="1517">
        <f t="shared" si="1921"/>
        <v>0</v>
      </c>
      <c r="AN45" s="1608">
        <f t="shared" si="1921"/>
        <v>0</v>
      </c>
      <c r="AO45" s="1517">
        <f t="shared" si="1921"/>
        <v>0</v>
      </c>
      <c r="AP45" s="1608">
        <f t="shared" si="1921"/>
        <v>0</v>
      </c>
      <c r="AQ45" s="1517">
        <f t="shared" si="1921"/>
        <v>0</v>
      </c>
      <c r="AR45" s="1608">
        <f>SUM(AR36:AR44)</f>
        <v>0</v>
      </c>
      <c r="AS45" s="1517">
        <f>SUM(AS36:AS44)</f>
        <v>0</v>
      </c>
      <c r="AT45" s="1608">
        <f>SUM(AT36:AT44)</f>
        <v>0</v>
      </c>
      <c r="AU45" s="1524">
        <f t="shared" si="1874"/>
        <v>1389</v>
      </c>
      <c r="AV45" s="1525">
        <f t="shared" si="1874"/>
        <v>3141484.0338500002</v>
      </c>
      <c r="AW45" s="1515"/>
      <c r="AX45" s="1515"/>
      <c r="AY45" s="1515"/>
      <c r="AZ45" s="1515"/>
    </row>
    <row r="46" s="1510" customFormat="1">
      <c r="A46" s="1515"/>
      <c r="B46" s="1610"/>
      <c r="C46" s="1610"/>
      <c r="D46" s="1610"/>
      <c r="E46" s="1611"/>
      <c r="F46" s="1610"/>
      <c r="G46" s="1610"/>
      <c r="H46" s="1610"/>
      <c r="I46" s="1611"/>
      <c r="J46" s="1611"/>
      <c r="K46" s="1610"/>
      <c r="L46" s="1610"/>
      <c r="M46" s="1610"/>
      <c r="N46" s="1611"/>
      <c r="O46" s="1611"/>
      <c r="P46" s="1610"/>
      <c r="Q46" s="1610"/>
      <c r="R46" s="1612"/>
      <c r="S46" s="1613"/>
      <c r="T46" s="1613"/>
      <c r="U46" s="1017"/>
      <c r="AK46" s="1614"/>
      <c r="AL46" s="1615"/>
      <c r="AM46" s="1616"/>
      <c r="AN46" s="1616"/>
      <c r="AO46" s="1617"/>
      <c r="AP46" s="1617"/>
      <c r="AQ46" s="1617"/>
      <c r="AR46" s="1617"/>
      <c r="AS46" s="1617"/>
      <c r="AU46" s="1526"/>
      <c r="AV46" s="1526"/>
      <c r="AW46" s="1515"/>
      <c r="AX46" s="1515"/>
      <c r="AY46" s="1515"/>
      <c r="AZ46" s="1515"/>
    </row>
    <row r="47">
      <c r="D47" s="1618"/>
      <c r="E47" s="1619"/>
      <c r="H47" s="1618"/>
      <c r="I47" s="1619"/>
      <c r="J47" s="1619"/>
      <c r="N47" s="1418"/>
      <c r="O47" s="1418"/>
      <c r="S47" s="1620"/>
      <c r="Z47" s="1418"/>
      <c r="AA47" s="1410"/>
      <c r="AB47" s="1410"/>
      <c r="AC47" s="1410"/>
      <c r="AD47" s="1418"/>
      <c r="AE47" s="1418"/>
      <c r="AI47" s="1418"/>
      <c r="AJ47" s="1418"/>
      <c r="AK47" s="1621"/>
      <c r="AL47" s="1622"/>
      <c r="AM47" s="1623"/>
      <c r="AN47" s="1623"/>
      <c r="AO47" s="1621"/>
      <c r="AP47" s="1621"/>
      <c r="AQ47" s="1621"/>
      <c r="AR47" s="1621"/>
      <c r="AS47" s="1621"/>
      <c r="AX47" s="1417"/>
    </row>
    <row r="48" ht="20.25">
      <c r="A48" s="1624" t="s">
        <v>550</v>
      </c>
      <c r="B48" s="1625"/>
      <c r="C48" s="1626"/>
      <c r="D48" s="1626"/>
      <c r="E48" s="1626"/>
      <c r="F48" s="1626"/>
      <c r="G48" s="1626"/>
      <c r="H48" s="1626"/>
      <c r="I48" s="1626"/>
      <c r="J48" s="1626"/>
      <c r="K48" s="1626"/>
      <c r="L48" s="1626"/>
      <c r="M48" s="1626"/>
      <c r="N48" s="1626"/>
      <c r="O48" s="1626"/>
      <c r="P48" s="1626"/>
      <c r="Q48" s="1626"/>
      <c r="R48" s="1627"/>
      <c r="S48" s="1627"/>
      <c r="T48" s="1627"/>
      <c r="V48" s="1628" t="s">
        <v>550</v>
      </c>
      <c r="W48" s="1629" t="s">
        <v>6</v>
      </c>
      <c r="X48" s="1630"/>
      <c r="Y48" s="1631" t="s">
        <v>7</v>
      </c>
      <c r="Z48" s="1630"/>
      <c r="AA48" s="1632" t="s">
        <v>8</v>
      </c>
      <c r="AB48" s="1633"/>
      <c r="AC48" s="1631" t="s">
        <v>10</v>
      </c>
      <c r="AD48" s="1634"/>
      <c r="AE48" s="1629" t="s">
        <v>11</v>
      </c>
      <c r="AF48" s="1634"/>
      <c r="AG48" s="1632" t="s">
        <v>12</v>
      </c>
      <c r="AH48" s="1632"/>
      <c r="AI48" s="1631" t="s">
        <v>14</v>
      </c>
      <c r="AJ48" s="1630"/>
      <c r="AK48" s="1632" t="s">
        <v>15</v>
      </c>
      <c r="AL48" s="1635"/>
      <c r="AM48" s="1631" t="s">
        <v>16</v>
      </c>
      <c r="AN48" s="1630"/>
      <c r="AO48" s="1632" t="s">
        <v>18</v>
      </c>
      <c r="AP48" s="1632"/>
      <c r="AQ48" s="1629" t="s">
        <v>19</v>
      </c>
      <c r="AR48" s="1630"/>
      <c r="AS48" s="1636" t="s">
        <v>20</v>
      </c>
      <c r="AT48" s="1637"/>
      <c r="AU48" s="1638" t="s">
        <v>539</v>
      </c>
      <c r="AV48" s="1639"/>
      <c r="AX48" s="1417"/>
      <c r="AZ48" s="1408"/>
    </row>
    <row r="49" s="1445" customFormat="1" ht="20.25" customHeight="1">
      <c r="A49" s="1446" t="s">
        <v>173</v>
      </c>
      <c r="B49" s="1446" t="s">
        <v>6</v>
      </c>
      <c r="C49" s="1446" t="s">
        <v>7</v>
      </c>
      <c r="D49" s="1447" t="s">
        <v>8</v>
      </c>
      <c r="E49" s="1448" t="s">
        <v>9</v>
      </c>
      <c r="F49" s="1447" t="s">
        <v>10</v>
      </c>
      <c r="G49" s="1447" t="s">
        <v>11</v>
      </c>
      <c r="H49" s="1447" t="s">
        <v>12</v>
      </c>
      <c r="I49" s="1448" t="s">
        <v>174</v>
      </c>
      <c r="J49" s="1449" t="s">
        <v>175</v>
      </c>
      <c r="K49" s="1447" t="s">
        <v>14</v>
      </c>
      <c r="L49" s="1447" t="s">
        <v>15</v>
      </c>
      <c r="M49" s="1447" t="s">
        <v>16</v>
      </c>
      <c r="N49" s="1448" t="s">
        <v>17</v>
      </c>
      <c r="O49" s="1449" t="s">
        <v>176</v>
      </c>
      <c r="P49" s="1447" t="s">
        <v>18</v>
      </c>
      <c r="Q49" s="1447" t="s">
        <v>19</v>
      </c>
      <c r="R49" s="1447" t="s">
        <v>20</v>
      </c>
      <c r="S49" s="1448" t="s">
        <v>177</v>
      </c>
      <c r="T49" s="1450" t="s">
        <v>22</v>
      </c>
      <c r="U49" s="1409"/>
      <c r="V49" s="1640" t="s">
        <v>173</v>
      </c>
      <c r="W49" s="1641" t="s">
        <v>92</v>
      </c>
      <c r="X49" s="1642" t="s">
        <v>540</v>
      </c>
      <c r="Y49" s="1460" t="s">
        <v>92</v>
      </c>
      <c r="Z49" s="1461" t="s">
        <v>540</v>
      </c>
      <c r="AA49" s="1643" t="s">
        <v>92</v>
      </c>
      <c r="AB49" s="1644" t="s">
        <v>540</v>
      </c>
      <c r="AC49" s="1460" t="s">
        <v>92</v>
      </c>
      <c r="AD49" s="1461" t="s">
        <v>540</v>
      </c>
      <c r="AE49" s="1460" t="s">
        <v>92</v>
      </c>
      <c r="AF49" s="1461" t="s">
        <v>540</v>
      </c>
      <c r="AG49" s="1643" t="s">
        <v>92</v>
      </c>
      <c r="AH49" s="1644" t="s">
        <v>540</v>
      </c>
      <c r="AI49" s="1460" t="s">
        <v>92</v>
      </c>
      <c r="AJ49" s="1461" t="s">
        <v>540</v>
      </c>
      <c r="AK49" s="1643" t="s">
        <v>92</v>
      </c>
      <c r="AL49" s="1645" t="s">
        <v>540</v>
      </c>
      <c r="AM49" s="1460" t="s">
        <v>92</v>
      </c>
      <c r="AN49" s="1461" t="s">
        <v>540</v>
      </c>
      <c r="AO49" s="1643" t="s">
        <v>92</v>
      </c>
      <c r="AP49" s="1644" t="s">
        <v>540</v>
      </c>
      <c r="AQ49" s="1460" t="s">
        <v>92</v>
      </c>
      <c r="AR49" s="1461" t="s">
        <v>540</v>
      </c>
      <c r="AS49" s="1646" t="s">
        <v>92</v>
      </c>
      <c r="AT49" s="1647" t="s">
        <v>540</v>
      </c>
      <c r="AU49" s="1648" t="s">
        <v>92</v>
      </c>
      <c r="AV49" s="1647" t="s">
        <v>540</v>
      </c>
      <c r="AW49" s="1409"/>
      <c r="AX49" s="1417"/>
      <c r="AY49" s="1409"/>
    </row>
    <row r="50">
      <c r="A50" s="1179" t="s">
        <v>178</v>
      </c>
      <c r="B50" s="1649">
        <f t="shared" ref="B50:B97" si="1922">X50</f>
        <v>0</v>
      </c>
      <c r="C50" s="1462">
        <f t="shared" ref="C50:C97" si="1923">Z50</f>
        <v>0</v>
      </c>
      <c r="D50" s="1462">
        <f t="shared" ref="D50:D97" si="1924">AB50</f>
        <v>0</v>
      </c>
      <c r="E50" s="1512">
        <f t="shared" ref="E50:E97" si="1925">B50+C50+D50</f>
        <v>0</v>
      </c>
      <c r="F50" s="1462">
        <f t="shared" ref="F50:F97" si="1926">AD50</f>
        <v>0</v>
      </c>
      <c r="G50" s="1462">
        <f t="shared" ref="G50:G97" si="1927">AF50</f>
        <v>0</v>
      </c>
      <c r="H50" s="1462">
        <f t="shared" ref="H50:H97" si="1928">AH50</f>
        <v>0</v>
      </c>
      <c r="I50" s="1463">
        <f t="shared" ref="I50:I97" si="1929">F50+G50+H50</f>
        <v>0</v>
      </c>
      <c r="J50" s="1464">
        <f t="shared" ref="J50:J97" si="1930">E50+I50</f>
        <v>0</v>
      </c>
      <c r="K50" s="1462">
        <f t="shared" ref="K50:K97" si="1931">AJ50</f>
        <v>0</v>
      </c>
      <c r="L50" s="1462">
        <f t="shared" ref="L50:L97" si="1932">AL50</f>
        <v>0</v>
      </c>
      <c r="M50" s="1462">
        <f t="shared" ref="M50:M97" si="1933">AN50</f>
        <v>0</v>
      </c>
      <c r="N50" s="1463">
        <f t="shared" ref="N50:N97" si="1934">K50+L50+M50</f>
        <v>0</v>
      </c>
      <c r="O50" s="1464">
        <f t="shared" ref="O50:O97" si="1935">J50+N50</f>
        <v>0</v>
      </c>
      <c r="P50" s="1462">
        <f t="shared" ref="P50:P97" si="1936">AP50</f>
        <v>0</v>
      </c>
      <c r="Q50" s="1462">
        <f t="shared" ref="Q50:Q97" si="1937">AR50</f>
        <v>0</v>
      </c>
      <c r="R50" s="1462">
        <f t="shared" ref="R50:R97" si="1938">AT50</f>
        <v>0</v>
      </c>
      <c r="S50" s="1463">
        <f t="shared" ref="S50:S97" si="1939">P50+Q50+R50</f>
        <v>0</v>
      </c>
      <c r="T50" s="1465">
        <f t="shared" ref="T50:T97" si="1940">O50+S50</f>
        <v>0</v>
      </c>
      <c r="U50" s="1017"/>
      <c r="V50" s="1650" t="s">
        <v>178</v>
      </c>
      <c r="W50" s="1476">
        <v>0</v>
      </c>
      <c r="X50" s="1479">
        <v>0</v>
      </c>
      <c r="Y50" s="1651">
        <v>0</v>
      </c>
      <c r="Z50" s="1652">
        <v>0</v>
      </c>
      <c r="AA50" s="1653"/>
      <c r="AB50" s="1654"/>
      <c r="AC50" s="1651"/>
      <c r="AD50" s="1475"/>
      <c r="AE50" s="1476"/>
      <c r="AF50" s="1652"/>
      <c r="AG50" s="1655"/>
      <c r="AH50" s="1542"/>
      <c r="AI50" s="1656"/>
      <c r="AJ50" s="1528"/>
      <c r="AK50" s="1657"/>
      <c r="AL50" s="1658"/>
      <c r="AM50" s="1651"/>
      <c r="AN50" s="1652"/>
      <c r="AO50" s="1659"/>
      <c r="AP50" s="1660"/>
      <c r="AQ50" s="1661"/>
      <c r="AR50" s="1528"/>
      <c r="AS50" s="1662"/>
      <c r="AT50" s="1528"/>
      <c r="AU50" s="1493">
        <f t="shared" ref="AU50:AV57" si="1941">W50+Y50+AA50+AC50+AE50+AG50+AI50+AK50+AM50+AO50+AQ50+AS50</f>
        <v>0</v>
      </c>
      <c r="AV50" s="1494">
        <f t="shared" si="1941"/>
        <v>0</v>
      </c>
      <c r="AW50" s="1413"/>
      <c r="AX50" s="1663"/>
      <c r="AY50" s="1413">
        <v>0</v>
      </c>
      <c r="AZ50" s="1408">
        <v>0</v>
      </c>
    </row>
    <row r="51">
      <c r="A51" s="1179" t="s">
        <v>354</v>
      </c>
      <c r="B51" s="1649">
        <f t="shared" si="1922"/>
        <v>0</v>
      </c>
      <c r="C51" s="1462">
        <f t="shared" si="1923"/>
        <v>0</v>
      </c>
      <c r="D51" s="1462">
        <f t="shared" si="1924"/>
        <v>0</v>
      </c>
      <c r="E51" s="1512">
        <f t="shared" si="1925"/>
        <v>0</v>
      </c>
      <c r="F51" s="1462">
        <f t="shared" si="1926"/>
        <v>0</v>
      </c>
      <c r="G51" s="1462">
        <f t="shared" si="1927"/>
        <v>0</v>
      </c>
      <c r="H51" s="1462">
        <f t="shared" si="1928"/>
        <v>0</v>
      </c>
      <c r="I51" s="1463">
        <f t="shared" si="1929"/>
        <v>0</v>
      </c>
      <c r="J51" s="1464">
        <f t="shared" si="1930"/>
        <v>0</v>
      </c>
      <c r="K51" s="1462">
        <f t="shared" si="1931"/>
        <v>0</v>
      </c>
      <c r="L51" s="1462">
        <f t="shared" si="1932"/>
        <v>0</v>
      </c>
      <c r="M51" s="1462">
        <f t="shared" si="1933"/>
        <v>0</v>
      </c>
      <c r="N51" s="1463">
        <f t="shared" si="1934"/>
        <v>0</v>
      </c>
      <c r="O51" s="1464">
        <f t="shared" si="1935"/>
        <v>0</v>
      </c>
      <c r="P51" s="1462">
        <f t="shared" si="1936"/>
        <v>0</v>
      </c>
      <c r="Q51" s="1462">
        <f t="shared" si="1937"/>
        <v>0</v>
      </c>
      <c r="R51" s="1462">
        <f t="shared" si="1938"/>
        <v>0</v>
      </c>
      <c r="S51" s="1463">
        <f t="shared" si="1939"/>
        <v>0</v>
      </c>
      <c r="T51" s="1465">
        <f t="shared" si="1940"/>
        <v>0</v>
      </c>
      <c r="U51" s="1017"/>
      <c r="V51" s="1664" t="s">
        <v>354</v>
      </c>
      <c r="W51" s="1665">
        <v>0</v>
      </c>
      <c r="X51" s="1604">
        <v>0</v>
      </c>
      <c r="Y51" s="1605">
        <v>0</v>
      </c>
      <c r="Z51" s="1604">
        <v>0</v>
      </c>
      <c r="AA51" s="1666"/>
      <c r="AB51" s="1667"/>
      <c r="AC51" s="1605"/>
      <c r="AD51" s="1489"/>
      <c r="AE51" s="1490"/>
      <c r="AF51" s="1604"/>
      <c r="AG51" s="1668"/>
      <c r="AH51" s="1669"/>
      <c r="AI51" s="1670"/>
      <c r="AJ51" s="1671"/>
      <c r="AK51" s="1672"/>
      <c r="AL51" s="1673"/>
      <c r="AM51" s="1605"/>
      <c r="AN51" s="1604"/>
      <c r="AO51" s="1674"/>
      <c r="AP51" s="1675"/>
      <c r="AQ51" s="1676"/>
      <c r="AR51" s="1677"/>
      <c r="AS51" s="1678"/>
      <c r="AT51" s="1677"/>
      <c r="AU51" s="1493">
        <f t="shared" si="1941"/>
        <v>0</v>
      </c>
      <c r="AV51" s="1494">
        <f t="shared" si="1941"/>
        <v>0</v>
      </c>
      <c r="AW51" s="1413"/>
      <c r="AX51" s="1663"/>
      <c r="AY51" s="1413">
        <v>0</v>
      </c>
      <c r="AZ51" s="1408">
        <v>0</v>
      </c>
    </row>
    <row r="52">
      <c r="A52" s="1179" t="s">
        <v>551</v>
      </c>
      <c r="B52" s="1649">
        <f t="shared" si="1922"/>
        <v>7353116.7199999988</v>
      </c>
      <c r="C52" s="1462">
        <f t="shared" si="1923"/>
        <v>5982922.148</v>
      </c>
      <c r="D52" s="1462">
        <f t="shared" si="1924"/>
        <v>0</v>
      </c>
      <c r="E52" s="1512">
        <f t="shared" si="1925"/>
        <v>13336038.867999999</v>
      </c>
      <c r="F52" s="1462">
        <f t="shared" si="1926"/>
        <v>0</v>
      </c>
      <c r="G52" s="1462">
        <f t="shared" si="1927"/>
        <v>0</v>
      </c>
      <c r="H52" s="1462">
        <f t="shared" si="1928"/>
        <v>0</v>
      </c>
      <c r="I52" s="1463">
        <f t="shared" si="1929"/>
        <v>0</v>
      </c>
      <c r="J52" s="1464">
        <f t="shared" si="1930"/>
        <v>13336038.867999999</v>
      </c>
      <c r="K52" s="1462">
        <f t="shared" si="1931"/>
        <v>0</v>
      </c>
      <c r="L52" s="1462">
        <f t="shared" si="1932"/>
        <v>0</v>
      </c>
      <c r="M52" s="1462">
        <f t="shared" si="1933"/>
        <v>0</v>
      </c>
      <c r="N52" s="1463">
        <f t="shared" si="1934"/>
        <v>0</v>
      </c>
      <c r="O52" s="1464">
        <f t="shared" si="1935"/>
        <v>13336038.867999999</v>
      </c>
      <c r="P52" s="1462">
        <f t="shared" si="1936"/>
        <v>0</v>
      </c>
      <c r="Q52" s="1462">
        <f t="shared" si="1937"/>
        <v>0</v>
      </c>
      <c r="R52" s="1462">
        <f t="shared" si="1938"/>
        <v>0</v>
      </c>
      <c r="S52" s="1463">
        <f t="shared" si="1939"/>
        <v>0</v>
      </c>
      <c r="T52" s="1465">
        <f t="shared" si="1940"/>
        <v>13336038.867999999</v>
      </c>
      <c r="U52" s="1017"/>
      <c r="V52" s="1664" t="s">
        <v>551</v>
      </c>
      <c r="W52" s="1679">
        <v>98</v>
      </c>
      <c r="X52" s="1604">
        <v>7353116.7199999988</v>
      </c>
      <c r="Y52" s="1605">
        <v>105</v>
      </c>
      <c r="Z52" s="1604">
        <v>5982922.148</v>
      </c>
      <c r="AA52" s="1666"/>
      <c r="AB52" s="1667"/>
      <c r="AC52" s="1605"/>
      <c r="AD52" s="1489"/>
      <c r="AE52" s="1490"/>
      <c r="AF52" s="1604"/>
      <c r="AG52" s="1655"/>
      <c r="AH52" s="1542"/>
      <c r="AI52" s="1656"/>
      <c r="AJ52" s="1528"/>
      <c r="AK52" s="1657"/>
      <c r="AL52" s="1658"/>
      <c r="AM52" s="1605"/>
      <c r="AN52" s="1604"/>
      <c r="AO52" s="1674"/>
      <c r="AP52" s="1675"/>
      <c r="AQ52" s="1661"/>
      <c r="AR52" s="1528"/>
      <c r="AS52" s="1662"/>
      <c r="AT52" s="1528"/>
      <c r="AU52" s="1493">
        <f t="shared" si="1941"/>
        <v>203</v>
      </c>
      <c r="AV52" s="1494">
        <f t="shared" si="1941"/>
        <v>13336038.867999999</v>
      </c>
      <c r="AW52" s="1413"/>
      <c r="AX52" s="1663"/>
      <c r="AY52" s="1413">
        <v>0</v>
      </c>
      <c r="AZ52" s="1408">
        <v>0</v>
      </c>
    </row>
    <row r="53">
      <c r="A53" s="1179" t="s">
        <v>182</v>
      </c>
      <c r="B53" s="1649">
        <f t="shared" si="1922"/>
        <v>0</v>
      </c>
      <c r="C53" s="1462">
        <f t="shared" si="1923"/>
        <v>0</v>
      </c>
      <c r="D53" s="1462">
        <f t="shared" si="1924"/>
        <v>0</v>
      </c>
      <c r="E53" s="1512">
        <f t="shared" si="1925"/>
        <v>0</v>
      </c>
      <c r="F53" s="1462">
        <f t="shared" si="1926"/>
        <v>0</v>
      </c>
      <c r="G53" s="1462">
        <f t="shared" si="1927"/>
        <v>0</v>
      </c>
      <c r="H53" s="1462">
        <f t="shared" si="1928"/>
        <v>0</v>
      </c>
      <c r="I53" s="1463">
        <f t="shared" si="1929"/>
        <v>0</v>
      </c>
      <c r="J53" s="1464">
        <f t="shared" si="1930"/>
        <v>0</v>
      </c>
      <c r="K53" s="1462">
        <f t="shared" si="1931"/>
        <v>0</v>
      </c>
      <c r="L53" s="1462">
        <f t="shared" si="1932"/>
        <v>0</v>
      </c>
      <c r="M53" s="1462">
        <f t="shared" si="1933"/>
        <v>0</v>
      </c>
      <c r="N53" s="1463">
        <f t="shared" si="1934"/>
        <v>0</v>
      </c>
      <c r="O53" s="1464">
        <f t="shared" si="1935"/>
        <v>0</v>
      </c>
      <c r="P53" s="1462">
        <f t="shared" si="1936"/>
        <v>0</v>
      </c>
      <c r="Q53" s="1462">
        <f t="shared" si="1937"/>
        <v>0</v>
      </c>
      <c r="R53" s="1462">
        <f t="shared" si="1938"/>
        <v>0</v>
      </c>
      <c r="S53" s="1463">
        <f t="shared" si="1939"/>
        <v>0</v>
      </c>
      <c r="T53" s="1465">
        <f t="shared" si="1940"/>
        <v>0</v>
      </c>
      <c r="U53" s="1017"/>
      <c r="V53" s="1680" t="s">
        <v>182</v>
      </c>
      <c r="W53" s="1490">
        <v>0</v>
      </c>
      <c r="X53" s="1604">
        <v>0</v>
      </c>
      <c r="Y53" s="1605">
        <v>0</v>
      </c>
      <c r="Z53" s="1604">
        <v>0</v>
      </c>
      <c r="AA53" s="1666"/>
      <c r="AB53" s="1667"/>
      <c r="AC53" s="1605"/>
      <c r="AD53" s="1489"/>
      <c r="AE53" s="1490"/>
      <c r="AF53" s="1604"/>
      <c r="AG53" s="1655"/>
      <c r="AH53" s="1542"/>
      <c r="AI53" s="1656"/>
      <c r="AJ53" s="1528"/>
      <c r="AK53" s="1657"/>
      <c r="AL53" s="1658"/>
      <c r="AM53" s="1605"/>
      <c r="AN53" s="1604"/>
      <c r="AO53" s="1674"/>
      <c r="AP53" s="1675"/>
      <c r="AQ53" s="1661"/>
      <c r="AR53" s="1528"/>
      <c r="AS53" s="1662"/>
      <c r="AT53" s="1528"/>
      <c r="AU53" s="1493">
        <f t="shared" si="1941"/>
        <v>0</v>
      </c>
      <c r="AV53" s="1494">
        <f t="shared" si="1941"/>
        <v>0</v>
      </c>
      <c r="AW53" s="1413"/>
      <c r="AX53" s="1663"/>
      <c r="AY53" s="1413">
        <v>0</v>
      </c>
      <c r="AZ53" s="1408">
        <v>0</v>
      </c>
    </row>
    <row r="54">
      <c r="A54" s="1179" t="s">
        <v>183</v>
      </c>
      <c r="B54" s="1649">
        <f t="shared" si="1922"/>
        <v>0</v>
      </c>
      <c r="C54" s="1462">
        <f t="shared" si="1923"/>
        <v>1423.037</v>
      </c>
      <c r="D54" s="1462">
        <f t="shared" si="1924"/>
        <v>0</v>
      </c>
      <c r="E54" s="1512">
        <f t="shared" si="1925"/>
        <v>1423.037</v>
      </c>
      <c r="F54" s="1462">
        <f t="shared" si="1926"/>
        <v>0</v>
      </c>
      <c r="G54" s="1462">
        <f t="shared" si="1927"/>
        <v>0</v>
      </c>
      <c r="H54" s="1462">
        <f t="shared" si="1928"/>
        <v>0</v>
      </c>
      <c r="I54" s="1463">
        <f t="shared" si="1929"/>
        <v>0</v>
      </c>
      <c r="J54" s="1464">
        <f t="shared" si="1930"/>
        <v>1423.037</v>
      </c>
      <c r="K54" s="1462">
        <f t="shared" si="1931"/>
        <v>0</v>
      </c>
      <c r="L54" s="1462">
        <f t="shared" si="1932"/>
        <v>0</v>
      </c>
      <c r="M54" s="1462">
        <f t="shared" si="1933"/>
        <v>0</v>
      </c>
      <c r="N54" s="1463">
        <f t="shared" si="1934"/>
        <v>0</v>
      </c>
      <c r="O54" s="1464">
        <f t="shared" si="1935"/>
        <v>1423.037</v>
      </c>
      <c r="P54" s="1462">
        <f t="shared" si="1936"/>
        <v>0</v>
      </c>
      <c r="Q54" s="1462">
        <f t="shared" si="1937"/>
        <v>0</v>
      </c>
      <c r="R54" s="1462">
        <f t="shared" si="1938"/>
        <v>0</v>
      </c>
      <c r="S54" s="1463">
        <f t="shared" si="1939"/>
        <v>0</v>
      </c>
      <c r="T54" s="1465">
        <f t="shared" si="1940"/>
        <v>1423.037</v>
      </c>
      <c r="U54" s="1017"/>
      <c r="V54" s="1681" t="s">
        <v>183</v>
      </c>
      <c r="W54" s="1490">
        <v>0</v>
      </c>
      <c r="X54" s="1604">
        <v>0</v>
      </c>
      <c r="Y54" s="1605">
        <v>1</v>
      </c>
      <c r="Z54" s="1604">
        <v>1423.037</v>
      </c>
      <c r="AA54" s="1666"/>
      <c r="AB54" s="1667"/>
      <c r="AC54" s="1605"/>
      <c r="AD54" s="1489"/>
      <c r="AE54" s="1490"/>
      <c r="AF54" s="1604"/>
      <c r="AG54" s="1655"/>
      <c r="AH54" s="1542"/>
      <c r="AI54" s="1656"/>
      <c r="AJ54" s="1544"/>
      <c r="AK54" s="1657"/>
      <c r="AL54" s="1658"/>
      <c r="AM54" s="1605"/>
      <c r="AN54" s="1604"/>
      <c r="AO54" s="1674"/>
      <c r="AP54" s="1675"/>
      <c r="AQ54" s="1661"/>
      <c r="AR54" s="1528"/>
      <c r="AS54" s="1662"/>
      <c r="AT54" s="1528"/>
      <c r="AU54" s="1493">
        <f t="shared" si="1941"/>
        <v>1</v>
      </c>
      <c r="AV54" s="1494">
        <f t="shared" si="1941"/>
        <v>1423.037</v>
      </c>
      <c r="AW54" s="1413"/>
      <c r="AX54" s="1663"/>
      <c r="AY54" s="1413">
        <v>0</v>
      </c>
      <c r="AZ54" s="1408">
        <v>0</v>
      </c>
    </row>
    <row r="55">
      <c r="A55" s="1179" t="s">
        <v>184</v>
      </c>
      <c r="B55" s="1649">
        <f t="shared" si="1922"/>
        <v>0</v>
      </c>
      <c r="C55" s="1462">
        <f t="shared" si="1923"/>
        <v>0</v>
      </c>
      <c r="D55" s="1462">
        <f t="shared" si="1924"/>
        <v>0</v>
      </c>
      <c r="E55" s="1512">
        <f t="shared" si="1925"/>
        <v>0</v>
      </c>
      <c r="F55" s="1462">
        <f t="shared" si="1926"/>
        <v>0</v>
      </c>
      <c r="G55" s="1462">
        <f t="shared" si="1927"/>
        <v>0</v>
      </c>
      <c r="H55" s="1462">
        <f t="shared" si="1928"/>
        <v>0</v>
      </c>
      <c r="I55" s="1463">
        <f t="shared" si="1929"/>
        <v>0</v>
      </c>
      <c r="J55" s="1464">
        <f t="shared" si="1930"/>
        <v>0</v>
      </c>
      <c r="K55" s="1462">
        <f t="shared" si="1931"/>
        <v>0</v>
      </c>
      <c r="L55" s="1462">
        <f t="shared" si="1932"/>
        <v>0</v>
      </c>
      <c r="M55" s="1462">
        <f t="shared" si="1933"/>
        <v>0</v>
      </c>
      <c r="N55" s="1463">
        <f t="shared" si="1934"/>
        <v>0</v>
      </c>
      <c r="O55" s="1464">
        <f t="shared" si="1935"/>
        <v>0</v>
      </c>
      <c r="P55" s="1462">
        <f t="shared" si="1936"/>
        <v>0</v>
      </c>
      <c r="Q55" s="1462">
        <f t="shared" si="1937"/>
        <v>0</v>
      </c>
      <c r="R55" s="1462">
        <f t="shared" si="1938"/>
        <v>0</v>
      </c>
      <c r="S55" s="1463">
        <f t="shared" si="1939"/>
        <v>0</v>
      </c>
      <c r="T55" s="1465">
        <f t="shared" si="1940"/>
        <v>0</v>
      </c>
      <c r="U55" s="1017"/>
      <c r="V55" s="1681" t="s">
        <v>184</v>
      </c>
      <c r="W55" s="1490">
        <v>0</v>
      </c>
      <c r="X55" s="1604">
        <v>0</v>
      </c>
      <c r="Y55" s="1605">
        <v>0</v>
      </c>
      <c r="Z55" s="1604">
        <v>0</v>
      </c>
      <c r="AA55" s="1666"/>
      <c r="AB55" s="1667"/>
      <c r="AC55" s="1605"/>
      <c r="AD55" s="1489"/>
      <c r="AE55" s="1490"/>
      <c r="AF55" s="1604"/>
      <c r="AG55" s="1655"/>
      <c r="AH55" s="1542"/>
      <c r="AI55" s="1656"/>
      <c r="AJ55" s="1528"/>
      <c r="AK55" s="1657"/>
      <c r="AL55" s="1658"/>
      <c r="AM55" s="1605"/>
      <c r="AN55" s="1604"/>
      <c r="AO55" s="1674"/>
      <c r="AP55" s="1675"/>
      <c r="AQ55" s="1661"/>
      <c r="AR55" s="1528"/>
      <c r="AS55" s="1662"/>
      <c r="AT55" s="1528"/>
      <c r="AU55" s="1493">
        <f t="shared" si="1941"/>
        <v>0</v>
      </c>
      <c r="AV55" s="1494">
        <f t="shared" si="1941"/>
        <v>0</v>
      </c>
      <c r="AW55" s="1413"/>
      <c r="AX55" s="1663"/>
      <c r="AY55" s="1413">
        <v>0</v>
      </c>
      <c r="AZ55" s="1408">
        <v>0</v>
      </c>
    </row>
    <row r="56">
      <c r="A56" s="1682" t="s">
        <v>541</v>
      </c>
      <c r="B56" s="1649">
        <f t="shared" si="1922"/>
        <v>0</v>
      </c>
      <c r="C56" s="1462">
        <f t="shared" si="1923"/>
        <v>0</v>
      </c>
      <c r="D56" s="1462">
        <f t="shared" si="1924"/>
        <v>0</v>
      </c>
      <c r="E56" s="1512">
        <f t="shared" si="1925"/>
        <v>0</v>
      </c>
      <c r="F56" s="1462">
        <f t="shared" si="1926"/>
        <v>0</v>
      </c>
      <c r="G56" s="1462">
        <f t="shared" si="1927"/>
        <v>0</v>
      </c>
      <c r="H56" s="1462">
        <f t="shared" si="1928"/>
        <v>0</v>
      </c>
      <c r="I56" s="1463">
        <f t="shared" si="1929"/>
        <v>0</v>
      </c>
      <c r="J56" s="1464">
        <f t="shared" si="1930"/>
        <v>0</v>
      </c>
      <c r="K56" s="1462">
        <f t="shared" si="1931"/>
        <v>0</v>
      </c>
      <c r="L56" s="1462">
        <f t="shared" si="1932"/>
        <v>0</v>
      </c>
      <c r="M56" s="1462">
        <f t="shared" si="1933"/>
        <v>0</v>
      </c>
      <c r="N56" s="1463">
        <f t="shared" si="1934"/>
        <v>0</v>
      </c>
      <c r="O56" s="1464">
        <f t="shared" si="1935"/>
        <v>0</v>
      </c>
      <c r="P56" s="1462">
        <f t="shared" si="1936"/>
        <v>0</v>
      </c>
      <c r="Q56" s="1462">
        <f t="shared" si="1937"/>
        <v>0</v>
      </c>
      <c r="R56" s="1462">
        <f t="shared" si="1938"/>
        <v>0</v>
      </c>
      <c r="S56" s="1463">
        <f t="shared" si="1939"/>
        <v>0</v>
      </c>
      <c r="T56" s="1465">
        <f t="shared" si="1940"/>
        <v>0</v>
      </c>
      <c r="U56" s="1017"/>
      <c r="V56" s="1683" t="s">
        <v>541</v>
      </c>
      <c r="W56" s="1503">
        <v>0</v>
      </c>
      <c r="X56" s="1684">
        <v>0</v>
      </c>
      <c r="Y56" s="1685">
        <v>0</v>
      </c>
      <c r="Z56" s="1684">
        <v>0</v>
      </c>
      <c r="AA56" s="1686"/>
      <c r="AB56" s="1687"/>
      <c r="AC56" s="1605"/>
      <c r="AD56" s="1489"/>
      <c r="AE56" s="1503"/>
      <c r="AF56" s="1684"/>
      <c r="AG56" s="1655"/>
      <c r="AH56" s="1542"/>
      <c r="AI56" s="1688"/>
      <c r="AJ56" s="1689"/>
      <c r="AK56" s="1690"/>
      <c r="AL56" s="1691"/>
      <c r="AM56" s="1685"/>
      <c r="AN56" s="1684"/>
      <c r="AO56" s="1692"/>
      <c r="AP56" s="1693"/>
      <c r="AQ56" s="1661"/>
      <c r="AR56" s="1528"/>
      <c r="AS56" s="1694"/>
      <c r="AT56" s="1689"/>
      <c r="AU56" s="1493">
        <f t="shared" si="1941"/>
        <v>0</v>
      </c>
      <c r="AV56" s="1494">
        <f t="shared" ref="AV56:AV57" si="1942">X56+Z56+AB56+AD56+AF56+AH56+AJ56+AL56+AN56+AP56+AR56+AT56</f>
        <v>0</v>
      </c>
      <c r="AW56" s="1413"/>
      <c r="AX56" s="1663"/>
      <c r="AY56" s="1413"/>
      <c r="AZ56" s="1408"/>
    </row>
    <row r="57">
      <c r="A57" s="1179" t="s">
        <v>185</v>
      </c>
      <c r="B57" s="1649">
        <f t="shared" si="1922"/>
        <v>0</v>
      </c>
      <c r="C57" s="1462">
        <f t="shared" si="1923"/>
        <v>0</v>
      </c>
      <c r="D57" s="1462">
        <f t="shared" si="1924"/>
        <v>0</v>
      </c>
      <c r="E57" s="1512">
        <f t="shared" si="1925"/>
        <v>0</v>
      </c>
      <c r="F57" s="1462">
        <f t="shared" si="1926"/>
        <v>0</v>
      </c>
      <c r="G57" s="1462">
        <f t="shared" si="1927"/>
        <v>0</v>
      </c>
      <c r="H57" s="1462">
        <f t="shared" si="1928"/>
        <v>0</v>
      </c>
      <c r="I57" s="1463">
        <f t="shared" si="1929"/>
        <v>0</v>
      </c>
      <c r="J57" s="1464">
        <f t="shared" si="1930"/>
        <v>0</v>
      </c>
      <c r="K57" s="1462">
        <f t="shared" si="1931"/>
        <v>0</v>
      </c>
      <c r="L57" s="1462">
        <f t="shared" si="1932"/>
        <v>0</v>
      </c>
      <c r="M57" s="1462">
        <f t="shared" si="1933"/>
        <v>0</v>
      </c>
      <c r="N57" s="1463">
        <f t="shared" si="1934"/>
        <v>0</v>
      </c>
      <c r="O57" s="1464">
        <f t="shared" si="1935"/>
        <v>0</v>
      </c>
      <c r="P57" s="1462">
        <f t="shared" si="1936"/>
        <v>0</v>
      </c>
      <c r="Q57" s="1462">
        <f t="shared" si="1937"/>
        <v>0</v>
      </c>
      <c r="R57" s="1462">
        <f t="shared" si="1938"/>
        <v>0</v>
      </c>
      <c r="S57" s="1463">
        <f t="shared" si="1939"/>
        <v>0</v>
      </c>
      <c r="T57" s="1465">
        <f t="shared" si="1940"/>
        <v>0</v>
      </c>
      <c r="U57" s="1017"/>
      <c r="V57" s="1695" t="s">
        <v>185</v>
      </c>
      <c r="W57" s="1503">
        <v>0</v>
      </c>
      <c r="X57" s="1684">
        <v>0</v>
      </c>
      <c r="Y57" s="1685">
        <v>0</v>
      </c>
      <c r="Z57" s="1684">
        <v>0</v>
      </c>
      <c r="AA57" s="1686"/>
      <c r="AB57" s="1687"/>
      <c r="AC57" s="1685"/>
      <c r="AD57" s="1502"/>
      <c r="AE57" s="1503"/>
      <c r="AF57" s="1684"/>
      <c r="AG57" s="1696"/>
      <c r="AH57" s="1697"/>
      <c r="AI57" s="1688"/>
      <c r="AJ57" s="1698"/>
      <c r="AK57" s="1690"/>
      <c r="AL57" s="1691"/>
      <c r="AM57" s="1685"/>
      <c r="AN57" s="1684"/>
      <c r="AO57" s="1692"/>
      <c r="AP57" s="1693"/>
      <c r="AQ57" s="1699"/>
      <c r="AR57" s="1689"/>
      <c r="AS57" s="1694"/>
      <c r="AT57" s="1689"/>
      <c r="AU57" s="1493">
        <f t="shared" si="1941"/>
        <v>0</v>
      </c>
      <c r="AV57" s="1494">
        <f t="shared" si="1942"/>
        <v>0</v>
      </c>
      <c r="AW57" s="1413"/>
      <c r="AX57" s="1663"/>
      <c r="AY57" s="1413">
        <v>0</v>
      </c>
      <c r="AZ57" s="1408">
        <v>0</v>
      </c>
    </row>
    <row r="58" s="1510" customFormat="1" ht="21" customHeight="1">
      <c r="A58" s="1511" t="s">
        <v>363</v>
      </c>
      <c r="B58" s="1700">
        <f t="shared" si="1922"/>
        <v>7353116.7199999988</v>
      </c>
      <c r="C58" s="1302">
        <f t="shared" si="1923"/>
        <v>5984345.1849999996</v>
      </c>
      <c r="D58" s="1302">
        <f t="shared" si="1924"/>
        <v>0</v>
      </c>
      <c r="E58" s="1512">
        <f t="shared" si="1925"/>
        <v>13337461.904999997</v>
      </c>
      <c r="F58" s="1302">
        <f t="shared" si="1926"/>
        <v>0</v>
      </c>
      <c r="G58" s="1302">
        <f t="shared" si="1927"/>
        <v>0</v>
      </c>
      <c r="H58" s="1302">
        <f t="shared" si="1928"/>
        <v>0</v>
      </c>
      <c r="I58" s="1512">
        <f t="shared" si="1929"/>
        <v>0</v>
      </c>
      <c r="J58" s="1513">
        <f t="shared" si="1930"/>
        <v>13337461.904999997</v>
      </c>
      <c r="K58" s="1302">
        <f t="shared" si="1931"/>
        <v>0</v>
      </c>
      <c r="L58" s="1302">
        <f t="shared" si="1932"/>
        <v>0</v>
      </c>
      <c r="M58" s="1302">
        <f t="shared" si="1933"/>
        <v>0</v>
      </c>
      <c r="N58" s="1512">
        <f t="shared" si="1934"/>
        <v>0</v>
      </c>
      <c r="O58" s="1513">
        <f t="shared" si="1935"/>
        <v>13337461.904999997</v>
      </c>
      <c r="P58" s="1302">
        <f t="shared" si="1936"/>
        <v>0</v>
      </c>
      <c r="Q58" s="1302">
        <f t="shared" si="1937"/>
        <v>0</v>
      </c>
      <c r="R58" s="1302">
        <f t="shared" si="1938"/>
        <v>0</v>
      </c>
      <c r="S58" s="1512">
        <f t="shared" si="1939"/>
        <v>0</v>
      </c>
      <c r="T58" s="1514">
        <f t="shared" si="1940"/>
        <v>13337461.904999997</v>
      </c>
      <c r="U58" s="1017"/>
      <c r="V58" s="1701" t="s">
        <v>363</v>
      </c>
      <c r="W58" s="1521">
        <f t="shared" ref="W58:AV58" si="1943">SUM(W50:W57)</f>
        <v>98</v>
      </c>
      <c r="X58" s="1702">
        <f t="shared" si="1943"/>
        <v>7353116.7199999988</v>
      </c>
      <c r="Y58" s="1521">
        <f t="shared" si="1943"/>
        <v>106</v>
      </c>
      <c r="Z58" s="1703">
        <f t="shared" si="1943"/>
        <v>5984345.1849999996</v>
      </c>
      <c r="AA58" s="1704">
        <f t="shared" si="1943"/>
        <v>0</v>
      </c>
      <c r="AB58" s="1705">
        <f t="shared" si="1943"/>
        <v>0</v>
      </c>
      <c r="AC58" s="1521">
        <f>SUM(AC50:AC57)</f>
        <v>0</v>
      </c>
      <c r="AD58" s="1706">
        <f>SUM(AD50:AD57)</f>
        <v>0</v>
      </c>
      <c r="AE58" s="1521">
        <f>SUM(AE50:AE57)</f>
        <v>0</v>
      </c>
      <c r="AF58" s="1707">
        <f>SUM(AF50:AF57)</f>
        <v>0</v>
      </c>
      <c r="AG58" s="1704">
        <f t="shared" si="1943"/>
        <v>0</v>
      </c>
      <c r="AH58" s="1708">
        <f t="shared" si="1943"/>
        <v>0</v>
      </c>
      <c r="AI58" s="1521">
        <f t="shared" si="1943"/>
        <v>0</v>
      </c>
      <c r="AJ58" s="1707">
        <f t="shared" si="1943"/>
        <v>0</v>
      </c>
      <c r="AK58" s="1704">
        <f t="shared" si="1943"/>
        <v>0</v>
      </c>
      <c r="AL58" s="1709">
        <f t="shared" si="1943"/>
        <v>0</v>
      </c>
      <c r="AM58" s="1521">
        <f t="shared" si="1943"/>
        <v>0</v>
      </c>
      <c r="AN58" s="1707">
        <f t="shared" si="1943"/>
        <v>0</v>
      </c>
      <c r="AO58" s="1704">
        <f t="shared" si="1943"/>
        <v>0</v>
      </c>
      <c r="AP58" s="1709">
        <f t="shared" si="1943"/>
        <v>0</v>
      </c>
      <c r="AQ58" s="1521">
        <f t="shared" si="1943"/>
        <v>0</v>
      </c>
      <c r="AR58" s="1707">
        <f t="shared" si="1943"/>
        <v>0</v>
      </c>
      <c r="AS58" s="1704">
        <f t="shared" si="1943"/>
        <v>0</v>
      </c>
      <c r="AT58" s="1710">
        <f t="shared" si="1943"/>
        <v>0</v>
      </c>
      <c r="AU58" s="1519">
        <f t="shared" si="1943"/>
        <v>204</v>
      </c>
      <c r="AV58" s="1518">
        <f t="shared" si="1943"/>
        <v>13337461.904999999</v>
      </c>
      <c r="AW58" s="1526"/>
      <c r="AX58" s="1711"/>
      <c r="AY58" s="1526"/>
    </row>
    <row r="59">
      <c r="A59" s="1179" t="s">
        <v>542</v>
      </c>
      <c r="B59" s="1649">
        <f t="shared" si="1922"/>
        <v>0</v>
      </c>
      <c r="C59" s="1462">
        <f t="shared" si="1923"/>
        <v>0</v>
      </c>
      <c r="D59" s="1462">
        <f t="shared" si="1924"/>
        <v>0</v>
      </c>
      <c r="E59" s="1512">
        <f t="shared" si="1925"/>
        <v>0</v>
      </c>
      <c r="F59" s="1462">
        <f t="shared" si="1926"/>
        <v>0</v>
      </c>
      <c r="G59" s="1462">
        <f t="shared" si="1927"/>
        <v>0</v>
      </c>
      <c r="H59" s="1462">
        <f t="shared" si="1928"/>
        <v>0</v>
      </c>
      <c r="I59" s="1463">
        <f t="shared" si="1929"/>
        <v>0</v>
      </c>
      <c r="J59" s="1464">
        <f t="shared" si="1930"/>
        <v>0</v>
      </c>
      <c r="K59" s="1462">
        <f t="shared" si="1931"/>
        <v>0</v>
      </c>
      <c r="L59" s="1462">
        <f t="shared" si="1932"/>
        <v>0</v>
      </c>
      <c r="M59" s="1462">
        <f t="shared" si="1933"/>
        <v>0</v>
      </c>
      <c r="N59" s="1463">
        <f t="shared" si="1934"/>
        <v>0</v>
      </c>
      <c r="O59" s="1464">
        <f t="shared" si="1935"/>
        <v>0</v>
      </c>
      <c r="P59" s="1462">
        <f t="shared" si="1936"/>
        <v>0</v>
      </c>
      <c r="Q59" s="1462">
        <f t="shared" si="1937"/>
        <v>0</v>
      </c>
      <c r="R59" s="1462">
        <f t="shared" si="1938"/>
        <v>0</v>
      </c>
      <c r="S59" s="1463">
        <f t="shared" si="1939"/>
        <v>0</v>
      </c>
      <c r="T59" s="1465">
        <f t="shared" si="1940"/>
        <v>0</v>
      </c>
      <c r="U59" s="1017"/>
      <c r="V59" s="1712" t="s">
        <v>542</v>
      </c>
      <c r="W59" s="1476"/>
      <c r="X59" s="1652"/>
      <c r="Y59" s="1651"/>
      <c r="Z59" s="1652"/>
      <c r="AA59" s="1653"/>
      <c r="AB59" s="1713"/>
      <c r="AC59" s="1714"/>
      <c r="AD59" s="1715"/>
      <c r="AE59" s="1476"/>
      <c r="AF59" s="1652"/>
      <c r="AG59" s="1653"/>
      <c r="AH59" s="1716"/>
      <c r="AI59" s="1651"/>
      <c r="AJ59" s="1652"/>
      <c r="AK59" s="1653"/>
      <c r="AL59" s="1717"/>
      <c r="AM59" s="1651"/>
      <c r="AN59" s="1652"/>
      <c r="AO59" s="1653"/>
      <c r="AP59" s="1713"/>
      <c r="AQ59" s="1476"/>
      <c r="AR59" s="1652"/>
      <c r="AS59" s="1718"/>
      <c r="AT59" s="1719"/>
      <c r="AU59" s="1720"/>
      <c r="AV59" s="1721"/>
      <c r="AW59" s="1413"/>
      <c r="AX59" s="1663"/>
      <c r="AY59" s="1413"/>
      <c r="AZ59" s="1408"/>
    </row>
    <row r="60">
      <c r="A60" s="1179" t="s">
        <v>195</v>
      </c>
      <c r="B60" s="1649">
        <f t="shared" si="1922"/>
        <v>84410.860000000001</v>
      </c>
      <c r="C60" s="1462">
        <f t="shared" si="1923"/>
        <v>56082.674600000006</v>
      </c>
      <c r="D60" s="1462">
        <f t="shared" si="1924"/>
        <v>0</v>
      </c>
      <c r="E60" s="1512">
        <f t="shared" si="1925"/>
        <v>140493.53460000001</v>
      </c>
      <c r="F60" s="1462">
        <f t="shared" si="1926"/>
        <v>0</v>
      </c>
      <c r="G60" s="1462">
        <f t="shared" si="1927"/>
        <v>0</v>
      </c>
      <c r="H60" s="1462">
        <f t="shared" si="1928"/>
        <v>0</v>
      </c>
      <c r="I60" s="1463">
        <f t="shared" si="1929"/>
        <v>0</v>
      </c>
      <c r="J60" s="1464">
        <f t="shared" si="1930"/>
        <v>140493.53460000001</v>
      </c>
      <c r="K60" s="1462">
        <f t="shared" si="1931"/>
        <v>0</v>
      </c>
      <c r="L60" s="1462">
        <f t="shared" si="1932"/>
        <v>0</v>
      </c>
      <c r="M60" s="1462">
        <f t="shared" si="1933"/>
        <v>0</v>
      </c>
      <c r="N60" s="1463">
        <f t="shared" si="1934"/>
        <v>0</v>
      </c>
      <c r="O60" s="1464">
        <f t="shared" si="1935"/>
        <v>140493.53460000001</v>
      </c>
      <c r="P60" s="1462">
        <f t="shared" si="1936"/>
        <v>0</v>
      </c>
      <c r="Q60" s="1462">
        <f t="shared" si="1937"/>
        <v>0</v>
      </c>
      <c r="R60" s="1462">
        <f t="shared" si="1938"/>
        <v>0</v>
      </c>
      <c r="S60" s="1463">
        <f t="shared" si="1939"/>
        <v>0</v>
      </c>
      <c r="T60" s="1465">
        <f t="shared" si="1940"/>
        <v>140493.53460000001</v>
      </c>
      <c r="U60" s="1017"/>
      <c r="V60" s="1722" t="s">
        <v>195</v>
      </c>
      <c r="W60" s="1490">
        <v>18</v>
      </c>
      <c r="X60" s="1604">
        <v>84410.860000000001</v>
      </c>
      <c r="Y60" s="1605">
        <v>12</v>
      </c>
      <c r="Z60" s="1604">
        <v>56082.674600000006</v>
      </c>
      <c r="AA60" s="1666"/>
      <c r="AB60" s="1667"/>
      <c r="AC60" s="1723"/>
      <c r="AD60" s="1528"/>
      <c r="AE60" s="1490"/>
      <c r="AF60" s="1604"/>
      <c r="AG60" s="1666"/>
      <c r="AH60" s="1724"/>
      <c r="AI60" s="1605"/>
      <c r="AJ60" s="1604"/>
      <c r="AK60" s="1666"/>
      <c r="AL60" s="1725"/>
      <c r="AM60" s="1605"/>
      <c r="AN60" s="1604"/>
      <c r="AO60" s="1674"/>
      <c r="AP60" s="1675"/>
      <c r="AQ60" s="1490"/>
      <c r="AR60" s="1604"/>
      <c r="AS60" s="1662"/>
      <c r="AT60" s="1528"/>
      <c r="AU60" s="1493">
        <f t="shared" ref="AU60:AU71" si="1944">W60+Y60+AA60+AC60+AE60+AG60+AI60+AK60+AM60+AO60+AQ60+AS60</f>
        <v>30</v>
      </c>
      <c r="AV60" s="1494">
        <f t="shared" ref="AV60:AV71" si="1945">X60+Z60+AB60+AD60+AF60+AH60+AJ60+AL60+AN60+AP60+AR60+AT60</f>
        <v>140493.53460000001</v>
      </c>
      <c r="AW60" s="1413"/>
      <c r="AX60" s="1663"/>
      <c r="AY60" s="1413">
        <v>0</v>
      </c>
      <c r="AZ60" s="1408">
        <v>0</v>
      </c>
    </row>
    <row r="61">
      <c r="A61" s="1179" t="s">
        <v>196</v>
      </c>
      <c r="B61" s="1649">
        <f t="shared" si="1922"/>
        <v>0</v>
      </c>
      <c r="C61" s="1462">
        <f t="shared" si="1923"/>
        <v>0</v>
      </c>
      <c r="D61" s="1462">
        <f t="shared" si="1924"/>
        <v>0</v>
      </c>
      <c r="E61" s="1512">
        <f t="shared" si="1925"/>
        <v>0</v>
      </c>
      <c r="F61" s="1462">
        <f t="shared" si="1926"/>
        <v>0</v>
      </c>
      <c r="G61" s="1462">
        <f t="shared" si="1927"/>
        <v>0</v>
      </c>
      <c r="H61" s="1462">
        <f t="shared" si="1928"/>
        <v>0</v>
      </c>
      <c r="I61" s="1463">
        <f t="shared" si="1929"/>
        <v>0</v>
      </c>
      <c r="J61" s="1464">
        <f t="shared" si="1930"/>
        <v>0</v>
      </c>
      <c r="K61" s="1462">
        <f t="shared" si="1931"/>
        <v>0</v>
      </c>
      <c r="L61" s="1462">
        <f t="shared" si="1932"/>
        <v>0</v>
      </c>
      <c r="M61" s="1462">
        <f t="shared" si="1933"/>
        <v>0</v>
      </c>
      <c r="N61" s="1463">
        <f t="shared" si="1934"/>
        <v>0</v>
      </c>
      <c r="O61" s="1464">
        <f t="shared" si="1935"/>
        <v>0</v>
      </c>
      <c r="P61" s="1462">
        <f t="shared" si="1936"/>
        <v>0</v>
      </c>
      <c r="Q61" s="1462">
        <f t="shared" si="1937"/>
        <v>0</v>
      </c>
      <c r="R61" s="1462">
        <f t="shared" si="1938"/>
        <v>0</v>
      </c>
      <c r="S61" s="1463">
        <f t="shared" si="1939"/>
        <v>0</v>
      </c>
      <c r="T61" s="1465">
        <f t="shared" si="1940"/>
        <v>0</v>
      </c>
      <c r="U61" s="1017"/>
      <c r="V61" s="1681" t="s">
        <v>196</v>
      </c>
      <c r="W61" s="1490">
        <v>0</v>
      </c>
      <c r="X61" s="1604">
        <v>0</v>
      </c>
      <c r="Y61" s="1605">
        <v>0</v>
      </c>
      <c r="Z61" s="1726">
        <v>0</v>
      </c>
      <c r="AA61" s="1727"/>
      <c r="AB61" s="1728"/>
      <c r="AC61" s="1723"/>
      <c r="AD61" s="1528"/>
      <c r="AE61" s="1490"/>
      <c r="AF61" s="1604"/>
      <c r="AG61" s="1666"/>
      <c r="AH61" s="1724"/>
      <c r="AI61" s="1605"/>
      <c r="AJ61" s="1604"/>
      <c r="AK61" s="1666"/>
      <c r="AL61" s="1725"/>
      <c r="AM61" s="1605"/>
      <c r="AN61" s="1604"/>
      <c r="AO61" s="1674"/>
      <c r="AP61" s="1675"/>
      <c r="AQ61" s="1490"/>
      <c r="AR61" s="1604"/>
      <c r="AS61" s="1662"/>
      <c r="AT61" s="1528"/>
      <c r="AU61" s="1493">
        <f t="shared" si="1944"/>
        <v>0</v>
      </c>
      <c r="AV61" s="1494">
        <f t="shared" si="1945"/>
        <v>0</v>
      </c>
      <c r="AW61" s="1413"/>
      <c r="AX61" s="1663"/>
      <c r="AY61" s="1413">
        <v>0</v>
      </c>
      <c r="AZ61" s="1408">
        <v>0</v>
      </c>
    </row>
    <row r="62">
      <c r="A62" s="1179" t="s">
        <v>367</v>
      </c>
      <c r="B62" s="1649">
        <f t="shared" si="1922"/>
        <v>0</v>
      </c>
      <c r="C62" s="1462">
        <f t="shared" si="1923"/>
        <v>0</v>
      </c>
      <c r="D62" s="1462">
        <f t="shared" si="1924"/>
        <v>0</v>
      </c>
      <c r="E62" s="1512">
        <f t="shared" si="1925"/>
        <v>0</v>
      </c>
      <c r="F62" s="1462">
        <f t="shared" si="1926"/>
        <v>0</v>
      </c>
      <c r="G62" s="1462">
        <f t="shared" si="1927"/>
        <v>0</v>
      </c>
      <c r="H62" s="1462">
        <f t="shared" si="1928"/>
        <v>0</v>
      </c>
      <c r="I62" s="1463">
        <f t="shared" si="1929"/>
        <v>0</v>
      </c>
      <c r="J62" s="1464">
        <f t="shared" si="1930"/>
        <v>0</v>
      </c>
      <c r="K62" s="1462">
        <f t="shared" si="1931"/>
        <v>0</v>
      </c>
      <c r="L62" s="1462">
        <f t="shared" si="1932"/>
        <v>0</v>
      </c>
      <c r="M62" s="1462">
        <f t="shared" si="1933"/>
        <v>0</v>
      </c>
      <c r="N62" s="1463">
        <f t="shared" si="1934"/>
        <v>0</v>
      </c>
      <c r="O62" s="1464">
        <f t="shared" si="1935"/>
        <v>0</v>
      </c>
      <c r="P62" s="1462">
        <f t="shared" si="1936"/>
        <v>0</v>
      </c>
      <c r="Q62" s="1462">
        <f t="shared" si="1937"/>
        <v>0</v>
      </c>
      <c r="R62" s="1462">
        <f t="shared" si="1938"/>
        <v>0</v>
      </c>
      <c r="S62" s="1463">
        <f t="shared" si="1939"/>
        <v>0</v>
      </c>
      <c r="T62" s="1465">
        <f t="shared" si="1940"/>
        <v>0</v>
      </c>
      <c r="U62" s="1017"/>
      <c r="V62" s="1681" t="s">
        <v>367</v>
      </c>
      <c r="W62" s="1490">
        <v>0</v>
      </c>
      <c r="X62" s="1604">
        <v>0</v>
      </c>
      <c r="Y62" s="1605">
        <v>0</v>
      </c>
      <c r="Z62" s="1604">
        <v>0</v>
      </c>
      <c r="AA62" s="1666"/>
      <c r="AB62" s="1667"/>
      <c r="AC62" s="1723"/>
      <c r="AD62" s="1528"/>
      <c r="AE62" s="1490"/>
      <c r="AF62" s="1604"/>
      <c r="AG62" s="1666"/>
      <c r="AH62" s="1724"/>
      <c r="AI62" s="1605"/>
      <c r="AJ62" s="1604"/>
      <c r="AK62" s="1666"/>
      <c r="AL62" s="1725"/>
      <c r="AM62" s="1605"/>
      <c r="AN62" s="1604"/>
      <c r="AO62" s="1674"/>
      <c r="AP62" s="1675"/>
      <c r="AQ62" s="1490"/>
      <c r="AR62" s="1604"/>
      <c r="AS62" s="1662"/>
      <c r="AT62" s="1528"/>
      <c r="AU62" s="1493">
        <f t="shared" si="1944"/>
        <v>0</v>
      </c>
      <c r="AV62" s="1494">
        <f t="shared" si="1945"/>
        <v>0</v>
      </c>
      <c r="AW62" s="1413"/>
      <c r="AX62" s="1663"/>
      <c r="AY62" s="1413">
        <v>0</v>
      </c>
      <c r="AZ62" s="1408">
        <v>0</v>
      </c>
    </row>
    <row r="63">
      <c r="A63" s="1179" t="s">
        <v>201</v>
      </c>
      <c r="B63" s="1649">
        <f t="shared" si="1922"/>
        <v>1377442.7</v>
      </c>
      <c r="C63" s="1462">
        <f t="shared" si="1923"/>
        <v>1395148.0604999999</v>
      </c>
      <c r="D63" s="1462">
        <f t="shared" si="1924"/>
        <v>0</v>
      </c>
      <c r="E63" s="1512">
        <f t="shared" si="1925"/>
        <v>2772590.7604999999</v>
      </c>
      <c r="F63" s="1462">
        <f t="shared" si="1926"/>
        <v>0</v>
      </c>
      <c r="G63" s="1462">
        <f t="shared" si="1927"/>
        <v>0</v>
      </c>
      <c r="H63" s="1462">
        <f t="shared" si="1928"/>
        <v>0</v>
      </c>
      <c r="I63" s="1463">
        <f t="shared" si="1929"/>
        <v>0</v>
      </c>
      <c r="J63" s="1464">
        <f t="shared" si="1930"/>
        <v>2772590.7604999999</v>
      </c>
      <c r="K63" s="1462">
        <f t="shared" si="1931"/>
        <v>0</v>
      </c>
      <c r="L63" s="1462">
        <f t="shared" si="1932"/>
        <v>0</v>
      </c>
      <c r="M63" s="1462">
        <f t="shared" si="1933"/>
        <v>0</v>
      </c>
      <c r="N63" s="1463">
        <f t="shared" si="1934"/>
        <v>0</v>
      </c>
      <c r="O63" s="1464">
        <f t="shared" si="1935"/>
        <v>2772590.7604999999</v>
      </c>
      <c r="P63" s="1462">
        <f t="shared" si="1936"/>
        <v>0</v>
      </c>
      <c r="Q63" s="1462">
        <f t="shared" si="1937"/>
        <v>0</v>
      </c>
      <c r="R63" s="1462">
        <f t="shared" si="1938"/>
        <v>0</v>
      </c>
      <c r="S63" s="1463">
        <f t="shared" si="1939"/>
        <v>0</v>
      </c>
      <c r="T63" s="1465">
        <f t="shared" si="1940"/>
        <v>2772590.7604999999</v>
      </c>
      <c r="U63" s="1017"/>
      <c r="V63" s="1681" t="s">
        <v>201</v>
      </c>
      <c r="W63" s="1490">
        <v>34</v>
      </c>
      <c r="X63" s="1604">
        <v>1377442.7</v>
      </c>
      <c r="Y63" s="1605">
        <v>39</v>
      </c>
      <c r="Z63" s="1604">
        <v>1395148.0604999999</v>
      </c>
      <c r="AA63" s="1666"/>
      <c r="AB63" s="1667"/>
      <c r="AC63" s="1723"/>
      <c r="AD63" s="1528"/>
      <c r="AE63" s="1490"/>
      <c r="AF63" s="1604"/>
      <c r="AG63" s="1666"/>
      <c r="AH63" s="1724"/>
      <c r="AI63" s="1605"/>
      <c r="AJ63" s="1604"/>
      <c r="AK63" s="1666"/>
      <c r="AL63" s="1725"/>
      <c r="AM63" s="1605"/>
      <c r="AN63" s="1604"/>
      <c r="AO63" s="1674"/>
      <c r="AP63" s="1675"/>
      <c r="AQ63" s="1490"/>
      <c r="AR63" s="1604"/>
      <c r="AS63" s="1662"/>
      <c r="AT63" s="1528"/>
      <c r="AU63" s="1493">
        <f t="shared" si="1944"/>
        <v>73</v>
      </c>
      <c r="AV63" s="1494">
        <f t="shared" si="1945"/>
        <v>2772590.7604999999</v>
      </c>
      <c r="AW63" s="1413"/>
      <c r="AX63" s="1663"/>
      <c r="AY63" s="1413">
        <v>0</v>
      </c>
      <c r="AZ63" s="1408">
        <v>0</v>
      </c>
    </row>
    <row r="64">
      <c r="A64" s="1179" t="s">
        <v>203</v>
      </c>
      <c r="B64" s="1649">
        <f t="shared" si="1922"/>
        <v>0</v>
      </c>
      <c r="C64" s="1462">
        <f t="shared" si="1923"/>
        <v>0</v>
      </c>
      <c r="D64" s="1462">
        <f t="shared" si="1924"/>
        <v>0</v>
      </c>
      <c r="E64" s="1512">
        <f t="shared" si="1925"/>
        <v>0</v>
      </c>
      <c r="F64" s="1462">
        <f t="shared" si="1926"/>
        <v>0</v>
      </c>
      <c r="G64" s="1462">
        <f t="shared" si="1927"/>
        <v>0</v>
      </c>
      <c r="H64" s="1462">
        <f t="shared" si="1928"/>
        <v>0</v>
      </c>
      <c r="I64" s="1463">
        <f t="shared" si="1929"/>
        <v>0</v>
      </c>
      <c r="J64" s="1464">
        <f t="shared" si="1930"/>
        <v>0</v>
      </c>
      <c r="K64" s="1462">
        <f t="shared" si="1931"/>
        <v>0</v>
      </c>
      <c r="L64" s="1462">
        <f t="shared" si="1932"/>
        <v>0</v>
      </c>
      <c r="M64" s="1462">
        <f t="shared" si="1933"/>
        <v>0</v>
      </c>
      <c r="N64" s="1463">
        <f t="shared" si="1934"/>
        <v>0</v>
      </c>
      <c r="O64" s="1464">
        <f t="shared" si="1935"/>
        <v>0</v>
      </c>
      <c r="P64" s="1462">
        <f t="shared" si="1936"/>
        <v>0</v>
      </c>
      <c r="Q64" s="1462">
        <f t="shared" si="1937"/>
        <v>0</v>
      </c>
      <c r="R64" s="1462">
        <f t="shared" si="1938"/>
        <v>0</v>
      </c>
      <c r="S64" s="1463">
        <f t="shared" si="1939"/>
        <v>0</v>
      </c>
      <c r="T64" s="1465">
        <f t="shared" si="1940"/>
        <v>0</v>
      </c>
      <c r="U64" s="1017"/>
      <c r="V64" s="1681" t="s">
        <v>203</v>
      </c>
      <c r="W64" s="1490">
        <v>0</v>
      </c>
      <c r="X64" s="1604">
        <v>0</v>
      </c>
      <c r="Y64" s="1605">
        <v>0</v>
      </c>
      <c r="Z64" s="1604">
        <v>0</v>
      </c>
      <c r="AA64" s="1666"/>
      <c r="AB64" s="1667"/>
      <c r="AC64" s="1723"/>
      <c r="AD64" s="1528"/>
      <c r="AE64" s="1490"/>
      <c r="AF64" s="1604"/>
      <c r="AG64" s="1666"/>
      <c r="AH64" s="1724"/>
      <c r="AI64" s="1605"/>
      <c r="AJ64" s="1604"/>
      <c r="AK64" s="1666"/>
      <c r="AL64" s="1725"/>
      <c r="AM64" s="1605"/>
      <c r="AN64" s="1604"/>
      <c r="AO64" s="1674"/>
      <c r="AP64" s="1675"/>
      <c r="AQ64" s="1490"/>
      <c r="AR64" s="1604"/>
      <c r="AS64" s="1662"/>
      <c r="AT64" s="1528"/>
      <c r="AU64" s="1493">
        <f t="shared" si="1944"/>
        <v>0</v>
      </c>
      <c r="AV64" s="1494">
        <f t="shared" si="1945"/>
        <v>0</v>
      </c>
      <c r="AW64" s="1413"/>
      <c r="AX64" s="1663"/>
      <c r="AY64" s="1413">
        <v>0</v>
      </c>
      <c r="AZ64" s="1408">
        <v>0</v>
      </c>
    </row>
    <row r="65">
      <c r="A65" s="1179" t="s">
        <v>204</v>
      </c>
      <c r="B65" s="1649">
        <f t="shared" si="1922"/>
        <v>0</v>
      </c>
      <c r="C65" s="1462">
        <f t="shared" si="1923"/>
        <v>0</v>
      </c>
      <c r="D65" s="1462">
        <f t="shared" si="1924"/>
        <v>0</v>
      </c>
      <c r="E65" s="1512">
        <f t="shared" si="1925"/>
        <v>0</v>
      </c>
      <c r="F65" s="1462">
        <f t="shared" si="1926"/>
        <v>0</v>
      </c>
      <c r="G65" s="1462">
        <f t="shared" si="1927"/>
        <v>0</v>
      </c>
      <c r="H65" s="1462">
        <f t="shared" si="1928"/>
        <v>0</v>
      </c>
      <c r="I65" s="1463">
        <f t="shared" si="1929"/>
        <v>0</v>
      </c>
      <c r="J65" s="1464">
        <f t="shared" si="1930"/>
        <v>0</v>
      </c>
      <c r="K65" s="1462">
        <f t="shared" si="1931"/>
        <v>0</v>
      </c>
      <c r="L65" s="1462">
        <f t="shared" si="1932"/>
        <v>0</v>
      </c>
      <c r="M65" s="1462">
        <f t="shared" si="1933"/>
        <v>0</v>
      </c>
      <c r="N65" s="1463">
        <f t="shared" si="1934"/>
        <v>0</v>
      </c>
      <c r="O65" s="1464">
        <f t="shared" si="1935"/>
        <v>0</v>
      </c>
      <c r="P65" s="1462">
        <f t="shared" si="1936"/>
        <v>0</v>
      </c>
      <c r="Q65" s="1462">
        <f t="shared" si="1937"/>
        <v>0</v>
      </c>
      <c r="R65" s="1462">
        <f t="shared" si="1938"/>
        <v>0</v>
      </c>
      <c r="S65" s="1463">
        <f t="shared" si="1939"/>
        <v>0</v>
      </c>
      <c r="T65" s="1465">
        <f t="shared" si="1940"/>
        <v>0</v>
      </c>
      <c r="U65" s="1017"/>
      <c r="V65" s="1681" t="s">
        <v>204</v>
      </c>
      <c r="W65" s="1490">
        <v>0</v>
      </c>
      <c r="X65" s="1604">
        <v>0</v>
      </c>
      <c r="Y65" s="1605">
        <v>0</v>
      </c>
      <c r="Z65" s="1604">
        <v>0</v>
      </c>
      <c r="AA65" s="1666"/>
      <c r="AB65" s="1667"/>
      <c r="AC65" s="1723"/>
      <c r="AD65" s="1528"/>
      <c r="AE65" s="1490"/>
      <c r="AF65" s="1604"/>
      <c r="AG65" s="1666"/>
      <c r="AH65" s="1724"/>
      <c r="AI65" s="1605"/>
      <c r="AJ65" s="1604"/>
      <c r="AK65" s="1666"/>
      <c r="AL65" s="1725"/>
      <c r="AM65" s="1605"/>
      <c r="AN65" s="1604"/>
      <c r="AO65" s="1674"/>
      <c r="AP65" s="1675"/>
      <c r="AQ65" s="1490"/>
      <c r="AR65" s="1604"/>
      <c r="AS65" s="1662"/>
      <c r="AT65" s="1528"/>
      <c r="AU65" s="1493">
        <f t="shared" si="1944"/>
        <v>0</v>
      </c>
      <c r="AV65" s="1494">
        <f t="shared" si="1945"/>
        <v>0</v>
      </c>
      <c r="AW65" s="1413"/>
      <c r="AX65" s="1663"/>
      <c r="AY65" s="1413"/>
      <c r="AZ65" s="1408"/>
    </row>
    <row r="66">
      <c r="A66" s="1179" t="s">
        <v>205</v>
      </c>
      <c r="B66" s="1649">
        <f t="shared" si="1922"/>
        <v>41384.879000000001</v>
      </c>
      <c r="C66" s="1462">
        <f t="shared" si="1923"/>
        <v>0</v>
      </c>
      <c r="D66" s="1462">
        <f t="shared" si="1924"/>
        <v>0</v>
      </c>
      <c r="E66" s="1512">
        <f t="shared" si="1925"/>
        <v>41384.879000000001</v>
      </c>
      <c r="F66" s="1462">
        <f t="shared" si="1926"/>
        <v>0</v>
      </c>
      <c r="G66" s="1462">
        <f t="shared" si="1927"/>
        <v>0</v>
      </c>
      <c r="H66" s="1462">
        <f t="shared" si="1928"/>
        <v>0</v>
      </c>
      <c r="I66" s="1463">
        <f t="shared" si="1929"/>
        <v>0</v>
      </c>
      <c r="J66" s="1464">
        <f t="shared" si="1930"/>
        <v>41384.879000000001</v>
      </c>
      <c r="K66" s="1462">
        <f t="shared" si="1931"/>
        <v>0</v>
      </c>
      <c r="L66" s="1462">
        <f t="shared" si="1932"/>
        <v>0</v>
      </c>
      <c r="M66" s="1462">
        <f t="shared" si="1933"/>
        <v>0</v>
      </c>
      <c r="N66" s="1463">
        <f t="shared" si="1934"/>
        <v>0</v>
      </c>
      <c r="O66" s="1464">
        <f t="shared" si="1935"/>
        <v>41384.879000000001</v>
      </c>
      <c r="P66" s="1462">
        <f t="shared" si="1936"/>
        <v>0</v>
      </c>
      <c r="Q66" s="1462">
        <f t="shared" si="1937"/>
        <v>0</v>
      </c>
      <c r="R66" s="1462">
        <f t="shared" si="1938"/>
        <v>0</v>
      </c>
      <c r="S66" s="1463">
        <f t="shared" si="1939"/>
        <v>0</v>
      </c>
      <c r="T66" s="1465">
        <f t="shared" si="1940"/>
        <v>41384.879000000001</v>
      </c>
      <c r="U66" s="1017"/>
      <c r="V66" s="1681" t="s">
        <v>205</v>
      </c>
      <c r="W66" s="1490">
        <v>8</v>
      </c>
      <c r="X66" s="1604">
        <v>41384.879000000001</v>
      </c>
      <c r="Y66" s="1605">
        <v>0</v>
      </c>
      <c r="Z66" s="1604">
        <v>0</v>
      </c>
      <c r="AA66" s="1666"/>
      <c r="AB66" s="1667"/>
      <c r="AC66" s="1723"/>
      <c r="AD66" s="1528"/>
      <c r="AE66" s="1490"/>
      <c r="AF66" s="1604"/>
      <c r="AG66" s="1666"/>
      <c r="AH66" s="1724"/>
      <c r="AI66" s="1605"/>
      <c r="AJ66" s="1604"/>
      <c r="AK66" s="1666"/>
      <c r="AL66" s="1725"/>
      <c r="AM66" s="1605"/>
      <c r="AN66" s="1604"/>
      <c r="AO66" s="1674"/>
      <c r="AP66" s="1675"/>
      <c r="AQ66" s="1490"/>
      <c r="AR66" s="1604"/>
      <c r="AS66" s="1662"/>
      <c r="AT66" s="1528"/>
      <c r="AU66" s="1493">
        <f t="shared" si="1944"/>
        <v>8</v>
      </c>
      <c r="AV66" s="1494">
        <f t="shared" si="1945"/>
        <v>41384.879000000001</v>
      </c>
      <c r="AW66" s="1413"/>
      <c r="AX66" s="1663"/>
      <c r="AY66" s="1413">
        <v>0</v>
      </c>
      <c r="AZ66" s="1408">
        <v>0</v>
      </c>
    </row>
    <row r="67">
      <c r="A67" s="1179" t="s">
        <v>206</v>
      </c>
      <c r="B67" s="1649">
        <f t="shared" si="1922"/>
        <v>12067.799999999999</v>
      </c>
      <c r="C67" s="1462">
        <f t="shared" si="1923"/>
        <v>3563.3965000000003</v>
      </c>
      <c r="D67" s="1462">
        <f t="shared" si="1924"/>
        <v>0</v>
      </c>
      <c r="E67" s="1512">
        <f t="shared" si="1925"/>
        <v>15631.1965</v>
      </c>
      <c r="F67" s="1462">
        <f t="shared" si="1926"/>
        <v>0</v>
      </c>
      <c r="G67" s="1462">
        <f t="shared" si="1927"/>
        <v>0</v>
      </c>
      <c r="H67" s="1462">
        <f t="shared" si="1928"/>
        <v>0</v>
      </c>
      <c r="I67" s="1463">
        <f t="shared" si="1929"/>
        <v>0</v>
      </c>
      <c r="J67" s="1464">
        <f t="shared" si="1930"/>
        <v>15631.1965</v>
      </c>
      <c r="K67" s="1462">
        <f t="shared" si="1931"/>
        <v>0</v>
      </c>
      <c r="L67" s="1462">
        <f t="shared" si="1932"/>
        <v>0</v>
      </c>
      <c r="M67" s="1462">
        <f t="shared" si="1933"/>
        <v>0</v>
      </c>
      <c r="N67" s="1463">
        <f t="shared" si="1934"/>
        <v>0</v>
      </c>
      <c r="O67" s="1464">
        <f t="shared" si="1935"/>
        <v>15631.1965</v>
      </c>
      <c r="P67" s="1462">
        <f t="shared" si="1936"/>
        <v>0</v>
      </c>
      <c r="Q67" s="1462">
        <f t="shared" si="1937"/>
        <v>0</v>
      </c>
      <c r="R67" s="1462">
        <f t="shared" si="1938"/>
        <v>0</v>
      </c>
      <c r="S67" s="1463">
        <f t="shared" si="1939"/>
        <v>0</v>
      </c>
      <c r="T67" s="1465">
        <f t="shared" si="1940"/>
        <v>15631.1965</v>
      </c>
      <c r="U67" s="1017"/>
      <c r="V67" s="1681" t="s">
        <v>206</v>
      </c>
      <c r="W67" s="1490">
        <v>2</v>
      </c>
      <c r="X67" s="1604">
        <v>12067.799999999999</v>
      </c>
      <c r="Y67" s="1605">
        <v>1</v>
      </c>
      <c r="Z67" s="1604">
        <v>3563.3965000000003</v>
      </c>
      <c r="AA67" s="1666"/>
      <c r="AB67" s="1667"/>
      <c r="AC67" s="1723"/>
      <c r="AD67" s="1528"/>
      <c r="AE67" s="1490"/>
      <c r="AF67" s="1604"/>
      <c r="AG67" s="1666"/>
      <c r="AH67" s="1724"/>
      <c r="AI67" s="1605"/>
      <c r="AJ67" s="1604"/>
      <c r="AK67" s="1666"/>
      <c r="AL67" s="1725"/>
      <c r="AM67" s="1605"/>
      <c r="AN67" s="1604"/>
      <c r="AO67" s="1674"/>
      <c r="AP67" s="1675"/>
      <c r="AQ67" s="1490"/>
      <c r="AR67" s="1604"/>
      <c r="AS67" s="1662"/>
      <c r="AT67" s="1528"/>
      <c r="AU67" s="1493">
        <f t="shared" si="1944"/>
        <v>3</v>
      </c>
      <c r="AV67" s="1494">
        <f t="shared" si="1945"/>
        <v>15631.1965</v>
      </c>
      <c r="AW67" s="1413"/>
      <c r="AX67" s="1663"/>
      <c r="AY67" s="1413">
        <v>0</v>
      </c>
      <c r="AZ67" s="1408">
        <v>0</v>
      </c>
    </row>
    <row r="68">
      <c r="A68" s="1179" t="s">
        <v>207</v>
      </c>
      <c r="B68" s="1649">
        <f t="shared" si="1922"/>
        <v>0</v>
      </c>
      <c r="C68" s="1462">
        <f t="shared" si="1923"/>
        <v>489928.38800000004</v>
      </c>
      <c r="D68" s="1462">
        <f t="shared" si="1924"/>
        <v>0</v>
      </c>
      <c r="E68" s="1512">
        <f t="shared" si="1925"/>
        <v>489928.38800000004</v>
      </c>
      <c r="F68" s="1462">
        <f t="shared" si="1926"/>
        <v>0</v>
      </c>
      <c r="G68" s="1462">
        <f t="shared" si="1927"/>
        <v>0</v>
      </c>
      <c r="H68" s="1462">
        <f t="shared" si="1928"/>
        <v>0</v>
      </c>
      <c r="I68" s="1463">
        <f t="shared" si="1929"/>
        <v>0</v>
      </c>
      <c r="J68" s="1464">
        <f t="shared" si="1930"/>
        <v>489928.38800000004</v>
      </c>
      <c r="K68" s="1462">
        <f t="shared" si="1931"/>
        <v>0</v>
      </c>
      <c r="L68" s="1462">
        <f t="shared" si="1932"/>
        <v>0</v>
      </c>
      <c r="M68" s="1462">
        <f t="shared" si="1933"/>
        <v>0</v>
      </c>
      <c r="N68" s="1463">
        <f t="shared" si="1934"/>
        <v>0</v>
      </c>
      <c r="O68" s="1464">
        <f t="shared" si="1935"/>
        <v>489928.38800000004</v>
      </c>
      <c r="P68" s="1462">
        <f t="shared" si="1936"/>
        <v>0</v>
      </c>
      <c r="Q68" s="1462">
        <f t="shared" si="1937"/>
        <v>0</v>
      </c>
      <c r="R68" s="1462">
        <f t="shared" si="1938"/>
        <v>0</v>
      </c>
      <c r="S68" s="1463">
        <f t="shared" si="1939"/>
        <v>0</v>
      </c>
      <c r="T68" s="1465">
        <f t="shared" si="1940"/>
        <v>489928.38800000004</v>
      </c>
      <c r="U68" s="1017"/>
      <c r="V68" s="1681" t="s">
        <v>207</v>
      </c>
      <c r="W68" s="1490">
        <v>0</v>
      </c>
      <c r="X68" s="1604">
        <v>0</v>
      </c>
      <c r="Y68" s="1605">
        <v>4</v>
      </c>
      <c r="Z68" s="1604">
        <v>489928.38800000004</v>
      </c>
      <c r="AA68" s="1666"/>
      <c r="AB68" s="1667"/>
      <c r="AC68" s="1723"/>
      <c r="AD68" s="1528"/>
      <c r="AE68" s="1490"/>
      <c r="AF68" s="1604"/>
      <c r="AG68" s="1666"/>
      <c r="AH68" s="1724"/>
      <c r="AI68" s="1605"/>
      <c r="AJ68" s="1604"/>
      <c r="AK68" s="1666"/>
      <c r="AL68" s="1725"/>
      <c r="AM68" s="1605"/>
      <c r="AN68" s="1604"/>
      <c r="AO68" s="1674"/>
      <c r="AP68" s="1675"/>
      <c r="AQ68" s="1490"/>
      <c r="AR68" s="1604"/>
      <c r="AS68" s="1662"/>
      <c r="AT68" s="1528"/>
      <c r="AU68" s="1493">
        <f t="shared" si="1944"/>
        <v>4</v>
      </c>
      <c r="AV68" s="1494">
        <f t="shared" si="1945"/>
        <v>489928.38800000004</v>
      </c>
      <c r="AW68" s="1413"/>
      <c r="AX68" s="1663"/>
      <c r="AY68" s="1413">
        <v>0</v>
      </c>
      <c r="AZ68" s="1408">
        <v>0</v>
      </c>
    </row>
    <row r="69">
      <c r="A69" s="1179" t="s">
        <v>209</v>
      </c>
      <c r="B69" s="1649">
        <f t="shared" si="1922"/>
        <v>0</v>
      </c>
      <c r="C69" s="1462">
        <f t="shared" si="1923"/>
        <v>0</v>
      </c>
      <c r="D69" s="1462">
        <f t="shared" si="1924"/>
        <v>0</v>
      </c>
      <c r="E69" s="1512">
        <f t="shared" si="1925"/>
        <v>0</v>
      </c>
      <c r="F69" s="1462">
        <f t="shared" si="1926"/>
        <v>0</v>
      </c>
      <c r="G69" s="1462">
        <f t="shared" si="1927"/>
        <v>0</v>
      </c>
      <c r="H69" s="1462">
        <f t="shared" si="1928"/>
        <v>0</v>
      </c>
      <c r="I69" s="1463">
        <f t="shared" si="1929"/>
        <v>0</v>
      </c>
      <c r="J69" s="1464">
        <f t="shared" si="1930"/>
        <v>0</v>
      </c>
      <c r="K69" s="1462">
        <f t="shared" si="1931"/>
        <v>0</v>
      </c>
      <c r="L69" s="1462">
        <f t="shared" si="1932"/>
        <v>0</v>
      </c>
      <c r="M69" s="1462">
        <f t="shared" si="1933"/>
        <v>0</v>
      </c>
      <c r="N69" s="1463">
        <f t="shared" si="1934"/>
        <v>0</v>
      </c>
      <c r="O69" s="1464">
        <f t="shared" si="1935"/>
        <v>0</v>
      </c>
      <c r="P69" s="1462">
        <f t="shared" si="1936"/>
        <v>0</v>
      </c>
      <c r="Q69" s="1462">
        <f t="shared" si="1937"/>
        <v>0</v>
      </c>
      <c r="R69" s="1462">
        <f t="shared" si="1938"/>
        <v>0</v>
      </c>
      <c r="S69" s="1463">
        <f t="shared" si="1939"/>
        <v>0</v>
      </c>
      <c r="T69" s="1465">
        <f t="shared" si="1940"/>
        <v>0</v>
      </c>
      <c r="U69" s="1017"/>
      <c r="V69" s="1681" t="s">
        <v>209</v>
      </c>
      <c r="W69" s="1490">
        <v>0</v>
      </c>
      <c r="X69" s="1604">
        <v>0</v>
      </c>
      <c r="Y69" s="1605">
        <v>0</v>
      </c>
      <c r="Z69" s="1604">
        <v>0</v>
      </c>
      <c r="AA69" s="1666"/>
      <c r="AB69" s="1667"/>
      <c r="AC69" s="1723"/>
      <c r="AD69" s="1528"/>
      <c r="AE69" s="1490"/>
      <c r="AF69" s="1604"/>
      <c r="AG69" s="1666"/>
      <c r="AH69" s="1724"/>
      <c r="AI69" s="1605"/>
      <c r="AJ69" s="1604"/>
      <c r="AK69" s="1666"/>
      <c r="AL69" s="1725"/>
      <c r="AM69" s="1605"/>
      <c r="AN69" s="1604"/>
      <c r="AO69" s="1674"/>
      <c r="AP69" s="1675"/>
      <c r="AQ69" s="1490"/>
      <c r="AR69" s="1604"/>
      <c r="AS69" s="1662"/>
      <c r="AT69" s="1528"/>
      <c r="AU69" s="1493">
        <f t="shared" si="1944"/>
        <v>0</v>
      </c>
      <c r="AV69" s="1494">
        <f t="shared" si="1945"/>
        <v>0</v>
      </c>
      <c r="AW69" s="1413"/>
      <c r="AX69" s="1663"/>
      <c r="AY69" s="1413">
        <v>0</v>
      </c>
      <c r="AZ69" s="1408">
        <v>0</v>
      </c>
    </row>
    <row r="70">
      <c r="A70" s="1179" t="s">
        <v>210</v>
      </c>
      <c r="B70" s="1649">
        <f t="shared" si="1922"/>
        <v>3190.9400000000001</v>
      </c>
      <c r="C70" s="1462">
        <f t="shared" si="1923"/>
        <v>4768.1403999999993</v>
      </c>
      <c r="D70" s="1462">
        <f t="shared" si="1924"/>
        <v>0</v>
      </c>
      <c r="E70" s="1512">
        <f t="shared" si="1925"/>
        <v>7959.0803999999989</v>
      </c>
      <c r="F70" s="1462">
        <f t="shared" si="1926"/>
        <v>0</v>
      </c>
      <c r="G70" s="1462">
        <f t="shared" si="1927"/>
        <v>0</v>
      </c>
      <c r="H70" s="1462">
        <f t="shared" si="1928"/>
        <v>0</v>
      </c>
      <c r="I70" s="1463">
        <f t="shared" si="1929"/>
        <v>0</v>
      </c>
      <c r="J70" s="1464">
        <f t="shared" si="1930"/>
        <v>7959.0803999999989</v>
      </c>
      <c r="K70" s="1462">
        <f t="shared" si="1931"/>
        <v>0</v>
      </c>
      <c r="L70" s="1462">
        <f t="shared" si="1932"/>
        <v>0</v>
      </c>
      <c r="M70" s="1462">
        <f t="shared" si="1933"/>
        <v>0</v>
      </c>
      <c r="N70" s="1463">
        <f t="shared" si="1934"/>
        <v>0</v>
      </c>
      <c r="O70" s="1464">
        <f t="shared" si="1935"/>
        <v>7959.0803999999989</v>
      </c>
      <c r="P70" s="1462">
        <f t="shared" si="1936"/>
        <v>0</v>
      </c>
      <c r="Q70" s="1462">
        <f t="shared" si="1937"/>
        <v>0</v>
      </c>
      <c r="R70" s="1462">
        <f t="shared" si="1938"/>
        <v>0</v>
      </c>
      <c r="S70" s="1463">
        <f t="shared" si="1939"/>
        <v>0</v>
      </c>
      <c r="T70" s="1465">
        <f t="shared" si="1940"/>
        <v>7959.0803999999989</v>
      </c>
      <c r="U70" s="1017"/>
      <c r="V70" s="1681" t="s">
        <v>210</v>
      </c>
      <c r="W70" s="1490">
        <v>2</v>
      </c>
      <c r="X70" s="1604">
        <v>3190.9400000000001</v>
      </c>
      <c r="Y70" s="1605">
        <v>2</v>
      </c>
      <c r="Z70" s="1604">
        <v>4768.1403999999993</v>
      </c>
      <c r="AA70" s="1666"/>
      <c r="AB70" s="1667"/>
      <c r="AC70" s="1723"/>
      <c r="AD70" s="1528"/>
      <c r="AE70" s="1490"/>
      <c r="AF70" s="1604"/>
      <c r="AG70" s="1666"/>
      <c r="AH70" s="1724"/>
      <c r="AI70" s="1605"/>
      <c r="AJ70" s="1604"/>
      <c r="AK70" s="1666"/>
      <c r="AL70" s="1725"/>
      <c r="AM70" s="1605"/>
      <c r="AN70" s="1604"/>
      <c r="AO70" s="1674"/>
      <c r="AP70" s="1675"/>
      <c r="AQ70" s="1490"/>
      <c r="AR70" s="1604"/>
      <c r="AS70" s="1662"/>
      <c r="AT70" s="1528"/>
      <c r="AU70" s="1493">
        <f t="shared" si="1944"/>
        <v>4</v>
      </c>
      <c r="AV70" s="1494">
        <f t="shared" si="1945"/>
        <v>7959.0803999999989</v>
      </c>
      <c r="AW70" s="1413"/>
      <c r="AX70" s="1663"/>
      <c r="AY70" s="1413">
        <v>0</v>
      </c>
      <c r="AZ70" s="1408">
        <v>0</v>
      </c>
    </row>
    <row r="71">
      <c r="A71" s="1179" t="s">
        <v>211</v>
      </c>
      <c r="B71" s="1649">
        <f t="shared" si="1922"/>
        <v>0</v>
      </c>
      <c r="C71" s="1462">
        <f t="shared" si="1923"/>
        <v>6539.1769999999997</v>
      </c>
      <c r="D71" s="1462">
        <f t="shared" si="1924"/>
        <v>0</v>
      </c>
      <c r="E71" s="1512">
        <f t="shared" si="1925"/>
        <v>6539.1769999999997</v>
      </c>
      <c r="F71" s="1462">
        <f t="shared" si="1926"/>
        <v>0</v>
      </c>
      <c r="G71" s="1462">
        <f t="shared" si="1927"/>
        <v>0</v>
      </c>
      <c r="H71" s="1462">
        <f t="shared" si="1928"/>
        <v>0</v>
      </c>
      <c r="I71" s="1463">
        <f t="shared" si="1929"/>
        <v>0</v>
      </c>
      <c r="J71" s="1464">
        <f t="shared" si="1930"/>
        <v>6539.1769999999997</v>
      </c>
      <c r="K71" s="1462">
        <f t="shared" si="1931"/>
        <v>0</v>
      </c>
      <c r="L71" s="1462">
        <f t="shared" si="1932"/>
        <v>0</v>
      </c>
      <c r="M71" s="1462">
        <f t="shared" si="1933"/>
        <v>0</v>
      </c>
      <c r="N71" s="1463">
        <f t="shared" si="1934"/>
        <v>0</v>
      </c>
      <c r="O71" s="1464">
        <f t="shared" si="1935"/>
        <v>6539.1769999999997</v>
      </c>
      <c r="P71" s="1462">
        <f t="shared" si="1936"/>
        <v>0</v>
      </c>
      <c r="Q71" s="1462">
        <f t="shared" si="1937"/>
        <v>0</v>
      </c>
      <c r="R71" s="1462">
        <f t="shared" si="1938"/>
        <v>0</v>
      </c>
      <c r="S71" s="1463">
        <f t="shared" si="1939"/>
        <v>0</v>
      </c>
      <c r="T71" s="1465">
        <f t="shared" si="1940"/>
        <v>6539.1769999999997</v>
      </c>
      <c r="U71" s="1017"/>
      <c r="V71" s="1695" t="s">
        <v>211</v>
      </c>
      <c r="W71" s="1503">
        <v>0</v>
      </c>
      <c r="X71" s="1684">
        <v>0</v>
      </c>
      <c r="Y71" s="1685">
        <v>1</v>
      </c>
      <c r="Z71" s="1684">
        <v>6539.1769999999997</v>
      </c>
      <c r="AA71" s="1686"/>
      <c r="AB71" s="1687"/>
      <c r="AC71" s="1729"/>
      <c r="AD71" s="1730"/>
      <c r="AE71" s="1503"/>
      <c r="AF71" s="1684"/>
      <c r="AG71" s="1686"/>
      <c r="AH71" s="1731"/>
      <c r="AI71" s="1685"/>
      <c r="AJ71" s="1684"/>
      <c r="AK71" s="1686"/>
      <c r="AL71" s="1732"/>
      <c r="AM71" s="1685"/>
      <c r="AN71" s="1684"/>
      <c r="AO71" s="1692"/>
      <c r="AP71" s="1693"/>
      <c r="AQ71" s="1503"/>
      <c r="AR71" s="1684"/>
      <c r="AS71" s="1694"/>
      <c r="AT71" s="1689"/>
      <c r="AU71" s="1493">
        <f t="shared" si="1944"/>
        <v>1</v>
      </c>
      <c r="AV71" s="1494">
        <f t="shared" si="1945"/>
        <v>6539.1769999999997</v>
      </c>
      <c r="AW71" s="1413"/>
      <c r="AX71" s="1663"/>
      <c r="AY71" s="1413">
        <v>0</v>
      </c>
      <c r="AZ71" s="1408">
        <v>0</v>
      </c>
    </row>
    <row r="72" s="1510" customFormat="1" ht="23.25" customHeight="1">
      <c r="A72" s="1511" t="s">
        <v>363</v>
      </c>
      <c r="B72" s="1700">
        <f t="shared" si="1922"/>
        <v>1518497.179</v>
      </c>
      <c r="C72" s="1302">
        <f t="shared" si="1923"/>
        <v>1956029.8369999998</v>
      </c>
      <c r="D72" s="1302">
        <f t="shared" si="1924"/>
        <v>0</v>
      </c>
      <c r="E72" s="1512">
        <f t="shared" si="1925"/>
        <v>3474527.0159999998</v>
      </c>
      <c r="F72" s="1302">
        <f t="shared" si="1926"/>
        <v>0</v>
      </c>
      <c r="G72" s="1302">
        <f t="shared" si="1927"/>
        <v>0</v>
      </c>
      <c r="H72" s="1302">
        <f t="shared" si="1928"/>
        <v>0</v>
      </c>
      <c r="I72" s="1512">
        <f t="shared" si="1929"/>
        <v>0</v>
      </c>
      <c r="J72" s="1513">
        <f t="shared" si="1930"/>
        <v>3474527.0159999998</v>
      </c>
      <c r="K72" s="1302">
        <f t="shared" si="1931"/>
        <v>0</v>
      </c>
      <c r="L72" s="1302">
        <f t="shared" si="1932"/>
        <v>0</v>
      </c>
      <c r="M72" s="1302">
        <f t="shared" si="1933"/>
        <v>0</v>
      </c>
      <c r="N72" s="1512">
        <f t="shared" si="1934"/>
        <v>0</v>
      </c>
      <c r="O72" s="1513">
        <f t="shared" si="1935"/>
        <v>3474527.0159999998</v>
      </c>
      <c r="P72" s="1302">
        <f t="shared" si="1936"/>
        <v>0</v>
      </c>
      <c r="Q72" s="1302">
        <f t="shared" si="1937"/>
        <v>0</v>
      </c>
      <c r="R72" s="1302">
        <f t="shared" si="1938"/>
        <v>0</v>
      </c>
      <c r="S72" s="1512">
        <f t="shared" si="1939"/>
        <v>0</v>
      </c>
      <c r="T72" s="1514">
        <f t="shared" si="1940"/>
        <v>3474527.0159999998</v>
      </c>
      <c r="U72" s="1017"/>
      <c r="V72" s="1701" t="s">
        <v>363</v>
      </c>
      <c r="W72" s="1521">
        <f>SUM(W59:W71)</f>
        <v>64</v>
      </c>
      <c r="X72" s="1702">
        <f>SUM(X59:X71)</f>
        <v>1518497.179</v>
      </c>
      <c r="Y72" s="1521">
        <f t="shared" ref="Y72:AV72" si="1946">SUM(Y59:Y71)</f>
        <v>59</v>
      </c>
      <c r="Z72" s="1703">
        <f t="shared" si="1946"/>
        <v>1956029.8369999998</v>
      </c>
      <c r="AA72" s="1704">
        <f t="shared" si="1946"/>
        <v>0</v>
      </c>
      <c r="AB72" s="1708">
        <f t="shared" si="1946"/>
        <v>0</v>
      </c>
      <c r="AC72" s="1521">
        <f t="shared" si="1946"/>
        <v>0</v>
      </c>
      <c r="AD72" s="1707">
        <f t="shared" si="1946"/>
        <v>0</v>
      </c>
      <c r="AE72" s="1521">
        <f t="shared" si="1946"/>
        <v>0</v>
      </c>
      <c r="AF72" s="1707">
        <f t="shared" si="1946"/>
        <v>0</v>
      </c>
      <c r="AG72" s="1704">
        <f t="shared" si="1946"/>
        <v>0</v>
      </c>
      <c r="AH72" s="1708">
        <f t="shared" si="1946"/>
        <v>0</v>
      </c>
      <c r="AI72" s="1521">
        <f t="shared" si="1946"/>
        <v>0</v>
      </c>
      <c r="AJ72" s="1707">
        <f t="shared" si="1946"/>
        <v>0</v>
      </c>
      <c r="AK72" s="1704">
        <f t="shared" si="1946"/>
        <v>0</v>
      </c>
      <c r="AL72" s="1709">
        <f t="shared" si="1946"/>
        <v>0</v>
      </c>
      <c r="AM72" s="1521">
        <f t="shared" si="1946"/>
        <v>0</v>
      </c>
      <c r="AN72" s="1707">
        <f t="shared" si="1946"/>
        <v>0</v>
      </c>
      <c r="AO72" s="1704">
        <f t="shared" si="1946"/>
        <v>0</v>
      </c>
      <c r="AP72" s="1709">
        <f t="shared" si="1946"/>
        <v>0</v>
      </c>
      <c r="AQ72" s="1521">
        <f t="shared" si="1946"/>
        <v>0</v>
      </c>
      <c r="AR72" s="1707">
        <f t="shared" si="1946"/>
        <v>0</v>
      </c>
      <c r="AS72" s="1704">
        <f t="shared" si="1946"/>
        <v>0</v>
      </c>
      <c r="AT72" s="1710">
        <f t="shared" si="1946"/>
        <v>0</v>
      </c>
      <c r="AU72" s="1523">
        <f t="shared" si="1946"/>
        <v>123</v>
      </c>
      <c r="AV72" s="1518">
        <f t="shared" si="1946"/>
        <v>3474527.0160000003</v>
      </c>
      <c r="AW72" s="1733">
        <f>SUM(AU59:AU71)</f>
        <v>123</v>
      </c>
      <c r="AX72" s="1733">
        <f>SUM(AV59:AV71)</f>
        <v>3474527.0160000003</v>
      </c>
      <c r="AY72" s="1413">
        <v>0</v>
      </c>
      <c r="AZ72" s="1408">
        <v>0</v>
      </c>
    </row>
    <row r="73">
      <c r="A73" s="1179" t="s">
        <v>379</v>
      </c>
      <c r="B73" s="1649">
        <f t="shared" si="1922"/>
        <v>0</v>
      </c>
      <c r="C73" s="1462">
        <f t="shared" si="1923"/>
        <v>0</v>
      </c>
      <c r="D73" s="1462">
        <f t="shared" si="1924"/>
        <v>0</v>
      </c>
      <c r="E73" s="1512">
        <f t="shared" si="1925"/>
        <v>0</v>
      </c>
      <c r="F73" s="1462">
        <f t="shared" si="1926"/>
        <v>0</v>
      </c>
      <c r="G73" s="1462">
        <f t="shared" si="1927"/>
        <v>0</v>
      </c>
      <c r="H73" s="1462">
        <f t="shared" si="1928"/>
        <v>0</v>
      </c>
      <c r="I73" s="1463">
        <f t="shared" si="1929"/>
        <v>0</v>
      </c>
      <c r="J73" s="1464">
        <f t="shared" si="1930"/>
        <v>0</v>
      </c>
      <c r="K73" s="1462">
        <f t="shared" si="1931"/>
        <v>0</v>
      </c>
      <c r="L73" s="1462">
        <f t="shared" si="1932"/>
        <v>0</v>
      </c>
      <c r="M73" s="1462">
        <f t="shared" si="1933"/>
        <v>0</v>
      </c>
      <c r="N73" s="1463">
        <f t="shared" si="1934"/>
        <v>0</v>
      </c>
      <c r="O73" s="1464">
        <f t="shared" si="1935"/>
        <v>0</v>
      </c>
      <c r="P73" s="1462">
        <f t="shared" si="1936"/>
        <v>0</v>
      </c>
      <c r="Q73" s="1462">
        <f t="shared" si="1937"/>
        <v>0</v>
      </c>
      <c r="R73" s="1462">
        <f t="shared" si="1938"/>
        <v>0</v>
      </c>
      <c r="S73" s="1463">
        <f t="shared" si="1939"/>
        <v>0</v>
      </c>
      <c r="T73" s="1465">
        <f t="shared" si="1940"/>
        <v>0</v>
      </c>
      <c r="U73" s="1017"/>
      <c r="V73" s="1734" t="s">
        <v>379</v>
      </c>
      <c r="W73" s="1735"/>
      <c r="X73" s="1652"/>
      <c r="Y73" s="1651"/>
      <c r="Z73" s="1652"/>
      <c r="AA73" s="1653"/>
      <c r="AB73" s="1654"/>
      <c r="AC73" s="1651"/>
      <c r="AD73" s="1475"/>
      <c r="AE73" s="1476"/>
      <c r="AF73" s="1652"/>
      <c r="AG73" s="1653"/>
      <c r="AH73" s="1716"/>
      <c r="AI73" s="1651"/>
      <c r="AJ73" s="1652"/>
      <c r="AK73" s="1653"/>
      <c r="AL73" s="1717"/>
      <c r="AM73" s="1651"/>
      <c r="AN73" s="1652"/>
      <c r="AO73" s="1653"/>
      <c r="AP73" s="1713"/>
      <c r="AQ73" s="1476"/>
      <c r="AR73" s="1652"/>
      <c r="AS73" s="1718"/>
      <c r="AT73" s="1719"/>
      <c r="AU73" s="1720"/>
      <c r="AV73" s="1721"/>
      <c r="AW73" s="1413"/>
      <c r="AX73" s="1663"/>
      <c r="AY73" s="1413"/>
      <c r="AZ73" s="1408"/>
    </row>
    <row r="74">
      <c r="A74" s="1561" t="s">
        <v>525</v>
      </c>
      <c r="B74" s="1649">
        <f t="shared" si="1922"/>
        <v>0</v>
      </c>
      <c r="C74" s="1462">
        <f t="shared" si="1923"/>
        <v>0</v>
      </c>
      <c r="D74" s="1462">
        <f t="shared" si="1924"/>
        <v>0</v>
      </c>
      <c r="E74" s="1512">
        <f t="shared" si="1925"/>
        <v>0</v>
      </c>
      <c r="F74" s="1462">
        <f t="shared" si="1926"/>
        <v>0</v>
      </c>
      <c r="G74" s="1462">
        <f t="shared" si="1927"/>
        <v>0</v>
      </c>
      <c r="H74" s="1462">
        <f t="shared" si="1928"/>
        <v>0</v>
      </c>
      <c r="I74" s="1463">
        <f t="shared" si="1929"/>
        <v>0</v>
      </c>
      <c r="J74" s="1464">
        <f t="shared" si="1930"/>
        <v>0</v>
      </c>
      <c r="K74" s="1462">
        <f t="shared" si="1931"/>
        <v>0</v>
      </c>
      <c r="L74" s="1462">
        <f t="shared" si="1932"/>
        <v>0</v>
      </c>
      <c r="M74" s="1462">
        <f t="shared" si="1933"/>
        <v>0</v>
      </c>
      <c r="N74" s="1463">
        <f t="shared" si="1934"/>
        <v>0</v>
      </c>
      <c r="O74" s="1464">
        <f t="shared" si="1935"/>
        <v>0</v>
      </c>
      <c r="P74" s="1462">
        <f t="shared" si="1936"/>
        <v>0</v>
      </c>
      <c r="Q74" s="1462">
        <f t="shared" si="1937"/>
        <v>0</v>
      </c>
      <c r="R74" s="1462">
        <f t="shared" si="1938"/>
        <v>0</v>
      </c>
      <c r="S74" s="1463">
        <f t="shared" si="1939"/>
        <v>0</v>
      </c>
      <c r="T74" s="1465">
        <f t="shared" si="1940"/>
        <v>0</v>
      </c>
      <c r="U74" s="1017"/>
      <c r="V74" s="1681" t="s">
        <v>525</v>
      </c>
      <c r="W74" s="1490"/>
      <c r="X74" s="1604"/>
      <c r="Y74" s="1605"/>
      <c r="Z74" s="1604"/>
      <c r="AA74" s="1666"/>
      <c r="AB74" s="1667"/>
      <c r="AC74" s="1605"/>
      <c r="AD74" s="1489"/>
      <c r="AE74" s="1490"/>
      <c r="AF74" s="1604"/>
      <c r="AG74" s="1666"/>
      <c r="AH74" s="1724"/>
      <c r="AI74" s="1605"/>
      <c r="AJ74" s="1604"/>
      <c r="AK74" s="1666"/>
      <c r="AL74" s="1725"/>
      <c r="AM74" s="1605"/>
      <c r="AN74" s="1604"/>
      <c r="AO74" s="1666"/>
      <c r="AP74" s="1736"/>
      <c r="AQ74" s="1490"/>
      <c r="AR74" s="1604"/>
      <c r="AS74" s="1662"/>
      <c r="AT74" s="1528"/>
      <c r="AU74" s="1493">
        <f>W74+Y74+AA74+AC74+AE74+AG74+AI74+AK74+AM74+AO74+AQ74+AS74</f>
        <v>0</v>
      </c>
      <c r="AV74" s="1494">
        <f>X74+Z74+AB74+AD74+AF74+AH74+AJ74+AL74+AN74+AP74+AR74+AT74</f>
        <v>0</v>
      </c>
      <c r="AW74" s="1413"/>
      <c r="AX74" s="1663"/>
      <c r="AY74" s="1413"/>
      <c r="AZ74" s="1408"/>
    </row>
    <row r="75">
      <c r="A75" s="1551" t="s">
        <v>543</v>
      </c>
      <c r="B75" s="1649">
        <f t="shared" si="1922"/>
        <v>0</v>
      </c>
      <c r="C75" s="1462">
        <f t="shared" si="1923"/>
        <v>0</v>
      </c>
      <c r="D75" s="1462">
        <f t="shared" si="1924"/>
        <v>0</v>
      </c>
      <c r="E75" s="1512">
        <f t="shared" si="1925"/>
        <v>0</v>
      </c>
      <c r="F75" s="1462">
        <f t="shared" si="1926"/>
        <v>0</v>
      </c>
      <c r="G75" s="1462">
        <f t="shared" si="1927"/>
        <v>0</v>
      </c>
      <c r="H75" s="1462">
        <f t="shared" si="1928"/>
        <v>0</v>
      </c>
      <c r="I75" s="1463">
        <f t="shared" si="1929"/>
        <v>0</v>
      </c>
      <c r="J75" s="1464">
        <f t="shared" si="1930"/>
        <v>0</v>
      </c>
      <c r="K75" s="1462">
        <f t="shared" si="1931"/>
        <v>0</v>
      </c>
      <c r="L75" s="1462">
        <f t="shared" si="1932"/>
        <v>0</v>
      </c>
      <c r="M75" s="1462">
        <f t="shared" si="1933"/>
        <v>0</v>
      </c>
      <c r="N75" s="1463">
        <f t="shared" si="1934"/>
        <v>0</v>
      </c>
      <c r="O75" s="1464">
        <f t="shared" si="1935"/>
        <v>0</v>
      </c>
      <c r="P75" s="1462">
        <f t="shared" si="1936"/>
        <v>0</v>
      </c>
      <c r="Q75" s="1462">
        <f t="shared" si="1937"/>
        <v>0</v>
      </c>
      <c r="R75" s="1462">
        <f t="shared" si="1938"/>
        <v>0</v>
      </c>
      <c r="S75" s="1463">
        <f t="shared" si="1939"/>
        <v>0</v>
      </c>
      <c r="T75" s="1465">
        <f t="shared" si="1940"/>
        <v>0</v>
      </c>
      <c r="U75" s="1017"/>
      <c r="V75" s="1695" t="s">
        <v>543</v>
      </c>
      <c r="W75" s="1503"/>
      <c r="X75" s="1684"/>
      <c r="Y75" s="1685"/>
      <c r="Z75" s="1684"/>
      <c r="AA75" s="1686"/>
      <c r="AB75" s="1737"/>
      <c r="AC75" s="1685"/>
      <c r="AD75" s="1502"/>
      <c r="AE75" s="1503"/>
      <c r="AF75" s="1684"/>
      <c r="AG75" s="1686"/>
      <c r="AH75" s="1731"/>
      <c r="AI75" s="1685"/>
      <c r="AJ75" s="1684"/>
      <c r="AK75" s="1686"/>
      <c r="AL75" s="1732"/>
      <c r="AM75" s="1685"/>
      <c r="AN75" s="1684"/>
      <c r="AO75" s="1686"/>
      <c r="AP75" s="1737"/>
      <c r="AQ75" s="1503"/>
      <c r="AR75" s="1684"/>
      <c r="AS75" s="1718"/>
      <c r="AT75" s="1719"/>
      <c r="AU75" s="1738"/>
      <c r="AV75" s="1739"/>
      <c r="AW75" s="1413"/>
      <c r="AX75" s="1663"/>
      <c r="AY75" s="1413"/>
      <c r="AZ75" s="1408"/>
    </row>
    <row r="76" s="1510" customFormat="1" ht="21.75" customHeight="1">
      <c r="A76" s="1511" t="s">
        <v>544</v>
      </c>
      <c r="B76" s="1700">
        <f t="shared" si="1922"/>
        <v>0</v>
      </c>
      <c r="C76" s="1302">
        <f t="shared" si="1923"/>
        <v>0</v>
      </c>
      <c r="D76" s="1302">
        <f t="shared" si="1924"/>
        <v>0</v>
      </c>
      <c r="E76" s="1512">
        <f t="shared" si="1925"/>
        <v>0</v>
      </c>
      <c r="F76" s="1302">
        <f t="shared" si="1926"/>
        <v>0</v>
      </c>
      <c r="G76" s="1302">
        <f t="shared" si="1927"/>
        <v>0</v>
      </c>
      <c r="H76" s="1302">
        <f t="shared" si="1928"/>
        <v>0</v>
      </c>
      <c r="I76" s="1512">
        <f t="shared" si="1929"/>
        <v>0</v>
      </c>
      <c r="J76" s="1513">
        <f t="shared" si="1930"/>
        <v>0</v>
      </c>
      <c r="K76" s="1302">
        <f t="shared" si="1931"/>
        <v>0</v>
      </c>
      <c r="L76" s="1302">
        <f t="shared" si="1932"/>
        <v>0</v>
      </c>
      <c r="M76" s="1302">
        <f t="shared" si="1933"/>
        <v>0</v>
      </c>
      <c r="N76" s="1512">
        <f t="shared" si="1934"/>
        <v>0</v>
      </c>
      <c r="O76" s="1513">
        <f t="shared" si="1935"/>
        <v>0</v>
      </c>
      <c r="P76" s="1302">
        <f t="shared" si="1936"/>
        <v>0</v>
      </c>
      <c r="Q76" s="1302">
        <f t="shared" si="1937"/>
        <v>0</v>
      </c>
      <c r="R76" s="1302">
        <f t="shared" si="1938"/>
        <v>0</v>
      </c>
      <c r="S76" s="1512">
        <f t="shared" si="1939"/>
        <v>0</v>
      </c>
      <c r="T76" s="1514">
        <f t="shared" si="1940"/>
        <v>0</v>
      </c>
      <c r="U76" s="1017"/>
      <c r="V76" s="1740" t="s">
        <v>544</v>
      </c>
      <c r="W76" s="1517">
        <f>SUM(W73:W75)</f>
        <v>0</v>
      </c>
      <c r="X76" s="1707">
        <f>SUM(X73:X75)</f>
        <v>0</v>
      </c>
      <c r="Y76" s="1517">
        <f t="shared" ref="Y76:AT80" si="1947">SUM(Y73:Y75)</f>
        <v>0</v>
      </c>
      <c r="Z76" s="1707">
        <f t="shared" si="1947"/>
        <v>0</v>
      </c>
      <c r="AA76" s="1741">
        <f t="shared" si="1947"/>
        <v>0</v>
      </c>
      <c r="AB76" s="1708">
        <f t="shared" si="1947"/>
        <v>0</v>
      </c>
      <c r="AC76" s="1517">
        <f t="shared" si="1947"/>
        <v>0</v>
      </c>
      <c r="AD76" s="1707">
        <f t="shared" si="1947"/>
        <v>0</v>
      </c>
      <c r="AE76" s="1517">
        <f t="shared" si="1947"/>
        <v>0</v>
      </c>
      <c r="AF76" s="1707">
        <f t="shared" si="1947"/>
        <v>0</v>
      </c>
      <c r="AG76" s="1741">
        <f t="shared" si="1947"/>
        <v>0</v>
      </c>
      <c r="AH76" s="1708">
        <f t="shared" si="1947"/>
        <v>0</v>
      </c>
      <c r="AI76" s="1517">
        <f t="shared" si="1947"/>
        <v>0</v>
      </c>
      <c r="AJ76" s="1707">
        <f t="shared" si="1947"/>
        <v>0</v>
      </c>
      <c r="AK76" s="1741">
        <f t="shared" si="1947"/>
        <v>0</v>
      </c>
      <c r="AL76" s="1709">
        <f t="shared" si="1947"/>
        <v>0</v>
      </c>
      <c r="AM76" s="1517">
        <f t="shared" si="1947"/>
        <v>0</v>
      </c>
      <c r="AN76" s="1707">
        <f t="shared" si="1947"/>
        <v>0</v>
      </c>
      <c r="AO76" s="1741">
        <f t="shared" si="1947"/>
        <v>0</v>
      </c>
      <c r="AP76" s="1708">
        <f t="shared" si="1947"/>
        <v>0</v>
      </c>
      <c r="AQ76" s="1517">
        <f t="shared" si="1947"/>
        <v>0</v>
      </c>
      <c r="AR76" s="1707">
        <v>0</v>
      </c>
      <c r="AS76" s="1742">
        <v>0</v>
      </c>
      <c r="AT76" s="1743">
        <v>0</v>
      </c>
      <c r="AU76" s="1743">
        <v>0</v>
      </c>
      <c r="AV76" s="1743">
        <v>0</v>
      </c>
      <c r="AW76" s="1526"/>
      <c r="AX76" s="1711"/>
      <c r="AY76" s="1526"/>
    </row>
    <row r="77">
      <c r="A77" s="1179" t="s">
        <v>390</v>
      </c>
      <c r="B77" s="1649">
        <f t="shared" si="1922"/>
        <v>26128856.169999998</v>
      </c>
      <c r="C77" s="1462">
        <f t="shared" si="1923"/>
        <v>14211708.642499998</v>
      </c>
      <c r="D77" s="1462">
        <f t="shared" si="1924"/>
        <v>0</v>
      </c>
      <c r="E77" s="1512">
        <f t="shared" si="1925"/>
        <v>40340564.8125</v>
      </c>
      <c r="F77" s="1462">
        <f t="shared" si="1926"/>
        <v>0</v>
      </c>
      <c r="G77" s="1462">
        <f t="shared" si="1927"/>
        <v>0</v>
      </c>
      <c r="H77" s="1462">
        <f t="shared" si="1928"/>
        <v>0</v>
      </c>
      <c r="I77" s="1463">
        <f t="shared" si="1929"/>
        <v>0</v>
      </c>
      <c r="J77" s="1464">
        <f t="shared" si="1930"/>
        <v>40340564.8125</v>
      </c>
      <c r="K77" s="1462">
        <f t="shared" si="1931"/>
        <v>0</v>
      </c>
      <c r="L77" s="1462">
        <f t="shared" si="1932"/>
        <v>0</v>
      </c>
      <c r="M77" s="1462">
        <f t="shared" si="1933"/>
        <v>0</v>
      </c>
      <c r="N77" s="1463">
        <f t="shared" si="1934"/>
        <v>0</v>
      </c>
      <c r="O77" s="1464">
        <f t="shared" si="1935"/>
        <v>40340564.8125</v>
      </c>
      <c r="P77" s="1462">
        <f t="shared" si="1936"/>
        <v>0</v>
      </c>
      <c r="Q77" s="1462">
        <f t="shared" si="1937"/>
        <v>0</v>
      </c>
      <c r="R77" s="1462">
        <f t="shared" si="1938"/>
        <v>0</v>
      </c>
      <c r="S77" s="1463">
        <f t="shared" si="1939"/>
        <v>0</v>
      </c>
      <c r="T77" s="1465">
        <f t="shared" si="1940"/>
        <v>40340564.8125</v>
      </c>
      <c r="U77" s="1017"/>
      <c r="V77" s="1734" t="s">
        <v>390</v>
      </c>
      <c r="W77" s="1476">
        <v>282</v>
      </c>
      <c r="X77" s="1652">
        <v>26128856.169999998</v>
      </c>
      <c r="Y77" s="1651">
        <v>221</v>
      </c>
      <c r="Z77" s="1652">
        <v>14211708.642499998</v>
      </c>
      <c r="AA77" s="1653"/>
      <c r="AB77" s="1654"/>
      <c r="AC77" s="1651"/>
      <c r="AD77" s="1475"/>
      <c r="AE77" s="1476"/>
      <c r="AF77" s="1652"/>
      <c r="AG77" s="1653"/>
      <c r="AH77" s="1716"/>
      <c r="AI77" s="1651"/>
      <c r="AJ77" s="1652"/>
      <c r="AK77" s="1653"/>
      <c r="AL77" s="1717"/>
      <c r="AM77" s="1651"/>
      <c r="AN77" s="1652"/>
      <c r="AO77" s="1653"/>
      <c r="AP77" s="1660"/>
      <c r="AQ77" s="1476"/>
      <c r="AR77" s="1652"/>
      <c r="AS77" s="1653"/>
      <c r="AT77" s="1477"/>
      <c r="AU77" s="1493">
        <f t="shared" ref="AU77:AV79" si="1948">W77+Y77+AA77+AC77+AE77+AG77+AI77+AK77+AM77+AO77+AQ77+AS77</f>
        <v>503</v>
      </c>
      <c r="AV77" s="1494">
        <f t="shared" si="1948"/>
        <v>40340564.8125</v>
      </c>
      <c r="AW77" s="1413"/>
      <c r="AX77" s="1663"/>
      <c r="AY77" s="1413">
        <v>0</v>
      </c>
      <c r="AZ77" s="1408">
        <v>0</v>
      </c>
    </row>
    <row r="78">
      <c r="A78" s="1179" t="s">
        <v>392</v>
      </c>
      <c r="B78" s="1649">
        <f t="shared" si="1922"/>
        <v>575060.42000000004</v>
      </c>
      <c r="C78" s="1462">
        <f t="shared" si="1923"/>
        <v>1364501.0005000001</v>
      </c>
      <c r="D78" s="1462">
        <f t="shared" si="1924"/>
        <v>0</v>
      </c>
      <c r="E78" s="1512">
        <f t="shared" si="1925"/>
        <v>1939561.4205</v>
      </c>
      <c r="F78" s="1462">
        <f t="shared" si="1926"/>
        <v>0</v>
      </c>
      <c r="G78" s="1462">
        <f t="shared" si="1927"/>
        <v>0</v>
      </c>
      <c r="H78" s="1462">
        <f t="shared" si="1928"/>
        <v>0</v>
      </c>
      <c r="I78" s="1463">
        <f t="shared" si="1929"/>
        <v>0</v>
      </c>
      <c r="J78" s="1464">
        <f t="shared" si="1930"/>
        <v>1939561.4205</v>
      </c>
      <c r="K78" s="1462">
        <f t="shared" si="1931"/>
        <v>0</v>
      </c>
      <c r="L78" s="1462">
        <f t="shared" si="1932"/>
        <v>0</v>
      </c>
      <c r="M78" s="1462">
        <f t="shared" si="1933"/>
        <v>0</v>
      </c>
      <c r="N78" s="1463">
        <f t="shared" si="1934"/>
        <v>0</v>
      </c>
      <c r="O78" s="1464">
        <f t="shared" si="1935"/>
        <v>1939561.4205</v>
      </c>
      <c r="P78" s="1462">
        <f t="shared" si="1936"/>
        <v>0</v>
      </c>
      <c r="Q78" s="1462">
        <f t="shared" si="1937"/>
        <v>0</v>
      </c>
      <c r="R78" s="1462">
        <f t="shared" si="1938"/>
        <v>0</v>
      </c>
      <c r="S78" s="1463">
        <f t="shared" si="1939"/>
        <v>0</v>
      </c>
      <c r="T78" s="1465">
        <f t="shared" si="1940"/>
        <v>1939561.4205</v>
      </c>
      <c r="U78" s="1017"/>
      <c r="V78" s="1681" t="s">
        <v>392</v>
      </c>
      <c r="W78" s="1490">
        <v>8</v>
      </c>
      <c r="X78" s="1604">
        <v>575060.42000000004</v>
      </c>
      <c r="Y78" s="1605">
        <v>12</v>
      </c>
      <c r="Z78" s="1604">
        <v>1364501.0005000001</v>
      </c>
      <c r="AA78" s="1666"/>
      <c r="AB78" s="1667"/>
      <c r="AC78" s="1605"/>
      <c r="AD78" s="1489"/>
      <c r="AE78" s="1490"/>
      <c r="AF78" s="1604"/>
      <c r="AG78" s="1666"/>
      <c r="AH78" s="1724"/>
      <c r="AI78" s="1605"/>
      <c r="AJ78" s="1604"/>
      <c r="AK78" s="1666"/>
      <c r="AL78" s="1725"/>
      <c r="AM78" s="1605"/>
      <c r="AN78" s="1604"/>
      <c r="AO78" s="1666"/>
      <c r="AP78" s="1675"/>
      <c r="AQ78" s="1490"/>
      <c r="AR78" s="1604"/>
      <c r="AS78" s="1666"/>
      <c r="AT78" s="1491"/>
      <c r="AU78" s="1493">
        <f t="shared" si="1948"/>
        <v>20</v>
      </c>
      <c r="AV78" s="1494">
        <f t="shared" si="1948"/>
        <v>1939561.4205</v>
      </c>
      <c r="AW78" s="1413"/>
      <c r="AX78" s="1663"/>
      <c r="AY78" s="1413">
        <v>0</v>
      </c>
      <c r="AZ78" s="1408">
        <v>0</v>
      </c>
    </row>
    <row r="79">
      <c r="A79" s="1179" t="s">
        <v>265</v>
      </c>
      <c r="B79" s="1649">
        <f t="shared" si="1922"/>
        <v>0</v>
      </c>
      <c r="C79" s="1462">
        <f t="shared" si="1923"/>
        <v>122482.09700000001</v>
      </c>
      <c r="D79" s="1462">
        <f t="shared" si="1924"/>
        <v>0</v>
      </c>
      <c r="E79" s="1512">
        <f t="shared" si="1925"/>
        <v>122482.09700000001</v>
      </c>
      <c r="F79" s="1462">
        <f t="shared" si="1926"/>
        <v>0</v>
      </c>
      <c r="G79" s="1462">
        <f t="shared" si="1927"/>
        <v>0</v>
      </c>
      <c r="H79" s="1462">
        <f t="shared" si="1928"/>
        <v>0</v>
      </c>
      <c r="I79" s="1463">
        <f t="shared" si="1929"/>
        <v>0</v>
      </c>
      <c r="J79" s="1464">
        <f t="shared" si="1930"/>
        <v>122482.09700000001</v>
      </c>
      <c r="K79" s="1462">
        <f t="shared" si="1931"/>
        <v>0</v>
      </c>
      <c r="L79" s="1462">
        <f t="shared" si="1932"/>
        <v>0</v>
      </c>
      <c r="M79" s="1462">
        <f t="shared" si="1933"/>
        <v>0</v>
      </c>
      <c r="N79" s="1463">
        <f t="shared" si="1934"/>
        <v>0</v>
      </c>
      <c r="O79" s="1464">
        <f t="shared" si="1935"/>
        <v>122482.09700000001</v>
      </c>
      <c r="P79" s="1462">
        <f t="shared" si="1936"/>
        <v>0</v>
      </c>
      <c r="Q79" s="1462">
        <f t="shared" si="1937"/>
        <v>0</v>
      </c>
      <c r="R79" s="1462">
        <f t="shared" si="1938"/>
        <v>0</v>
      </c>
      <c r="S79" s="1463">
        <f t="shared" si="1939"/>
        <v>0</v>
      </c>
      <c r="T79" s="1465">
        <f t="shared" si="1940"/>
        <v>122482.09700000001</v>
      </c>
      <c r="U79" s="1017"/>
      <c r="V79" s="1695" t="s">
        <v>265</v>
      </c>
      <c r="W79" s="1503">
        <v>0</v>
      </c>
      <c r="X79" s="1684">
        <v>0</v>
      </c>
      <c r="Y79" s="1685">
        <v>1</v>
      </c>
      <c r="Z79" s="1684">
        <v>122482.09700000001</v>
      </c>
      <c r="AA79" s="1686"/>
      <c r="AB79" s="1687"/>
      <c r="AC79" s="1685"/>
      <c r="AD79" s="1502"/>
      <c r="AE79" s="1503"/>
      <c r="AF79" s="1684"/>
      <c r="AG79" s="1686"/>
      <c r="AH79" s="1731"/>
      <c r="AI79" s="1685"/>
      <c r="AJ79" s="1684"/>
      <c r="AK79" s="1686"/>
      <c r="AL79" s="1732"/>
      <c r="AM79" s="1685"/>
      <c r="AN79" s="1684"/>
      <c r="AO79" s="1686"/>
      <c r="AP79" s="1693"/>
      <c r="AQ79" s="1503"/>
      <c r="AR79" s="1684"/>
      <c r="AS79" s="1686"/>
      <c r="AT79" s="1504"/>
      <c r="AU79" s="1493">
        <f t="shared" si="1948"/>
        <v>1</v>
      </c>
      <c r="AV79" s="1494">
        <f t="shared" si="1948"/>
        <v>122482.09700000001</v>
      </c>
      <c r="AW79" s="1413"/>
      <c r="AX79" s="1663"/>
      <c r="AY79" s="1413">
        <v>0</v>
      </c>
      <c r="AZ79" s="1408">
        <v>0</v>
      </c>
    </row>
    <row r="80" s="1510" customFormat="1" ht="25.5" customHeight="1">
      <c r="A80" s="1511" t="s">
        <v>394</v>
      </c>
      <c r="B80" s="1744">
        <f t="shared" si="1922"/>
        <v>26703916.59</v>
      </c>
      <c r="C80" s="1745">
        <f t="shared" si="1923"/>
        <v>15698691.739999998</v>
      </c>
      <c r="D80" s="1745">
        <f t="shared" si="1924"/>
        <v>0</v>
      </c>
      <c r="E80" s="1746">
        <f t="shared" si="1925"/>
        <v>42402608.329999998</v>
      </c>
      <c r="F80" s="1745">
        <f t="shared" si="1926"/>
        <v>0</v>
      </c>
      <c r="G80" s="1745">
        <f t="shared" si="1927"/>
        <v>0</v>
      </c>
      <c r="H80" s="1745">
        <f t="shared" si="1928"/>
        <v>0</v>
      </c>
      <c r="I80" s="1746">
        <f t="shared" si="1929"/>
        <v>0</v>
      </c>
      <c r="J80" s="1747">
        <f t="shared" si="1930"/>
        <v>42402608.329999998</v>
      </c>
      <c r="K80" s="1745">
        <f t="shared" si="1931"/>
        <v>0</v>
      </c>
      <c r="L80" s="1745">
        <f t="shared" si="1932"/>
        <v>0</v>
      </c>
      <c r="M80" s="1745">
        <f t="shared" si="1933"/>
        <v>0</v>
      </c>
      <c r="N80" s="1746">
        <f t="shared" si="1934"/>
        <v>0</v>
      </c>
      <c r="O80" s="1747">
        <f t="shared" si="1935"/>
        <v>42402608.329999998</v>
      </c>
      <c r="P80" s="1745">
        <f t="shared" si="1936"/>
        <v>0</v>
      </c>
      <c r="Q80" s="1745">
        <f t="shared" si="1937"/>
        <v>0</v>
      </c>
      <c r="R80" s="1748">
        <f t="shared" si="1938"/>
        <v>0</v>
      </c>
      <c r="S80" s="1746">
        <f t="shared" si="1939"/>
        <v>0</v>
      </c>
      <c r="T80" s="1749">
        <f t="shared" si="1940"/>
        <v>42402608.329999998</v>
      </c>
      <c r="U80" s="1017"/>
      <c r="V80" s="1750" t="s">
        <v>394</v>
      </c>
      <c r="W80" s="1751">
        <f>SUM(W77:W79)</f>
        <v>290</v>
      </c>
      <c r="X80" s="1752">
        <f>SUM(X77:X79)</f>
        <v>26703916.59</v>
      </c>
      <c r="Y80" s="1751">
        <f t="shared" si="1947"/>
        <v>234</v>
      </c>
      <c r="Z80" s="1753">
        <f t="shared" si="1947"/>
        <v>15698691.739999998</v>
      </c>
      <c r="AA80" s="1754">
        <f t="shared" si="1947"/>
        <v>0</v>
      </c>
      <c r="AB80" s="1755">
        <f t="shared" si="1947"/>
        <v>0</v>
      </c>
      <c r="AC80" s="1751">
        <f t="shared" si="1947"/>
        <v>0</v>
      </c>
      <c r="AD80" s="1753">
        <f t="shared" si="1947"/>
        <v>0</v>
      </c>
      <c r="AE80" s="1751">
        <f t="shared" si="1947"/>
        <v>0</v>
      </c>
      <c r="AF80" s="1753">
        <f t="shared" si="1947"/>
        <v>0</v>
      </c>
      <c r="AG80" s="1754">
        <f t="shared" si="1947"/>
        <v>0</v>
      </c>
      <c r="AH80" s="1755">
        <f t="shared" si="1947"/>
        <v>0</v>
      </c>
      <c r="AI80" s="1751">
        <f t="shared" si="1947"/>
        <v>0</v>
      </c>
      <c r="AJ80" s="1753">
        <f t="shared" si="1947"/>
        <v>0</v>
      </c>
      <c r="AK80" s="1754">
        <f t="shared" si="1947"/>
        <v>0</v>
      </c>
      <c r="AL80" s="1756">
        <f t="shared" si="1947"/>
        <v>0</v>
      </c>
      <c r="AM80" s="1751">
        <f t="shared" si="1947"/>
        <v>0</v>
      </c>
      <c r="AN80" s="1753">
        <f t="shared" si="1947"/>
        <v>0</v>
      </c>
      <c r="AO80" s="1754">
        <f t="shared" si="1947"/>
        <v>0</v>
      </c>
      <c r="AP80" s="1756">
        <f t="shared" si="1947"/>
        <v>0</v>
      </c>
      <c r="AQ80" s="1751">
        <f t="shared" si="1947"/>
        <v>0</v>
      </c>
      <c r="AR80" s="1753">
        <f t="shared" si="1947"/>
        <v>0</v>
      </c>
      <c r="AS80" s="1754">
        <f t="shared" si="1947"/>
        <v>0</v>
      </c>
      <c r="AT80" s="1757">
        <f t="shared" si="1947"/>
        <v>0</v>
      </c>
      <c r="AU80" s="1758">
        <f>SUM(AU77:AU79)</f>
        <v>524</v>
      </c>
      <c r="AV80" s="1759">
        <f>SUM(AV77:AV79)</f>
        <v>42402608.330000006</v>
      </c>
      <c r="AW80" s="1526"/>
      <c r="AX80" s="1711"/>
      <c r="AY80" s="1526"/>
    </row>
    <row r="81" s="1510" customFormat="1" ht="24" customHeight="1">
      <c r="A81" s="1511" t="s">
        <v>545</v>
      </c>
      <c r="B81" s="1760">
        <f t="shared" si="1922"/>
        <v>35575530.489</v>
      </c>
      <c r="C81" s="1761">
        <f t="shared" si="1923"/>
        <v>23639066.761999998</v>
      </c>
      <c r="D81" s="1761">
        <f t="shared" si="1924"/>
        <v>0</v>
      </c>
      <c r="E81" s="1762">
        <f t="shared" si="1925"/>
        <v>59214597.251000002</v>
      </c>
      <c r="F81" s="1761">
        <f t="shared" si="1926"/>
        <v>0</v>
      </c>
      <c r="G81" s="1761">
        <f t="shared" si="1927"/>
        <v>0</v>
      </c>
      <c r="H81" s="1761">
        <f t="shared" si="1928"/>
        <v>0</v>
      </c>
      <c r="I81" s="1762">
        <f t="shared" si="1929"/>
        <v>0</v>
      </c>
      <c r="J81" s="1763">
        <f t="shared" si="1930"/>
        <v>59214597.251000002</v>
      </c>
      <c r="K81" s="1761">
        <f t="shared" si="1931"/>
        <v>0</v>
      </c>
      <c r="L81" s="1761">
        <f t="shared" si="1932"/>
        <v>0</v>
      </c>
      <c r="M81" s="1761">
        <f t="shared" si="1933"/>
        <v>0</v>
      </c>
      <c r="N81" s="1762">
        <f t="shared" si="1934"/>
        <v>0</v>
      </c>
      <c r="O81" s="1763">
        <f t="shared" si="1935"/>
        <v>59214597.251000002</v>
      </c>
      <c r="P81" s="1761">
        <f t="shared" si="1936"/>
        <v>0</v>
      </c>
      <c r="Q81" s="1761">
        <f t="shared" si="1937"/>
        <v>0</v>
      </c>
      <c r="R81" s="1764">
        <f t="shared" si="1938"/>
        <v>0</v>
      </c>
      <c r="S81" s="1762">
        <f t="shared" si="1939"/>
        <v>0</v>
      </c>
      <c r="T81" s="1765">
        <f t="shared" si="1940"/>
        <v>59214597.251000002</v>
      </c>
      <c r="U81" s="1017"/>
      <c r="V81" s="1766" t="s">
        <v>545</v>
      </c>
      <c r="W81" s="1767">
        <f>W58+W72+W76+W80</f>
        <v>452</v>
      </c>
      <c r="X81" s="1768">
        <f>X58+X72+X76+X80</f>
        <v>35575530.489</v>
      </c>
      <c r="Y81" s="1767">
        <f t="shared" ref="Y81:AT81" si="1949">Y58+Y72+Y76+Y80</f>
        <v>399</v>
      </c>
      <c r="Z81" s="1769">
        <f t="shared" si="1949"/>
        <v>23639066.761999998</v>
      </c>
      <c r="AA81" s="1770">
        <f t="shared" si="1949"/>
        <v>0</v>
      </c>
      <c r="AB81" s="1771">
        <f t="shared" si="1949"/>
        <v>0</v>
      </c>
      <c r="AC81" s="1767">
        <f t="shared" si="1949"/>
        <v>0</v>
      </c>
      <c r="AD81" s="1769">
        <f t="shared" si="1949"/>
        <v>0</v>
      </c>
      <c r="AE81" s="1767">
        <f t="shared" si="1949"/>
        <v>0</v>
      </c>
      <c r="AF81" s="1769">
        <f t="shared" si="1949"/>
        <v>0</v>
      </c>
      <c r="AG81" s="1770">
        <f t="shared" si="1949"/>
        <v>0</v>
      </c>
      <c r="AH81" s="1771">
        <f t="shared" si="1949"/>
        <v>0</v>
      </c>
      <c r="AI81" s="1767">
        <f t="shared" si="1949"/>
        <v>0</v>
      </c>
      <c r="AJ81" s="1769">
        <f t="shared" si="1949"/>
        <v>0</v>
      </c>
      <c r="AK81" s="1770">
        <f t="shared" si="1949"/>
        <v>0</v>
      </c>
      <c r="AL81" s="1772">
        <f t="shared" si="1949"/>
        <v>0</v>
      </c>
      <c r="AM81" s="1767">
        <f t="shared" si="1949"/>
        <v>0</v>
      </c>
      <c r="AN81" s="1769">
        <f t="shared" si="1949"/>
        <v>0</v>
      </c>
      <c r="AO81" s="1770">
        <f t="shared" si="1949"/>
        <v>0</v>
      </c>
      <c r="AP81" s="1772">
        <f t="shared" si="1949"/>
        <v>0</v>
      </c>
      <c r="AQ81" s="1767">
        <f t="shared" si="1949"/>
        <v>0</v>
      </c>
      <c r="AR81" s="1769">
        <f t="shared" si="1949"/>
        <v>0</v>
      </c>
      <c r="AS81" s="1770">
        <f t="shared" si="1949"/>
        <v>0</v>
      </c>
      <c r="AT81" s="1773">
        <f t="shared" si="1949"/>
        <v>0</v>
      </c>
      <c r="AU81" s="1774">
        <f>AU58+AU72+AU76+AU80</f>
        <v>851</v>
      </c>
      <c r="AV81" s="1775">
        <f>AV58+AV72+AV76+AV80</f>
        <v>59214597.251000002</v>
      </c>
      <c r="AW81" s="1526"/>
      <c r="AX81" s="1711"/>
      <c r="AY81" s="1526"/>
    </row>
    <row r="82">
      <c r="A82" s="1179" t="s">
        <v>50</v>
      </c>
      <c r="B82" s="1776">
        <f t="shared" si="1922"/>
        <v>0</v>
      </c>
      <c r="C82" s="1777">
        <f t="shared" si="1923"/>
        <v>0</v>
      </c>
      <c r="D82" s="1777">
        <f t="shared" si="1924"/>
        <v>0</v>
      </c>
      <c r="E82" s="1778">
        <f t="shared" si="1925"/>
        <v>0</v>
      </c>
      <c r="F82" s="1777">
        <f t="shared" si="1926"/>
        <v>0</v>
      </c>
      <c r="G82" s="1777">
        <f t="shared" si="1927"/>
        <v>0</v>
      </c>
      <c r="H82" s="1777">
        <f t="shared" si="1928"/>
        <v>0</v>
      </c>
      <c r="I82" s="1779">
        <f t="shared" si="1929"/>
        <v>0</v>
      </c>
      <c r="J82" s="1780">
        <f t="shared" si="1930"/>
        <v>0</v>
      </c>
      <c r="K82" s="1777">
        <f t="shared" si="1931"/>
        <v>0</v>
      </c>
      <c r="L82" s="1777">
        <f t="shared" si="1932"/>
        <v>0</v>
      </c>
      <c r="M82" s="1777">
        <f t="shared" si="1933"/>
        <v>0</v>
      </c>
      <c r="N82" s="1779">
        <f t="shared" si="1934"/>
        <v>0</v>
      </c>
      <c r="O82" s="1780">
        <f t="shared" si="1935"/>
        <v>0</v>
      </c>
      <c r="P82" s="1777">
        <f t="shared" si="1936"/>
        <v>0</v>
      </c>
      <c r="Q82" s="1777">
        <f t="shared" si="1937"/>
        <v>0</v>
      </c>
      <c r="R82" s="1777">
        <f t="shared" si="1938"/>
        <v>0</v>
      </c>
      <c r="S82" s="1779">
        <f t="shared" si="1939"/>
        <v>0</v>
      </c>
      <c r="T82" s="1781">
        <f t="shared" si="1940"/>
        <v>0</v>
      </c>
      <c r="U82" s="1017"/>
      <c r="V82" s="1650" t="s">
        <v>50</v>
      </c>
      <c r="W82" s="1476"/>
      <c r="X82" s="1652"/>
      <c r="Y82" s="1651"/>
      <c r="Z82" s="1652"/>
      <c r="AA82" s="1653"/>
      <c r="AB82" s="1654"/>
      <c r="AC82" s="1651"/>
      <c r="AD82" s="1475"/>
      <c r="AE82" s="1476"/>
      <c r="AF82" s="1652"/>
      <c r="AG82" s="1653"/>
      <c r="AH82" s="1716"/>
      <c r="AI82" s="1651"/>
      <c r="AJ82" s="1652"/>
      <c r="AK82" s="1653"/>
      <c r="AL82" s="1717"/>
      <c r="AM82" s="1651"/>
      <c r="AN82" s="1652"/>
      <c r="AO82" s="1653"/>
      <c r="AP82" s="1713"/>
      <c r="AQ82" s="1476"/>
      <c r="AR82" s="1652"/>
      <c r="AS82" s="1782"/>
      <c r="AT82" s="1783"/>
      <c r="AU82" s="1493">
        <f t="shared" ref="AU82:AV88" si="1950">W82+Y82+AA82+AC82+AE82+AG82+AI82+AK82+AM82+AO82+AQ82+AS82</f>
        <v>0</v>
      </c>
      <c r="AV82" s="1494">
        <f t="shared" si="1950"/>
        <v>0</v>
      </c>
      <c r="AW82" s="1413"/>
      <c r="AX82" s="1663"/>
      <c r="AY82" s="1413">
        <v>0</v>
      </c>
      <c r="AZ82" s="1408">
        <v>0</v>
      </c>
    </row>
    <row r="83">
      <c r="A83" s="1179" t="s">
        <v>397</v>
      </c>
      <c r="B83" s="1649">
        <f t="shared" si="1922"/>
        <v>0</v>
      </c>
      <c r="C83" s="1462">
        <f t="shared" si="1923"/>
        <v>0</v>
      </c>
      <c r="D83" s="1462">
        <f t="shared" si="1924"/>
        <v>0</v>
      </c>
      <c r="E83" s="1512">
        <f t="shared" si="1925"/>
        <v>0</v>
      </c>
      <c r="F83" s="1462">
        <f t="shared" si="1926"/>
        <v>0</v>
      </c>
      <c r="G83" s="1462">
        <f t="shared" si="1927"/>
        <v>0</v>
      </c>
      <c r="H83" s="1462">
        <f t="shared" si="1928"/>
        <v>0</v>
      </c>
      <c r="I83" s="1463">
        <f t="shared" si="1929"/>
        <v>0</v>
      </c>
      <c r="J83" s="1464">
        <f t="shared" si="1930"/>
        <v>0</v>
      </c>
      <c r="K83" s="1462">
        <f t="shared" si="1931"/>
        <v>0</v>
      </c>
      <c r="L83" s="1462">
        <f t="shared" si="1932"/>
        <v>0</v>
      </c>
      <c r="M83" s="1462">
        <f t="shared" si="1933"/>
        <v>0</v>
      </c>
      <c r="N83" s="1463">
        <f t="shared" si="1934"/>
        <v>0</v>
      </c>
      <c r="O83" s="1464">
        <f t="shared" si="1935"/>
        <v>0</v>
      </c>
      <c r="P83" s="1462">
        <f t="shared" si="1936"/>
        <v>0</v>
      </c>
      <c r="Q83" s="1462">
        <f t="shared" si="1937"/>
        <v>0</v>
      </c>
      <c r="R83" s="1462">
        <f t="shared" si="1938"/>
        <v>0</v>
      </c>
      <c r="S83" s="1463">
        <f t="shared" si="1939"/>
        <v>0</v>
      </c>
      <c r="T83" s="1465">
        <f t="shared" si="1940"/>
        <v>0</v>
      </c>
      <c r="U83" s="1017"/>
      <c r="V83" s="1784" t="s">
        <v>397</v>
      </c>
      <c r="W83" s="1490"/>
      <c r="X83" s="1604"/>
      <c r="Y83" s="1605"/>
      <c r="Z83" s="1604"/>
      <c r="AA83" s="1666"/>
      <c r="AB83" s="1736"/>
      <c r="AC83" s="1605"/>
      <c r="AD83" s="1489"/>
      <c r="AE83" s="1490"/>
      <c r="AF83" s="1604"/>
      <c r="AG83" s="1666"/>
      <c r="AH83" s="1724"/>
      <c r="AI83" s="1605"/>
      <c r="AJ83" s="1604"/>
      <c r="AK83" s="1666"/>
      <c r="AL83" s="1725"/>
      <c r="AM83" s="1605"/>
      <c r="AN83" s="1604"/>
      <c r="AO83" s="1666"/>
      <c r="AP83" s="1736"/>
      <c r="AQ83" s="1490"/>
      <c r="AR83" s="1604"/>
      <c r="AS83" s="1782"/>
      <c r="AT83" s="1783"/>
      <c r="AU83" s="1493">
        <f t="shared" si="1950"/>
        <v>0</v>
      </c>
      <c r="AV83" s="1494">
        <f t="shared" si="1950"/>
        <v>0</v>
      </c>
      <c r="AW83" s="1413"/>
      <c r="AX83" s="1663"/>
      <c r="AY83" s="1413"/>
      <c r="AZ83" s="1408"/>
    </row>
    <row r="84">
      <c r="A84" s="1179" t="s">
        <v>546</v>
      </c>
      <c r="B84" s="1649">
        <f t="shared" si="1922"/>
        <v>0</v>
      </c>
      <c r="C84" s="1462">
        <f t="shared" si="1923"/>
        <v>0</v>
      </c>
      <c r="D84" s="1462">
        <f t="shared" si="1924"/>
        <v>0</v>
      </c>
      <c r="E84" s="1512">
        <f t="shared" si="1925"/>
        <v>0</v>
      </c>
      <c r="F84" s="1462">
        <f t="shared" si="1926"/>
        <v>0</v>
      </c>
      <c r="G84" s="1462">
        <f t="shared" si="1927"/>
        <v>0</v>
      </c>
      <c r="H84" s="1462">
        <f t="shared" si="1928"/>
        <v>0</v>
      </c>
      <c r="I84" s="1463">
        <f t="shared" si="1929"/>
        <v>0</v>
      </c>
      <c r="J84" s="1464">
        <f t="shared" si="1930"/>
        <v>0</v>
      </c>
      <c r="K84" s="1462">
        <f t="shared" si="1931"/>
        <v>0</v>
      </c>
      <c r="L84" s="1462">
        <f t="shared" si="1932"/>
        <v>0</v>
      </c>
      <c r="M84" s="1462">
        <f t="shared" si="1933"/>
        <v>0</v>
      </c>
      <c r="N84" s="1463">
        <f t="shared" si="1934"/>
        <v>0</v>
      </c>
      <c r="O84" s="1464">
        <f t="shared" si="1935"/>
        <v>0</v>
      </c>
      <c r="P84" s="1462">
        <f t="shared" si="1936"/>
        <v>0</v>
      </c>
      <c r="Q84" s="1462">
        <f t="shared" si="1937"/>
        <v>0</v>
      </c>
      <c r="R84" s="1462">
        <f t="shared" si="1938"/>
        <v>0</v>
      </c>
      <c r="S84" s="1463">
        <f t="shared" si="1939"/>
        <v>0</v>
      </c>
      <c r="T84" s="1465">
        <f t="shared" si="1940"/>
        <v>0</v>
      </c>
      <c r="U84" s="1017"/>
      <c r="V84" s="1784" t="s">
        <v>546</v>
      </c>
      <c r="W84" s="1490"/>
      <c r="X84" s="1604"/>
      <c r="Y84" s="1605"/>
      <c r="Z84" s="1604"/>
      <c r="AA84" s="1666"/>
      <c r="AB84" s="1736"/>
      <c r="AC84" s="1605"/>
      <c r="AD84" s="1489"/>
      <c r="AE84" s="1490"/>
      <c r="AF84" s="1604"/>
      <c r="AG84" s="1666"/>
      <c r="AH84" s="1724"/>
      <c r="AI84" s="1605"/>
      <c r="AJ84" s="1604"/>
      <c r="AK84" s="1666"/>
      <c r="AL84" s="1725"/>
      <c r="AM84" s="1605"/>
      <c r="AN84" s="1604"/>
      <c r="AO84" s="1666"/>
      <c r="AP84" s="1736"/>
      <c r="AQ84" s="1490"/>
      <c r="AR84" s="1604"/>
      <c r="AS84" s="1782"/>
      <c r="AT84" s="1783"/>
      <c r="AU84" s="1493">
        <f t="shared" si="1950"/>
        <v>0</v>
      </c>
      <c r="AV84" s="1494">
        <f t="shared" si="1950"/>
        <v>0</v>
      </c>
      <c r="AW84" s="1413"/>
      <c r="AX84" s="1663"/>
      <c r="AY84" s="1413"/>
      <c r="AZ84" s="1408"/>
    </row>
    <row r="85">
      <c r="A85" s="1179" t="s">
        <v>547</v>
      </c>
      <c r="B85" s="1649">
        <f t="shared" si="1922"/>
        <v>0</v>
      </c>
      <c r="C85" s="1462">
        <f t="shared" si="1923"/>
        <v>0</v>
      </c>
      <c r="D85" s="1462">
        <f t="shared" si="1924"/>
        <v>0</v>
      </c>
      <c r="E85" s="1512">
        <f t="shared" si="1925"/>
        <v>0</v>
      </c>
      <c r="F85" s="1462">
        <f t="shared" si="1926"/>
        <v>0</v>
      </c>
      <c r="G85" s="1462">
        <f t="shared" si="1927"/>
        <v>0</v>
      </c>
      <c r="H85" s="1462">
        <f t="shared" si="1928"/>
        <v>0</v>
      </c>
      <c r="I85" s="1463">
        <f t="shared" si="1929"/>
        <v>0</v>
      </c>
      <c r="J85" s="1464">
        <f t="shared" si="1930"/>
        <v>0</v>
      </c>
      <c r="K85" s="1462">
        <f t="shared" si="1931"/>
        <v>0</v>
      </c>
      <c r="L85" s="1462">
        <f t="shared" si="1932"/>
        <v>0</v>
      </c>
      <c r="M85" s="1462">
        <f t="shared" si="1933"/>
        <v>0</v>
      </c>
      <c r="N85" s="1463">
        <f t="shared" si="1934"/>
        <v>0</v>
      </c>
      <c r="O85" s="1464">
        <f t="shared" si="1935"/>
        <v>0</v>
      </c>
      <c r="P85" s="1462">
        <f t="shared" si="1936"/>
        <v>0</v>
      </c>
      <c r="Q85" s="1462">
        <f t="shared" si="1937"/>
        <v>0</v>
      </c>
      <c r="R85" s="1462">
        <f t="shared" si="1938"/>
        <v>0</v>
      </c>
      <c r="S85" s="1463">
        <f t="shared" si="1939"/>
        <v>0</v>
      </c>
      <c r="T85" s="1465">
        <f t="shared" si="1940"/>
        <v>0</v>
      </c>
      <c r="U85" s="1017"/>
      <c r="V85" s="1784" t="s">
        <v>547</v>
      </c>
      <c r="W85" s="1490"/>
      <c r="X85" s="1604"/>
      <c r="Y85" s="1605"/>
      <c r="Z85" s="1604"/>
      <c r="AA85" s="1666"/>
      <c r="AB85" s="1736"/>
      <c r="AC85" s="1605"/>
      <c r="AD85" s="1489"/>
      <c r="AE85" s="1490"/>
      <c r="AF85" s="1604"/>
      <c r="AG85" s="1666"/>
      <c r="AH85" s="1724"/>
      <c r="AI85" s="1605"/>
      <c r="AJ85" s="1604"/>
      <c r="AK85" s="1666"/>
      <c r="AL85" s="1725"/>
      <c r="AM85" s="1605"/>
      <c r="AN85" s="1604"/>
      <c r="AO85" s="1666"/>
      <c r="AP85" s="1736"/>
      <c r="AQ85" s="1490"/>
      <c r="AR85" s="1604"/>
      <c r="AS85" s="1782"/>
      <c r="AT85" s="1783"/>
      <c r="AU85" s="1493">
        <f t="shared" si="1950"/>
        <v>0</v>
      </c>
      <c r="AV85" s="1494">
        <f t="shared" si="1950"/>
        <v>0</v>
      </c>
      <c r="AW85" s="1413"/>
      <c r="AX85" s="1663"/>
      <c r="AY85" s="1413"/>
      <c r="AZ85" s="1408"/>
    </row>
    <row r="86">
      <c r="A86" s="1179" t="s">
        <v>283</v>
      </c>
      <c r="B86" s="1649">
        <f t="shared" si="1922"/>
        <v>0</v>
      </c>
      <c r="C86" s="1462">
        <f t="shared" si="1923"/>
        <v>0</v>
      </c>
      <c r="D86" s="1462">
        <f t="shared" si="1924"/>
        <v>0</v>
      </c>
      <c r="E86" s="1512">
        <f t="shared" si="1925"/>
        <v>0</v>
      </c>
      <c r="F86" s="1462">
        <f t="shared" si="1926"/>
        <v>0</v>
      </c>
      <c r="G86" s="1462">
        <f t="shared" si="1927"/>
        <v>0</v>
      </c>
      <c r="H86" s="1462">
        <f t="shared" si="1928"/>
        <v>0</v>
      </c>
      <c r="I86" s="1463">
        <f t="shared" si="1929"/>
        <v>0</v>
      </c>
      <c r="J86" s="1464">
        <f t="shared" si="1930"/>
        <v>0</v>
      </c>
      <c r="K86" s="1462">
        <f t="shared" si="1931"/>
        <v>0</v>
      </c>
      <c r="L86" s="1462">
        <f t="shared" si="1932"/>
        <v>0</v>
      </c>
      <c r="M86" s="1462">
        <f t="shared" si="1933"/>
        <v>0</v>
      </c>
      <c r="N86" s="1463">
        <f t="shared" si="1934"/>
        <v>0</v>
      </c>
      <c r="O86" s="1464">
        <f t="shared" si="1935"/>
        <v>0</v>
      </c>
      <c r="P86" s="1462">
        <f t="shared" si="1936"/>
        <v>0</v>
      </c>
      <c r="Q86" s="1462">
        <f t="shared" si="1937"/>
        <v>0</v>
      </c>
      <c r="R86" s="1462">
        <f t="shared" si="1938"/>
        <v>0</v>
      </c>
      <c r="S86" s="1463">
        <f t="shared" si="1939"/>
        <v>0</v>
      </c>
      <c r="T86" s="1465">
        <f t="shared" si="1940"/>
        <v>0</v>
      </c>
      <c r="U86" s="1017"/>
      <c r="V86" s="1785" t="s">
        <v>283</v>
      </c>
      <c r="W86" s="1490"/>
      <c r="X86" s="1604"/>
      <c r="Y86" s="1605"/>
      <c r="Z86" s="1604"/>
      <c r="AA86" s="1666"/>
      <c r="AB86" s="1736"/>
      <c r="AC86" s="1605"/>
      <c r="AD86" s="1489"/>
      <c r="AE86" s="1490"/>
      <c r="AF86" s="1604"/>
      <c r="AG86" s="1666"/>
      <c r="AH86" s="1724"/>
      <c r="AI86" s="1605"/>
      <c r="AJ86" s="1604"/>
      <c r="AK86" s="1666"/>
      <c r="AL86" s="1725"/>
      <c r="AM86" s="1605"/>
      <c r="AN86" s="1604"/>
      <c r="AO86" s="1666"/>
      <c r="AP86" s="1736"/>
      <c r="AQ86" s="1490"/>
      <c r="AR86" s="1604"/>
      <c r="AS86" s="1782"/>
      <c r="AT86" s="1783"/>
      <c r="AU86" s="1493">
        <f t="shared" si="1950"/>
        <v>0</v>
      </c>
      <c r="AV86" s="1494">
        <f t="shared" si="1950"/>
        <v>0</v>
      </c>
      <c r="AW86" s="1413"/>
      <c r="AX86" s="1663"/>
      <c r="AY86" s="1413"/>
      <c r="AZ86" s="1408"/>
    </row>
    <row r="87">
      <c r="A87" s="1179" t="s">
        <v>548</v>
      </c>
      <c r="B87" s="1649">
        <f t="shared" si="1922"/>
        <v>0</v>
      </c>
      <c r="C87" s="1462">
        <f t="shared" si="1923"/>
        <v>0</v>
      </c>
      <c r="D87" s="1462">
        <f t="shared" si="1924"/>
        <v>0</v>
      </c>
      <c r="E87" s="1512">
        <f t="shared" si="1925"/>
        <v>0</v>
      </c>
      <c r="F87" s="1462">
        <f t="shared" si="1926"/>
        <v>0</v>
      </c>
      <c r="G87" s="1462">
        <f t="shared" si="1927"/>
        <v>0</v>
      </c>
      <c r="H87" s="1462">
        <f t="shared" si="1928"/>
        <v>0</v>
      </c>
      <c r="I87" s="1463">
        <f t="shared" si="1929"/>
        <v>0</v>
      </c>
      <c r="J87" s="1464">
        <f t="shared" si="1930"/>
        <v>0</v>
      </c>
      <c r="K87" s="1462">
        <f t="shared" si="1931"/>
        <v>0</v>
      </c>
      <c r="L87" s="1462">
        <f t="shared" si="1932"/>
        <v>0</v>
      </c>
      <c r="M87" s="1462">
        <f t="shared" si="1933"/>
        <v>0</v>
      </c>
      <c r="N87" s="1463">
        <f t="shared" si="1934"/>
        <v>0</v>
      </c>
      <c r="O87" s="1464">
        <f t="shared" si="1935"/>
        <v>0</v>
      </c>
      <c r="P87" s="1462">
        <f t="shared" si="1936"/>
        <v>0</v>
      </c>
      <c r="Q87" s="1462">
        <f t="shared" si="1937"/>
        <v>0</v>
      </c>
      <c r="R87" s="1462">
        <f t="shared" si="1938"/>
        <v>0</v>
      </c>
      <c r="S87" s="1463">
        <f t="shared" si="1939"/>
        <v>0</v>
      </c>
      <c r="T87" s="1465">
        <f t="shared" si="1940"/>
        <v>0</v>
      </c>
      <c r="U87" s="1017"/>
      <c r="V87" s="1784" t="s">
        <v>548</v>
      </c>
      <c r="W87" s="1490"/>
      <c r="X87" s="1604"/>
      <c r="Y87" s="1605"/>
      <c r="Z87" s="1604"/>
      <c r="AA87" s="1786"/>
      <c r="AB87" s="1728"/>
      <c r="AC87" s="1605"/>
      <c r="AD87" s="1489"/>
      <c r="AE87" s="1490"/>
      <c r="AF87" s="1604"/>
      <c r="AG87" s="1666"/>
      <c r="AH87" s="1724"/>
      <c r="AI87" s="1605"/>
      <c r="AJ87" s="1604"/>
      <c r="AK87" s="1666"/>
      <c r="AL87" s="1725"/>
      <c r="AM87" s="1605"/>
      <c r="AN87" s="1604"/>
      <c r="AO87" s="1666"/>
      <c r="AP87" s="1736"/>
      <c r="AQ87" s="1490"/>
      <c r="AR87" s="1604"/>
      <c r="AS87" s="1782"/>
      <c r="AT87" s="1783"/>
      <c r="AU87" s="1493">
        <f t="shared" si="1950"/>
        <v>0</v>
      </c>
      <c r="AV87" s="1494">
        <f t="shared" si="1950"/>
        <v>0</v>
      </c>
      <c r="AW87" s="1413"/>
      <c r="AX87" s="1663"/>
      <c r="AY87" s="1413"/>
      <c r="AZ87" s="1408"/>
    </row>
    <row r="88">
      <c r="A88" s="1179" t="s">
        <v>549</v>
      </c>
      <c r="B88" s="1649">
        <f t="shared" si="1922"/>
        <v>0</v>
      </c>
      <c r="C88" s="1462">
        <f t="shared" si="1923"/>
        <v>0</v>
      </c>
      <c r="D88" s="1462">
        <f t="shared" si="1924"/>
        <v>0</v>
      </c>
      <c r="E88" s="1512">
        <f t="shared" si="1925"/>
        <v>0</v>
      </c>
      <c r="F88" s="1462">
        <f t="shared" si="1926"/>
        <v>0</v>
      </c>
      <c r="G88" s="1462">
        <f t="shared" si="1927"/>
        <v>0</v>
      </c>
      <c r="H88" s="1462">
        <f t="shared" si="1928"/>
        <v>0</v>
      </c>
      <c r="I88" s="1463">
        <f t="shared" si="1929"/>
        <v>0</v>
      </c>
      <c r="J88" s="1464">
        <f t="shared" si="1930"/>
        <v>0</v>
      </c>
      <c r="K88" s="1462">
        <f t="shared" si="1931"/>
        <v>0</v>
      </c>
      <c r="L88" s="1462">
        <f t="shared" si="1932"/>
        <v>0</v>
      </c>
      <c r="M88" s="1462">
        <f t="shared" si="1933"/>
        <v>0</v>
      </c>
      <c r="N88" s="1463">
        <f t="shared" si="1934"/>
        <v>0</v>
      </c>
      <c r="O88" s="1464">
        <f t="shared" si="1935"/>
        <v>0</v>
      </c>
      <c r="P88" s="1462">
        <f t="shared" si="1936"/>
        <v>0</v>
      </c>
      <c r="Q88" s="1462">
        <f t="shared" si="1937"/>
        <v>0</v>
      </c>
      <c r="R88" s="1462">
        <f t="shared" si="1938"/>
        <v>0</v>
      </c>
      <c r="S88" s="1463">
        <f t="shared" si="1939"/>
        <v>0</v>
      </c>
      <c r="T88" s="1465">
        <f t="shared" si="1940"/>
        <v>0</v>
      </c>
      <c r="U88" s="1017"/>
      <c r="V88" s="1787" t="s">
        <v>549</v>
      </c>
      <c r="W88" s="1503"/>
      <c r="X88" s="1684"/>
      <c r="Y88" s="1685"/>
      <c r="Z88" s="1684"/>
      <c r="AA88" s="1686"/>
      <c r="AB88" s="1737"/>
      <c r="AC88" s="1685"/>
      <c r="AD88" s="1502"/>
      <c r="AE88" s="1503"/>
      <c r="AF88" s="1684"/>
      <c r="AG88" s="1686"/>
      <c r="AH88" s="1731"/>
      <c r="AI88" s="1685"/>
      <c r="AJ88" s="1684"/>
      <c r="AK88" s="1686"/>
      <c r="AL88" s="1732"/>
      <c r="AM88" s="1685"/>
      <c r="AN88" s="1684"/>
      <c r="AO88" s="1686"/>
      <c r="AP88" s="1737"/>
      <c r="AQ88" s="1503"/>
      <c r="AR88" s="1684"/>
      <c r="AS88" s="1782"/>
      <c r="AT88" s="1783"/>
      <c r="AU88" s="1493">
        <f t="shared" si="1950"/>
        <v>0</v>
      </c>
      <c r="AV88" s="1494">
        <f t="shared" si="1950"/>
        <v>0</v>
      </c>
      <c r="AW88" s="1413"/>
      <c r="AX88" s="1663"/>
      <c r="AY88" s="1413"/>
      <c r="AZ88" s="1408"/>
    </row>
    <row r="89" s="1510" customFormat="1" ht="23.25" customHeight="1">
      <c r="A89" s="1511" t="s">
        <v>22</v>
      </c>
      <c r="B89" s="1700">
        <f t="shared" si="1922"/>
        <v>35575530.489</v>
      </c>
      <c r="C89" s="1302">
        <f t="shared" si="1923"/>
        <v>23639066.761999998</v>
      </c>
      <c r="D89" s="1302">
        <f t="shared" si="1924"/>
        <v>0</v>
      </c>
      <c r="E89" s="1512">
        <f t="shared" si="1925"/>
        <v>59214597.251000002</v>
      </c>
      <c r="F89" s="1302">
        <f t="shared" si="1926"/>
        <v>0</v>
      </c>
      <c r="G89" s="1302">
        <f t="shared" si="1927"/>
        <v>0</v>
      </c>
      <c r="H89" s="1302">
        <f t="shared" si="1928"/>
        <v>0</v>
      </c>
      <c r="I89" s="1512">
        <f t="shared" si="1929"/>
        <v>0</v>
      </c>
      <c r="J89" s="1513">
        <f t="shared" si="1930"/>
        <v>59214597.251000002</v>
      </c>
      <c r="K89" s="1302">
        <f t="shared" si="1931"/>
        <v>0</v>
      </c>
      <c r="L89" s="1302">
        <f t="shared" si="1932"/>
        <v>0</v>
      </c>
      <c r="M89" s="1302">
        <f t="shared" si="1933"/>
        <v>0</v>
      </c>
      <c r="N89" s="1512">
        <f t="shared" si="1934"/>
        <v>0</v>
      </c>
      <c r="O89" s="1513">
        <f t="shared" si="1935"/>
        <v>59214597.251000002</v>
      </c>
      <c r="P89" s="1302">
        <f t="shared" si="1936"/>
        <v>0</v>
      </c>
      <c r="Q89" s="1302">
        <f t="shared" si="1937"/>
        <v>0</v>
      </c>
      <c r="R89" s="1788">
        <f t="shared" si="1938"/>
        <v>0</v>
      </c>
      <c r="S89" s="1512">
        <f t="shared" si="1939"/>
        <v>0</v>
      </c>
      <c r="T89" s="1514">
        <f t="shared" si="1940"/>
        <v>59214597.251000002</v>
      </c>
      <c r="U89" s="1017"/>
      <c r="V89" s="1789" t="s">
        <v>22</v>
      </c>
      <c r="W89" s="1524">
        <f>SUM(W81:W88)</f>
        <v>452</v>
      </c>
      <c r="X89" s="1707">
        <f>SUM(X81:X88)</f>
        <v>35575530.489</v>
      </c>
      <c r="Y89" s="1524">
        <f t="shared" ref="Y89:AV89" si="1951">SUM(Y81:Y88)</f>
        <v>399</v>
      </c>
      <c r="Z89" s="1707">
        <f t="shared" si="1951"/>
        <v>23639066.761999998</v>
      </c>
      <c r="AA89" s="1790">
        <f t="shared" si="1951"/>
        <v>0</v>
      </c>
      <c r="AB89" s="1708">
        <f t="shared" si="1951"/>
        <v>0</v>
      </c>
      <c r="AC89" s="1524">
        <f t="shared" si="1951"/>
        <v>0</v>
      </c>
      <c r="AD89" s="1707">
        <f t="shared" si="1951"/>
        <v>0</v>
      </c>
      <c r="AE89" s="1524">
        <f t="shared" si="1951"/>
        <v>0</v>
      </c>
      <c r="AF89" s="1707">
        <f t="shared" si="1951"/>
        <v>0</v>
      </c>
      <c r="AG89" s="1790">
        <f t="shared" si="1951"/>
        <v>0</v>
      </c>
      <c r="AH89" s="1708">
        <f t="shared" si="1951"/>
        <v>0</v>
      </c>
      <c r="AI89" s="1524">
        <f t="shared" si="1951"/>
        <v>0</v>
      </c>
      <c r="AJ89" s="1707">
        <f t="shared" si="1951"/>
        <v>0</v>
      </c>
      <c r="AK89" s="1790">
        <f t="shared" si="1951"/>
        <v>0</v>
      </c>
      <c r="AL89" s="1709">
        <f t="shared" si="1951"/>
        <v>0</v>
      </c>
      <c r="AM89" s="1524">
        <f t="shared" si="1951"/>
        <v>0</v>
      </c>
      <c r="AN89" s="1707">
        <f t="shared" si="1951"/>
        <v>0</v>
      </c>
      <c r="AO89" s="1790">
        <f t="shared" si="1951"/>
        <v>0</v>
      </c>
      <c r="AP89" s="1708">
        <f t="shared" si="1951"/>
        <v>0</v>
      </c>
      <c r="AQ89" s="1524">
        <f t="shared" si="1951"/>
        <v>0</v>
      </c>
      <c r="AR89" s="1707">
        <f t="shared" si="1951"/>
        <v>0</v>
      </c>
      <c r="AS89" s="1790">
        <f t="shared" si="1951"/>
        <v>0</v>
      </c>
      <c r="AT89" s="1710">
        <f t="shared" si="1951"/>
        <v>0</v>
      </c>
      <c r="AU89" s="1791">
        <f t="shared" si="1951"/>
        <v>851</v>
      </c>
      <c r="AV89" s="1518">
        <f t="shared" si="1951"/>
        <v>59214597.251000002</v>
      </c>
      <c r="AW89" s="1526"/>
      <c r="AX89" s="1711"/>
      <c r="AY89" s="1526">
        <v>0</v>
      </c>
      <c r="AZ89" s="1510">
        <v>0</v>
      </c>
    </row>
    <row r="90">
      <c r="A90" s="1179" t="s">
        <v>552</v>
      </c>
      <c r="B90" s="1649">
        <f t="shared" si="1922"/>
        <v>0</v>
      </c>
      <c r="C90" s="1462">
        <f t="shared" si="1923"/>
        <v>0</v>
      </c>
      <c r="D90" s="1462">
        <f t="shared" si="1924"/>
        <v>0</v>
      </c>
      <c r="E90" s="1512">
        <f t="shared" si="1925"/>
        <v>0</v>
      </c>
      <c r="F90" s="1462">
        <f t="shared" si="1926"/>
        <v>0</v>
      </c>
      <c r="G90" s="1462">
        <f t="shared" si="1927"/>
        <v>0</v>
      </c>
      <c r="H90" s="1462">
        <f t="shared" si="1928"/>
        <v>0</v>
      </c>
      <c r="I90" s="1463">
        <f t="shared" si="1929"/>
        <v>0</v>
      </c>
      <c r="J90" s="1464">
        <f t="shared" si="1930"/>
        <v>0</v>
      </c>
      <c r="K90" s="1462">
        <f t="shared" si="1931"/>
        <v>0</v>
      </c>
      <c r="L90" s="1462">
        <f t="shared" si="1932"/>
        <v>0</v>
      </c>
      <c r="M90" s="1462">
        <f t="shared" si="1933"/>
        <v>0</v>
      </c>
      <c r="N90" s="1463">
        <f t="shared" si="1934"/>
        <v>0</v>
      </c>
      <c r="O90" s="1464">
        <f t="shared" si="1935"/>
        <v>0</v>
      </c>
      <c r="P90" s="1462">
        <f t="shared" si="1936"/>
        <v>0</v>
      </c>
      <c r="Q90" s="1462">
        <f t="shared" si="1937"/>
        <v>0</v>
      </c>
      <c r="R90" s="1792">
        <f t="shared" si="1938"/>
        <v>0</v>
      </c>
      <c r="S90" s="1463">
        <f t="shared" si="1939"/>
        <v>0</v>
      </c>
      <c r="T90" s="1465">
        <f t="shared" si="1940"/>
        <v>0</v>
      </c>
      <c r="U90" s="1017"/>
      <c r="V90" s="1650" t="s">
        <v>552</v>
      </c>
      <c r="W90" s="1793"/>
      <c r="X90" s="1794"/>
      <c r="Y90" s="1793"/>
      <c r="Z90" s="1794"/>
      <c r="AA90" s="1529"/>
      <c r="AB90" s="1795"/>
      <c r="AC90" s="1651"/>
      <c r="AD90" s="1475"/>
      <c r="AE90" s="1476"/>
      <c r="AF90" s="1652"/>
      <c r="AG90" s="1653"/>
      <c r="AH90" s="1716"/>
      <c r="AI90" s="1656"/>
      <c r="AJ90" s="1528"/>
      <c r="AK90" s="1541"/>
      <c r="AL90" s="1717"/>
      <c r="AM90" s="1651"/>
      <c r="AN90" s="1652"/>
      <c r="AO90" s="1653"/>
      <c r="AP90" s="1713"/>
      <c r="AQ90" s="1476"/>
      <c r="AR90" s="1652"/>
      <c r="AS90" s="1662"/>
      <c r="AT90" s="1530"/>
      <c r="AU90" s="1493">
        <f t="shared" ref="AU90:AU91" si="1952">W90+Y90+AA90+AC90+AE90+AG90+AI90+AK90+AM90+AO90+AQ90+AS90</f>
        <v>0</v>
      </c>
      <c r="AV90" s="1494">
        <f t="shared" ref="AV90:AV91" si="1953">X90+Z90+AB90+AD90+AF90+AH90+AJ90+AL90+AN90+AP90+AR90+AT90</f>
        <v>0</v>
      </c>
      <c r="AW90" s="1413"/>
      <c r="AX90" s="1663"/>
      <c r="AY90" s="1413">
        <v>0</v>
      </c>
      <c r="AZ90" s="1408">
        <v>0</v>
      </c>
    </row>
    <row r="91">
      <c r="A91" s="1179" t="s">
        <v>186</v>
      </c>
      <c r="B91" s="1796">
        <f t="shared" si="1922"/>
        <v>0</v>
      </c>
      <c r="C91" s="1797">
        <f t="shared" si="1923"/>
        <v>0</v>
      </c>
      <c r="D91" s="1797">
        <f t="shared" si="1924"/>
        <v>0</v>
      </c>
      <c r="E91" s="1746">
        <f t="shared" si="1925"/>
        <v>0</v>
      </c>
      <c r="F91" s="1797">
        <f t="shared" si="1926"/>
        <v>0</v>
      </c>
      <c r="G91" s="1797">
        <f t="shared" si="1927"/>
        <v>0</v>
      </c>
      <c r="H91" s="1797">
        <f t="shared" si="1928"/>
        <v>0</v>
      </c>
      <c r="I91" s="1798">
        <f t="shared" si="1929"/>
        <v>0</v>
      </c>
      <c r="J91" s="1799">
        <f t="shared" si="1930"/>
        <v>0</v>
      </c>
      <c r="K91" s="1797">
        <f t="shared" si="1931"/>
        <v>0</v>
      </c>
      <c r="L91" s="1797">
        <f t="shared" si="1932"/>
        <v>0</v>
      </c>
      <c r="M91" s="1797">
        <f t="shared" si="1933"/>
        <v>0</v>
      </c>
      <c r="N91" s="1798">
        <f t="shared" si="1934"/>
        <v>0</v>
      </c>
      <c r="O91" s="1799">
        <f t="shared" si="1935"/>
        <v>0</v>
      </c>
      <c r="P91" s="1797">
        <f t="shared" si="1936"/>
        <v>0</v>
      </c>
      <c r="Q91" s="1797">
        <f t="shared" si="1937"/>
        <v>0</v>
      </c>
      <c r="R91" s="1800">
        <f t="shared" si="1938"/>
        <v>0</v>
      </c>
      <c r="S91" s="1798">
        <f t="shared" si="1939"/>
        <v>0</v>
      </c>
      <c r="T91" s="1801">
        <f t="shared" si="1940"/>
        <v>0</v>
      </c>
      <c r="U91" s="1017"/>
      <c r="V91" s="1787" t="s">
        <v>186</v>
      </c>
      <c r="W91" s="1802"/>
      <c r="X91" s="1803"/>
      <c r="Y91" s="1802"/>
      <c r="Z91" s="1804"/>
      <c r="AA91" s="1805"/>
      <c r="AB91" s="1806"/>
      <c r="AC91" s="1685"/>
      <c r="AD91" s="1502"/>
      <c r="AE91" s="1503"/>
      <c r="AF91" s="1684"/>
      <c r="AG91" s="1686"/>
      <c r="AH91" s="1731"/>
      <c r="AI91" s="1688"/>
      <c r="AJ91" s="1689"/>
      <c r="AK91" s="1807"/>
      <c r="AL91" s="1732"/>
      <c r="AM91" s="1685"/>
      <c r="AN91" s="1684"/>
      <c r="AO91" s="1686"/>
      <c r="AP91" s="1737"/>
      <c r="AQ91" s="1503"/>
      <c r="AR91" s="1684"/>
      <c r="AS91" s="1694"/>
      <c r="AT91" s="1808"/>
      <c r="AU91" s="1493">
        <f t="shared" si="1952"/>
        <v>0</v>
      </c>
      <c r="AV91" s="1494">
        <f t="shared" si="1953"/>
        <v>0</v>
      </c>
      <c r="AW91" s="1413"/>
      <c r="AX91" s="1663"/>
      <c r="AY91" s="1413">
        <v>0</v>
      </c>
      <c r="AZ91" s="1408">
        <v>0</v>
      </c>
    </row>
    <row r="92" s="1510" customFormat="1" ht="32.25" customHeight="1">
      <c r="A92" s="1511" t="s">
        <v>65</v>
      </c>
      <c r="B92" s="1760">
        <f t="shared" si="1922"/>
        <v>35575530.489</v>
      </c>
      <c r="C92" s="1761">
        <f t="shared" si="1923"/>
        <v>23639066.761999998</v>
      </c>
      <c r="D92" s="1761">
        <f t="shared" si="1924"/>
        <v>0</v>
      </c>
      <c r="E92" s="1762">
        <f t="shared" si="1925"/>
        <v>59214597.251000002</v>
      </c>
      <c r="F92" s="1761">
        <f t="shared" si="1926"/>
        <v>0</v>
      </c>
      <c r="G92" s="1761">
        <f t="shared" si="1927"/>
        <v>0</v>
      </c>
      <c r="H92" s="1761">
        <f t="shared" si="1928"/>
        <v>0</v>
      </c>
      <c r="I92" s="1762">
        <f t="shared" si="1929"/>
        <v>0</v>
      </c>
      <c r="J92" s="1763">
        <f t="shared" si="1930"/>
        <v>59214597.251000002</v>
      </c>
      <c r="K92" s="1761">
        <f t="shared" si="1931"/>
        <v>0</v>
      </c>
      <c r="L92" s="1761">
        <f t="shared" si="1932"/>
        <v>0</v>
      </c>
      <c r="M92" s="1761">
        <f t="shared" si="1933"/>
        <v>0</v>
      </c>
      <c r="N92" s="1762">
        <f t="shared" si="1934"/>
        <v>0</v>
      </c>
      <c r="O92" s="1763">
        <f t="shared" si="1935"/>
        <v>59214597.251000002</v>
      </c>
      <c r="P92" s="1761">
        <f t="shared" si="1936"/>
        <v>0</v>
      </c>
      <c r="Q92" s="1761">
        <f t="shared" si="1937"/>
        <v>0</v>
      </c>
      <c r="R92" s="1764">
        <f t="shared" si="1938"/>
        <v>0</v>
      </c>
      <c r="S92" s="1762">
        <f t="shared" si="1939"/>
        <v>0</v>
      </c>
      <c r="T92" s="1765">
        <f t="shared" si="1940"/>
        <v>59214597.251000002</v>
      </c>
      <c r="U92" s="1017"/>
      <c r="V92" s="1789" t="s">
        <v>65</v>
      </c>
      <c r="W92" s="1524">
        <f>W89+W90+W91</f>
        <v>452</v>
      </c>
      <c r="X92" s="1525">
        <f>X89+X90+X91</f>
        <v>35575530.489</v>
      </c>
      <c r="Y92" s="1524">
        <f t="shared" ref="Y92:AV92" si="1954">Y89+Y90+Y91</f>
        <v>399</v>
      </c>
      <c r="Z92" s="1525">
        <f t="shared" si="1954"/>
        <v>23639066.761999998</v>
      </c>
      <c r="AA92" s="1790">
        <f t="shared" si="1954"/>
        <v>0</v>
      </c>
      <c r="AB92" s="1809">
        <f t="shared" si="1954"/>
        <v>0</v>
      </c>
      <c r="AC92" s="1524">
        <f t="shared" si="1954"/>
        <v>0</v>
      </c>
      <c r="AD92" s="1525">
        <f t="shared" si="1954"/>
        <v>0</v>
      </c>
      <c r="AE92" s="1524">
        <f t="shared" si="1954"/>
        <v>0</v>
      </c>
      <c r="AF92" s="1525">
        <f t="shared" si="1954"/>
        <v>0</v>
      </c>
      <c r="AG92" s="1790">
        <f t="shared" si="1954"/>
        <v>0</v>
      </c>
      <c r="AH92" s="1809">
        <f t="shared" si="1954"/>
        <v>0</v>
      </c>
      <c r="AI92" s="1524">
        <f t="shared" si="1954"/>
        <v>0</v>
      </c>
      <c r="AJ92" s="1525">
        <f t="shared" si="1954"/>
        <v>0</v>
      </c>
      <c r="AK92" s="1790">
        <f t="shared" si="1954"/>
        <v>0</v>
      </c>
      <c r="AL92" s="1709">
        <f t="shared" si="1954"/>
        <v>0</v>
      </c>
      <c r="AM92" s="1524">
        <f t="shared" si="1954"/>
        <v>0</v>
      </c>
      <c r="AN92" s="1525">
        <f t="shared" si="1954"/>
        <v>0</v>
      </c>
      <c r="AO92" s="1790">
        <f t="shared" si="1954"/>
        <v>0</v>
      </c>
      <c r="AP92" s="1809">
        <f t="shared" si="1954"/>
        <v>0</v>
      </c>
      <c r="AQ92" s="1524">
        <f t="shared" si="1954"/>
        <v>0</v>
      </c>
      <c r="AR92" s="1525">
        <f t="shared" si="1954"/>
        <v>0</v>
      </c>
      <c r="AS92" s="1790">
        <f t="shared" si="1954"/>
        <v>0</v>
      </c>
      <c r="AT92" s="1810">
        <f t="shared" si="1954"/>
        <v>0</v>
      </c>
      <c r="AU92" s="1791">
        <f t="shared" si="1954"/>
        <v>851</v>
      </c>
      <c r="AV92" s="1810">
        <f t="shared" si="1954"/>
        <v>59214597.251000002</v>
      </c>
      <c r="AW92" s="1811">
        <f>SUM(AU89:AU91)</f>
        <v>851</v>
      </c>
      <c r="AX92" s="1711">
        <f>SUM(AV89:AV91)</f>
        <v>59214597.251000002</v>
      </c>
      <c r="AY92" s="1413">
        <v>0</v>
      </c>
      <c r="AZ92" s="1408">
        <v>0</v>
      </c>
    </row>
    <row r="93" s="1510" customFormat="1" ht="31.5">
      <c r="A93" s="1812" t="s">
        <v>553</v>
      </c>
      <c r="B93" s="1776"/>
      <c r="C93" s="1777"/>
      <c r="D93" s="1777"/>
      <c r="E93" s="1778"/>
      <c r="F93" s="1777"/>
      <c r="G93" s="1777"/>
      <c r="H93" s="1777"/>
      <c r="I93" s="1779"/>
      <c r="J93" s="1780"/>
      <c r="K93" s="1777"/>
      <c r="L93" s="1777"/>
      <c r="M93" s="1777"/>
      <c r="N93" s="1779"/>
      <c r="O93" s="1780"/>
      <c r="P93" s="1777"/>
      <c r="Q93" s="1777"/>
      <c r="R93" s="1777"/>
      <c r="S93" s="1779"/>
      <c r="T93" s="1781"/>
      <c r="U93" s="1017"/>
      <c r="V93" s="1813" t="s">
        <v>553</v>
      </c>
      <c r="W93" s="1476"/>
      <c r="X93" s="1652"/>
      <c r="Y93" s="1651"/>
      <c r="Z93" s="1652"/>
      <c r="AA93" s="1653"/>
      <c r="AB93" s="1713"/>
      <c r="AC93" s="1651"/>
      <c r="AD93" s="1475"/>
      <c r="AE93" s="1476"/>
      <c r="AF93" s="1652"/>
      <c r="AG93" s="1653"/>
      <c r="AH93" s="1716"/>
      <c r="AI93" s="1714"/>
      <c r="AJ93" s="1814"/>
      <c r="AK93" s="1815"/>
      <c r="AL93" s="1816"/>
      <c r="AM93" s="1651"/>
      <c r="AN93" s="1652"/>
      <c r="AO93" s="1653"/>
      <c r="AP93" s="1713"/>
      <c r="AQ93" s="1817"/>
      <c r="AR93" s="1814"/>
      <c r="AS93" s="1718"/>
      <c r="AT93" s="1818"/>
      <c r="AU93" s="1493">
        <f t="shared" ref="AU93:AV97" si="1955">W93+Y93+AA93+AC93+AE93+AG93+AI93+AK93+AM93+AO93+AQ93+AS93</f>
        <v>0</v>
      </c>
      <c r="AV93" s="1494">
        <f t="shared" si="1955"/>
        <v>0</v>
      </c>
      <c r="AW93" s="1526"/>
      <c r="AX93" s="1711"/>
      <c r="AY93" s="1526"/>
    </row>
    <row r="94" s="1510" customFormat="1">
      <c r="A94" s="1179" t="s">
        <v>554</v>
      </c>
      <c r="B94" s="1649">
        <f t="shared" si="1922"/>
        <v>0</v>
      </c>
      <c r="C94" s="1462">
        <f t="shared" si="1923"/>
        <v>0</v>
      </c>
      <c r="D94" s="1462">
        <f t="shared" si="1924"/>
        <v>0</v>
      </c>
      <c r="E94" s="1512">
        <f t="shared" si="1925"/>
        <v>0</v>
      </c>
      <c r="F94" s="1462">
        <f t="shared" si="1926"/>
        <v>0</v>
      </c>
      <c r="G94" s="1462">
        <f t="shared" si="1927"/>
        <v>0</v>
      </c>
      <c r="H94" s="1462">
        <f t="shared" si="1928"/>
        <v>0</v>
      </c>
      <c r="I94" s="1463">
        <f t="shared" si="1929"/>
        <v>0</v>
      </c>
      <c r="J94" s="1464">
        <f t="shared" si="1930"/>
        <v>0</v>
      </c>
      <c r="K94" s="1462">
        <f t="shared" si="1931"/>
        <v>0</v>
      </c>
      <c r="L94" s="1462">
        <f t="shared" si="1932"/>
        <v>0</v>
      </c>
      <c r="M94" s="1462">
        <f t="shared" si="1933"/>
        <v>0</v>
      </c>
      <c r="N94" s="1463">
        <f t="shared" si="1934"/>
        <v>0</v>
      </c>
      <c r="O94" s="1464">
        <f t="shared" si="1935"/>
        <v>0</v>
      </c>
      <c r="P94" s="1462">
        <f t="shared" si="1936"/>
        <v>0</v>
      </c>
      <c r="Q94" s="1462">
        <f t="shared" si="1937"/>
        <v>0</v>
      </c>
      <c r="R94" s="1462">
        <f t="shared" si="1938"/>
        <v>0</v>
      </c>
      <c r="S94" s="1463">
        <f t="shared" si="1939"/>
        <v>0</v>
      </c>
      <c r="T94" s="1465">
        <f t="shared" si="1940"/>
        <v>0</v>
      </c>
      <c r="U94" s="1017"/>
      <c r="V94" s="1819" t="s">
        <v>554</v>
      </c>
      <c r="W94" s="1490">
        <v>47</v>
      </c>
      <c r="X94" s="1604"/>
      <c r="Y94" s="1605">
        <v>63</v>
      </c>
      <c r="Z94" s="1604"/>
      <c r="AA94" s="1666"/>
      <c r="AB94" s="1736"/>
      <c r="AC94" s="1605"/>
      <c r="AD94" s="1489"/>
      <c r="AE94" s="1490"/>
      <c r="AF94" s="1604"/>
      <c r="AG94" s="1666"/>
      <c r="AH94" s="1724"/>
      <c r="AI94" s="1527"/>
      <c r="AJ94" s="1540"/>
      <c r="AK94" s="1529"/>
      <c r="AL94" s="1675"/>
      <c r="AM94" s="1605"/>
      <c r="AN94" s="1489"/>
      <c r="AO94" s="1666"/>
      <c r="AP94" s="1736"/>
      <c r="AQ94" s="1527"/>
      <c r="AR94" s="1604"/>
      <c r="AS94" s="1529"/>
      <c r="AT94" s="1540"/>
      <c r="AU94" s="1493">
        <f t="shared" si="1955"/>
        <v>110</v>
      </c>
      <c r="AV94" s="1494">
        <f t="shared" si="1955"/>
        <v>0</v>
      </c>
      <c r="AW94" s="1526"/>
      <c r="AX94" s="1711"/>
      <c r="AY94" s="1526">
        <v>0</v>
      </c>
      <c r="AZ94" s="1510">
        <v>0</v>
      </c>
    </row>
    <row r="95" s="1510" customFormat="1">
      <c r="A95" s="1179" t="s">
        <v>555</v>
      </c>
      <c r="B95" s="1649">
        <f t="shared" si="1922"/>
        <v>74896.736000000004</v>
      </c>
      <c r="C95" s="1462">
        <f t="shared" si="1923"/>
        <v>116538.5306</v>
      </c>
      <c r="D95" s="1462">
        <f t="shared" si="1924"/>
        <v>0</v>
      </c>
      <c r="E95" s="1512">
        <f t="shared" si="1925"/>
        <v>191435.2666</v>
      </c>
      <c r="F95" s="1462">
        <f t="shared" si="1926"/>
        <v>0</v>
      </c>
      <c r="G95" s="1462">
        <f t="shared" si="1927"/>
        <v>0</v>
      </c>
      <c r="H95" s="1462">
        <f t="shared" si="1928"/>
        <v>0</v>
      </c>
      <c r="I95" s="1463">
        <f t="shared" si="1929"/>
        <v>0</v>
      </c>
      <c r="J95" s="1464">
        <f t="shared" si="1930"/>
        <v>191435.2666</v>
      </c>
      <c r="K95" s="1462">
        <f t="shared" si="1931"/>
        <v>0</v>
      </c>
      <c r="L95" s="1462">
        <f t="shared" si="1932"/>
        <v>0</v>
      </c>
      <c r="M95" s="1462">
        <f t="shared" si="1933"/>
        <v>0</v>
      </c>
      <c r="N95" s="1463">
        <f t="shared" si="1934"/>
        <v>0</v>
      </c>
      <c r="O95" s="1464">
        <f t="shared" si="1935"/>
        <v>191435.2666</v>
      </c>
      <c r="P95" s="1462">
        <f t="shared" si="1936"/>
        <v>0</v>
      </c>
      <c r="Q95" s="1462">
        <f t="shared" si="1937"/>
        <v>0</v>
      </c>
      <c r="R95" s="1462">
        <f t="shared" si="1938"/>
        <v>0</v>
      </c>
      <c r="S95" s="1463">
        <f t="shared" si="1939"/>
        <v>0</v>
      </c>
      <c r="T95" s="1465">
        <f t="shared" si="1940"/>
        <v>191435.2666</v>
      </c>
      <c r="U95" s="1017"/>
      <c r="V95" s="1819" t="s">
        <v>555</v>
      </c>
      <c r="W95" s="1490">
        <v>80</v>
      </c>
      <c r="X95" s="1604">
        <v>74896.736000000004</v>
      </c>
      <c r="Y95" s="1605">
        <v>106</v>
      </c>
      <c r="Z95" s="1604">
        <v>116538.5306</v>
      </c>
      <c r="AA95" s="1666"/>
      <c r="AB95" s="1736"/>
      <c r="AC95" s="1605"/>
      <c r="AD95" s="1489"/>
      <c r="AE95" s="1490"/>
      <c r="AF95" s="1604"/>
      <c r="AG95" s="1666"/>
      <c r="AH95" s="1724"/>
      <c r="AI95" s="1527"/>
      <c r="AJ95" s="1820"/>
      <c r="AK95" s="1529"/>
      <c r="AL95" s="1675"/>
      <c r="AM95" s="1605"/>
      <c r="AN95" s="1489"/>
      <c r="AO95" s="1666"/>
      <c r="AP95" s="1736"/>
      <c r="AQ95" s="1527"/>
      <c r="AR95" s="1604"/>
      <c r="AS95" s="1529"/>
      <c r="AT95" s="1820"/>
      <c r="AU95" s="1493">
        <f t="shared" si="1955"/>
        <v>186</v>
      </c>
      <c r="AV95" s="1494">
        <f t="shared" si="1955"/>
        <v>191435.2666</v>
      </c>
      <c r="AW95" s="1526"/>
      <c r="AX95" s="1711"/>
      <c r="AY95" s="1526">
        <v>0</v>
      </c>
      <c r="AZ95" s="1510">
        <v>0</v>
      </c>
    </row>
    <row r="96" s="1510" customFormat="1">
      <c r="A96" s="1179" t="s">
        <v>556</v>
      </c>
      <c r="B96" s="1649">
        <f t="shared" si="1922"/>
        <v>0</v>
      </c>
      <c r="C96" s="1462">
        <f t="shared" si="1923"/>
        <v>0</v>
      </c>
      <c r="D96" s="1462">
        <f t="shared" si="1924"/>
        <v>0</v>
      </c>
      <c r="E96" s="1512">
        <f t="shared" si="1925"/>
        <v>0</v>
      </c>
      <c r="F96" s="1462">
        <f t="shared" si="1926"/>
        <v>0</v>
      </c>
      <c r="G96" s="1462">
        <f t="shared" si="1927"/>
        <v>0</v>
      </c>
      <c r="H96" s="1462">
        <f t="shared" si="1928"/>
        <v>0</v>
      </c>
      <c r="I96" s="1463">
        <f t="shared" si="1929"/>
        <v>0</v>
      </c>
      <c r="J96" s="1464">
        <f t="shared" si="1930"/>
        <v>0</v>
      </c>
      <c r="K96" s="1462">
        <f t="shared" si="1931"/>
        <v>0</v>
      </c>
      <c r="L96" s="1462">
        <f t="shared" si="1932"/>
        <v>0</v>
      </c>
      <c r="M96" s="1462">
        <f t="shared" si="1933"/>
        <v>0</v>
      </c>
      <c r="N96" s="1463">
        <f t="shared" si="1934"/>
        <v>0</v>
      </c>
      <c r="O96" s="1464">
        <f t="shared" si="1935"/>
        <v>0</v>
      </c>
      <c r="P96" s="1462">
        <f t="shared" si="1936"/>
        <v>0</v>
      </c>
      <c r="Q96" s="1462">
        <f t="shared" si="1937"/>
        <v>0</v>
      </c>
      <c r="R96" s="1462">
        <f t="shared" si="1938"/>
        <v>0</v>
      </c>
      <c r="S96" s="1463">
        <f t="shared" si="1939"/>
        <v>0</v>
      </c>
      <c r="T96" s="1465">
        <f t="shared" si="1940"/>
        <v>0</v>
      </c>
      <c r="U96" s="1017"/>
      <c r="V96" s="1819" t="s">
        <v>556</v>
      </c>
      <c r="W96" s="1490">
        <v>9</v>
      </c>
      <c r="X96" s="1604"/>
      <c r="Y96" s="1605">
        <v>4</v>
      </c>
      <c r="Z96" s="1604"/>
      <c r="AA96" s="1666"/>
      <c r="AB96" s="1736"/>
      <c r="AC96" s="1605"/>
      <c r="AD96" s="1489"/>
      <c r="AE96" s="1490"/>
      <c r="AF96" s="1604"/>
      <c r="AG96" s="1666"/>
      <c r="AH96" s="1724"/>
      <c r="AI96" s="1527"/>
      <c r="AJ96" s="1540"/>
      <c r="AK96" s="1529"/>
      <c r="AL96" s="1675"/>
      <c r="AM96" s="1605"/>
      <c r="AN96" s="1489"/>
      <c r="AO96" s="1666"/>
      <c r="AP96" s="1736"/>
      <c r="AQ96" s="1527"/>
      <c r="AR96" s="1604"/>
      <c r="AS96" s="1529"/>
      <c r="AT96" s="1540"/>
      <c r="AU96" s="1493">
        <f t="shared" si="1955"/>
        <v>13</v>
      </c>
      <c r="AV96" s="1494">
        <f t="shared" si="1955"/>
        <v>0</v>
      </c>
      <c r="AW96" s="1526"/>
      <c r="AX96" s="1711"/>
      <c r="AY96" s="1526">
        <v>0</v>
      </c>
      <c r="AZ96" s="1510">
        <v>0</v>
      </c>
    </row>
    <row r="97">
      <c r="A97" s="1179" t="s">
        <v>557</v>
      </c>
      <c r="B97" s="1649">
        <f t="shared" si="1922"/>
        <v>35000</v>
      </c>
      <c r="C97" s="1462">
        <f t="shared" si="1923"/>
        <v>12500</v>
      </c>
      <c r="D97" s="1462">
        <f t="shared" si="1924"/>
        <v>0</v>
      </c>
      <c r="E97" s="1512">
        <f t="shared" si="1925"/>
        <v>47500</v>
      </c>
      <c r="F97" s="1462">
        <f t="shared" si="1926"/>
        <v>0</v>
      </c>
      <c r="G97" s="1462">
        <f t="shared" si="1927"/>
        <v>0</v>
      </c>
      <c r="H97" s="1462">
        <f t="shared" si="1928"/>
        <v>0</v>
      </c>
      <c r="I97" s="1463">
        <f t="shared" si="1929"/>
        <v>0</v>
      </c>
      <c r="J97" s="1464">
        <f t="shared" si="1930"/>
        <v>47500</v>
      </c>
      <c r="K97" s="1462">
        <f t="shared" si="1931"/>
        <v>0</v>
      </c>
      <c r="L97" s="1462">
        <f t="shared" si="1932"/>
        <v>0</v>
      </c>
      <c r="M97" s="1462">
        <f t="shared" si="1933"/>
        <v>0</v>
      </c>
      <c r="N97" s="1463">
        <f t="shared" si="1934"/>
        <v>0</v>
      </c>
      <c r="O97" s="1464">
        <f t="shared" si="1935"/>
        <v>47500</v>
      </c>
      <c r="P97" s="1462">
        <f t="shared" si="1936"/>
        <v>0</v>
      </c>
      <c r="Q97" s="1462">
        <f t="shared" si="1937"/>
        <v>0</v>
      </c>
      <c r="R97" s="1462">
        <f t="shared" si="1938"/>
        <v>0</v>
      </c>
      <c r="S97" s="1463">
        <f t="shared" si="1939"/>
        <v>0</v>
      </c>
      <c r="T97" s="1465">
        <f t="shared" si="1940"/>
        <v>47500</v>
      </c>
      <c r="U97" s="1017"/>
      <c r="V97" s="1821" t="s">
        <v>557</v>
      </c>
      <c r="W97" s="1641">
        <v>14</v>
      </c>
      <c r="X97" s="1822">
        <v>35000</v>
      </c>
      <c r="Y97" s="1823">
        <v>5</v>
      </c>
      <c r="Z97" s="1822">
        <v>12500</v>
      </c>
      <c r="AA97" s="1824"/>
      <c r="AB97" s="1825"/>
      <c r="AC97" s="1823"/>
      <c r="AD97" s="1826"/>
      <c r="AE97" s="1641"/>
      <c r="AF97" s="1822"/>
      <c r="AG97" s="1824"/>
      <c r="AH97" s="1827"/>
      <c r="AI97" s="1828"/>
      <c r="AJ97" s="1829"/>
      <c r="AK97" s="1830"/>
      <c r="AL97" s="1831"/>
      <c r="AM97" s="1823"/>
      <c r="AN97" s="1826"/>
      <c r="AO97" s="1824"/>
      <c r="AP97" s="1825"/>
      <c r="AQ97" s="1828"/>
      <c r="AR97" s="1822"/>
      <c r="AS97" s="1830"/>
      <c r="AT97" s="1829"/>
      <c r="AU97" s="1493">
        <f t="shared" si="1955"/>
        <v>19</v>
      </c>
      <c r="AV97" s="1494">
        <f>X97+Z97+AB97+AD97+AF97+AH97+AJ97+AL97+AN97+AP97+AR97+AT97</f>
        <v>47500</v>
      </c>
      <c r="AW97" s="1413"/>
      <c r="AX97" s="1663"/>
      <c r="AY97" s="1413">
        <v>0</v>
      </c>
      <c r="AZ97" s="1408">
        <v>0</v>
      </c>
    </row>
    <row r="98">
      <c r="B98" s="1832"/>
      <c r="C98" s="1832"/>
      <c r="D98" s="1832"/>
      <c r="E98" s="1833"/>
      <c r="F98" s="1832"/>
      <c r="G98" s="1832"/>
      <c r="H98" s="1832"/>
      <c r="I98" s="1833"/>
      <c r="J98" s="1833"/>
      <c r="K98" s="1832"/>
      <c r="L98" s="1832"/>
      <c r="M98" s="1832"/>
      <c r="N98" s="1833"/>
      <c r="O98" s="1833"/>
      <c r="P98" s="1832"/>
      <c r="Q98" s="1832"/>
      <c r="R98" s="1834"/>
      <c r="S98" s="1835"/>
      <c r="T98" s="1836"/>
      <c r="Z98" s="1418"/>
      <c r="AD98" s="1418"/>
      <c r="AE98" s="1418"/>
      <c r="AI98" s="1418"/>
      <c r="AJ98" s="1418"/>
      <c r="AN98" s="1418"/>
      <c r="AP98" s="1837"/>
      <c r="AR98" s="1837"/>
      <c r="AV98" s="1837"/>
      <c r="AX98" s="1837"/>
    </row>
    <row r="99">
      <c r="A99" s="1515"/>
      <c r="B99" s="1838"/>
      <c r="C99" s="1838"/>
      <c r="D99" s="1618"/>
      <c r="E99" s="1619"/>
      <c r="F99" s="1838"/>
      <c r="G99" s="1838"/>
      <c r="H99" s="1838"/>
      <c r="I99" s="1839"/>
      <c r="J99" s="1839"/>
      <c r="K99" s="1610"/>
      <c r="L99" s="1838"/>
      <c r="M99" s="1838"/>
      <c r="N99" s="1839"/>
      <c r="O99" s="1839"/>
      <c r="P99" s="1838"/>
      <c r="Q99" s="1838"/>
      <c r="R99" s="1840"/>
      <c r="S99" s="1841"/>
      <c r="Z99" s="1418"/>
      <c r="AD99" s="1418"/>
      <c r="AE99" s="1418"/>
      <c r="AI99" s="1418"/>
      <c r="AJ99" s="1418"/>
      <c r="AN99" s="1418"/>
    </row>
    <row r="100" s="1434" customFormat="1" ht="43.5" customHeight="1">
      <c r="A100" s="1842" t="s">
        <v>558</v>
      </c>
      <c r="B100" s="1843" t="s">
        <v>559</v>
      </c>
      <c r="C100" s="1844"/>
      <c r="D100" s="1844"/>
      <c r="E100" s="1845"/>
      <c r="F100" s="1845"/>
      <c r="G100" s="1845"/>
      <c r="H100" s="1845"/>
      <c r="I100" s="1845"/>
      <c r="J100" s="1845"/>
      <c r="K100" s="1845"/>
      <c r="L100" s="1845"/>
      <c r="M100" s="1845"/>
      <c r="N100" s="1845"/>
      <c r="O100" s="1845"/>
      <c r="P100" s="1845"/>
      <c r="Q100" s="1845"/>
      <c r="R100" s="1845"/>
      <c r="S100" s="1845"/>
      <c r="T100" s="1845"/>
      <c r="U100" s="1413"/>
      <c r="V100" s="1842" t="s">
        <v>558</v>
      </c>
      <c r="W100" s="1846" t="s">
        <v>560</v>
      </c>
      <c r="X100" s="1847"/>
      <c r="Y100" s="1847"/>
      <c r="Z100" s="1847"/>
      <c r="AA100" s="1847"/>
      <c r="AB100" s="1847"/>
      <c r="AC100" s="1847"/>
      <c r="AD100" s="1847"/>
      <c r="AE100" s="1847"/>
      <c r="AF100" s="1847"/>
      <c r="AG100" s="1847"/>
      <c r="AH100" s="1847"/>
      <c r="AI100" s="1847"/>
      <c r="AJ100" s="1847"/>
      <c r="AK100" s="1847"/>
      <c r="AL100" s="1847"/>
      <c r="AM100" s="1847"/>
      <c r="AN100" s="1847"/>
      <c r="AO100" s="1847"/>
      <c r="AP100" s="1409"/>
      <c r="AQ100" s="1409"/>
      <c r="AR100" s="1409"/>
      <c r="AS100" s="1409"/>
      <c r="AT100" s="1409"/>
      <c r="AU100" s="1409"/>
      <c r="AV100" s="1409"/>
      <c r="AW100" s="1409"/>
      <c r="AX100" s="1409"/>
      <c r="AY100" s="1409"/>
      <c r="AZ100" s="1409"/>
    </row>
    <row r="101" s="1848" customFormat="1">
      <c r="A101" s="1427" t="s">
        <v>173</v>
      </c>
      <c r="B101" s="1427" t="s">
        <v>6</v>
      </c>
      <c r="C101" s="1427" t="s">
        <v>7</v>
      </c>
      <c r="D101" s="1849" t="s">
        <v>8</v>
      </c>
      <c r="E101" s="1429" t="s">
        <v>9</v>
      </c>
      <c r="F101" s="1421" t="s">
        <v>10</v>
      </c>
      <c r="G101" s="1421" t="s">
        <v>11</v>
      </c>
      <c r="H101" s="1421" t="s">
        <v>12</v>
      </c>
      <c r="I101" s="1425" t="s">
        <v>174</v>
      </c>
      <c r="J101" s="1430" t="s">
        <v>175</v>
      </c>
      <c r="K101" s="1421" t="s">
        <v>14</v>
      </c>
      <c r="L101" s="1421" t="s">
        <v>15</v>
      </c>
      <c r="M101" s="1421" t="s">
        <v>16</v>
      </c>
      <c r="N101" s="1425" t="s">
        <v>17</v>
      </c>
      <c r="O101" s="1430" t="s">
        <v>176</v>
      </c>
      <c r="P101" s="1421" t="s">
        <v>18</v>
      </c>
      <c r="Q101" s="1421" t="s">
        <v>19</v>
      </c>
      <c r="R101" s="1421" t="s">
        <v>20</v>
      </c>
      <c r="S101" s="1448" t="s">
        <v>177</v>
      </c>
      <c r="T101" s="1426" t="s">
        <v>22</v>
      </c>
      <c r="U101" s="1621"/>
      <c r="V101" s="1421" t="s">
        <v>173</v>
      </c>
      <c r="W101" s="1427" t="s">
        <v>6</v>
      </c>
      <c r="X101" s="1427" t="s">
        <v>7</v>
      </c>
      <c r="Y101" s="1849" t="s">
        <v>8</v>
      </c>
      <c r="Z101" s="1429" t="s">
        <v>9</v>
      </c>
      <c r="AA101" s="1421" t="s">
        <v>10</v>
      </c>
      <c r="AB101" s="1421" t="s">
        <v>11</v>
      </c>
      <c r="AC101" s="1421" t="s">
        <v>12</v>
      </c>
      <c r="AD101" s="1425" t="s">
        <v>174</v>
      </c>
      <c r="AE101" s="1430" t="s">
        <v>175</v>
      </c>
      <c r="AF101" s="1421" t="s">
        <v>14</v>
      </c>
      <c r="AG101" s="1421" t="s">
        <v>15</v>
      </c>
      <c r="AH101" s="1421" t="s">
        <v>16</v>
      </c>
      <c r="AI101" s="1425" t="s">
        <v>17</v>
      </c>
      <c r="AJ101" s="1430" t="s">
        <v>176</v>
      </c>
      <c r="AK101" s="1421" t="s">
        <v>18</v>
      </c>
      <c r="AL101" s="1424" t="s">
        <v>19</v>
      </c>
      <c r="AM101" s="1421" t="s">
        <v>20</v>
      </c>
      <c r="AN101" s="1425" t="s">
        <v>537</v>
      </c>
      <c r="AO101" s="1426" t="s">
        <v>22</v>
      </c>
      <c r="AP101" s="1621"/>
      <c r="AQ101" s="1621"/>
      <c r="AR101" s="1621"/>
      <c r="AS101" s="1621"/>
      <c r="AT101" s="1621"/>
      <c r="AU101" s="1621"/>
      <c r="AV101" s="1621"/>
      <c r="AW101" s="1621"/>
      <c r="AX101" s="1621"/>
      <c r="AY101" s="1621"/>
      <c r="AZ101" s="1621"/>
    </row>
    <row r="102">
      <c r="A102" s="1179" t="s">
        <v>178</v>
      </c>
      <c r="B102" s="1850">
        <f>189+14.5+6.5</f>
        <v>210</v>
      </c>
      <c r="C102" s="1850">
        <f>182+9</f>
        <v>191</v>
      </c>
      <c r="D102" s="1850"/>
      <c r="E102" s="1851">
        <f t="shared" ref="E102:E165" si="1956">B102+C102+D102</f>
        <v>401</v>
      </c>
      <c r="F102" s="1850"/>
      <c r="G102" s="1850"/>
      <c r="H102" s="1850"/>
      <c r="I102" s="1851">
        <f t="shared" ref="I102:I165" si="1957">F102+G102+H102</f>
        <v>0</v>
      </c>
      <c r="J102" s="1852">
        <f t="shared" ref="J102:J165" si="1958">E102+I102</f>
        <v>401</v>
      </c>
      <c r="K102" s="1850"/>
      <c r="L102" s="1850"/>
      <c r="M102" s="1850"/>
      <c r="N102" s="1851">
        <f t="shared" ref="N102:N165" si="1959">K102+L102+M102</f>
        <v>0</v>
      </c>
      <c r="O102" s="1852">
        <f t="shared" ref="O102:O165" si="1960">J102+N102</f>
        <v>401</v>
      </c>
      <c r="P102" s="1850"/>
      <c r="Q102" s="1850"/>
      <c r="R102" s="1850"/>
      <c r="S102" s="1851">
        <f t="shared" ref="S102:S165" si="1961">P102+Q102+R102</f>
        <v>0</v>
      </c>
      <c r="T102" s="1853">
        <f t="shared" ref="T102:T109" si="1962">S102+O102</f>
        <v>401</v>
      </c>
      <c r="V102" s="1179" t="s">
        <v>178</v>
      </c>
      <c r="W102" s="1850">
        <f>42+8+6</f>
        <v>56</v>
      </c>
      <c r="X102" s="1850">
        <f>39+2</f>
        <v>41</v>
      </c>
      <c r="Y102" s="1850"/>
      <c r="Z102" s="1851">
        <f t="shared" ref="Z102:Z165" si="1963">W102+X102+Y102</f>
        <v>97</v>
      </c>
      <c r="AA102" s="1850"/>
      <c r="AB102" s="1850"/>
      <c r="AC102" s="1850"/>
      <c r="AD102" s="1851">
        <f t="shared" ref="AD102:AD165" si="1964">AA102+AB102+AC102</f>
        <v>0</v>
      </c>
      <c r="AE102" s="1852">
        <f t="shared" ref="AE102:AE165" si="1965">Z102+AD102</f>
        <v>97</v>
      </c>
      <c r="AF102" s="1850"/>
      <c r="AG102" s="1850"/>
      <c r="AH102" s="1850"/>
      <c r="AI102" s="1851">
        <f t="shared" ref="AI102:AI165" si="1966">AF102+AG102+AH102</f>
        <v>0</v>
      </c>
      <c r="AJ102" s="1852">
        <f t="shared" ref="AJ102:AJ165" si="1967">AE102+AI102</f>
        <v>97</v>
      </c>
      <c r="AK102" s="1850"/>
      <c r="AL102" s="1854"/>
      <c r="AM102" s="1855"/>
      <c r="AN102" s="1851">
        <f t="shared" ref="AN102:AN165" si="1968">AK102+AL102+AM102</f>
        <v>0</v>
      </c>
      <c r="AO102" s="1853">
        <f t="shared" ref="AO102:AO109" si="1969">AN102+AJ102</f>
        <v>97</v>
      </c>
      <c r="AQ102" s="1856"/>
    </row>
    <row r="103">
      <c r="A103" s="1179" t="s">
        <v>354</v>
      </c>
      <c r="B103" s="1850">
        <f>395+375.5+53+9</f>
        <v>832.5</v>
      </c>
      <c r="C103" s="1850">
        <f>795.5+392.5+22.5</f>
        <v>1210.5</v>
      </c>
      <c r="D103" s="1850"/>
      <c r="E103" s="1851">
        <f t="shared" si="1956"/>
        <v>2043</v>
      </c>
      <c r="F103" s="1850"/>
      <c r="G103" s="1850"/>
      <c r="H103" s="1850"/>
      <c r="I103" s="1851">
        <f t="shared" si="1957"/>
        <v>0</v>
      </c>
      <c r="J103" s="1852">
        <f t="shared" si="1958"/>
        <v>2043</v>
      </c>
      <c r="K103" s="1850"/>
      <c r="L103" s="1850"/>
      <c r="M103" s="1850"/>
      <c r="N103" s="1851">
        <f t="shared" si="1959"/>
        <v>0</v>
      </c>
      <c r="O103" s="1852">
        <f t="shared" si="1960"/>
        <v>2043</v>
      </c>
      <c r="P103" s="1850"/>
      <c r="Q103" s="1850"/>
      <c r="R103" s="1850"/>
      <c r="S103" s="1851">
        <f t="shared" si="1961"/>
        <v>0</v>
      </c>
      <c r="T103" s="1853">
        <f t="shared" si="1962"/>
        <v>2043</v>
      </c>
      <c r="V103" s="1179" t="s">
        <v>354</v>
      </c>
      <c r="W103" s="1850">
        <f>56+124+22+2</f>
        <v>204</v>
      </c>
      <c r="X103" s="1850">
        <f>254+67+5</f>
        <v>326</v>
      </c>
      <c r="Y103" s="1850"/>
      <c r="Z103" s="1851">
        <f t="shared" si="1963"/>
        <v>530</v>
      </c>
      <c r="AA103" s="1850"/>
      <c r="AB103" s="1850"/>
      <c r="AC103" s="1850"/>
      <c r="AD103" s="1851">
        <f t="shared" si="1964"/>
        <v>0</v>
      </c>
      <c r="AE103" s="1852">
        <f t="shared" si="1965"/>
        <v>530</v>
      </c>
      <c r="AF103" s="1850"/>
      <c r="AG103" s="1850"/>
      <c r="AH103" s="1850"/>
      <c r="AI103" s="1851">
        <f t="shared" si="1966"/>
        <v>0</v>
      </c>
      <c r="AJ103" s="1852">
        <f t="shared" si="1967"/>
        <v>530</v>
      </c>
      <c r="AK103" s="1850"/>
      <c r="AL103" s="1854"/>
      <c r="AM103" s="1855"/>
      <c r="AN103" s="1851">
        <f t="shared" si="1968"/>
        <v>0</v>
      </c>
      <c r="AO103" s="1853">
        <f t="shared" si="1969"/>
        <v>530</v>
      </c>
      <c r="AQ103" s="1856"/>
    </row>
    <row r="104">
      <c r="A104" s="1179" t="s">
        <v>551</v>
      </c>
      <c r="B104" s="1850">
        <f>130.5+41+25+22.5</f>
        <v>219</v>
      </c>
      <c r="C104" s="1850">
        <f>225+88.5+11</f>
        <v>324.5</v>
      </c>
      <c r="D104" s="1850"/>
      <c r="E104" s="1851">
        <f t="shared" si="1956"/>
        <v>543.5</v>
      </c>
      <c r="F104" s="1850"/>
      <c r="G104" s="1850"/>
      <c r="H104" s="1850"/>
      <c r="I104" s="1851">
        <f t="shared" si="1957"/>
        <v>0</v>
      </c>
      <c r="J104" s="1852">
        <f t="shared" si="1958"/>
        <v>543.5</v>
      </c>
      <c r="K104" s="1850"/>
      <c r="L104" s="1850"/>
      <c r="M104" s="1850"/>
      <c r="N104" s="1851">
        <f t="shared" si="1959"/>
        <v>0</v>
      </c>
      <c r="O104" s="1852">
        <f t="shared" si="1960"/>
        <v>543.5</v>
      </c>
      <c r="P104" s="1850"/>
      <c r="Q104" s="1850"/>
      <c r="R104" s="1850"/>
      <c r="S104" s="1851">
        <f t="shared" si="1961"/>
        <v>0</v>
      </c>
      <c r="T104" s="1853">
        <f t="shared" si="1962"/>
        <v>543.5</v>
      </c>
      <c r="V104" s="1179" t="s">
        <v>551</v>
      </c>
      <c r="W104" s="1850">
        <f>16+30+19+5</f>
        <v>70</v>
      </c>
      <c r="X104" s="1850">
        <f>96+11+1</f>
        <v>108</v>
      </c>
      <c r="Y104" s="1850"/>
      <c r="Z104" s="1851">
        <f t="shared" si="1963"/>
        <v>178</v>
      </c>
      <c r="AA104" s="1850"/>
      <c r="AB104" s="1850"/>
      <c r="AC104" s="1850"/>
      <c r="AD104" s="1851">
        <f t="shared" si="1964"/>
        <v>0</v>
      </c>
      <c r="AE104" s="1852">
        <f t="shared" si="1965"/>
        <v>178</v>
      </c>
      <c r="AF104" s="1850"/>
      <c r="AG104" s="1850"/>
      <c r="AH104" s="1850"/>
      <c r="AI104" s="1851">
        <f t="shared" si="1966"/>
        <v>0</v>
      </c>
      <c r="AJ104" s="1852">
        <f t="shared" si="1967"/>
        <v>178</v>
      </c>
      <c r="AK104" s="1850"/>
      <c r="AL104" s="1854"/>
      <c r="AM104" s="1855"/>
      <c r="AN104" s="1851">
        <f t="shared" si="1968"/>
        <v>0</v>
      </c>
      <c r="AO104" s="1853">
        <f t="shared" si="1969"/>
        <v>178</v>
      </c>
      <c r="AQ104" s="1856"/>
    </row>
    <row r="105">
      <c r="A105" s="1179" t="s">
        <v>182</v>
      </c>
      <c r="B105" s="1850">
        <f>236+7.5+8.5</f>
        <v>252</v>
      </c>
      <c r="C105" s="1850">
        <f>157+146</f>
        <v>303</v>
      </c>
      <c r="D105" s="1850"/>
      <c r="E105" s="1851">
        <f t="shared" si="1956"/>
        <v>555</v>
      </c>
      <c r="F105" s="1850"/>
      <c r="G105" s="1850"/>
      <c r="H105" s="1850"/>
      <c r="I105" s="1851">
        <f t="shared" si="1957"/>
        <v>0</v>
      </c>
      <c r="J105" s="1852">
        <f t="shared" si="1958"/>
        <v>555</v>
      </c>
      <c r="K105" s="1850"/>
      <c r="L105" s="1850"/>
      <c r="M105" s="1850"/>
      <c r="N105" s="1851">
        <f t="shared" si="1959"/>
        <v>0</v>
      </c>
      <c r="O105" s="1852">
        <f t="shared" si="1960"/>
        <v>555</v>
      </c>
      <c r="P105" s="1850"/>
      <c r="Q105" s="1850"/>
      <c r="R105" s="1850"/>
      <c r="S105" s="1851">
        <f t="shared" si="1961"/>
        <v>0</v>
      </c>
      <c r="T105" s="1853">
        <f t="shared" si="1962"/>
        <v>555</v>
      </c>
      <c r="V105" s="1179" t="s">
        <v>182</v>
      </c>
      <c r="W105" s="1850">
        <f>51+6+4</f>
        <v>61</v>
      </c>
      <c r="X105" s="1850">
        <f>100+31</f>
        <v>131</v>
      </c>
      <c r="Y105" s="1850"/>
      <c r="Z105" s="1851">
        <f t="shared" si="1963"/>
        <v>192</v>
      </c>
      <c r="AA105" s="1850"/>
      <c r="AB105" s="1850"/>
      <c r="AC105" s="1850"/>
      <c r="AD105" s="1851">
        <f t="shared" si="1964"/>
        <v>0</v>
      </c>
      <c r="AE105" s="1852">
        <f t="shared" si="1965"/>
        <v>192</v>
      </c>
      <c r="AF105" s="1850"/>
      <c r="AG105" s="1850"/>
      <c r="AH105" s="1850"/>
      <c r="AI105" s="1851">
        <f t="shared" si="1966"/>
        <v>0</v>
      </c>
      <c r="AJ105" s="1852">
        <f t="shared" si="1967"/>
        <v>192</v>
      </c>
      <c r="AK105" s="1850"/>
      <c r="AL105" s="1854"/>
      <c r="AM105" s="1855"/>
      <c r="AN105" s="1851">
        <f t="shared" si="1968"/>
        <v>0</v>
      </c>
      <c r="AO105" s="1853">
        <f t="shared" si="1969"/>
        <v>192</v>
      </c>
      <c r="AQ105" s="1856"/>
    </row>
    <row r="106">
      <c r="A106" s="1179" t="s">
        <v>183</v>
      </c>
      <c r="B106" s="1850">
        <f>123+11+6</f>
        <v>140</v>
      </c>
      <c r="C106" s="1850">
        <f>77+108</f>
        <v>185</v>
      </c>
      <c r="D106" s="1850"/>
      <c r="E106" s="1851">
        <f t="shared" si="1956"/>
        <v>325</v>
      </c>
      <c r="F106" s="1850"/>
      <c r="G106" s="1850"/>
      <c r="H106" s="1850"/>
      <c r="I106" s="1851">
        <f t="shared" si="1957"/>
        <v>0</v>
      </c>
      <c r="J106" s="1852">
        <f t="shared" si="1958"/>
        <v>325</v>
      </c>
      <c r="K106" s="1850"/>
      <c r="L106" s="1850"/>
      <c r="M106" s="1850"/>
      <c r="N106" s="1851">
        <f t="shared" si="1959"/>
        <v>0</v>
      </c>
      <c r="O106" s="1852">
        <f t="shared" si="1960"/>
        <v>325</v>
      </c>
      <c r="P106" s="1850"/>
      <c r="Q106" s="1850"/>
      <c r="R106" s="1850"/>
      <c r="S106" s="1851">
        <f t="shared" si="1961"/>
        <v>0</v>
      </c>
      <c r="T106" s="1853">
        <f t="shared" si="1962"/>
        <v>325</v>
      </c>
      <c r="V106" s="1179" t="s">
        <v>183</v>
      </c>
      <c r="W106" s="1850">
        <f>23+7+3</f>
        <v>33</v>
      </c>
      <c r="X106" s="1850">
        <f>43+24</f>
        <v>67</v>
      </c>
      <c r="Y106" s="1850"/>
      <c r="Z106" s="1851">
        <f t="shared" si="1963"/>
        <v>100</v>
      </c>
      <c r="AA106" s="1850"/>
      <c r="AB106" s="1850"/>
      <c r="AC106" s="1850"/>
      <c r="AD106" s="1851">
        <f t="shared" si="1964"/>
        <v>0</v>
      </c>
      <c r="AE106" s="1852">
        <f t="shared" si="1965"/>
        <v>100</v>
      </c>
      <c r="AF106" s="1850"/>
      <c r="AG106" s="1850"/>
      <c r="AH106" s="1850"/>
      <c r="AI106" s="1851">
        <f t="shared" si="1966"/>
        <v>0</v>
      </c>
      <c r="AJ106" s="1852">
        <f t="shared" si="1967"/>
        <v>100</v>
      </c>
      <c r="AK106" s="1850"/>
      <c r="AL106" s="1854"/>
      <c r="AM106" s="1855"/>
      <c r="AN106" s="1851">
        <f t="shared" si="1968"/>
        <v>0</v>
      </c>
      <c r="AO106" s="1853">
        <f t="shared" si="1969"/>
        <v>100</v>
      </c>
      <c r="AQ106" s="1856"/>
    </row>
    <row r="107">
      <c r="A107" s="1179" t="s">
        <v>184</v>
      </c>
      <c r="B107" s="1850">
        <f>60.5+138+8+190.5</f>
        <v>397</v>
      </c>
      <c r="C107" s="1850">
        <f>362.5+103.5+395.5</f>
        <v>861.5</v>
      </c>
      <c r="D107" s="1850"/>
      <c r="E107" s="1851">
        <f t="shared" si="1956"/>
        <v>1258.5</v>
      </c>
      <c r="F107" s="1850"/>
      <c r="G107" s="1850"/>
      <c r="H107" s="1850"/>
      <c r="I107" s="1851">
        <f t="shared" si="1957"/>
        <v>0</v>
      </c>
      <c r="J107" s="1852">
        <f t="shared" si="1958"/>
        <v>1258.5</v>
      </c>
      <c r="K107" s="1850"/>
      <c r="L107" s="1850"/>
      <c r="M107" s="1850"/>
      <c r="N107" s="1851">
        <f t="shared" si="1959"/>
        <v>0</v>
      </c>
      <c r="O107" s="1852">
        <f t="shared" si="1960"/>
        <v>1258.5</v>
      </c>
      <c r="P107" s="1850"/>
      <c r="Q107" s="1850"/>
      <c r="R107" s="1850"/>
      <c r="S107" s="1851">
        <f t="shared" si="1961"/>
        <v>0</v>
      </c>
      <c r="T107" s="1853">
        <f t="shared" si="1962"/>
        <v>1258.5</v>
      </c>
      <c r="V107" s="1179" t="s">
        <v>184</v>
      </c>
      <c r="W107" s="1850">
        <f>12+86+3+38</f>
        <v>139</v>
      </c>
      <c r="X107" s="1850">
        <f>191+23+72</f>
        <v>286</v>
      </c>
      <c r="Y107" s="1850"/>
      <c r="Z107" s="1851">
        <f t="shared" si="1963"/>
        <v>425</v>
      </c>
      <c r="AA107" s="1850"/>
      <c r="AB107" s="1850"/>
      <c r="AC107" s="1850"/>
      <c r="AD107" s="1851">
        <f t="shared" si="1964"/>
        <v>0</v>
      </c>
      <c r="AE107" s="1852">
        <f t="shared" si="1965"/>
        <v>425</v>
      </c>
      <c r="AF107" s="1850"/>
      <c r="AG107" s="1850"/>
      <c r="AH107" s="1850"/>
      <c r="AI107" s="1851">
        <f t="shared" si="1966"/>
        <v>0</v>
      </c>
      <c r="AJ107" s="1852">
        <f t="shared" si="1967"/>
        <v>425</v>
      </c>
      <c r="AK107" s="1850"/>
      <c r="AL107" s="1854"/>
      <c r="AM107" s="1855"/>
      <c r="AN107" s="1851">
        <f t="shared" si="1968"/>
        <v>0</v>
      </c>
      <c r="AO107" s="1853">
        <f t="shared" si="1969"/>
        <v>425</v>
      </c>
      <c r="AQ107" s="1856"/>
    </row>
    <row r="108">
      <c r="A108" s="1857" t="s">
        <v>361</v>
      </c>
      <c r="B108" s="1850">
        <v>22.5</v>
      </c>
      <c r="C108" s="1850">
        <f>13.5+49+13.5</f>
        <v>76</v>
      </c>
      <c r="D108" s="1850"/>
      <c r="E108" s="1851">
        <f t="shared" si="1956"/>
        <v>98.5</v>
      </c>
      <c r="F108" s="1850"/>
      <c r="G108" s="1850"/>
      <c r="H108" s="1850"/>
      <c r="I108" s="1851">
        <f t="shared" si="1957"/>
        <v>0</v>
      </c>
      <c r="J108" s="1852">
        <f t="shared" si="1958"/>
        <v>98.5</v>
      </c>
      <c r="K108" s="1850"/>
      <c r="L108" s="1850"/>
      <c r="M108" s="1850"/>
      <c r="N108" s="1851">
        <f t="shared" si="1959"/>
        <v>0</v>
      </c>
      <c r="O108" s="1852">
        <f t="shared" si="1960"/>
        <v>98.5</v>
      </c>
      <c r="P108" s="1850"/>
      <c r="Q108" s="1850"/>
      <c r="R108" s="1850"/>
      <c r="S108" s="1851">
        <f t="shared" si="1961"/>
        <v>0</v>
      </c>
      <c r="T108" s="1853">
        <f t="shared" si="1962"/>
        <v>98.5</v>
      </c>
      <c r="V108" s="1179"/>
      <c r="W108" s="1850">
        <v>5</v>
      </c>
      <c r="X108" s="1850">
        <f>11+8+3</f>
        <v>22</v>
      </c>
      <c r="Y108" s="1850"/>
      <c r="Z108" s="1851">
        <f t="shared" si="1963"/>
        <v>27</v>
      </c>
      <c r="AA108" s="1850"/>
      <c r="AB108" s="1850"/>
      <c r="AC108" s="1850"/>
      <c r="AD108" s="1851">
        <f t="shared" si="1964"/>
        <v>0</v>
      </c>
      <c r="AE108" s="1852">
        <f t="shared" si="1965"/>
        <v>27</v>
      </c>
      <c r="AF108" s="1850"/>
      <c r="AG108" s="1850"/>
      <c r="AH108" s="1850"/>
      <c r="AI108" s="1851">
        <f t="shared" si="1966"/>
        <v>0</v>
      </c>
      <c r="AJ108" s="1852">
        <f t="shared" si="1967"/>
        <v>27</v>
      </c>
      <c r="AK108" s="1850"/>
      <c r="AL108" s="1854"/>
      <c r="AM108" s="1855"/>
      <c r="AN108" s="1851">
        <f t="shared" si="1968"/>
        <v>0</v>
      </c>
      <c r="AO108" s="1853">
        <f t="shared" si="1969"/>
        <v>27</v>
      </c>
      <c r="AQ108" s="1856"/>
    </row>
    <row r="109">
      <c r="A109" s="1179" t="s">
        <v>185</v>
      </c>
      <c r="B109" s="1850">
        <f>54+127.5+22.5</f>
        <v>204</v>
      </c>
      <c r="C109" s="1850">
        <f>214+45+40.5</f>
        <v>299.5</v>
      </c>
      <c r="D109" s="1850"/>
      <c r="E109" s="1851">
        <f t="shared" si="1956"/>
        <v>503.5</v>
      </c>
      <c r="F109" s="1850"/>
      <c r="G109" s="1850"/>
      <c r="H109" s="1850"/>
      <c r="I109" s="1851">
        <f t="shared" si="1957"/>
        <v>0</v>
      </c>
      <c r="J109" s="1852">
        <f t="shared" si="1958"/>
        <v>503.5</v>
      </c>
      <c r="K109" s="1850"/>
      <c r="L109" s="1850"/>
      <c r="M109" s="1850"/>
      <c r="N109" s="1851">
        <f t="shared" si="1959"/>
        <v>0</v>
      </c>
      <c r="O109" s="1852">
        <f t="shared" si="1960"/>
        <v>503.5</v>
      </c>
      <c r="P109" s="1850"/>
      <c r="Q109" s="1850"/>
      <c r="R109" s="1850"/>
      <c r="S109" s="1851">
        <f t="shared" si="1961"/>
        <v>0</v>
      </c>
      <c r="T109" s="1853">
        <f t="shared" si="1962"/>
        <v>503.5</v>
      </c>
      <c r="V109" s="1179" t="s">
        <v>185</v>
      </c>
      <c r="W109" s="1850">
        <f>12+87+5</f>
        <v>104</v>
      </c>
      <c r="X109" s="1850">
        <f>146+10+9</f>
        <v>165</v>
      </c>
      <c r="Y109" s="1850"/>
      <c r="Z109" s="1851">
        <f t="shared" si="1963"/>
        <v>269</v>
      </c>
      <c r="AA109" s="1850"/>
      <c r="AB109" s="1850"/>
      <c r="AC109" s="1850"/>
      <c r="AD109" s="1851">
        <f t="shared" si="1964"/>
        <v>0</v>
      </c>
      <c r="AE109" s="1852">
        <f t="shared" si="1965"/>
        <v>269</v>
      </c>
      <c r="AF109" s="1850"/>
      <c r="AG109" s="1850"/>
      <c r="AH109" s="1850"/>
      <c r="AI109" s="1851">
        <f t="shared" si="1966"/>
        <v>0</v>
      </c>
      <c r="AJ109" s="1852">
        <f t="shared" si="1967"/>
        <v>269</v>
      </c>
      <c r="AK109" s="1850"/>
      <c r="AL109" s="1854"/>
      <c r="AM109" s="1855"/>
      <c r="AN109" s="1851">
        <f t="shared" si="1968"/>
        <v>0</v>
      </c>
      <c r="AO109" s="1853">
        <f t="shared" si="1969"/>
        <v>269</v>
      </c>
      <c r="AQ109" s="1856"/>
    </row>
    <row r="110" s="1510" customFormat="1">
      <c r="A110" s="1511" t="s">
        <v>363</v>
      </c>
      <c r="B110" s="1858">
        <f>SUM(B102:B109)</f>
        <v>2277</v>
      </c>
      <c r="C110" s="1858">
        <f>SUM(C102:C109)</f>
        <v>3451</v>
      </c>
      <c r="D110" s="1858">
        <f>SUM(D102:D109)</f>
        <v>0</v>
      </c>
      <c r="E110" s="1851">
        <f t="shared" si="1956"/>
        <v>5728</v>
      </c>
      <c r="F110" s="1858">
        <f>SUM(F102:F109)</f>
        <v>0</v>
      </c>
      <c r="G110" s="1858">
        <f>SUM(G102:G109)</f>
        <v>0</v>
      </c>
      <c r="H110" s="1858">
        <f>SUM(H102:H109)</f>
        <v>0</v>
      </c>
      <c r="I110" s="1859">
        <f t="shared" si="1957"/>
        <v>0</v>
      </c>
      <c r="J110" s="1860">
        <f t="shared" si="1958"/>
        <v>5728</v>
      </c>
      <c r="K110" s="1858">
        <f>SUM(K102:K109)</f>
        <v>0</v>
      </c>
      <c r="L110" s="1858">
        <f>SUM(L102:L109)</f>
        <v>0</v>
      </c>
      <c r="M110" s="1858">
        <f>SUM(M102:M109)</f>
        <v>0</v>
      </c>
      <c r="N110" s="1859">
        <f t="shared" si="1959"/>
        <v>0</v>
      </c>
      <c r="O110" s="1860">
        <f t="shared" si="1960"/>
        <v>5728</v>
      </c>
      <c r="P110" s="1858">
        <f>SUM(P102:P109)</f>
        <v>0</v>
      </c>
      <c r="Q110" s="1858">
        <f>SUM(Q102:Q109)</f>
        <v>0</v>
      </c>
      <c r="R110" s="1858">
        <f>SUM(R102:R109)</f>
        <v>0</v>
      </c>
      <c r="S110" s="1859">
        <f t="shared" si="1961"/>
        <v>0</v>
      </c>
      <c r="T110" s="1861">
        <f>SUM(T102:T109)</f>
        <v>5728</v>
      </c>
      <c r="U110" s="1515"/>
      <c r="V110" s="1511" t="s">
        <v>363</v>
      </c>
      <c r="W110" s="1858">
        <f>SUM(W102:W109)</f>
        <v>672</v>
      </c>
      <c r="X110" s="1858">
        <f>SUM(X102:X109)</f>
        <v>1146</v>
      </c>
      <c r="Y110" s="1858">
        <f>SUM(Y102:Y109)</f>
        <v>0</v>
      </c>
      <c r="Z110" s="1851">
        <f t="shared" si="1963"/>
        <v>1818</v>
      </c>
      <c r="AA110" s="1858">
        <f>SUM(AA102:AA109)</f>
        <v>0</v>
      </c>
      <c r="AB110" s="1858">
        <f>SUM(AB102:AB109)</f>
        <v>0</v>
      </c>
      <c r="AC110" s="1858">
        <f>SUM(AC102:AC109)</f>
        <v>0</v>
      </c>
      <c r="AD110" s="1859">
        <f t="shared" si="1964"/>
        <v>0</v>
      </c>
      <c r="AE110" s="1860">
        <f t="shared" si="1965"/>
        <v>1818</v>
      </c>
      <c r="AF110" s="1858">
        <f>SUM(AF102:AF109)</f>
        <v>0</v>
      </c>
      <c r="AG110" s="1858">
        <f>SUM(AG102:AG109)</f>
        <v>0</v>
      </c>
      <c r="AH110" s="1858">
        <f>SUM(AH102:AH109)</f>
        <v>0</v>
      </c>
      <c r="AI110" s="1859">
        <f t="shared" si="1966"/>
        <v>0</v>
      </c>
      <c r="AJ110" s="1860">
        <f t="shared" si="1967"/>
        <v>1818</v>
      </c>
      <c r="AK110" s="1858">
        <f>SUM(AK102:AK109)</f>
        <v>0</v>
      </c>
      <c r="AL110" s="1858">
        <f>SUM(AL102:AL109)</f>
        <v>0</v>
      </c>
      <c r="AM110" s="1858">
        <f>SUM(AM102:AM109)</f>
        <v>0</v>
      </c>
      <c r="AN110" s="1859">
        <f t="shared" si="1968"/>
        <v>0</v>
      </c>
      <c r="AO110" s="1861">
        <f>SUM(AO102:AO109)</f>
        <v>1818</v>
      </c>
      <c r="AP110" s="1515"/>
      <c r="AQ110" s="1862"/>
      <c r="AR110" s="1515"/>
      <c r="AS110" s="1515"/>
      <c r="AT110" s="1515"/>
      <c r="AU110" s="1515"/>
      <c r="AV110" s="1515"/>
      <c r="AW110" s="1515"/>
      <c r="AX110" s="1515"/>
      <c r="AY110" s="1515"/>
      <c r="AZ110" s="1515"/>
    </row>
    <row r="111">
      <c r="A111" s="1179" t="s">
        <v>542</v>
      </c>
      <c r="B111" s="1850"/>
      <c r="C111" s="1850"/>
      <c r="D111" s="1850"/>
      <c r="E111" s="1851">
        <f t="shared" si="1956"/>
        <v>0</v>
      </c>
      <c r="F111" s="1850"/>
      <c r="G111" s="1850"/>
      <c r="H111" s="1850"/>
      <c r="I111" s="1851">
        <f t="shared" si="1957"/>
        <v>0</v>
      </c>
      <c r="J111" s="1852">
        <f t="shared" si="1958"/>
        <v>0</v>
      </c>
      <c r="K111" s="1850"/>
      <c r="L111" s="1850"/>
      <c r="M111" s="1850"/>
      <c r="N111" s="1851">
        <f t="shared" si="1959"/>
        <v>0</v>
      </c>
      <c r="O111" s="1852">
        <f t="shared" si="1960"/>
        <v>0</v>
      </c>
      <c r="P111" s="1850"/>
      <c r="Q111" s="1850"/>
      <c r="R111" s="1850"/>
      <c r="S111" s="1851">
        <f t="shared" si="1961"/>
        <v>0</v>
      </c>
      <c r="T111" s="1853">
        <f t="shared" ref="T111:T163" si="1970">S111+O111</f>
        <v>0</v>
      </c>
      <c r="V111" s="1179" t="s">
        <v>542</v>
      </c>
      <c r="W111" s="1850"/>
      <c r="X111" s="1850"/>
      <c r="Y111" s="1850"/>
      <c r="Z111" s="1851">
        <f t="shared" si="1963"/>
        <v>0</v>
      </c>
      <c r="AA111" s="1850"/>
      <c r="AB111" s="1850"/>
      <c r="AC111" s="1850"/>
      <c r="AD111" s="1851">
        <f t="shared" si="1964"/>
        <v>0</v>
      </c>
      <c r="AE111" s="1852">
        <f t="shared" si="1965"/>
        <v>0</v>
      </c>
      <c r="AF111" s="1850"/>
      <c r="AG111" s="1850"/>
      <c r="AH111" s="1850"/>
      <c r="AI111" s="1851">
        <f t="shared" si="1966"/>
        <v>0</v>
      </c>
      <c r="AJ111" s="1852">
        <f t="shared" si="1967"/>
        <v>0</v>
      </c>
      <c r="AK111" s="1850"/>
      <c r="AL111" s="1850"/>
      <c r="AM111" s="1850"/>
      <c r="AN111" s="1851">
        <f t="shared" si="1968"/>
        <v>0</v>
      </c>
      <c r="AO111" s="1853">
        <f t="shared" ref="AO111:AO123" si="1971">AN111+AJ111</f>
        <v>0</v>
      </c>
      <c r="AQ111" s="1856"/>
    </row>
    <row r="112">
      <c r="A112" s="1179" t="s">
        <v>561</v>
      </c>
      <c r="B112" s="1850">
        <f>162+103.5+36.5+18</f>
        <v>320</v>
      </c>
      <c r="C112" s="1850">
        <f>500+145</f>
        <v>645</v>
      </c>
      <c r="D112" s="1850"/>
      <c r="E112" s="1851">
        <f t="shared" si="1956"/>
        <v>965</v>
      </c>
      <c r="F112" s="1850"/>
      <c r="G112" s="1850"/>
      <c r="H112" s="1850"/>
      <c r="I112" s="1851">
        <f t="shared" si="1957"/>
        <v>0</v>
      </c>
      <c r="J112" s="1852">
        <f t="shared" si="1958"/>
        <v>965</v>
      </c>
      <c r="K112" s="1850"/>
      <c r="L112" s="1850"/>
      <c r="M112" s="1850"/>
      <c r="N112" s="1851">
        <f t="shared" si="1959"/>
        <v>0</v>
      </c>
      <c r="O112" s="1852">
        <f t="shared" si="1960"/>
        <v>965</v>
      </c>
      <c r="P112" s="1850"/>
      <c r="Q112" s="1850"/>
      <c r="R112" s="1850"/>
      <c r="S112" s="1851">
        <f t="shared" si="1961"/>
        <v>0</v>
      </c>
      <c r="T112" s="1853">
        <f t="shared" si="1970"/>
        <v>965</v>
      </c>
      <c r="V112" s="1179" t="s">
        <v>561</v>
      </c>
      <c r="W112" s="1850">
        <f>23+56+14+4</f>
        <v>97</v>
      </c>
      <c r="X112" s="1850">
        <f>148+25</f>
        <v>173</v>
      </c>
      <c r="Y112" s="1850"/>
      <c r="Z112" s="1851">
        <f t="shared" si="1963"/>
        <v>270</v>
      </c>
      <c r="AA112" s="1850"/>
      <c r="AB112" s="1850"/>
      <c r="AC112" s="1850"/>
      <c r="AD112" s="1851">
        <f t="shared" si="1964"/>
        <v>0</v>
      </c>
      <c r="AE112" s="1852">
        <f t="shared" si="1965"/>
        <v>270</v>
      </c>
      <c r="AF112" s="1850"/>
      <c r="AG112" s="1850"/>
      <c r="AH112" s="1850"/>
      <c r="AI112" s="1851">
        <f t="shared" si="1966"/>
        <v>0</v>
      </c>
      <c r="AJ112" s="1852">
        <f t="shared" si="1967"/>
        <v>270</v>
      </c>
      <c r="AK112" s="1850"/>
      <c r="AL112" s="1850"/>
      <c r="AM112" s="1850"/>
      <c r="AN112" s="1851">
        <f t="shared" si="1968"/>
        <v>0</v>
      </c>
      <c r="AO112" s="1853">
        <f t="shared" si="1971"/>
        <v>270</v>
      </c>
      <c r="AQ112" s="1856"/>
    </row>
    <row r="113">
      <c r="A113" s="1179" t="s">
        <v>196</v>
      </c>
      <c r="B113" s="1850">
        <f>51.5+127+43</f>
        <v>221.5</v>
      </c>
      <c r="C113" s="1850">
        <f>485.5+69.5+18</f>
        <v>573</v>
      </c>
      <c r="D113" s="1850"/>
      <c r="E113" s="1851">
        <f t="shared" si="1956"/>
        <v>794.5</v>
      </c>
      <c r="F113" s="1850"/>
      <c r="G113" s="1850"/>
      <c r="H113" s="1850"/>
      <c r="I113" s="1851">
        <f t="shared" si="1957"/>
        <v>0</v>
      </c>
      <c r="J113" s="1852">
        <f t="shared" si="1958"/>
        <v>794.5</v>
      </c>
      <c r="K113" s="1850"/>
      <c r="L113" s="1850"/>
      <c r="M113" s="1850"/>
      <c r="N113" s="1851">
        <f t="shared" si="1959"/>
        <v>0</v>
      </c>
      <c r="O113" s="1852">
        <f t="shared" si="1960"/>
        <v>794.5</v>
      </c>
      <c r="P113" s="1850"/>
      <c r="Q113" s="1850"/>
      <c r="R113" s="1850"/>
      <c r="S113" s="1851">
        <f t="shared" si="1961"/>
        <v>0</v>
      </c>
      <c r="T113" s="1853">
        <f t="shared" si="1970"/>
        <v>794.5</v>
      </c>
      <c r="V113" s="1179" t="s">
        <v>196</v>
      </c>
      <c r="W113" s="1850">
        <f>10+118+35</f>
        <v>163</v>
      </c>
      <c r="X113" s="1850">
        <f>410+14+4</f>
        <v>428</v>
      </c>
      <c r="Y113" s="1850"/>
      <c r="Z113" s="1851">
        <f t="shared" si="1963"/>
        <v>591</v>
      </c>
      <c r="AA113" s="1850"/>
      <c r="AB113" s="1850"/>
      <c r="AC113" s="1850"/>
      <c r="AD113" s="1851">
        <f t="shared" si="1964"/>
        <v>0</v>
      </c>
      <c r="AE113" s="1852">
        <f t="shared" si="1965"/>
        <v>591</v>
      </c>
      <c r="AF113" s="1850"/>
      <c r="AG113" s="1850"/>
      <c r="AH113" s="1850"/>
      <c r="AI113" s="1851">
        <f t="shared" si="1966"/>
        <v>0</v>
      </c>
      <c r="AJ113" s="1852">
        <f t="shared" si="1967"/>
        <v>591</v>
      </c>
      <c r="AK113" s="1850"/>
      <c r="AL113" s="1850"/>
      <c r="AM113" s="1850"/>
      <c r="AN113" s="1851">
        <f t="shared" si="1968"/>
        <v>0</v>
      </c>
      <c r="AO113" s="1853">
        <f t="shared" si="1971"/>
        <v>591</v>
      </c>
      <c r="AQ113" s="1856"/>
    </row>
    <row r="114">
      <c r="A114" s="1179" t="s">
        <v>367</v>
      </c>
      <c r="B114" s="1850"/>
      <c r="C114" s="1850"/>
      <c r="D114" s="1850"/>
      <c r="E114" s="1851">
        <f t="shared" si="1956"/>
        <v>0</v>
      </c>
      <c r="F114" s="1850"/>
      <c r="G114" s="1850"/>
      <c r="H114" s="1850"/>
      <c r="I114" s="1851">
        <f t="shared" si="1957"/>
        <v>0</v>
      </c>
      <c r="J114" s="1852">
        <f t="shared" si="1958"/>
        <v>0</v>
      </c>
      <c r="K114" s="1850"/>
      <c r="L114" s="1850"/>
      <c r="M114" s="1850"/>
      <c r="N114" s="1851">
        <f t="shared" si="1959"/>
        <v>0</v>
      </c>
      <c r="O114" s="1852">
        <f t="shared" si="1960"/>
        <v>0</v>
      </c>
      <c r="P114" s="1850"/>
      <c r="Q114" s="1850"/>
      <c r="R114" s="1850"/>
      <c r="S114" s="1851">
        <f t="shared" si="1961"/>
        <v>0</v>
      </c>
      <c r="T114" s="1853">
        <f t="shared" si="1970"/>
        <v>0</v>
      </c>
      <c r="V114" s="1179" t="s">
        <v>367</v>
      </c>
      <c r="W114" s="1850"/>
      <c r="X114" s="1850"/>
      <c r="Y114" s="1850"/>
      <c r="Z114" s="1851">
        <f t="shared" si="1963"/>
        <v>0</v>
      </c>
      <c r="AA114" s="1850"/>
      <c r="AB114" s="1850"/>
      <c r="AC114" s="1850"/>
      <c r="AD114" s="1851">
        <f t="shared" si="1964"/>
        <v>0</v>
      </c>
      <c r="AE114" s="1852">
        <f t="shared" si="1965"/>
        <v>0</v>
      </c>
      <c r="AF114" s="1850"/>
      <c r="AG114" s="1850"/>
      <c r="AH114" s="1850"/>
      <c r="AI114" s="1851">
        <f t="shared" si="1966"/>
        <v>0</v>
      </c>
      <c r="AJ114" s="1852">
        <f t="shared" si="1967"/>
        <v>0</v>
      </c>
      <c r="AK114" s="1850"/>
      <c r="AL114" s="1850"/>
      <c r="AM114" s="1850"/>
      <c r="AN114" s="1851">
        <f t="shared" si="1968"/>
        <v>0</v>
      </c>
      <c r="AO114" s="1853">
        <f t="shared" si="1971"/>
        <v>0</v>
      </c>
      <c r="AQ114" s="1856"/>
    </row>
    <row r="115">
      <c r="A115" s="1179" t="s">
        <v>201</v>
      </c>
      <c r="B115" s="1850">
        <f>92+36.5</f>
        <v>128.5</v>
      </c>
      <c r="C115" s="1850">
        <f>76.5+151+4.5</f>
        <v>232</v>
      </c>
      <c r="D115" s="1850"/>
      <c r="E115" s="1851">
        <f t="shared" si="1956"/>
        <v>360.5</v>
      </c>
      <c r="F115" s="1850"/>
      <c r="G115" s="1850"/>
      <c r="H115" s="1850"/>
      <c r="I115" s="1851">
        <f t="shared" si="1957"/>
        <v>0</v>
      </c>
      <c r="J115" s="1852">
        <f t="shared" si="1958"/>
        <v>360.5</v>
      </c>
      <c r="K115" s="1850"/>
      <c r="L115" s="1850"/>
      <c r="M115" s="1850"/>
      <c r="N115" s="1851">
        <f t="shared" si="1959"/>
        <v>0</v>
      </c>
      <c r="O115" s="1852">
        <f t="shared" si="1960"/>
        <v>360.5</v>
      </c>
      <c r="P115" s="1850"/>
      <c r="Q115" s="1850"/>
      <c r="R115" s="1850"/>
      <c r="S115" s="1851">
        <f t="shared" si="1961"/>
        <v>0</v>
      </c>
      <c r="T115" s="1853">
        <f t="shared" si="1970"/>
        <v>360.5</v>
      </c>
      <c r="V115" s="1179" t="s">
        <v>201</v>
      </c>
      <c r="W115" s="1850">
        <f>6+16</f>
        <v>22</v>
      </c>
      <c r="X115" s="1850">
        <f>55+9+1</f>
        <v>65</v>
      </c>
      <c r="Y115" s="1850"/>
      <c r="Z115" s="1851">
        <f t="shared" si="1963"/>
        <v>87</v>
      </c>
      <c r="AA115" s="1850"/>
      <c r="AB115" s="1850"/>
      <c r="AC115" s="1850"/>
      <c r="AD115" s="1851">
        <f t="shared" si="1964"/>
        <v>0</v>
      </c>
      <c r="AE115" s="1852">
        <f t="shared" si="1965"/>
        <v>87</v>
      </c>
      <c r="AF115" s="1850"/>
      <c r="AG115" s="1850"/>
      <c r="AH115" s="1850"/>
      <c r="AI115" s="1851">
        <f t="shared" si="1966"/>
        <v>0</v>
      </c>
      <c r="AJ115" s="1852">
        <f t="shared" si="1967"/>
        <v>87</v>
      </c>
      <c r="AK115" s="1850"/>
      <c r="AL115" s="1850"/>
      <c r="AM115" s="1850"/>
      <c r="AN115" s="1851">
        <f t="shared" si="1968"/>
        <v>0</v>
      </c>
      <c r="AO115" s="1853">
        <f t="shared" si="1971"/>
        <v>87</v>
      </c>
      <c r="AQ115" s="1856"/>
    </row>
    <row r="116">
      <c r="A116" s="1179" t="s">
        <v>203</v>
      </c>
      <c r="B116" s="1850">
        <f>99+27.5+15.5</f>
        <v>142</v>
      </c>
      <c r="C116" s="1850">
        <f>53+76.5</f>
        <v>129.5</v>
      </c>
      <c r="D116" s="1850"/>
      <c r="E116" s="1851">
        <f t="shared" si="1956"/>
        <v>271.5</v>
      </c>
      <c r="F116" s="1850"/>
      <c r="G116" s="1850"/>
      <c r="H116" s="1850"/>
      <c r="I116" s="1851">
        <f t="shared" si="1957"/>
        <v>0</v>
      </c>
      <c r="J116" s="1852">
        <f t="shared" si="1958"/>
        <v>271.5</v>
      </c>
      <c r="K116" s="1850"/>
      <c r="L116" s="1850"/>
      <c r="M116" s="1850"/>
      <c r="N116" s="1851">
        <f t="shared" si="1959"/>
        <v>0</v>
      </c>
      <c r="O116" s="1852">
        <f t="shared" si="1960"/>
        <v>271.5</v>
      </c>
      <c r="P116" s="1850"/>
      <c r="Q116" s="1850"/>
      <c r="R116" s="1850"/>
      <c r="S116" s="1851">
        <f t="shared" si="1961"/>
        <v>0</v>
      </c>
      <c r="T116" s="1853">
        <f t="shared" si="1970"/>
        <v>271.5</v>
      </c>
      <c r="V116" s="1179" t="s">
        <v>203</v>
      </c>
      <c r="W116" s="1850">
        <f>22+16+10</f>
        <v>48</v>
      </c>
      <c r="X116" s="1850">
        <f>18+17</f>
        <v>35</v>
      </c>
      <c r="Y116" s="1850"/>
      <c r="Z116" s="1851">
        <f t="shared" si="1963"/>
        <v>83</v>
      </c>
      <c r="AA116" s="1850"/>
      <c r="AB116" s="1850"/>
      <c r="AC116" s="1850"/>
      <c r="AD116" s="1851">
        <f t="shared" si="1964"/>
        <v>0</v>
      </c>
      <c r="AE116" s="1852">
        <f t="shared" si="1965"/>
        <v>83</v>
      </c>
      <c r="AF116" s="1850"/>
      <c r="AG116" s="1850"/>
      <c r="AH116" s="1850"/>
      <c r="AI116" s="1851">
        <f t="shared" si="1966"/>
        <v>0</v>
      </c>
      <c r="AJ116" s="1852">
        <f t="shared" si="1967"/>
        <v>83</v>
      </c>
      <c r="AK116" s="1850"/>
      <c r="AL116" s="1850"/>
      <c r="AM116" s="1850"/>
      <c r="AN116" s="1851">
        <f t="shared" si="1968"/>
        <v>0</v>
      </c>
      <c r="AO116" s="1853">
        <f t="shared" si="1971"/>
        <v>83</v>
      </c>
      <c r="AQ116" s="1856"/>
    </row>
    <row r="117">
      <c r="A117" s="1179" t="s">
        <v>204</v>
      </c>
      <c r="B117" s="1850">
        <f>22.5+24.5+16</f>
        <v>63</v>
      </c>
      <c r="C117" s="1850">
        <v>57.5</v>
      </c>
      <c r="D117" s="1850"/>
      <c r="E117" s="1851">
        <f t="shared" si="1956"/>
        <v>120.5</v>
      </c>
      <c r="F117" s="1850"/>
      <c r="G117" s="1850"/>
      <c r="H117" s="1850"/>
      <c r="I117" s="1851">
        <f t="shared" si="1957"/>
        <v>0</v>
      </c>
      <c r="J117" s="1852">
        <f t="shared" si="1958"/>
        <v>120.5</v>
      </c>
      <c r="K117" s="1850"/>
      <c r="L117" s="1850"/>
      <c r="M117" s="1850"/>
      <c r="N117" s="1851">
        <f t="shared" si="1959"/>
        <v>0</v>
      </c>
      <c r="O117" s="1852">
        <f t="shared" si="1960"/>
        <v>120.5</v>
      </c>
      <c r="P117" s="1850"/>
      <c r="Q117" s="1850"/>
      <c r="R117" s="1850"/>
      <c r="S117" s="1851">
        <f t="shared" si="1961"/>
        <v>0</v>
      </c>
      <c r="T117" s="1853">
        <f t="shared" si="1970"/>
        <v>120.5</v>
      </c>
      <c r="V117" s="1179" t="s">
        <v>204</v>
      </c>
      <c r="W117" s="1850">
        <f>5+16+11</f>
        <v>32</v>
      </c>
      <c r="X117" s="1850">
        <v>34</v>
      </c>
      <c r="Y117" s="1850"/>
      <c r="Z117" s="1851">
        <f t="shared" si="1963"/>
        <v>66</v>
      </c>
      <c r="AA117" s="1850"/>
      <c r="AB117" s="1850"/>
      <c r="AC117" s="1850"/>
      <c r="AD117" s="1851">
        <f t="shared" si="1964"/>
        <v>0</v>
      </c>
      <c r="AE117" s="1852">
        <f t="shared" si="1965"/>
        <v>66</v>
      </c>
      <c r="AF117" s="1850"/>
      <c r="AG117" s="1850"/>
      <c r="AH117" s="1850"/>
      <c r="AI117" s="1851">
        <f t="shared" si="1966"/>
        <v>0</v>
      </c>
      <c r="AJ117" s="1852">
        <f t="shared" si="1967"/>
        <v>66</v>
      </c>
      <c r="AK117" s="1850"/>
      <c r="AL117" s="1850"/>
      <c r="AM117" s="1850"/>
      <c r="AN117" s="1851">
        <f t="shared" si="1968"/>
        <v>0</v>
      </c>
      <c r="AO117" s="1853">
        <f t="shared" si="1971"/>
        <v>66</v>
      </c>
      <c r="AQ117" s="1856"/>
    </row>
    <row r="118">
      <c r="A118" s="1179" t="s">
        <v>562</v>
      </c>
      <c r="B118" s="1850">
        <f>116.5+30.5+14.5</f>
        <v>161.5</v>
      </c>
      <c r="C118" s="1850">
        <f>96+40.5</f>
        <v>136.5</v>
      </c>
      <c r="D118" s="1850"/>
      <c r="E118" s="1851">
        <f t="shared" si="1956"/>
        <v>298</v>
      </c>
      <c r="F118" s="1850"/>
      <c r="G118" s="1850"/>
      <c r="H118" s="1850"/>
      <c r="I118" s="1851">
        <f t="shared" si="1957"/>
        <v>0</v>
      </c>
      <c r="J118" s="1852">
        <f t="shared" si="1958"/>
        <v>298</v>
      </c>
      <c r="K118" s="1850"/>
      <c r="L118" s="1850"/>
      <c r="M118" s="1850"/>
      <c r="N118" s="1851">
        <f t="shared" si="1959"/>
        <v>0</v>
      </c>
      <c r="O118" s="1852">
        <f t="shared" si="1960"/>
        <v>298</v>
      </c>
      <c r="P118" s="1850"/>
      <c r="Q118" s="1850"/>
      <c r="R118" s="1850"/>
      <c r="S118" s="1851">
        <f t="shared" si="1961"/>
        <v>0</v>
      </c>
      <c r="T118" s="1853">
        <f t="shared" si="1970"/>
        <v>298</v>
      </c>
      <c r="V118" s="1179" t="s">
        <v>563</v>
      </c>
      <c r="W118" s="1850">
        <f>23+30+6</f>
        <v>59</v>
      </c>
      <c r="X118" s="1850">
        <f>56+9</f>
        <v>65</v>
      </c>
      <c r="Y118" s="1850"/>
      <c r="Z118" s="1851">
        <f t="shared" si="1963"/>
        <v>124</v>
      </c>
      <c r="AA118" s="1850"/>
      <c r="AB118" s="1850"/>
      <c r="AC118" s="1850"/>
      <c r="AD118" s="1851">
        <f t="shared" si="1964"/>
        <v>0</v>
      </c>
      <c r="AE118" s="1852">
        <f t="shared" si="1965"/>
        <v>124</v>
      </c>
      <c r="AF118" s="1850"/>
      <c r="AG118" s="1850"/>
      <c r="AH118" s="1850"/>
      <c r="AI118" s="1851">
        <f t="shared" si="1966"/>
        <v>0</v>
      </c>
      <c r="AJ118" s="1852">
        <f t="shared" si="1967"/>
        <v>124</v>
      </c>
      <c r="AK118" s="1850"/>
      <c r="AL118" s="1850"/>
      <c r="AM118" s="1850"/>
      <c r="AN118" s="1851">
        <f t="shared" si="1968"/>
        <v>0</v>
      </c>
      <c r="AO118" s="1853">
        <f t="shared" si="1971"/>
        <v>124</v>
      </c>
      <c r="AQ118" s="1856"/>
    </row>
    <row r="119">
      <c r="A119" s="1179" t="s">
        <v>206</v>
      </c>
      <c r="B119" s="1850">
        <f>73.5+164+22+11</f>
        <v>270.5</v>
      </c>
      <c r="C119" s="1850">
        <f>382.5+134+15.5</f>
        <v>532</v>
      </c>
      <c r="D119" s="1850"/>
      <c r="E119" s="1851">
        <f t="shared" si="1956"/>
        <v>802.5</v>
      </c>
      <c r="F119" s="1850"/>
      <c r="G119" s="1850"/>
      <c r="H119" s="1850"/>
      <c r="I119" s="1851">
        <f t="shared" si="1957"/>
        <v>0</v>
      </c>
      <c r="J119" s="1852">
        <f t="shared" si="1958"/>
        <v>802.5</v>
      </c>
      <c r="K119" s="1850"/>
      <c r="L119" s="1850"/>
      <c r="M119" s="1850"/>
      <c r="N119" s="1851">
        <f t="shared" si="1959"/>
        <v>0</v>
      </c>
      <c r="O119" s="1852">
        <f t="shared" si="1960"/>
        <v>802.5</v>
      </c>
      <c r="P119" s="1850"/>
      <c r="Q119" s="1850"/>
      <c r="R119" s="1850"/>
      <c r="S119" s="1851">
        <f t="shared" si="1961"/>
        <v>0</v>
      </c>
      <c r="T119" s="1853">
        <f t="shared" si="1970"/>
        <v>802.5</v>
      </c>
      <c r="V119" s="1179" t="s">
        <v>206</v>
      </c>
      <c r="W119" s="1850">
        <f>12+94+11+1</f>
        <v>118</v>
      </c>
      <c r="X119" s="1850">
        <f>250+24+2</f>
        <v>276</v>
      </c>
      <c r="Y119" s="1850"/>
      <c r="Z119" s="1851">
        <f t="shared" si="1963"/>
        <v>394</v>
      </c>
      <c r="AA119" s="1850"/>
      <c r="AB119" s="1850"/>
      <c r="AC119" s="1850"/>
      <c r="AD119" s="1851">
        <f t="shared" si="1964"/>
        <v>0</v>
      </c>
      <c r="AE119" s="1852">
        <f t="shared" si="1965"/>
        <v>394</v>
      </c>
      <c r="AF119" s="1850"/>
      <c r="AG119" s="1850"/>
      <c r="AH119" s="1850"/>
      <c r="AI119" s="1851">
        <f t="shared" si="1966"/>
        <v>0</v>
      </c>
      <c r="AJ119" s="1852">
        <f t="shared" si="1967"/>
        <v>394</v>
      </c>
      <c r="AK119" s="1850"/>
      <c r="AL119" s="1850"/>
      <c r="AM119" s="1850"/>
      <c r="AN119" s="1851">
        <f t="shared" si="1968"/>
        <v>0</v>
      </c>
      <c r="AO119" s="1853">
        <f t="shared" si="1971"/>
        <v>394</v>
      </c>
      <c r="AQ119" s="1856"/>
    </row>
    <row r="120">
      <c r="A120" s="1179" t="s">
        <v>564</v>
      </c>
      <c r="B120" s="1850">
        <f>270+15+9+73</f>
        <v>367</v>
      </c>
      <c r="C120" s="1850">
        <f>140+380.5+71</f>
        <v>591.5</v>
      </c>
      <c r="D120" s="1850"/>
      <c r="E120" s="1851">
        <f t="shared" si="1956"/>
        <v>958.5</v>
      </c>
      <c r="F120" s="1850"/>
      <c r="G120" s="1850"/>
      <c r="H120" s="1850"/>
      <c r="I120" s="1851">
        <f t="shared" si="1957"/>
        <v>0</v>
      </c>
      <c r="J120" s="1852">
        <f t="shared" si="1958"/>
        <v>958.5</v>
      </c>
      <c r="K120" s="1850"/>
      <c r="L120" s="1850"/>
      <c r="M120" s="1850"/>
      <c r="N120" s="1851">
        <f t="shared" si="1959"/>
        <v>0</v>
      </c>
      <c r="O120" s="1852">
        <f t="shared" si="1960"/>
        <v>958.5</v>
      </c>
      <c r="P120" s="1850"/>
      <c r="Q120" s="1850"/>
      <c r="R120" s="1850"/>
      <c r="S120" s="1851">
        <f t="shared" si="1961"/>
        <v>0</v>
      </c>
      <c r="T120" s="1853">
        <f t="shared" si="1970"/>
        <v>958.5</v>
      </c>
      <c r="V120" s="1179" t="s">
        <v>564</v>
      </c>
      <c r="W120" s="1850">
        <f>60+12+3+9</f>
        <v>84</v>
      </c>
      <c r="X120" s="1850">
        <f>107+73+10</f>
        <v>190</v>
      </c>
      <c r="Y120" s="1850"/>
      <c r="Z120" s="1851">
        <f t="shared" si="1963"/>
        <v>274</v>
      </c>
      <c r="AA120" s="1850"/>
      <c r="AB120" s="1850"/>
      <c r="AC120" s="1850"/>
      <c r="AD120" s="1851">
        <f t="shared" si="1964"/>
        <v>0</v>
      </c>
      <c r="AE120" s="1852">
        <f t="shared" si="1965"/>
        <v>274</v>
      </c>
      <c r="AF120" s="1850"/>
      <c r="AG120" s="1850"/>
      <c r="AH120" s="1850"/>
      <c r="AI120" s="1851">
        <f t="shared" si="1966"/>
        <v>0</v>
      </c>
      <c r="AJ120" s="1852">
        <f t="shared" si="1967"/>
        <v>274</v>
      </c>
      <c r="AK120" s="1850"/>
      <c r="AL120" s="1850"/>
      <c r="AM120" s="1850"/>
      <c r="AN120" s="1851">
        <f t="shared" si="1968"/>
        <v>0</v>
      </c>
      <c r="AO120" s="1853">
        <f t="shared" si="1971"/>
        <v>274</v>
      </c>
      <c r="AQ120" s="1856"/>
    </row>
    <row r="121">
      <c r="A121" s="1179" t="s">
        <v>209</v>
      </c>
      <c r="B121" s="1850">
        <f>38+4+58.5</f>
        <v>100.5</v>
      </c>
      <c r="C121" s="1850">
        <f>53.5+183</f>
        <v>236.5</v>
      </c>
      <c r="D121" s="1850"/>
      <c r="E121" s="1851">
        <f t="shared" si="1956"/>
        <v>337</v>
      </c>
      <c r="F121" s="1850"/>
      <c r="G121" s="1850"/>
      <c r="H121" s="1850"/>
      <c r="I121" s="1851">
        <f t="shared" si="1957"/>
        <v>0</v>
      </c>
      <c r="J121" s="1852">
        <f t="shared" si="1958"/>
        <v>337</v>
      </c>
      <c r="K121" s="1850"/>
      <c r="L121" s="1850"/>
      <c r="M121" s="1850"/>
      <c r="N121" s="1851">
        <f t="shared" si="1959"/>
        <v>0</v>
      </c>
      <c r="O121" s="1852">
        <f t="shared" si="1960"/>
        <v>337</v>
      </c>
      <c r="P121" s="1850"/>
      <c r="Q121" s="1850"/>
      <c r="R121" s="1850"/>
      <c r="S121" s="1851">
        <f t="shared" si="1961"/>
        <v>0</v>
      </c>
      <c r="T121" s="1853">
        <f t="shared" si="1970"/>
        <v>337</v>
      </c>
      <c r="V121" s="1179" t="s">
        <v>209</v>
      </c>
      <c r="W121" s="1850">
        <f>7+2+22</f>
        <v>31</v>
      </c>
      <c r="X121" s="1850">
        <f>61+9</f>
        <v>70</v>
      </c>
      <c r="Y121" s="1850"/>
      <c r="Z121" s="1851">
        <f t="shared" si="1963"/>
        <v>101</v>
      </c>
      <c r="AA121" s="1850"/>
      <c r="AB121" s="1850"/>
      <c r="AC121" s="1850"/>
      <c r="AD121" s="1851">
        <f t="shared" si="1964"/>
        <v>0</v>
      </c>
      <c r="AE121" s="1852">
        <f t="shared" si="1965"/>
        <v>101</v>
      </c>
      <c r="AF121" s="1850"/>
      <c r="AG121" s="1850"/>
      <c r="AH121" s="1850"/>
      <c r="AI121" s="1851">
        <f t="shared" si="1966"/>
        <v>0</v>
      </c>
      <c r="AJ121" s="1852">
        <f t="shared" si="1967"/>
        <v>101</v>
      </c>
      <c r="AK121" s="1850"/>
      <c r="AL121" s="1850"/>
      <c r="AM121" s="1850"/>
      <c r="AN121" s="1851">
        <f t="shared" si="1968"/>
        <v>0</v>
      </c>
      <c r="AO121" s="1853">
        <f t="shared" si="1971"/>
        <v>101</v>
      </c>
      <c r="AQ121" s="1856"/>
    </row>
    <row r="122">
      <c r="A122" s="1179" t="s">
        <v>210</v>
      </c>
      <c r="B122" s="1850">
        <f>174.5+102+108</f>
        <v>384.5</v>
      </c>
      <c r="C122" s="1850">
        <f>426.5+137+4.5</f>
        <v>568</v>
      </c>
      <c r="D122" s="1850"/>
      <c r="E122" s="1851">
        <f t="shared" si="1956"/>
        <v>952.5</v>
      </c>
      <c r="F122" s="1850"/>
      <c r="G122" s="1850"/>
      <c r="H122" s="1850"/>
      <c r="I122" s="1851">
        <f t="shared" si="1957"/>
        <v>0</v>
      </c>
      <c r="J122" s="1852">
        <f t="shared" si="1958"/>
        <v>952.5</v>
      </c>
      <c r="K122" s="1850"/>
      <c r="L122" s="1850"/>
      <c r="M122" s="1850"/>
      <c r="N122" s="1851">
        <f t="shared" si="1959"/>
        <v>0</v>
      </c>
      <c r="O122" s="1852">
        <f t="shared" si="1960"/>
        <v>952.5</v>
      </c>
      <c r="P122" s="1850"/>
      <c r="Q122" s="1850"/>
      <c r="R122" s="1850"/>
      <c r="S122" s="1851">
        <f t="shared" si="1961"/>
        <v>0</v>
      </c>
      <c r="T122" s="1853">
        <f t="shared" si="1970"/>
        <v>952.5</v>
      </c>
      <c r="V122" s="1179" t="s">
        <v>210</v>
      </c>
      <c r="W122" s="1850">
        <f>33+82+84</f>
        <v>199</v>
      </c>
      <c r="X122" s="1850">
        <f>301+29+1</f>
        <v>331</v>
      </c>
      <c r="Y122" s="1850"/>
      <c r="Z122" s="1851">
        <f t="shared" si="1963"/>
        <v>530</v>
      </c>
      <c r="AA122" s="1850"/>
      <c r="AB122" s="1850"/>
      <c r="AC122" s="1850"/>
      <c r="AD122" s="1851">
        <f t="shared" si="1964"/>
        <v>0</v>
      </c>
      <c r="AE122" s="1852">
        <f t="shared" si="1965"/>
        <v>530</v>
      </c>
      <c r="AF122" s="1850"/>
      <c r="AG122" s="1850"/>
      <c r="AH122" s="1850"/>
      <c r="AI122" s="1851">
        <f t="shared" si="1966"/>
        <v>0</v>
      </c>
      <c r="AJ122" s="1852">
        <f t="shared" si="1967"/>
        <v>530</v>
      </c>
      <c r="AK122" s="1850"/>
      <c r="AL122" s="1850"/>
      <c r="AM122" s="1850"/>
      <c r="AN122" s="1851">
        <f t="shared" si="1968"/>
        <v>0</v>
      </c>
      <c r="AO122" s="1853">
        <f t="shared" si="1971"/>
        <v>530</v>
      </c>
      <c r="AQ122" s="1856"/>
    </row>
    <row r="123">
      <c r="A123" s="1179" t="s">
        <v>211</v>
      </c>
      <c r="B123" s="1850">
        <f>15.5+20.5+2.5</f>
        <v>38.5</v>
      </c>
      <c r="C123" s="1850">
        <f>24+27+4.5</f>
        <v>55.5</v>
      </c>
      <c r="D123" s="1850"/>
      <c r="E123" s="1851">
        <f t="shared" si="1956"/>
        <v>94</v>
      </c>
      <c r="F123" s="1850"/>
      <c r="G123" s="1850"/>
      <c r="H123" s="1850"/>
      <c r="I123" s="1851">
        <f t="shared" si="1957"/>
        <v>0</v>
      </c>
      <c r="J123" s="1852">
        <f t="shared" si="1958"/>
        <v>94</v>
      </c>
      <c r="K123" s="1850"/>
      <c r="L123" s="1850"/>
      <c r="M123" s="1850"/>
      <c r="N123" s="1851">
        <f t="shared" si="1959"/>
        <v>0</v>
      </c>
      <c r="O123" s="1852">
        <f t="shared" si="1960"/>
        <v>94</v>
      </c>
      <c r="P123" s="1850"/>
      <c r="Q123" s="1850"/>
      <c r="R123" s="1850"/>
      <c r="S123" s="1851">
        <f t="shared" si="1961"/>
        <v>0</v>
      </c>
      <c r="T123" s="1853">
        <f t="shared" si="1970"/>
        <v>94</v>
      </c>
      <c r="V123" s="1179" t="s">
        <v>211</v>
      </c>
      <c r="W123" s="1850">
        <f>2+16+2</f>
        <v>20</v>
      </c>
      <c r="X123" s="1850">
        <f>20+6+1</f>
        <v>27</v>
      </c>
      <c r="Y123" s="1850"/>
      <c r="Z123" s="1851">
        <f t="shared" si="1963"/>
        <v>47</v>
      </c>
      <c r="AA123" s="1850"/>
      <c r="AB123" s="1850"/>
      <c r="AC123" s="1850"/>
      <c r="AD123" s="1851">
        <f t="shared" si="1964"/>
        <v>0</v>
      </c>
      <c r="AE123" s="1852">
        <f t="shared" si="1965"/>
        <v>47</v>
      </c>
      <c r="AF123" s="1850"/>
      <c r="AG123" s="1850"/>
      <c r="AH123" s="1850"/>
      <c r="AI123" s="1851">
        <f t="shared" si="1966"/>
        <v>0</v>
      </c>
      <c r="AJ123" s="1852">
        <f t="shared" si="1967"/>
        <v>47</v>
      </c>
      <c r="AK123" s="1850"/>
      <c r="AL123" s="1850"/>
      <c r="AM123" s="1850"/>
      <c r="AN123" s="1851">
        <f t="shared" si="1968"/>
        <v>0</v>
      </c>
      <c r="AO123" s="1853">
        <f t="shared" si="1971"/>
        <v>47</v>
      </c>
      <c r="AQ123" s="1856"/>
    </row>
    <row r="124" s="1510" customFormat="1">
      <c r="A124" s="1511" t="s">
        <v>363</v>
      </c>
      <c r="B124" s="1858">
        <f>SUM(B111:B123)</f>
        <v>2197.5</v>
      </c>
      <c r="C124" s="1858">
        <f>SUM(C111:C123)</f>
        <v>3757</v>
      </c>
      <c r="D124" s="1858">
        <f>SUM(D111:D123)</f>
        <v>0</v>
      </c>
      <c r="E124" s="1851">
        <f t="shared" si="1956"/>
        <v>5954.5</v>
      </c>
      <c r="F124" s="1858">
        <f>SUM(F111:F123)</f>
        <v>0</v>
      </c>
      <c r="G124" s="1858">
        <f>SUM(G111:G123)</f>
        <v>0</v>
      </c>
      <c r="H124" s="1858">
        <f>SUM(H111:H123)</f>
        <v>0</v>
      </c>
      <c r="I124" s="1859">
        <f t="shared" si="1957"/>
        <v>0</v>
      </c>
      <c r="J124" s="1860">
        <f t="shared" si="1958"/>
        <v>5954.5</v>
      </c>
      <c r="K124" s="1858">
        <f>SUM(K111:K123)</f>
        <v>0</v>
      </c>
      <c r="L124" s="1858">
        <f>SUM(L111:L123)</f>
        <v>0</v>
      </c>
      <c r="M124" s="1858">
        <f>SUM(M111:M123)</f>
        <v>0</v>
      </c>
      <c r="N124" s="1859">
        <f t="shared" si="1959"/>
        <v>0</v>
      </c>
      <c r="O124" s="1860">
        <f t="shared" si="1960"/>
        <v>5954.5</v>
      </c>
      <c r="P124" s="1858">
        <f>SUM(P111:P123)</f>
        <v>0</v>
      </c>
      <c r="Q124" s="1858">
        <f>SUM(Q111:Q123)</f>
        <v>0</v>
      </c>
      <c r="R124" s="1858">
        <f>SUM(R111:R123)</f>
        <v>0</v>
      </c>
      <c r="S124" s="1859">
        <f t="shared" si="1961"/>
        <v>0</v>
      </c>
      <c r="T124" s="1861">
        <f>SUM(T111:T123)</f>
        <v>5954.5</v>
      </c>
      <c r="U124" s="1515"/>
      <c r="V124" s="1511" t="s">
        <v>363</v>
      </c>
      <c r="W124" s="1858">
        <f>SUM(W111:W123)</f>
        <v>873</v>
      </c>
      <c r="X124" s="1858">
        <f>SUM(X111:X123)</f>
        <v>1694</v>
      </c>
      <c r="Y124" s="1858">
        <f>SUM(Y111:Y123)</f>
        <v>0</v>
      </c>
      <c r="Z124" s="1851">
        <f t="shared" si="1963"/>
        <v>2567</v>
      </c>
      <c r="AA124" s="1858">
        <f>SUM(AA111:AA123)</f>
        <v>0</v>
      </c>
      <c r="AB124" s="1858">
        <f>SUM(AB111:AB123)</f>
        <v>0</v>
      </c>
      <c r="AC124" s="1858">
        <f>SUM(AC111:AC123)</f>
        <v>0</v>
      </c>
      <c r="AD124" s="1859">
        <f t="shared" si="1964"/>
        <v>0</v>
      </c>
      <c r="AE124" s="1860">
        <f t="shared" si="1965"/>
        <v>2567</v>
      </c>
      <c r="AF124" s="1858">
        <f>SUM(AF111:AF123)</f>
        <v>0</v>
      </c>
      <c r="AG124" s="1858">
        <f>SUM(AG111:AG123)</f>
        <v>0</v>
      </c>
      <c r="AH124" s="1858">
        <f>SUM(AH111:AH123)</f>
        <v>0</v>
      </c>
      <c r="AI124" s="1859">
        <f t="shared" si="1966"/>
        <v>0</v>
      </c>
      <c r="AJ124" s="1860">
        <f t="shared" si="1967"/>
        <v>2567</v>
      </c>
      <c r="AK124" s="1858">
        <f>SUM(AK111:AK123)</f>
        <v>0</v>
      </c>
      <c r="AL124" s="1858">
        <f>SUM(AL111:AL123)</f>
        <v>0</v>
      </c>
      <c r="AM124" s="1858">
        <f>SUM(AM111:AM123)</f>
        <v>0</v>
      </c>
      <c r="AN124" s="1859">
        <f t="shared" si="1968"/>
        <v>0</v>
      </c>
      <c r="AO124" s="1861">
        <f>SUM(AO111:AO123)</f>
        <v>2567</v>
      </c>
      <c r="AP124" s="1515"/>
      <c r="AQ124" s="1862"/>
      <c r="AR124" s="1515"/>
      <c r="AS124" s="1515"/>
      <c r="AT124" s="1515"/>
      <c r="AU124" s="1515"/>
      <c r="AV124" s="1515"/>
      <c r="AW124" s="1515"/>
      <c r="AX124" s="1515"/>
      <c r="AY124" s="1515"/>
      <c r="AZ124" s="1515"/>
    </row>
    <row r="125">
      <c r="A125" s="1179" t="s">
        <v>379</v>
      </c>
      <c r="B125" s="1850"/>
      <c r="C125" s="1850"/>
      <c r="D125" s="1850"/>
      <c r="E125" s="1851">
        <f t="shared" si="1956"/>
        <v>0</v>
      </c>
      <c r="F125" s="1850"/>
      <c r="G125" s="1850"/>
      <c r="H125" s="1850"/>
      <c r="I125" s="1851">
        <f t="shared" si="1957"/>
        <v>0</v>
      </c>
      <c r="J125" s="1852">
        <f t="shared" si="1958"/>
        <v>0</v>
      </c>
      <c r="K125" s="1850"/>
      <c r="L125" s="1850"/>
      <c r="M125" s="1850"/>
      <c r="N125" s="1851">
        <f t="shared" si="1959"/>
        <v>0</v>
      </c>
      <c r="O125" s="1852">
        <f t="shared" si="1960"/>
        <v>0</v>
      </c>
      <c r="P125" s="1850"/>
      <c r="Q125" s="1850"/>
      <c r="R125" s="1850"/>
      <c r="S125" s="1851">
        <f t="shared" si="1961"/>
        <v>0</v>
      </c>
      <c r="T125" s="1853">
        <f t="shared" si="1970"/>
        <v>0</v>
      </c>
      <c r="V125" s="1179" t="s">
        <v>379</v>
      </c>
      <c r="W125" s="1850"/>
      <c r="X125" s="1850"/>
      <c r="Y125" s="1850"/>
      <c r="Z125" s="1851">
        <f t="shared" si="1963"/>
        <v>0</v>
      </c>
      <c r="AA125" s="1850"/>
      <c r="AB125" s="1850"/>
      <c r="AC125" s="1850"/>
      <c r="AD125" s="1851">
        <f t="shared" si="1964"/>
        <v>0</v>
      </c>
      <c r="AE125" s="1852">
        <f t="shared" si="1965"/>
        <v>0</v>
      </c>
      <c r="AF125" s="1850"/>
      <c r="AG125" s="1850"/>
      <c r="AH125" s="1850"/>
      <c r="AI125" s="1851">
        <f t="shared" si="1966"/>
        <v>0</v>
      </c>
      <c r="AJ125" s="1852">
        <f t="shared" si="1967"/>
        <v>0</v>
      </c>
      <c r="AK125" s="1850"/>
      <c r="AL125" s="1850"/>
      <c r="AM125" s="1850"/>
      <c r="AN125" s="1851">
        <f t="shared" si="1968"/>
        <v>0</v>
      </c>
      <c r="AO125" s="1853">
        <f t="shared" ref="AO125:AO127" si="1972">AN125+AJ125</f>
        <v>0</v>
      </c>
      <c r="AQ125" s="1856"/>
    </row>
    <row r="126">
      <c r="A126" s="1561" t="s">
        <v>525</v>
      </c>
      <c r="B126" s="1850"/>
      <c r="C126" s="1850"/>
      <c r="D126" s="1850"/>
      <c r="E126" s="1851">
        <f t="shared" si="1956"/>
        <v>0</v>
      </c>
      <c r="F126" s="1850"/>
      <c r="G126" s="1850"/>
      <c r="H126" s="1850"/>
      <c r="I126" s="1851">
        <f t="shared" si="1957"/>
        <v>0</v>
      </c>
      <c r="J126" s="1852">
        <f t="shared" si="1958"/>
        <v>0</v>
      </c>
      <c r="K126" s="1850"/>
      <c r="L126" s="1850"/>
      <c r="M126" s="1850"/>
      <c r="N126" s="1851">
        <f t="shared" si="1959"/>
        <v>0</v>
      </c>
      <c r="O126" s="1852">
        <f t="shared" si="1960"/>
        <v>0</v>
      </c>
      <c r="P126" s="1850"/>
      <c r="Q126" s="1850"/>
      <c r="R126" s="1850"/>
      <c r="S126" s="1851">
        <f t="shared" si="1961"/>
        <v>0</v>
      </c>
      <c r="T126" s="1853">
        <f t="shared" si="1970"/>
        <v>0</v>
      </c>
      <c r="V126" s="1561" t="s">
        <v>525</v>
      </c>
      <c r="W126" s="1850"/>
      <c r="X126" s="1850"/>
      <c r="Y126" s="1850"/>
      <c r="Z126" s="1851">
        <f t="shared" si="1963"/>
        <v>0</v>
      </c>
      <c r="AA126" s="1850"/>
      <c r="AB126" s="1850"/>
      <c r="AC126" s="1850"/>
      <c r="AD126" s="1851">
        <f t="shared" si="1964"/>
        <v>0</v>
      </c>
      <c r="AE126" s="1852">
        <f t="shared" si="1965"/>
        <v>0</v>
      </c>
      <c r="AF126" s="1850"/>
      <c r="AG126" s="1850"/>
      <c r="AH126" s="1850"/>
      <c r="AI126" s="1851">
        <f t="shared" si="1966"/>
        <v>0</v>
      </c>
      <c r="AJ126" s="1852">
        <f t="shared" si="1967"/>
        <v>0</v>
      </c>
      <c r="AK126" s="1850"/>
      <c r="AL126" s="1850"/>
      <c r="AM126" s="1850"/>
      <c r="AN126" s="1851">
        <f t="shared" si="1968"/>
        <v>0</v>
      </c>
      <c r="AO126" s="1853">
        <f t="shared" si="1972"/>
        <v>0</v>
      </c>
      <c r="AQ126" s="1856"/>
    </row>
    <row r="127">
      <c r="A127" s="1551" t="s">
        <v>543</v>
      </c>
      <c r="B127" s="1850"/>
      <c r="C127" s="1850"/>
      <c r="D127" s="1850"/>
      <c r="E127" s="1851">
        <f t="shared" si="1956"/>
        <v>0</v>
      </c>
      <c r="F127" s="1850"/>
      <c r="G127" s="1850"/>
      <c r="H127" s="1850"/>
      <c r="I127" s="1851">
        <f t="shared" si="1957"/>
        <v>0</v>
      </c>
      <c r="J127" s="1852">
        <f t="shared" si="1958"/>
        <v>0</v>
      </c>
      <c r="K127" s="1850"/>
      <c r="L127" s="1850"/>
      <c r="M127" s="1850"/>
      <c r="N127" s="1851">
        <f t="shared" si="1959"/>
        <v>0</v>
      </c>
      <c r="O127" s="1852">
        <f t="shared" si="1960"/>
        <v>0</v>
      </c>
      <c r="P127" s="1850"/>
      <c r="Q127" s="1850"/>
      <c r="R127" s="1850"/>
      <c r="S127" s="1851">
        <f t="shared" si="1961"/>
        <v>0</v>
      </c>
      <c r="T127" s="1853">
        <f t="shared" si="1970"/>
        <v>0</v>
      </c>
      <c r="V127" s="1551" t="s">
        <v>543</v>
      </c>
      <c r="W127" s="1850"/>
      <c r="X127" s="1850"/>
      <c r="Y127" s="1850"/>
      <c r="Z127" s="1851">
        <f t="shared" si="1963"/>
        <v>0</v>
      </c>
      <c r="AA127" s="1850"/>
      <c r="AB127" s="1850"/>
      <c r="AC127" s="1850"/>
      <c r="AD127" s="1851">
        <f t="shared" si="1964"/>
        <v>0</v>
      </c>
      <c r="AE127" s="1852">
        <f t="shared" si="1965"/>
        <v>0</v>
      </c>
      <c r="AF127" s="1850"/>
      <c r="AG127" s="1850"/>
      <c r="AH127" s="1850"/>
      <c r="AI127" s="1851">
        <f t="shared" si="1966"/>
        <v>0</v>
      </c>
      <c r="AJ127" s="1852">
        <f t="shared" si="1967"/>
        <v>0</v>
      </c>
      <c r="AK127" s="1850"/>
      <c r="AL127" s="1850"/>
      <c r="AM127" s="1850"/>
      <c r="AN127" s="1851">
        <f t="shared" si="1968"/>
        <v>0</v>
      </c>
      <c r="AO127" s="1853">
        <f t="shared" si="1972"/>
        <v>0</v>
      </c>
      <c r="AQ127" s="1856"/>
    </row>
    <row r="128" s="1510" customFormat="1">
      <c r="A128" s="1511" t="s">
        <v>544</v>
      </c>
      <c r="B128" s="1858">
        <f>SUM(B125:B127)</f>
        <v>0</v>
      </c>
      <c r="C128" s="1858">
        <f>SUM(C125:C127)</f>
        <v>0</v>
      </c>
      <c r="D128" s="1858">
        <f>SUM(D125:D127)</f>
        <v>0</v>
      </c>
      <c r="E128" s="1851">
        <f t="shared" si="1956"/>
        <v>0</v>
      </c>
      <c r="F128" s="1858">
        <f>SUM(F125:F127)</f>
        <v>0</v>
      </c>
      <c r="G128" s="1858">
        <f>SUM(G125:G127)</f>
        <v>0</v>
      </c>
      <c r="H128" s="1858">
        <f>SUM(H125:H127)</f>
        <v>0</v>
      </c>
      <c r="I128" s="1859">
        <f t="shared" si="1957"/>
        <v>0</v>
      </c>
      <c r="J128" s="1860">
        <f t="shared" si="1958"/>
        <v>0</v>
      </c>
      <c r="K128" s="1858">
        <f>SUM(K125:K127)</f>
        <v>0</v>
      </c>
      <c r="L128" s="1858">
        <f>SUM(L125:L127)</f>
        <v>0</v>
      </c>
      <c r="M128" s="1858">
        <f>SUM(M125:M127)</f>
        <v>0</v>
      </c>
      <c r="N128" s="1859">
        <f t="shared" si="1959"/>
        <v>0</v>
      </c>
      <c r="O128" s="1860">
        <f t="shared" si="1960"/>
        <v>0</v>
      </c>
      <c r="P128" s="1858">
        <f>SUM(P125:P127)</f>
        <v>0</v>
      </c>
      <c r="Q128" s="1858">
        <f>SUM(Q125:Q127)</f>
        <v>0</v>
      </c>
      <c r="R128" s="1858">
        <f>SUM(R125:R127)</f>
        <v>0</v>
      </c>
      <c r="S128" s="1859">
        <f t="shared" si="1961"/>
        <v>0</v>
      </c>
      <c r="T128" s="1861">
        <f>SUM(T125:T127)</f>
        <v>0</v>
      </c>
      <c r="U128" s="1515"/>
      <c r="V128" s="1511" t="s">
        <v>544</v>
      </c>
      <c r="W128" s="1858">
        <f>SUM(W125:W127)</f>
        <v>0</v>
      </c>
      <c r="X128" s="1858">
        <f>SUM(X125:X127)</f>
        <v>0</v>
      </c>
      <c r="Y128" s="1858">
        <f>SUM(Y125:Y127)</f>
        <v>0</v>
      </c>
      <c r="Z128" s="1851">
        <f t="shared" si="1963"/>
        <v>0</v>
      </c>
      <c r="AA128" s="1858">
        <v>0</v>
      </c>
      <c r="AB128" s="1858">
        <f>SUM(AB125:AB127)</f>
        <v>0</v>
      </c>
      <c r="AC128" s="1858">
        <f>SUM(AC125:AC127)</f>
        <v>0</v>
      </c>
      <c r="AD128" s="1859">
        <f t="shared" si="1964"/>
        <v>0</v>
      </c>
      <c r="AE128" s="1860">
        <f t="shared" si="1965"/>
        <v>0</v>
      </c>
      <c r="AF128" s="1858">
        <f>SUM(AF125:AF127)</f>
        <v>0</v>
      </c>
      <c r="AG128" s="1858">
        <f>SUM(AG125:AG127)</f>
        <v>0</v>
      </c>
      <c r="AH128" s="1858">
        <f>SUM(AH125:AH127)</f>
        <v>0</v>
      </c>
      <c r="AI128" s="1859">
        <f t="shared" si="1966"/>
        <v>0</v>
      </c>
      <c r="AJ128" s="1860">
        <f t="shared" si="1967"/>
        <v>0</v>
      </c>
      <c r="AK128" s="1858">
        <f>SUM(AK125:AK127)</f>
        <v>0</v>
      </c>
      <c r="AL128" s="1858">
        <f>SUM(AL125:AL127)</f>
        <v>0</v>
      </c>
      <c r="AM128" s="1858">
        <f>SUM(AM125:AM127)</f>
        <v>0</v>
      </c>
      <c r="AN128" s="1859">
        <f t="shared" si="1968"/>
        <v>0</v>
      </c>
      <c r="AO128" s="1861">
        <f>SUM(AO125:AO127)</f>
        <v>0</v>
      </c>
      <c r="AP128" s="1515"/>
      <c r="AQ128" s="1862"/>
      <c r="AR128" s="1515"/>
      <c r="AS128" s="1515"/>
      <c r="AT128" s="1515"/>
      <c r="AU128" s="1515"/>
      <c r="AV128" s="1515"/>
      <c r="AW128" s="1515"/>
      <c r="AX128" s="1515"/>
      <c r="AY128" s="1515"/>
      <c r="AZ128" s="1515"/>
    </row>
    <row r="129">
      <c r="A129" s="1179" t="s">
        <v>390</v>
      </c>
      <c r="B129" s="1850">
        <f>219.5+50.5+203+31.5</f>
        <v>504.5</v>
      </c>
      <c r="C129" s="1850">
        <f>382.5+183.5</f>
        <v>566</v>
      </c>
      <c r="D129" s="1850"/>
      <c r="E129" s="1851">
        <f t="shared" si="1956"/>
        <v>1070.5</v>
      </c>
      <c r="F129" s="1850"/>
      <c r="G129" s="1850"/>
      <c r="H129" s="1850"/>
      <c r="I129" s="1851">
        <f t="shared" si="1957"/>
        <v>0</v>
      </c>
      <c r="J129" s="1852">
        <f t="shared" si="1958"/>
        <v>1070.5</v>
      </c>
      <c r="K129" s="1850"/>
      <c r="L129" s="1850"/>
      <c r="M129" s="1850"/>
      <c r="N129" s="1851">
        <f t="shared" si="1959"/>
        <v>0</v>
      </c>
      <c r="O129" s="1852">
        <f t="shared" si="1960"/>
        <v>1070.5</v>
      </c>
      <c r="P129" s="1850"/>
      <c r="Q129" s="1850"/>
      <c r="R129" s="1850"/>
      <c r="S129" s="1851">
        <f t="shared" si="1961"/>
        <v>0</v>
      </c>
      <c r="T129" s="1853">
        <f t="shared" ref="T129:T131" si="1973">S129+O129</f>
        <v>1070.5</v>
      </c>
      <c r="U129" s="1863"/>
      <c r="V129" s="1179" t="s">
        <v>390</v>
      </c>
      <c r="W129" s="1850">
        <f>43+44+153+7</f>
        <v>247</v>
      </c>
      <c r="X129" s="1850">
        <f>288+22</f>
        <v>310</v>
      </c>
      <c r="Y129" s="1850"/>
      <c r="Z129" s="1851">
        <f t="shared" si="1963"/>
        <v>557</v>
      </c>
      <c r="AA129" s="1850"/>
      <c r="AB129" s="1850"/>
      <c r="AC129" s="1850"/>
      <c r="AD129" s="1851">
        <f t="shared" si="1964"/>
        <v>0</v>
      </c>
      <c r="AE129" s="1852">
        <f t="shared" si="1965"/>
        <v>557</v>
      </c>
      <c r="AF129" s="1850"/>
      <c r="AG129" s="1850"/>
      <c r="AH129" s="1850"/>
      <c r="AI129" s="1851">
        <f t="shared" si="1966"/>
        <v>0</v>
      </c>
      <c r="AJ129" s="1852">
        <f t="shared" si="1967"/>
        <v>557</v>
      </c>
      <c r="AK129" s="1850"/>
      <c r="AL129" s="1850"/>
      <c r="AM129" s="1850"/>
      <c r="AN129" s="1851">
        <f t="shared" si="1968"/>
        <v>0</v>
      </c>
      <c r="AO129" s="1853">
        <f t="shared" ref="AO129:AO131" si="1974">AN129+AJ129</f>
        <v>557</v>
      </c>
      <c r="AQ129" s="1856"/>
    </row>
    <row r="130">
      <c r="A130" s="1179" t="s">
        <v>392</v>
      </c>
      <c r="B130" s="1850">
        <f>490+27+22+420.5</f>
        <v>959.5</v>
      </c>
      <c r="C130" s="1850">
        <f>173+472+422</f>
        <v>1067</v>
      </c>
      <c r="D130" s="1850"/>
      <c r="E130" s="1851">
        <f t="shared" si="1956"/>
        <v>2026.5</v>
      </c>
      <c r="F130" s="1850"/>
      <c r="G130" s="1850"/>
      <c r="H130" s="1850"/>
      <c r="I130" s="1851">
        <f t="shared" si="1957"/>
        <v>0</v>
      </c>
      <c r="J130" s="1852">
        <f t="shared" si="1958"/>
        <v>2026.5</v>
      </c>
      <c r="K130" s="1850"/>
      <c r="L130" s="1850"/>
      <c r="M130" s="1850"/>
      <c r="N130" s="1851">
        <f t="shared" si="1959"/>
        <v>0</v>
      </c>
      <c r="O130" s="1852">
        <f t="shared" si="1960"/>
        <v>2026.5</v>
      </c>
      <c r="P130" s="1850"/>
      <c r="Q130" s="1850"/>
      <c r="R130" s="1850"/>
      <c r="S130" s="1851">
        <f t="shared" si="1961"/>
        <v>0</v>
      </c>
      <c r="T130" s="1853">
        <f t="shared" si="1973"/>
        <v>2026.5</v>
      </c>
      <c r="U130" s="1863"/>
      <c r="V130" s="1179" t="s">
        <v>392</v>
      </c>
      <c r="W130" s="1850">
        <f>83+19+17+92</f>
        <v>211</v>
      </c>
      <c r="X130" s="1850">
        <f>77+89+88</f>
        <v>254</v>
      </c>
      <c r="Y130" s="1850"/>
      <c r="Z130" s="1851">
        <f t="shared" si="1963"/>
        <v>465</v>
      </c>
      <c r="AA130" s="1850"/>
      <c r="AB130" s="1850"/>
      <c r="AC130" s="1850"/>
      <c r="AD130" s="1851">
        <f t="shared" si="1964"/>
        <v>0</v>
      </c>
      <c r="AE130" s="1852">
        <f t="shared" si="1965"/>
        <v>465</v>
      </c>
      <c r="AF130" s="1850"/>
      <c r="AG130" s="1850"/>
      <c r="AH130" s="1850"/>
      <c r="AI130" s="1851">
        <f t="shared" si="1966"/>
        <v>0</v>
      </c>
      <c r="AJ130" s="1852">
        <f t="shared" si="1967"/>
        <v>465</v>
      </c>
      <c r="AK130" s="1850"/>
      <c r="AL130" s="1850"/>
      <c r="AM130" s="1850"/>
      <c r="AN130" s="1851">
        <f t="shared" si="1968"/>
        <v>0</v>
      </c>
      <c r="AO130" s="1853">
        <f t="shared" si="1974"/>
        <v>465</v>
      </c>
      <c r="AQ130" s="1856"/>
    </row>
    <row r="131">
      <c r="A131" s="1179" t="s">
        <v>265</v>
      </c>
      <c r="B131" s="1850">
        <f>386+9</f>
        <v>395</v>
      </c>
      <c r="C131" s="1850">
        <f>657+49.5</f>
        <v>706.5</v>
      </c>
      <c r="D131" s="1850"/>
      <c r="E131" s="1851">
        <f t="shared" si="1956"/>
        <v>1101.5</v>
      </c>
      <c r="F131" s="1850"/>
      <c r="G131" s="1850"/>
      <c r="H131" s="1850"/>
      <c r="I131" s="1851">
        <f t="shared" si="1957"/>
        <v>0</v>
      </c>
      <c r="J131" s="1852">
        <f t="shared" si="1958"/>
        <v>1101.5</v>
      </c>
      <c r="K131" s="1850"/>
      <c r="L131" s="1850"/>
      <c r="M131" s="1850"/>
      <c r="N131" s="1851">
        <f t="shared" si="1959"/>
        <v>0</v>
      </c>
      <c r="O131" s="1852">
        <f t="shared" si="1960"/>
        <v>1101.5</v>
      </c>
      <c r="P131" s="1850"/>
      <c r="Q131" s="1850"/>
      <c r="R131" s="1850"/>
      <c r="S131" s="1851">
        <f t="shared" si="1961"/>
        <v>0</v>
      </c>
      <c r="T131" s="1853">
        <f t="shared" si="1973"/>
        <v>1101.5</v>
      </c>
      <c r="U131" s="1863"/>
      <c r="V131" s="1179" t="s">
        <v>265</v>
      </c>
      <c r="W131" s="1850">
        <f>80+2</f>
        <v>82</v>
      </c>
      <c r="X131" s="1850">
        <f>133+11</f>
        <v>144</v>
      </c>
      <c r="Y131" s="1850"/>
      <c r="Z131" s="1851">
        <f t="shared" si="1963"/>
        <v>226</v>
      </c>
      <c r="AA131" s="1850"/>
      <c r="AB131" s="1850"/>
      <c r="AC131" s="1850"/>
      <c r="AD131" s="1851">
        <f t="shared" si="1964"/>
        <v>0</v>
      </c>
      <c r="AE131" s="1852">
        <f t="shared" si="1965"/>
        <v>226</v>
      </c>
      <c r="AF131" s="1850"/>
      <c r="AG131" s="1850"/>
      <c r="AH131" s="1850"/>
      <c r="AI131" s="1851">
        <f t="shared" si="1966"/>
        <v>0</v>
      </c>
      <c r="AJ131" s="1852">
        <f t="shared" si="1967"/>
        <v>226</v>
      </c>
      <c r="AK131" s="1850"/>
      <c r="AL131" s="1850"/>
      <c r="AM131" s="1850"/>
      <c r="AN131" s="1851">
        <f t="shared" si="1968"/>
        <v>0</v>
      </c>
      <c r="AO131" s="1853">
        <f t="shared" si="1974"/>
        <v>226</v>
      </c>
      <c r="AQ131" s="1856"/>
    </row>
    <row r="132" s="1510" customFormat="1">
      <c r="A132" s="1511" t="s">
        <v>394</v>
      </c>
      <c r="B132" s="1858">
        <f>SUM(B129:B131)</f>
        <v>1859</v>
      </c>
      <c r="C132" s="1858">
        <f>SUM(C129:C131)</f>
        <v>2339.5</v>
      </c>
      <c r="D132" s="1858">
        <f>SUM(D129:D131)</f>
        <v>0</v>
      </c>
      <c r="E132" s="1851">
        <f t="shared" si="1956"/>
        <v>4198.5</v>
      </c>
      <c r="F132" s="1858">
        <f>SUM(F129:F131)</f>
        <v>0</v>
      </c>
      <c r="G132" s="1858">
        <f>SUM(G129:G131)</f>
        <v>0</v>
      </c>
      <c r="H132" s="1858">
        <f>SUM(H129:H131)</f>
        <v>0</v>
      </c>
      <c r="I132" s="1859">
        <f t="shared" si="1957"/>
        <v>0</v>
      </c>
      <c r="J132" s="1860">
        <f t="shared" si="1958"/>
        <v>4198.5</v>
      </c>
      <c r="K132" s="1858">
        <f>SUM(K129:K131)</f>
        <v>0</v>
      </c>
      <c r="L132" s="1858">
        <f>SUM(L129:L131)</f>
        <v>0</v>
      </c>
      <c r="M132" s="1858">
        <f>SUM(M129:M131)</f>
        <v>0</v>
      </c>
      <c r="N132" s="1859">
        <f t="shared" si="1959"/>
        <v>0</v>
      </c>
      <c r="O132" s="1860">
        <f t="shared" si="1960"/>
        <v>4198.5</v>
      </c>
      <c r="P132" s="1858">
        <f>SUM(P129:P131)</f>
        <v>0</v>
      </c>
      <c r="Q132" s="1858">
        <f>SUM(Q129:Q131)</f>
        <v>0</v>
      </c>
      <c r="R132" s="1858">
        <f>SUM(R129:R131)</f>
        <v>0</v>
      </c>
      <c r="S132" s="1859">
        <f t="shared" si="1961"/>
        <v>0</v>
      </c>
      <c r="T132" s="1861">
        <f>SUM(T129:T131)</f>
        <v>4198.5</v>
      </c>
      <c r="U132" s="1863"/>
      <c r="V132" s="1511" t="s">
        <v>394</v>
      </c>
      <c r="W132" s="1858">
        <f>SUM(W129:W131)</f>
        <v>540</v>
      </c>
      <c r="X132" s="1858">
        <f>SUM(X129:X131)</f>
        <v>708</v>
      </c>
      <c r="Y132" s="1858">
        <f>SUM(Y129:Y131)</f>
        <v>0</v>
      </c>
      <c r="Z132" s="1851">
        <f t="shared" si="1963"/>
        <v>1248</v>
      </c>
      <c r="AA132" s="1858">
        <f>SUM(AA129:AA131)</f>
        <v>0</v>
      </c>
      <c r="AB132" s="1858">
        <f>SUM(AB129:AB131)</f>
        <v>0</v>
      </c>
      <c r="AC132" s="1858">
        <f>SUM(AC129:AC131)</f>
        <v>0</v>
      </c>
      <c r="AD132" s="1859">
        <f t="shared" si="1964"/>
        <v>0</v>
      </c>
      <c r="AE132" s="1860">
        <f t="shared" si="1965"/>
        <v>1248</v>
      </c>
      <c r="AF132" s="1858">
        <f>SUM(AF129:AF131)</f>
        <v>0</v>
      </c>
      <c r="AG132" s="1858">
        <f>SUM(AG129:AG131)</f>
        <v>0</v>
      </c>
      <c r="AH132" s="1858">
        <f>SUM(AH129:AH131)</f>
        <v>0</v>
      </c>
      <c r="AI132" s="1859">
        <f t="shared" si="1966"/>
        <v>0</v>
      </c>
      <c r="AJ132" s="1860">
        <f t="shared" si="1967"/>
        <v>1248</v>
      </c>
      <c r="AK132" s="1858">
        <f>SUM(AK129:AK131)</f>
        <v>0</v>
      </c>
      <c r="AL132" s="1858">
        <f>SUM(AL129:AL131)</f>
        <v>0</v>
      </c>
      <c r="AM132" s="1858">
        <f>SUM(AM129:AM131)</f>
        <v>0</v>
      </c>
      <c r="AN132" s="1859">
        <f t="shared" si="1968"/>
        <v>0</v>
      </c>
      <c r="AO132" s="1861">
        <f>SUM(AO129:AO131)</f>
        <v>1248</v>
      </c>
      <c r="AP132" s="1515"/>
      <c r="AQ132" s="1862"/>
      <c r="AR132" s="1515"/>
      <c r="AS132" s="1515"/>
      <c r="AT132" s="1515"/>
      <c r="AU132" s="1515"/>
      <c r="AV132" s="1515"/>
      <c r="AW132" s="1515"/>
      <c r="AX132" s="1515"/>
      <c r="AY132" s="1515"/>
      <c r="AZ132" s="1515"/>
    </row>
    <row r="133" s="1510" customFormat="1">
      <c r="A133" s="1511" t="s">
        <v>545</v>
      </c>
      <c r="B133" s="1858">
        <f>B110+B124+B128+B132</f>
        <v>6333.5</v>
      </c>
      <c r="C133" s="1858">
        <f>C110+C124+C128+C132</f>
        <v>9547.5</v>
      </c>
      <c r="D133" s="1858">
        <f>D110+D124+D128+D132</f>
        <v>0</v>
      </c>
      <c r="E133" s="1851">
        <f t="shared" si="1956"/>
        <v>15881</v>
      </c>
      <c r="F133" s="1858">
        <f>F110+F124+F128+F132</f>
        <v>0</v>
      </c>
      <c r="G133" s="1858">
        <f>G110+G124+G128+G132</f>
        <v>0</v>
      </c>
      <c r="H133" s="1858">
        <f>H110+H124+H128+H132</f>
        <v>0</v>
      </c>
      <c r="I133" s="1859">
        <f t="shared" si="1957"/>
        <v>0</v>
      </c>
      <c r="J133" s="1860">
        <f t="shared" si="1958"/>
        <v>15881</v>
      </c>
      <c r="K133" s="1858">
        <f>K110+K124+K128+K132</f>
        <v>0</v>
      </c>
      <c r="L133" s="1858">
        <f>L110+L124+L128+L132</f>
        <v>0</v>
      </c>
      <c r="M133" s="1858">
        <f>M110+M124+M128+M132</f>
        <v>0</v>
      </c>
      <c r="N133" s="1859">
        <f t="shared" si="1959"/>
        <v>0</v>
      </c>
      <c r="O133" s="1860">
        <f t="shared" si="1960"/>
        <v>15881</v>
      </c>
      <c r="P133" s="1858">
        <f>P110+P124+P128+P132</f>
        <v>0</v>
      </c>
      <c r="Q133" s="1858">
        <f>Q110+Q124+Q128+Q132</f>
        <v>0</v>
      </c>
      <c r="R133" s="1858">
        <f>R110+R124+R128+R132</f>
        <v>0</v>
      </c>
      <c r="S133" s="1859">
        <f t="shared" si="1961"/>
        <v>0</v>
      </c>
      <c r="T133" s="1861">
        <f>T132+T128+T124+T110</f>
        <v>15881</v>
      </c>
      <c r="U133" s="1515"/>
      <c r="V133" s="1511" t="s">
        <v>545</v>
      </c>
      <c r="W133" s="1858">
        <f>W110+W124+W128+W132</f>
        <v>2085</v>
      </c>
      <c r="X133" s="1858">
        <f>X110+X124+X128+X132</f>
        <v>3548</v>
      </c>
      <c r="Y133" s="1858">
        <f>Y110+Y124+Y128+Y132</f>
        <v>0</v>
      </c>
      <c r="Z133" s="1851">
        <f t="shared" si="1963"/>
        <v>5633</v>
      </c>
      <c r="AA133" s="1858">
        <f>AA110+AA124+AA128+AA132</f>
        <v>0</v>
      </c>
      <c r="AB133" s="1858">
        <f>AB110+AB124+AB128+AB132</f>
        <v>0</v>
      </c>
      <c r="AC133" s="1858">
        <f>AC110+AC124+AC128+AC132</f>
        <v>0</v>
      </c>
      <c r="AD133" s="1859">
        <f t="shared" si="1964"/>
        <v>0</v>
      </c>
      <c r="AE133" s="1860">
        <f t="shared" si="1965"/>
        <v>5633</v>
      </c>
      <c r="AF133" s="1858">
        <f>AF110+AF124+AF128+AF132</f>
        <v>0</v>
      </c>
      <c r="AG133" s="1858">
        <f>AG110+AG124+AG128+AG132</f>
        <v>0</v>
      </c>
      <c r="AH133" s="1858">
        <f>AH110+AH124+AH128+AH132</f>
        <v>0</v>
      </c>
      <c r="AI133" s="1859">
        <f t="shared" si="1966"/>
        <v>0</v>
      </c>
      <c r="AJ133" s="1860">
        <f t="shared" si="1967"/>
        <v>5633</v>
      </c>
      <c r="AK133" s="1858">
        <f>AK110+AK124+AK128+AK132</f>
        <v>0</v>
      </c>
      <c r="AL133" s="1858">
        <f>AL110+AL124+AL128+AL132</f>
        <v>0</v>
      </c>
      <c r="AM133" s="1858">
        <f>AM110+AM124+AM128+AM132</f>
        <v>0</v>
      </c>
      <c r="AN133" s="1859">
        <f t="shared" si="1968"/>
        <v>0</v>
      </c>
      <c r="AO133" s="1861">
        <f>AO132+AO128+AO124+AO110</f>
        <v>5633</v>
      </c>
      <c r="AP133" s="1515"/>
      <c r="AQ133" s="1862"/>
      <c r="AR133" s="1515"/>
      <c r="AS133" s="1515"/>
      <c r="AT133" s="1515"/>
      <c r="AU133" s="1515"/>
      <c r="AV133" s="1515"/>
      <c r="AW133" s="1515"/>
      <c r="AX133" s="1515"/>
      <c r="AY133" s="1515"/>
      <c r="AZ133" s="1515"/>
    </row>
    <row r="134">
      <c r="A134" s="1179" t="s">
        <v>50</v>
      </c>
      <c r="B134" s="1850">
        <f>361+9</f>
        <v>370</v>
      </c>
      <c r="C134" s="1850">
        <v>325</v>
      </c>
      <c r="D134" s="1850"/>
      <c r="E134" s="1851">
        <f t="shared" si="1956"/>
        <v>695</v>
      </c>
      <c r="F134" s="1850"/>
      <c r="G134" s="1850"/>
      <c r="H134" s="1850"/>
      <c r="I134" s="1851">
        <f t="shared" si="1957"/>
        <v>0</v>
      </c>
      <c r="J134" s="1852">
        <f t="shared" si="1958"/>
        <v>695</v>
      </c>
      <c r="K134" s="1850"/>
      <c r="L134" s="1850"/>
      <c r="M134" s="1850"/>
      <c r="N134" s="1851">
        <f t="shared" si="1959"/>
        <v>0</v>
      </c>
      <c r="O134" s="1852">
        <f t="shared" si="1960"/>
        <v>695</v>
      </c>
      <c r="P134" s="1850"/>
      <c r="Q134" s="1850"/>
      <c r="R134" s="1850"/>
      <c r="S134" s="1851">
        <f t="shared" si="1961"/>
        <v>0</v>
      </c>
      <c r="T134" s="1853">
        <f t="shared" si="1970"/>
        <v>695</v>
      </c>
      <c r="V134" s="1179" t="s">
        <v>50</v>
      </c>
      <c r="W134" s="1850">
        <f>73+2</f>
        <v>75</v>
      </c>
      <c r="X134" s="1850">
        <v>65</v>
      </c>
      <c r="Y134" s="1850"/>
      <c r="Z134" s="1851">
        <f t="shared" si="1963"/>
        <v>140</v>
      </c>
      <c r="AA134" s="1850"/>
      <c r="AB134" s="1850"/>
      <c r="AC134" s="1850"/>
      <c r="AD134" s="1851">
        <f t="shared" si="1964"/>
        <v>0</v>
      </c>
      <c r="AE134" s="1852">
        <f t="shared" si="1965"/>
        <v>140</v>
      </c>
      <c r="AF134" s="1850"/>
      <c r="AG134" s="1850"/>
      <c r="AH134" s="1850"/>
      <c r="AI134" s="1851">
        <f t="shared" si="1966"/>
        <v>0</v>
      </c>
      <c r="AJ134" s="1852">
        <f t="shared" si="1967"/>
        <v>140</v>
      </c>
      <c r="AK134" s="1850"/>
      <c r="AL134" s="1850"/>
      <c r="AM134" s="1850"/>
      <c r="AN134" s="1851">
        <f t="shared" si="1968"/>
        <v>0</v>
      </c>
      <c r="AO134" s="1853">
        <f t="shared" ref="AO134:AO142" si="1975">AN134+AJ134</f>
        <v>140</v>
      </c>
      <c r="AQ134" s="1856"/>
    </row>
    <row r="135">
      <c r="A135" s="1179" t="s">
        <v>397</v>
      </c>
      <c r="B135" s="1850"/>
      <c r="C135" s="1850"/>
      <c r="D135" s="1850"/>
      <c r="E135" s="1851">
        <f t="shared" si="1956"/>
        <v>0</v>
      </c>
      <c r="F135" s="1850"/>
      <c r="G135" s="1850"/>
      <c r="H135" s="1850"/>
      <c r="I135" s="1851">
        <f t="shared" si="1957"/>
        <v>0</v>
      </c>
      <c r="J135" s="1852">
        <f t="shared" si="1958"/>
        <v>0</v>
      </c>
      <c r="K135" s="1850"/>
      <c r="L135" s="1850"/>
      <c r="M135" s="1850"/>
      <c r="N135" s="1851">
        <f t="shared" si="1959"/>
        <v>0</v>
      </c>
      <c r="O135" s="1852">
        <f t="shared" si="1960"/>
        <v>0</v>
      </c>
      <c r="P135" s="1850"/>
      <c r="Q135" s="1850"/>
      <c r="R135" s="1850"/>
      <c r="S135" s="1851">
        <f t="shared" si="1961"/>
        <v>0</v>
      </c>
      <c r="T135" s="1853">
        <f t="shared" si="1970"/>
        <v>0</v>
      </c>
      <c r="V135" s="1179" t="s">
        <v>397</v>
      </c>
      <c r="W135" s="1850"/>
      <c r="X135" s="1850"/>
      <c r="Y135" s="1850"/>
      <c r="Z135" s="1851">
        <f t="shared" si="1963"/>
        <v>0</v>
      </c>
      <c r="AA135" s="1850"/>
      <c r="AB135" s="1850"/>
      <c r="AC135" s="1850"/>
      <c r="AD135" s="1851">
        <f t="shared" si="1964"/>
        <v>0</v>
      </c>
      <c r="AE135" s="1852">
        <f t="shared" si="1965"/>
        <v>0</v>
      </c>
      <c r="AF135" s="1850"/>
      <c r="AG135" s="1850"/>
      <c r="AH135" s="1850"/>
      <c r="AI135" s="1851">
        <f t="shared" si="1966"/>
        <v>0</v>
      </c>
      <c r="AJ135" s="1852">
        <f t="shared" si="1967"/>
        <v>0</v>
      </c>
      <c r="AK135" s="1850"/>
      <c r="AL135" s="1850"/>
      <c r="AM135" s="1850"/>
      <c r="AN135" s="1851">
        <f t="shared" si="1968"/>
        <v>0</v>
      </c>
      <c r="AO135" s="1853">
        <f t="shared" si="1975"/>
        <v>0</v>
      </c>
      <c r="AQ135" s="1856"/>
    </row>
    <row r="136">
      <c r="A136" s="1179" t="s">
        <v>546</v>
      </c>
      <c r="B136" s="1850"/>
      <c r="C136" s="1850"/>
      <c r="D136" s="1850"/>
      <c r="E136" s="1851">
        <f t="shared" si="1956"/>
        <v>0</v>
      </c>
      <c r="F136" s="1850"/>
      <c r="G136" s="1850"/>
      <c r="H136" s="1850"/>
      <c r="I136" s="1851">
        <f t="shared" si="1957"/>
        <v>0</v>
      </c>
      <c r="J136" s="1852">
        <f t="shared" si="1958"/>
        <v>0</v>
      </c>
      <c r="K136" s="1850"/>
      <c r="L136" s="1850"/>
      <c r="M136" s="1850"/>
      <c r="N136" s="1851">
        <f t="shared" si="1959"/>
        <v>0</v>
      </c>
      <c r="O136" s="1852">
        <f t="shared" si="1960"/>
        <v>0</v>
      </c>
      <c r="P136" s="1850"/>
      <c r="Q136" s="1850"/>
      <c r="R136" s="1850"/>
      <c r="S136" s="1851">
        <f t="shared" si="1961"/>
        <v>0</v>
      </c>
      <c r="T136" s="1853">
        <f t="shared" si="1970"/>
        <v>0</v>
      </c>
      <c r="V136" s="1179" t="s">
        <v>546</v>
      </c>
      <c r="W136" s="1850"/>
      <c r="X136" s="1850"/>
      <c r="Y136" s="1850"/>
      <c r="Z136" s="1851">
        <f t="shared" si="1963"/>
        <v>0</v>
      </c>
      <c r="AA136" s="1850"/>
      <c r="AB136" s="1850"/>
      <c r="AC136" s="1850"/>
      <c r="AD136" s="1851">
        <f t="shared" si="1964"/>
        <v>0</v>
      </c>
      <c r="AE136" s="1852">
        <f t="shared" si="1965"/>
        <v>0</v>
      </c>
      <c r="AF136" s="1850"/>
      <c r="AG136" s="1850"/>
      <c r="AH136" s="1850"/>
      <c r="AI136" s="1851">
        <f t="shared" si="1966"/>
        <v>0</v>
      </c>
      <c r="AJ136" s="1852">
        <f t="shared" si="1967"/>
        <v>0</v>
      </c>
      <c r="AK136" s="1850"/>
      <c r="AL136" s="1854"/>
      <c r="AM136" s="1855"/>
      <c r="AN136" s="1851">
        <f t="shared" si="1968"/>
        <v>0</v>
      </c>
      <c r="AO136" s="1853">
        <f t="shared" si="1975"/>
        <v>0</v>
      </c>
      <c r="AQ136" s="1856"/>
    </row>
    <row r="137">
      <c r="A137" s="1179" t="s">
        <v>547</v>
      </c>
      <c r="B137" s="1850"/>
      <c r="C137" s="1850"/>
      <c r="D137" s="1850"/>
      <c r="E137" s="1851">
        <f t="shared" si="1956"/>
        <v>0</v>
      </c>
      <c r="F137" s="1850"/>
      <c r="G137" s="1850"/>
      <c r="H137" s="1850"/>
      <c r="I137" s="1851">
        <f t="shared" si="1957"/>
        <v>0</v>
      </c>
      <c r="J137" s="1852">
        <f t="shared" si="1958"/>
        <v>0</v>
      </c>
      <c r="K137" s="1850"/>
      <c r="L137" s="1850"/>
      <c r="M137" s="1850"/>
      <c r="N137" s="1851">
        <f t="shared" si="1959"/>
        <v>0</v>
      </c>
      <c r="O137" s="1852">
        <f t="shared" si="1960"/>
        <v>0</v>
      </c>
      <c r="P137" s="1850"/>
      <c r="Q137" s="1850"/>
      <c r="R137" s="1850"/>
      <c r="S137" s="1851">
        <f t="shared" si="1961"/>
        <v>0</v>
      </c>
      <c r="T137" s="1853">
        <f t="shared" si="1970"/>
        <v>0</v>
      </c>
      <c r="V137" s="1179" t="s">
        <v>547</v>
      </c>
      <c r="W137" s="1850"/>
      <c r="X137" s="1850"/>
      <c r="Y137" s="1850"/>
      <c r="Z137" s="1851">
        <f t="shared" si="1963"/>
        <v>0</v>
      </c>
      <c r="AA137" s="1850"/>
      <c r="AB137" s="1850"/>
      <c r="AC137" s="1850"/>
      <c r="AD137" s="1851">
        <f t="shared" si="1964"/>
        <v>0</v>
      </c>
      <c r="AE137" s="1852">
        <f t="shared" si="1965"/>
        <v>0</v>
      </c>
      <c r="AF137" s="1850"/>
      <c r="AG137" s="1850"/>
      <c r="AH137" s="1850"/>
      <c r="AI137" s="1851">
        <f t="shared" si="1966"/>
        <v>0</v>
      </c>
      <c r="AJ137" s="1852">
        <f t="shared" si="1967"/>
        <v>0</v>
      </c>
      <c r="AK137" s="1850"/>
      <c r="AL137" s="1854"/>
      <c r="AM137" s="1855"/>
      <c r="AN137" s="1851">
        <f t="shared" si="1968"/>
        <v>0</v>
      </c>
      <c r="AO137" s="1853">
        <f t="shared" si="1975"/>
        <v>0</v>
      </c>
      <c r="AQ137" s="1856"/>
    </row>
    <row r="138">
      <c r="A138" s="1179" t="s">
        <v>565</v>
      </c>
      <c r="B138" s="1850">
        <f>27+738.5+4.5</f>
        <v>770</v>
      </c>
      <c r="C138" s="1850">
        <f>1200+13.5+4.5</f>
        <v>1218</v>
      </c>
      <c r="D138" s="1850"/>
      <c r="E138" s="1851">
        <f t="shared" si="1956"/>
        <v>1988</v>
      </c>
      <c r="F138" s="1850"/>
      <c r="G138" s="1850"/>
      <c r="H138" s="1850"/>
      <c r="I138" s="1851">
        <f t="shared" si="1957"/>
        <v>0</v>
      </c>
      <c r="J138" s="1852">
        <f t="shared" si="1958"/>
        <v>1988</v>
      </c>
      <c r="K138" s="1850"/>
      <c r="L138" s="1850"/>
      <c r="M138" s="1850"/>
      <c r="N138" s="1851">
        <f t="shared" si="1959"/>
        <v>0</v>
      </c>
      <c r="O138" s="1852">
        <f t="shared" si="1960"/>
        <v>1988</v>
      </c>
      <c r="P138" s="1850"/>
      <c r="Q138" s="1850"/>
      <c r="R138" s="1850"/>
      <c r="S138" s="1851">
        <f t="shared" si="1961"/>
        <v>0</v>
      </c>
      <c r="T138" s="1853">
        <f t="shared" si="1970"/>
        <v>1988</v>
      </c>
      <c r="V138" s="1179" t="s">
        <v>565</v>
      </c>
      <c r="W138" s="1850">
        <f>6+230+1</f>
        <v>237</v>
      </c>
      <c r="X138" s="1850">
        <f>444+3+1</f>
        <v>448</v>
      </c>
      <c r="Y138" s="1850"/>
      <c r="Z138" s="1851">
        <f t="shared" si="1963"/>
        <v>685</v>
      </c>
      <c r="AA138" s="1850"/>
      <c r="AB138" s="1850"/>
      <c r="AC138" s="1850"/>
      <c r="AD138" s="1851">
        <f t="shared" si="1964"/>
        <v>0</v>
      </c>
      <c r="AE138" s="1852">
        <f t="shared" si="1965"/>
        <v>685</v>
      </c>
      <c r="AF138" s="1850"/>
      <c r="AG138" s="1850"/>
      <c r="AH138" s="1850"/>
      <c r="AI138" s="1851">
        <f t="shared" si="1966"/>
        <v>0</v>
      </c>
      <c r="AJ138" s="1852">
        <f t="shared" si="1967"/>
        <v>685</v>
      </c>
      <c r="AK138" s="1850"/>
      <c r="AL138" s="1854"/>
      <c r="AM138" s="1855"/>
      <c r="AN138" s="1851">
        <f t="shared" si="1968"/>
        <v>0</v>
      </c>
      <c r="AO138" s="1853">
        <f t="shared" si="1975"/>
        <v>685</v>
      </c>
      <c r="AQ138" s="1856"/>
    </row>
    <row r="139">
      <c r="A139" s="1179" t="s">
        <v>566</v>
      </c>
      <c r="B139" s="1850">
        <f>36+47+149.5+13</f>
        <v>245.5</v>
      </c>
      <c r="C139" s="1850">
        <f>13.5+26.5+168.5+54+4.5+391.5</f>
        <v>658.5</v>
      </c>
      <c r="D139" s="1850"/>
      <c r="E139" s="1851">
        <f t="shared" si="1956"/>
        <v>904</v>
      </c>
      <c r="F139" s="1850"/>
      <c r="G139" s="1850"/>
      <c r="H139" s="1850"/>
      <c r="I139" s="1851">
        <f t="shared" si="1957"/>
        <v>0</v>
      </c>
      <c r="J139" s="1852">
        <f t="shared" si="1958"/>
        <v>904</v>
      </c>
      <c r="K139" s="1850"/>
      <c r="L139" s="1850"/>
      <c r="M139" s="1850"/>
      <c r="N139" s="1851">
        <f t="shared" si="1959"/>
        <v>0</v>
      </c>
      <c r="O139" s="1852">
        <f t="shared" si="1960"/>
        <v>904</v>
      </c>
      <c r="P139" s="1850"/>
      <c r="Q139" s="1850"/>
      <c r="R139" s="1850"/>
      <c r="S139" s="1851">
        <f t="shared" si="1961"/>
        <v>0</v>
      </c>
      <c r="T139" s="1853">
        <f t="shared" si="1970"/>
        <v>904</v>
      </c>
      <c r="V139" s="1179" t="s">
        <v>567</v>
      </c>
      <c r="W139" s="1850">
        <f>8+9+26+8</f>
        <v>51</v>
      </c>
      <c r="X139" s="1850">
        <f>6+16+132+12+1+61</f>
        <v>228</v>
      </c>
      <c r="Y139" s="1850"/>
      <c r="Z139" s="1851">
        <f t="shared" si="1963"/>
        <v>279</v>
      </c>
      <c r="AA139" s="1850"/>
      <c r="AB139" s="1850"/>
      <c r="AC139" s="1850"/>
      <c r="AD139" s="1851">
        <f t="shared" si="1964"/>
        <v>0</v>
      </c>
      <c r="AE139" s="1852">
        <f t="shared" si="1965"/>
        <v>279</v>
      </c>
      <c r="AF139" s="1850"/>
      <c r="AG139" s="1850"/>
      <c r="AH139" s="1850"/>
      <c r="AI139" s="1851">
        <f t="shared" si="1966"/>
        <v>0</v>
      </c>
      <c r="AJ139" s="1852">
        <f t="shared" si="1967"/>
        <v>279</v>
      </c>
      <c r="AK139" s="1850"/>
      <c r="AL139" s="1854"/>
      <c r="AM139" s="1855"/>
      <c r="AN139" s="1851">
        <f t="shared" si="1968"/>
        <v>0</v>
      </c>
      <c r="AO139" s="1853">
        <f t="shared" si="1975"/>
        <v>279</v>
      </c>
      <c r="AQ139" s="1856"/>
    </row>
    <row r="140">
      <c r="A140" s="1179" t="s">
        <v>568</v>
      </c>
      <c r="B140" s="1850"/>
      <c r="C140" s="1850"/>
      <c r="D140" s="1850"/>
      <c r="E140" s="1851">
        <f t="shared" si="1956"/>
        <v>0</v>
      </c>
      <c r="F140" s="1850"/>
      <c r="G140" s="1850"/>
      <c r="H140" s="1850"/>
      <c r="I140" s="1851">
        <f t="shared" si="1957"/>
        <v>0</v>
      </c>
      <c r="J140" s="1852">
        <f t="shared" si="1958"/>
        <v>0</v>
      </c>
      <c r="K140" s="1850"/>
      <c r="L140" s="1850"/>
      <c r="M140" s="1850"/>
      <c r="N140" s="1851">
        <f t="shared" si="1959"/>
        <v>0</v>
      </c>
      <c r="O140" s="1852">
        <f t="shared" si="1960"/>
        <v>0</v>
      </c>
      <c r="P140" s="1850"/>
      <c r="Q140" s="1850"/>
      <c r="R140" s="1850"/>
      <c r="S140" s="1851">
        <f t="shared" si="1961"/>
        <v>0</v>
      </c>
      <c r="T140" s="1853">
        <f t="shared" si="1970"/>
        <v>0</v>
      </c>
      <c r="V140" s="1179" t="s">
        <v>568</v>
      </c>
      <c r="W140" s="1850"/>
      <c r="X140" s="1850"/>
      <c r="Y140" s="1850"/>
      <c r="Z140" s="1851">
        <f t="shared" si="1963"/>
        <v>0</v>
      </c>
      <c r="AA140" s="1850"/>
      <c r="AB140" s="1850"/>
      <c r="AC140" s="1850"/>
      <c r="AD140" s="1851">
        <f t="shared" si="1964"/>
        <v>0</v>
      </c>
      <c r="AE140" s="1852">
        <f t="shared" si="1965"/>
        <v>0</v>
      </c>
      <c r="AF140" s="1850"/>
      <c r="AG140" s="1850"/>
      <c r="AH140" s="1850"/>
      <c r="AI140" s="1851">
        <f t="shared" si="1966"/>
        <v>0</v>
      </c>
      <c r="AJ140" s="1852">
        <f t="shared" si="1967"/>
        <v>0</v>
      </c>
      <c r="AK140" s="1850"/>
      <c r="AL140" s="1854"/>
      <c r="AM140" s="1855"/>
      <c r="AN140" s="1851">
        <f t="shared" si="1968"/>
        <v>0</v>
      </c>
      <c r="AO140" s="1853">
        <f t="shared" si="1975"/>
        <v>0</v>
      </c>
      <c r="AQ140" s="1856"/>
      <c r="BW140" s="1864">
        <f>'[1]2022 год'!T566</f>
        <v>1122</v>
      </c>
    </row>
    <row r="141">
      <c r="A141" s="1179" t="s">
        <v>548</v>
      </c>
      <c r="B141" s="1850">
        <f>1818-B142+1504.5+4.5</f>
        <v>3073.5</v>
      </c>
      <c r="C141" s="1850">
        <f>2746.5+94.5+2476.5-94.5+458</f>
        <v>5681</v>
      </c>
      <c r="D141" s="1850"/>
      <c r="E141" s="1851">
        <f t="shared" si="1956"/>
        <v>8754.5</v>
      </c>
      <c r="F141" s="1850"/>
      <c r="G141" s="1850"/>
      <c r="H141" s="1850"/>
      <c r="I141" s="1851">
        <f t="shared" si="1957"/>
        <v>0</v>
      </c>
      <c r="J141" s="1852">
        <f t="shared" si="1958"/>
        <v>8754.5</v>
      </c>
      <c r="K141" s="1850"/>
      <c r="L141" s="1850"/>
      <c r="M141" s="1850"/>
      <c r="N141" s="1851">
        <f t="shared" si="1959"/>
        <v>0</v>
      </c>
      <c r="O141" s="1852">
        <f t="shared" si="1960"/>
        <v>8754.5</v>
      </c>
      <c r="P141" s="1850"/>
      <c r="Q141" s="1850"/>
      <c r="R141" s="1850"/>
      <c r="S141" s="1851">
        <f t="shared" si="1961"/>
        <v>0</v>
      </c>
      <c r="T141" s="1853">
        <f t="shared" si="1970"/>
        <v>8754.5</v>
      </c>
      <c r="V141" s="1179" t="s">
        <v>548</v>
      </c>
      <c r="W141" s="1850">
        <f>364-W142+1618+2</f>
        <v>1816</v>
      </c>
      <c r="X141" s="1850">
        <f>1666+21+510-21+83</f>
        <v>2259</v>
      </c>
      <c r="Y141" s="1850"/>
      <c r="Z141" s="1851">
        <f t="shared" si="1963"/>
        <v>4075</v>
      </c>
      <c r="AA141" s="1850"/>
      <c r="AB141" s="1850"/>
      <c r="AC141" s="1850"/>
      <c r="AD141" s="1851">
        <f t="shared" si="1964"/>
        <v>0</v>
      </c>
      <c r="AE141" s="1852">
        <f t="shared" si="1965"/>
        <v>4075</v>
      </c>
      <c r="AF141" s="1850"/>
      <c r="AG141" s="1850"/>
      <c r="AH141" s="1850"/>
      <c r="AI141" s="1851">
        <f t="shared" si="1966"/>
        <v>0</v>
      </c>
      <c r="AJ141" s="1852">
        <f t="shared" si="1967"/>
        <v>4075</v>
      </c>
      <c r="AK141" s="1850"/>
      <c r="AL141" s="1854"/>
      <c r="AM141" s="1855"/>
      <c r="AN141" s="1851">
        <f t="shared" si="1968"/>
        <v>0</v>
      </c>
      <c r="AO141" s="1853">
        <f t="shared" si="1975"/>
        <v>4075</v>
      </c>
      <c r="AQ141" s="1856"/>
    </row>
    <row r="142">
      <c r="A142" s="1179" t="s">
        <v>549</v>
      </c>
      <c r="B142" s="1850">
        <f>58.5+195</f>
        <v>253.5</v>
      </c>
      <c r="C142" s="1850">
        <v>285</v>
      </c>
      <c r="D142" s="1850"/>
      <c r="E142" s="1851">
        <f t="shared" si="1956"/>
        <v>538.5</v>
      </c>
      <c r="F142" s="1850"/>
      <c r="G142" s="1850"/>
      <c r="H142" s="1850"/>
      <c r="I142" s="1851">
        <f t="shared" si="1957"/>
        <v>0</v>
      </c>
      <c r="J142" s="1852">
        <f t="shared" si="1958"/>
        <v>538.5</v>
      </c>
      <c r="K142" s="1850"/>
      <c r="L142" s="1850"/>
      <c r="M142" s="1850"/>
      <c r="N142" s="1851">
        <f t="shared" si="1959"/>
        <v>0</v>
      </c>
      <c r="O142" s="1852">
        <f t="shared" si="1960"/>
        <v>538.5</v>
      </c>
      <c r="P142" s="1850"/>
      <c r="Q142" s="1850"/>
      <c r="R142" s="1850"/>
      <c r="S142" s="1851">
        <f t="shared" si="1961"/>
        <v>0</v>
      </c>
      <c r="T142" s="1853">
        <f t="shared" si="1970"/>
        <v>538.5</v>
      </c>
      <c r="U142" s="1863"/>
      <c r="V142" s="1179" t="s">
        <v>549</v>
      </c>
      <c r="W142" s="1850">
        <f>13+155</f>
        <v>168</v>
      </c>
      <c r="X142" s="1850">
        <v>238</v>
      </c>
      <c r="Y142" s="1850"/>
      <c r="Z142" s="1851">
        <f t="shared" si="1963"/>
        <v>406</v>
      </c>
      <c r="AA142" s="1850"/>
      <c r="AB142" s="1850"/>
      <c r="AC142" s="1850"/>
      <c r="AD142" s="1851">
        <f t="shared" si="1964"/>
        <v>0</v>
      </c>
      <c r="AE142" s="1852">
        <f t="shared" si="1965"/>
        <v>406</v>
      </c>
      <c r="AF142" s="1850"/>
      <c r="AG142" s="1850"/>
      <c r="AH142" s="1850"/>
      <c r="AI142" s="1851">
        <f t="shared" si="1966"/>
        <v>0</v>
      </c>
      <c r="AJ142" s="1852">
        <f t="shared" si="1967"/>
        <v>406</v>
      </c>
      <c r="AK142" s="1850"/>
      <c r="AL142" s="1854"/>
      <c r="AM142" s="1855"/>
      <c r="AN142" s="1851">
        <f t="shared" si="1968"/>
        <v>0</v>
      </c>
      <c r="AO142" s="1853">
        <f t="shared" si="1975"/>
        <v>406</v>
      </c>
      <c r="AQ142" s="1856"/>
    </row>
    <row r="143" s="1510" customFormat="1">
      <c r="A143" s="1511" t="s">
        <v>22</v>
      </c>
      <c r="B143" s="1858">
        <f>SUM(B133:B142)</f>
        <v>11046</v>
      </c>
      <c r="C143" s="1858">
        <f>SUM(C133:C142)</f>
        <v>17715</v>
      </c>
      <c r="D143" s="1858">
        <f>SUM(D133:D142)</f>
        <v>0</v>
      </c>
      <c r="E143" s="1851">
        <f t="shared" si="1956"/>
        <v>28761</v>
      </c>
      <c r="F143" s="1858">
        <f>SUM(F133:F142)</f>
        <v>0</v>
      </c>
      <c r="G143" s="1858">
        <f>SUM(G133:G142)</f>
        <v>0</v>
      </c>
      <c r="H143" s="1858">
        <f>SUM(H133:H142)</f>
        <v>0</v>
      </c>
      <c r="I143" s="1859">
        <f t="shared" si="1957"/>
        <v>0</v>
      </c>
      <c r="J143" s="1860">
        <f t="shared" si="1958"/>
        <v>28761</v>
      </c>
      <c r="K143" s="1858">
        <f>SUM(K133:K142)</f>
        <v>0</v>
      </c>
      <c r="L143" s="1858">
        <f>SUM(L133:L142)</f>
        <v>0</v>
      </c>
      <c r="M143" s="1858">
        <f>SUM(M133:M142)</f>
        <v>0</v>
      </c>
      <c r="N143" s="1859">
        <f t="shared" si="1959"/>
        <v>0</v>
      </c>
      <c r="O143" s="1860">
        <f t="shared" si="1960"/>
        <v>28761</v>
      </c>
      <c r="P143" s="1858">
        <f>SUM(P133:P142)</f>
        <v>0</v>
      </c>
      <c r="Q143" s="1858">
        <f>SUM(Q133:Q142)</f>
        <v>0</v>
      </c>
      <c r="R143" s="1858">
        <f>SUM(R133:R142)</f>
        <v>0</v>
      </c>
      <c r="S143" s="1859">
        <f t="shared" si="1961"/>
        <v>0</v>
      </c>
      <c r="T143" s="1861">
        <f>SUM(T133:T142)</f>
        <v>28761</v>
      </c>
      <c r="U143" s="1515"/>
      <c r="V143" s="1511" t="s">
        <v>22</v>
      </c>
      <c r="W143" s="1858">
        <f>SUM(W133:W142)</f>
        <v>4432</v>
      </c>
      <c r="X143" s="1858">
        <f>SUM(X133:X142)</f>
        <v>6786</v>
      </c>
      <c r="Y143" s="1858">
        <f>SUM(Y133:Y142)</f>
        <v>0</v>
      </c>
      <c r="Z143" s="1851">
        <f t="shared" si="1963"/>
        <v>11218</v>
      </c>
      <c r="AA143" s="1858">
        <f>SUM(AA133:AA142)</f>
        <v>0</v>
      </c>
      <c r="AB143" s="1858">
        <f>SUM(AB133:AB142)</f>
        <v>0</v>
      </c>
      <c r="AC143" s="1858">
        <f>SUM(AC133:AC142)</f>
        <v>0</v>
      </c>
      <c r="AD143" s="1859">
        <f t="shared" si="1964"/>
        <v>0</v>
      </c>
      <c r="AE143" s="1860">
        <f t="shared" si="1965"/>
        <v>11218</v>
      </c>
      <c r="AF143" s="1858">
        <f>SUM(AF133:AF142)</f>
        <v>0</v>
      </c>
      <c r="AG143" s="1858">
        <f>SUM(AG133:AG142)</f>
        <v>0</v>
      </c>
      <c r="AH143" s="1858">
        <f>SUM(AH133:AH142)</f>
        <v>0</v>
      </c>
      <c r="AI143" s="1859">
        <f t="shared" si="1966"/>
        <v>0</v>
      </c>
      <c r="AJ143" s="1860">
        <f t="shared" si="1967"/>
        <v>11218</v>
      </c>
      <c r="AK143" s="1858">
        <f>SUM(AK133:AK142)</f>
        <v>0</v>
      </c>
      <c r="AL143" s="1858">
        <f>SUM(AL133:AL142)</f>
        <v>0</v>
      </c>
      <c r="AM143" s="1858">
        <f>SUM(AM133:AM142)</f>
        <v>0</v>
      </c>
      <c r="AN143" s="1859">
        <f t="shared" si="1968"/>
        <v>0</v>
      </c>
      <c r="AO143" s="1861">
        <f>SUM(AO133:AO142)</f>
        <v>11218</v>
      </c>
      <c r="AP143" s="1515"/>
      <c r="AQ143" s="1862"/>
      <c r="AR143" s="1515"/>
      <c r="AS143" s="1515"/>
      <c r="AT143" s="1515"/>
      <c r="AU143" s="1515"/>
      <c r="AV143" s="1515"/>
      <c r="AW143" s="1515"/>
      <c r="AX143" s="1515"/>
      <c r="AY143" s="1515"/>
      <c r="AZ143" s="1515"/>
    </row>
    <row r="144">
      <c r="A144" s="1179" t="s">
        <v>186</v>
      </c>
      <c r="B144" s="1850"/>
      <c r="C144" s="1850"/>
      <c r="D144" s="1850"/>
      <c r="E144" s="1851">
        <f t="shared" si="1956"/>
        <v>0</v>
      </c>
      <c r="F144" s="1850"/>
      <c r="G144" s="1850"/>
      <c r="H144" s="1850"/>
      <c r="I144" s="1851">
        <f t="shared" si="1957"/>
        <v>0</v>
      </c>
      <c r="J144" s="1852">
        <f t="shared" si="1958"/>
        <v>0</v>
      </c>
      <c r="K144" s="1850"/>
      <c r="L144" s="1850"/>
      <c r="M144" s="1850"/>
      <c r="N144" s="1851">
        <f t="shared" si="1959"/>
        <v>0</v>
      </c>
      <c r="O144" s="1852">
        <f t="shared" si="1960"/>
        <v>0</v>
      </c>
      <c r="P144" s="1850"/>
      <c r="Q144" s="1850"/>
      <c r="R144" s="1850"/>
      <c r="S144" s="1851">
        <f t="shared" si="1961"/>
        <v>0</v>
      </c>
      <c r="T144" s="1853">
        <f t="shared" si="1970"/>
        <v>0</v>
      </c>
      <c r="V144" s="1179" t="s">
        <v>186</v>
      </c>
      <c r="W144" s="1850"/>
      <c r="X144" s="1850"/>
      <c r="Y144" s="1850"/>
      <c r="Z144" s="1851">
        <f t="shared" si="1963"/>
        <v>0</v>
      </c>
      <c r="AA144" s="1850"/>
      <c r="AB144" s="1850"/>
      <c r="AC144" s="1850"/>
      <c r="AD144" s="1851">
        <f t="shared" si="1964"/>
        <v>0</v>
      </c>
      <c r="AE144" s="1852">
        <f t="shared" si="1965"/>
        <v>0</v>
      </c>
      <c r="AF144" s="1850"/>
      <c r="AG144" s="1850"/>
      <c r="AH144" s="1850"/>
      <c r="AI144" s="1851">
        <f t="shared" si="1966"/>
        <v>0</v>
      </c>
      <c r="AJ144" s="1852">
        <f t="shared" si="1967"/>
        <v>0</v>
      </c>
      <c r="AK144" s="1850"/>
      <c r="AL144" s="1854"/>
      <c r="AM144" s="1855"/>
      <c r="AN144" s="1851">
        <f t="shared" si="1968"/>
        <v>0</v>
      </c>
      <c r="AO144" s="1853">
        <f t="shared" ref="AO144:AO150" si="1976">AN144+AJ144</f>
        <v>0</v>
      </c>
      <c r="AQ144" s="1856"/>
    </row>
    <row r="145">
      <c r="A145" s="1179" t="s">
        <v>569</v>
      </c>
      <c r="B145" s="1850">
        <f>58.5+9+94.5+29.5</f>
        <v>191.5</v>
      </c>
      <c r="C145" s="1850">
        <f>195+236</f>
        <v>431</v>
      </c>
      <c r="D145" s="1850"/>
      <c r="E145" s="1851">
        <f t="shared" si="1956"/>
        <v>622.5</v>
      </c>
      <c r="F145" s="1850"/>
      <c r="G145" s="1850"/>
      <c r="H145" s="1850"/>
      <c r="I145" s="1851">
        <f t="shared" si="1957"/>
        <v>0</v>
      </c>
      <c r="J145" s="1852">
        <f t="shared" si="1958"/>
        <v>622.5</v>
      </c>
      <c r="K145" s="1850"/>
      <c r="L145" s="1850"/>
      <c r="M145" s="1850"/>
      <c r="N145" s="1851">
        <f t="shared" si="1959"/>
        <v>0</v>
      </c>
      <c r="O145" s="1852">
        <f t="shared" si="1960"/>
        <v>622.5</v>
      </c>
      <c r="P145" s="1850"/>
      <c r="Q145" s="1850"/>
      <c r="R145" s="1850"/>
      <c r="S145" s="1851">
        <f t="shared" si="1961"/>
        <v>0</v>
      </c>
      <c r="T145" s="1853">
        <f t="shared" si="1970"/>
        <v>622.5</v>
      </c>
      <c r="V145" s="1179" t="s">
        <v>570</v>
      </c>
      <c r="W145" s="1850">
        <f>13+2+21+21</f>
        <v>57</v>
      </c>
      <c r="X145" s="1850">
        <f>42+51</f>
        <v>93</v>
      </c>
      <c r="Y145" s="1850"/>
      <c r="Z145" s="1851">
        <f t="shared" si="1963"/>
        <v>150</v>
      </c>
      <c r="AA145" s="1850"/>
      <c r="AB145" s="1850"/>
      <c r="AC145" s="1850"/>
      <c r="AD145" s="1851">
        <f t="shared" si="1964"/>
        <v>0</v>
      </c>
      <c r="AE145" s="1852">
        <f t="shared" si="1965"/>
        <v>150</v>
      </c>
      <c r="AF145" s="1850"/>
      <c r="AG145" s="1850"/>
      <c r="AH145" s="1850"/>
      <c r="AI145" s="1851">
        <f t="shared" si="1966"/>
        <v>0</v>
      </c>
      <c r="AJ145" s="1852">
        <f t="shared" si="1967"/>
        <v>150</v>
      </c>
      <c r="AK145" s="1850"/>
      <c r="AL145" s="1854"/>
      <c r="AM145" s="1855"/>
      <c r="AN145" s="1851">
        <f t="shared" si="1968"/>
        <v>0</v>
      </c>
      <c r="AO145" s="1853">
        <f t="shared" si="1976"/>
        <v>150</v>
      </c>
      <c r="AQ145" s="1856"/>
    </row>
    <row r="146">
      <c r="A146" s="1179" t="s">
        <v>571</v>
      </c>
      <c r="B146" s="1850"/>
      <c r="C146" s="1850"/>
      <c r="D146" s="1850"/>
      <c r="E146" s="1851">
        <f t="shared" si="1956"/>
        <v>0</v>
      </c>
      <c r="F146" s="1850"/>
      <c r="G146" s="1850"/>
      <c r="H146" s="1850"/>
      <c r="I146" s="1851">
        <f t="shared" si="1957"/>
        <v>0</v>
      </c>
      <c r="J146" s="1852">
        <f t="shared" si="1958"/>
        <v>0</v>
      </c>
      <c r="K146" s="1850"/>
      <c r="L146" s="1850"/>
      <c r="M146" s="1850"/>
      <c r="N146" s="1851">
        <f t="shared" si="1959"/>
        <v>0</v>
      </c>
      <c r="O146" s="1852">
        <f t="shared" si="1960"/>
        <v>0</v>
      </c>
      <c r="P146" s="1850"/>
      <c r="Q146" s="1850"/>
      <c r="R146" s="1850"/>
      <c r="S146" s="1851">
        <f t="shared" si="1961"/>
        <v>0</v>
      </c>
      <c r="T146" s="1853">
        <f t="shared" si="1970"/>
        <v>0</v>
      </c>
      <c r="V146" s="1179" t="s">
        <v>571</v>
      </c>
      <c r="W146" s="1850"/>
      <c r="X146" s="1850"/>
      <c r="Y146" s="1850"/>
      <c r="Z146" s="1851">
        <f t="shared" si="1963"/>
        <v>0</v>
      </c>
      <c r="AA146" s="1850"/>
      <c r="AB146" s="1850"/>
      <c r="AC146" s="1850"/>
      <c r="AD146" s="1851">
        <f t="shared" si="1964"/>
        <v>0</v>
      </c>
      <c r="AE146" s="1852">
        <f t="shared" si="1965"/>
        <v>0</v>
      </c>
      <c r="AF146" s="1850"/>
      <c r="AG146" s="1850"/>
      <c r="AH146" s="1850"/>
      <c r="AI146" s="1851">
        <f t="shared" si="1966"/>
        <v>0</v>
      </c>
      <c r="AJ146" s="1852">
        <f t="shared" si="1967"/>
        <v>0</v>
      </c>
      <c r="AK146" s="1850"/>
      <c r="AL146" s="1854"/>
      <c r="AM146" s="1855"/>
      <c r="AN146" s="1851">
        <f t="shared" si="1968"/>
        <v>0</v>
      </c>
      <c r="AO146" s="1853">
        <f t="shared" si="1976"/>
        <v>0</v>
      </c>
      <c r="AQ146" s="1856"/>
    </row>
    <row r="147">
      <c r="A147" s="1179" t="s">
        <v>572</v>
      </c>
      <c r="B147" s="1850"/>
      <c r="C147" s="1850"/>
      <c r="D147" s="1850"/>
      <c r="E147" s="1851">
        <f t="shared" si="1956"/>
        <v>0</v>
      </c>
      <c r="F147" s="1850"/>
      <c r="G147" s="1850"/>
      <c r="H147" s="1850"/>
      <c r="I147" s="1851">
        <f t="shared" si="1957"/>
        <v>0</v>
      </c>
      <c r="J147" s="1852">
        <f t="shared" si="1958"/>
        <v>0</v>
      </c>
      <c r="K147" s="1850"/>
      <c r="L147" s="1850"/>
      <c r="M147" s="1850"/>
      <c r="N147" s="1851">
        <f t="shared" si="1959"/>
        <v>0</v>
      </c>
      <c r="O147" s="1852">
        <f t="shared" si="1960"/>
        <v>0</v>
      </c>
      <c r="P147" s="1850"/>
      <c r="Q147" s="1850"/>
      <c r="R147" s="1850"/>
      <c r="S147" s="1851">
        <f t="shared" si="1961"/>
        <v>0</v>
      </c>
      <c r="T147" s="1853">
        <f t="shared" si="1970"/>
        <v>0</v>
      </c>
      <c r="V147" s="1179" t="s">
        <v>572</v>
      </c>
      <c r="W147" s="1850"/>
      <c r="X147" s="1850"/>
      <c r="Y147" s="1850"/>
      <c r="Z147" s="1851">
        <f t="shared" si="1963"/>
        <v>0</v>
      </c>
      <c r="AA147" s="1850"/>
      <c r="AB147" s="1850"/>
      <c r="AC147" s="1850"/>
      <c r="AD147" s="1851">
        <f t="shared" si="1964"/>
        <v>0</v>
      </c>
      <c r="AE147" s="1852">
        <f t="shared" si="1965"/>
        <v>0</v>
      </c>
      <c r="AF147" s="1850"/>
      <c r="AG147" s="1850"/>
      <c r="AH147" s="1850"/>
      <c r="AI147" s="1851">
        <f t="shared" si="1966"/>
        <v>0</v>
      </c>
      <c r="AJ147" s="1852">
        <f t="shared" si="1967"/>
        <v>0</v>
      </c>
      <c r="AK147" s="1850"/>
      <c r="AL147" s="1854"/>
      <c r="AM147" s="1855"/>
      <c r="AN147" s="1851">
        <f t="shared" si="1968"/>
        <v>0</v>
      </c>
      <c r="AO147" s="1853">
        <f t="shared" si="1976"/>
        <v>0</v>
      </c>
      <c r="AQ147" s="1856"/>
    </row>
    <row r="148">
      <c r="A148" s="1179" t="s">
        <v>573</v>
      </c>
      <c r="B148" s="1850"/>
      <c r="C148" s="1850"/>
      <c r="D148" s="1850"/>
      <c r="E148" s="1851">
        <f t="shared" si="1956"/>
        <v>0</v>
      </c>
      <c r="F148" s="1850"/>
      <c r="G148" s="1850"/>
      <c r="H148" s="1850"/>
      <c r="I148" s="1851">
        <f t="shared" si="1957"/>
        <v>0</v>
      </c>
      <c r="J148" s="1852">
        <f t="shared" si="1958"/>
        <v>0</v>
      </c>
      <c r="K148" s="1850"/>
      <c r="L148" s="1850"/>
      <c r="M148" s="1850"/>
      <c r="N148" s="1851">
        <f t="shared" si="1959"/>
        <v>0</v>
      </c>
      <c r="O148" s="1852">
        <f t="shared" si="1960"/>
        <v>0</v>
      </c>
      <c r="P148" s="1850"/>
      <c r="Q148" s="1850"/>
      <c r="R148" s="1850"/>
      <c r="S148" s="1851">
        <f t="shared" si="1961"/>
        <v>0</v>
      </c>
      <c r="T148" s="1853">
        <f t="shared" si="1970"/>
        <v>0</v>
      </c>
      <c r="V148" s="1179" t="s">
        <v>573</v>
      </c>
      <c r="W148" s="1850"/>
      <c r="X148" s="1850"/>
      <c r="Y148" s="1850"/>
      <c r="Z148" s="1851">
        <f t="shared" si="1963"/>
        <v>0</v>
      </c>
      <c r="AA148" s="1850"/>
      <c r="AB148" s="1850"/>
      <c r="AC148" s="1850"/>
      <c r="AD148" s="1851">
        <f t="shared" si="1964"/>
        <v>0</v>
      </c>
      <c r="AE148" s="1852">
        <f t="shared" si="1965"/>
        <v>0</v>
      </c>
      <c r="AF148" s="1850"/>
      <c r="AG148" s="1850"/>
      <c r="AH148" s="1850"/>
      <c r="AI148" s="1851">
        <f t="shared" si="1966"/>
        <v>0</v>
      </c>
      <c r="AJ148" s="1852">
        <f t="shared" si="1967"/>
        <v>0</v>
      </c>
      <c r="AK148" s="1850"/>
      <c r="AL148" s="1854"/>
      <c r="AM148" s="1855"/>
      <c r="AN148" s="1851">
        <f t="shared" si="1968"/>
        <v>0</v>
      </c>
      <c r="AO148" s="1853">
        <f t="shared" si="1976"/>
        <v>0</v>
      </c>
      <c r="AQ148" s="1856"/>
    </row>
    <row r="149">
      <c r="A149" s="1179" t="s">
        <v>574</v>
      </c>
      <c r="B149" s="1850"/>
      <c r="C149" s="1850"/>
      <c r="D149" s="1850"/>
      <c r="E149" s="1851">
        <f t="shared" si="1956"/>
        <v>0</v>
      </c>
      <c r="F149" s="1850"/>
      <c r="G149" s="1850"/>
      <c r="H149" s="1850"/>
      <c r="I149" s="1851">
        <f t="shared" si="1957"/>
        <v>0</v>
      </c>
      <c r="J149" s="1852">
        <f t="shared" si="1958"/>
        <v>0</v>
      </c>
      <c r="K149" s="1850"/>
      <c r="L149" s="1850"/>
      <c r="M149" s="1850"/>
      <c r="N149" s="1851">
        <f t="shared" si="1959"/>
        <v>0</v>
      </c>
      <c r="O149" s="1852">
        <f t="shared" si="1960"/>
        <v>0</v>
      </c>
      <c r="P149" s="1850"/>
      <c r="Q149" s="1850"/>
      <c r="R149" s="1850"/>
      <c r="S149" s="1851">
        <f t="shared" si="1961"/>
        <v>0</v>
      </c>
      <c r="T149" s="1853">
        <f t="shared" si="1970"/>
        <v>0</v>
      </c>
      <c r="U149" s="1863"/>
      <c r="V149" s="1179" t="s">
        <v>574</v>
      </c>
      <c r="W149" s="1850"/>
      <c r="X149" s="1850"/>
      <c r="Y149" s="1850"/>
      <c r="Z149" s="1851">
        <f t="shared" si="1963"/>
        <v>0</v>
      </c>
      <c r="AA149" s="1850"/>
      <c r="AB149" s="1850"/>
      <c r="AC149" s="1850"/>
      <c r="AD149" s="1851">
        <f t="shared" si="1964"/>
        <v>0</v>
      </c>
      <c r="AE149" s="1852">
        <f t="shared" si="1965"/>
        <v>0</v>
      </c>
      <c r="AF149" s="1850"/>
      <c r="AG149" s="1850"/>
      <c r="AH149" s="1850"/>
      <c r="AI149" s="1851">
        <f t="shared" si="1966"/>
        <v>0</v>
      </c>
      <c r="AJ149" s="1852">
        <f t="shared" si="1967"/>
        <v>0</v>
      </c>
      <c r="AK149" s="1850"/>
      <c r="AL149" s="1854"/>
      <c r="AM149" s="1855"/>
      <c r="AN149" s="1851">
        <f t="shared" si="1968"/>
        <v>0</v>
      </c>
      <c r="AO149" s="1853">
        <f t="shared" si="1976"/>
        <v>0</v>
      </c>
      <c r="AQ149" s="1856"/>
    </row>
    <row r="150">
      <c r="A150" s="1179" t="s">
        <v>241</v>
      </c>
      <c r="B150" s="1850">
        <f>3924+2655+22.5</f>
        <v>6601.5</v>
      </c>
      <c r="C150" s="1850">
        <f>3157+3581.5+13.5</f>
        <v>6752</v>
      </c>
      <c r="D150" s="1850"/>
      <c r="E150" s="1851">
        <f t="shared" si="1956"/>
        <v>13353.5</v>
      </c>
      <c r="F150" s="1850"/>
      <c r="G150" s="1850"/>
      <c r="H150" s="1850"/>
      <c r="I150" s="1851">
        <f t="shared" si="1957"/>
        <v>0</v>
      </c>
      <c r="J150" s="1852">
        <f t="shared" si="1958"/>
        <v>13353.5</v>
      </c>
      <c r="K150" s="1850"/>
      <c r="L150" s="1850"/>
      <c r="M150" s="1850"/>
      <c r="N150" s="1851">
        <f t="shared" si="1959"/>
        <v>0</v>
      </c>
      <c r="O150" s="1852">
        <f t="shared" si="1960"/>
        <v>13353.5</v>
      </c>
      <c r="P150" s="1850"/>
      <c r="Q150" s="1850"/>
      <c r="R150" s="1850"/>
      <c r="S150" s="1851">
        <f t="shared" si="1961"/>
        <v>0</v>
      </c>
      <c r="T150" s="1853">
        <f t="shared" si="1970"/>
        <v>13353.5</v>
      </c>
      <c r="V150" s="1179" t="s">
        <v>575</v>
      </c>
      <c r="W150" s="1850">
        <f>794+1903+5</f>
        <v>2702</v>
      </c>
      <c r="X150" s="1850">
        <f>2190+715+3</f>
        <v>2908</v>
      </c>
      <c r="Y150" s="1850"/>
      <c r="Z150" s="1851">
        <f t="shared" si="1963"/>
        <v>5610</v>
      </c>
      <c r="AA150" s="1850"/>
      <c r="AB150" s="1850"/>
      <c r="AC150" s="1850"/>
      <c r="AD150" s="1851">
        <f t="shared" si="1964"/>
        <v>0</v>
      </c>
      <c r="AE150" s="1852">
        <f t="shared" si="1965"/>
        <v>5610</v>
      </c>
      <c r="AF150" s="1850"/>
      <c r="AG150" s="1850"/>
      <c r="AH150" s="1850"/>
      <c r="AI150" s="1851">
        <f t="shared" si="1966"/>
        <v>0</v>
      </c>
      <c r="AJ150" s="1852">
        <f t="shared" si="1967"/>
        <v>5610</v>
      </c>
      <c r="AK150" s="1850"/>
      <c r="AL150" s="1854"/>
      <c r="AM150" s="1855"/>
      <c r="AN150" s="1851">
        <f t="shared" si="1968"/>
        <v>0</v>
      </c>
      <c r="AO150" s="1853">
        <f t="shared" si="1976"/>
        <v>5610</v>
      </c>
      <c r="AQ150" s="1856"/>
    </row>
    <row r="151" s="1510" customFormat="1">
      <c r="A151" s="1865" t="s">
        <v>576</v>
      </c>
      <c r="B151" s="1858">
        <f>B144+B150+B143+B145+B146+B147+B148+B149</f>
        <v>17839</v>
      </c>
      <c r="C151" s="1858">
        <f>C144+C150+C143+C145+C146+C147+C148+C149</f>
        <v>24898</v>
      </c>
      <c r="D151" s="1858">
        <f>D144+D150+D143+D145+D146+D147+D148+D149</f>
        <v>0</v>
      </c>
      <c r="E151" s="1851">
        <f t="shared" si="1956"/>
        <v>42737</v>
      </c>
      <c r="F151" s="1858">
        <f>F144+F150+F143+F145+F146+F147+F148+F149</f>
        <v>0</v>
      </c>
      <c r="G151" s="1858">
        <f>G144+G150+G143+G145+G146+G147+G148+G149</f>
        <v>0</v>
      </c>
      <c r="H151" s="1858">
        <f>H144+H150+H143+H145+H146+H147+H148+H149</f>
        <v>0</v>
      </c>
      <c r="I151" s="1859">
        <f t="shared" si="1957"/>
        <v>0</v>
      </c>
      <c r="J151" s="1860">
        <f t="shared" si="1958"/>
        <v>42737</v>
      </c>
      <c r="K151" s="1858">
        <f>K144+K150+K143+K145+K146+K147+K148+K149</f>
        <v>0</v>
      </c>
      <c r="L151" s="1858">
        <f>L144+L150+L143+L145+L146+L147+L148+L149</f>
        <v>0</v>
      </c>
      <c r="M151" s="1858">
        <f>M144+M150+M143+M145+M146+M147+M148+M149</f>
        <v>0</v>
      </c>
      <c r="N151" s="1859">
        <f t="shared" si="1959"/>
        <v>0</v>
      </c>
      <c r="O151" s="1860">
        <f t="shared" si="1960"/>
        <v>42737</v>
      </c>
      <c r="P151" s="1858">
        <f>P144+P150+P143+P145+P146+P147+P148+P149</f>
        <v>0</v>
      </c>
      <c r="Q151" s="1858">
        <f>Q144+Q150+Q143+Q145+Q146+Q147+Q148+Q149</f>
        <v>0</v>
      </c>
      <c r="R151" s="1858">
        <f>R144+R150+R143+R145+R146+R147+R148+R149</f>
        <v>0</v>
      </c>
      <c r="S151" s="1859">
        <f t="shared" si="1961"/>
        <v>0</v>
      </c>
      <c r="T151" s="1861">
        <f>SUM(T143:T150)</f>
        <v>42737</v>
      </c>
      <c r="U151" s="1866"/>
      <c r="V151" s="1865" t="s">
        <v>576</v>
      </c>
      <c r="W151" s="1858">
        <f>W144+W150+W143+W145+W146+W147+W148+W149</f>
        <v>7191</v>
      </c>
      <c r="X151" s="1858">
        <f>X144+X150+X143+X145+X146+X147+X148+X149</f>
        <v>9787</v>
      </c>
      <c r="Y151" s="1858">
        <f>Y144+Y150+Y143+Y145+Y146+Y147+Y148+Y149</f>
        <v>0</v>
      </c>
      <c r="Z151" s="1851">
        <f t="shared" si="1963"/>
        <v>16978</v>
      </c>
      <c r="AA151" s="1858">
        <f>AA144+AA150+AA143+AA145+AA146+AA147+AA148+AA149</f>
        <v>0</v>
      </c>
      <c r="AB151" s="1858">
        <f>AB144+AB150+AB143+AB145+AB146+AB147+AB148+AB149</f>
        <v>0</v>
      </c>
      <c r="AC151" s="1858">
        <f>AC144+AC150+AC143+AC145+AC146+AC147+AC148+AC149</f>
        <v>0</v>
      </c>
      <c r="AD151" s="1859">
        <f t="shared" si="1964"/>
        <v>0</v>
      </c>
      <c r="AE151" s="1860">
        <f t="shared" si="1965"/>
        <v>16978</v>
      </c>
      <c r="AF151" s="1858">
        <f>AF144+AF150+AF143+AF145+AF146+AF147+AF148+AF149</f>
        <v>0</v>
      </c>
      <c r="AG151" s="1858">
        <f>AG144+AG150+AG143+AG145+AG146+AG147+AG148+AG149</f>
        <v>0</v>
      </c>
      <c r="AH151" s="1858">
        <f>AH144+AH150+AH143+AH145+AH146+AH147+AH148+AH149</f>
        <v>0</v>
      </c>
      <c r="AI151" s="1859">
        <f t="shared" si="1966"/>
        <v>0</v>
      </c>
      <c r="AJ151" s="1860">
        <f t="shared" si="1967"/>
        <v>16978</v>
      </c>
      <c r="AK151" s="1858">
        <f>AK144+AK150+AK143+AK145+AK146+AK147+AK148+AK149</f>
        <v>0</v>
      </c>
      <c r="AL151" s="1858">
        <f>AL144+AL150+AL143+AL145+AL146+AL147+AL148+AL149</f>
        <v>0</v>
      </c>
      <c r="AM151" s="1858">
        <f>AM144+AM150+AM143+AM145+AM146+AM147+AM148+AM149</f>
        <v>0</v>
      </c>
      <c r="AN151" s="1859">
        <f t="shared" si="1968"/>
        <v>0</v>
      </c>
      <c r="AO151" s="1861">
        <f>SUM(AO143:AO150)</f>
        <v>16978</v>
      </c>
      <c r="AP151" s="1515"/>
      <c r="AQ151" s="1862"/>
      <c r="AR151" s="1515"/>
      <c r="AS151" s="1515"/>
      <c r="AT151" s="1515"/>
      <c r="AU151" s="1515"/>
      <c r="AV151" s="1515"/>
      <c r="AW151" s="1515"/>
      <c r="AX151" s="1515"/>
      <c r="AY151" s="1515"/>
      <c r="AZ151" s="1515"/>
    </row>
    <row r="152">
      <c r="A152" s="1867" t="s">
        <v>577</v>
      </c>
      <c r="B152" s="1868"/>
      <c r="C152" s="1868"/>
      <c r="D152" s="1868"/>
      <c r="E152" s="1851">
        <f t="shared" si="1956"/>
        <v>0</v>
      </c>
      <c r="F152" s="1868"/>
      <c r="G152" s="1868"/>
      <c r="H152" s="1868"/>
      <c r="I152" s="1851">
        <f t="shared" si="1957"/>
        <v>0</v>
      </c>
      <c r="J152" s="1852">
        <f t="shared" si="1958"/>
        <v>0</v>
      </c>
      <c r="K152" s="1868"/>
      <c r="L152" s="1868"/>
      <c r="M152" s="1868"/>
      <c r="N152" s="1851">
        <f t="shared" si="1959"/>
        <v>0</v>
      </c>
      <c r="O152" s="1852">
        <f t="shared" si="1960"/>
        <v>0</v>
      </c>
      <c r="P152" s="1868"/>
      <c r="Q152" s="1868"/>
      <c r="R152" s="1868"/>
      <c r="S152" s="1851">
        <f t="shared" si="1961"/>
        <v>0</v>
      </c>
      <c r="T152" s="1853">
        <f t="shared" si="1970"/>
        <v>0</v>
      </c>
      <c r="V152" s="1867" t="s">
        <v>577</v>
      </c>
      <c r="W152" s="1868"/>
      <c r="X152" s="1868"/>
      <c r="Y152" s="1868"/>
      <c r="Z152" s="1851">
        <f t="shared" si="1963"/>
        <v>0</v>
      </c>
      <c r="AA152" s="1868"/>
      <c r="AB152" s="1868"/>
      <c r="AC152" s="1868"/>
      <c r="AD152" s="1851">
        <f t="shared" si="1964"/>
        <v>0</v>
      </c>
      <c r="AE152" s="1852">
        <f t="shared" si="1965"/>
        <v>0</v>
      </c>
      <c r="AF152" s="1868"/>
      <c r="AG152" s="1868"/>
      <c r="AH152" s="1868"/>
      <c r="AI152" s="1851">
        <f t="shared" si="1966"/>
        <v>0</v>
      </c>
      <c r="AJ152" s="1852">
        <f t="shared" si="1967"/>
        <v>0</v>
      </c>
      <c r="AK152" s="1868"/>
      <c r="AL152" s="1854"/>
      <c r="AM152" s="1855"/>
      <c r="AN152" s="1851">
        <f t="shared" si="1968"/>
        <v>0</v>
      </c>
      <c r="AO152" s="1853">
        <f t="shared" ref="AO152:AO163" si="1977">AN152+AJ152</f>
        <v>0</v>
      </c>
      <c r="AQ152" s="1834"/>
    </row>
    <row r="153">
      <c r="A153" s="1867" t="s">
        <v>578</v>
      </c>
      <c r="B153" s="1868"/>
      <c r="C153" s="1868"/>
      <c r="D153" s="1868"/>
      <c r="E153" s="1851">
        <f t="shared" si="1956"/>
        <v>0</v>
      </c>
      <c r="F153" s="1868"/>
      <c r="G153" s="1868"/>
      <c r="H153" s="1868"/>
      <c r="I153" s="1851">
        <f t="shared" si="1957"/>
        <v>0</v>
      </c>
      <c r="J153" s="1852">
        <f t="shared" si="1958"/>
        <v>0</v>
      </c>
      <c r="K153" s="1868"/>
      <c r="L153" s="1868"/>
      <c r="M153" s="1868"/>
      <c r="N153" s="1851">
        <f t="shared" si="1959"/>
        <v>0</v>
      </c>
      <c r="O153" s="1852">
        <f t="shared" si="1960"/>
        <v>0</v>
      </c>
      <c r="P153" s="1868"/>
      <c r="Q153" s="1868"/>
      <c r="R153" s="1868"/>
      <c r="S153" s="1851">
        <f t="shared" si="1961"/>
        <v>0</v>
      </c>
      <c r="T153" s="1853">
        <f t="shared" si="1970"/>
        <v>0</v>
      </c>
      <c r="V153" s="1867" t="s">
        <v>578</v>
      </c>
      <c r="W153" s="1868"/>
      <c r="X153" s="1868"/>
      <c r="Y153" s="1868"/>
      <c r="Z153" s="1851">
        <f t="shared" si="1963"/>
        <v>0</v>
      </c>
      <c r="AA153" s="1868"/>
      <c r="AB153" s="1868"/>
      <c r="AC153" s="1868"/>
      <c r="AD153" s="1851">
        <f t="shared" si="1964"/>
        <v>0</v>
      </c>
      <c r="AE153" s="1852">
        <f t="shared" si="1965"/>
        <v>0</v>
      </c>
      <c r="AF153" s="1868"/>
      <c r="AG153" s="1868"/>
      <c r="AH153" s="1868"/>
      <c r="AI153" s="1851">
        <f t="shared" si="1966"/>
        <v>0</v>
      </c>
      <c r="AJ153" s="1852">
        <f t="shared" si="1967"/>
        <v>0</v>
      </c>
      <c r="AK153" s="1868"/>
      <c r="AL153" s="1854"/>
      <c r="AM153" s="1855"/>
      <c r="AN153" s="1851">
        <f t="shared" si="1968"/>
        <v>0</v>
      </c>
      <c r="AO153" s="1853">
        <f t="shared" si="1977"/>
        <v>0</v>
      </c>
      <c r="AQ153" s="1834"/>
    </row>
    <row r="154">
      <c r="A154" s="1867" t="s">
        <v>579</v>
      </c>
      <c r="B154" s="1868"/>
      <c r="C154" s="1868"/>
      <c r="D154" s="1868"/>
      <c r="E154" s="1851">
        <f t="shared" si="1956"/>
        <v>0</v>
      </c>
      <c r="F154" s="1868"/>
      <c r="G154" s="1868"/>
      <c r="H154" s="1868"/>
      <c r="I154" s="1851">
        <f t="shared" si="1957"/>
        <v>0</v>
      </c>
      <c r="J154" s="1852">
        <f t="shared" si="1958"/>
        <v>0</v>
      </c>
      <c r="K154" s="1868"/>
      <c r="L154" s="1868"/>
      <c r="M154" s="1868"/>
      <c r="N154" s="1851">
        <f t="shared" si="1959"/>
        <v>0</v>
      </c>
      <c r="O154" s="1852">
        <f t="shared" si="1960"/>
        <v>0</v>
      </c>
      <c r="P154" s="1868"/>
      <c r="Q154" s="1868"/>
      <c r="R154" s="1868"/>
      <c r="S154" s="1851">
        <f t="shared" si="1961"/>
        <v>0</v>
      </c>
      <c r="T154" s="1853">
        <f t="shared" si="1970"/>
        <v>0</v>
      </c>
      <c r="V154" s="1867" t="s">
        <v>580</v>
      </c>
      <c r="W154" s="1868"/>
      <c r="X154" s="1868"/>
      <c r="Y154" s="1868"/>
      <c r="Z154" s="1851">
        <f t="shared" si="1963"/>
        <v>0</v>
      </c>
      <c r="AA154" s="1868"/>
      <c r="AB154" s="1868"/>
      <c r="AC154" s="1868"/>
      <c r="AD154" s="1851">
        <f t="shared" si="1964"/>
        <v>0</v>
      </c>
      <c r="AE154" s="1852">
        <f t="shared" si="1965"/>
        <v>0</v>
      </c>
      <c r="AF154" s="1868"/>
      <c r="AG154" s="1868"/>
      <c r="AH154" s="1868"/>
      <c r="AI154" s="1851">
        <f t="shared" si="1966"/>
        <v>0</v>
      </c>
      <c r="AJ154" s="1852">
        <f t="shared" si="1967"/>
        <v>0</v>
      </c>
      <c r="AK154" s="1868"/>
      <c r="AL154" s="1854"/>
      <c r="AM154" s="1855"/>
      <c r="AN154" s="1851">
        <f t="shared" si="1968"/>
        <v>0</v>
      </c>
      <c r="AO154" s="1853">
        <f t="shared" si="1977"/>
        <v>0</v>
      </c>
      <c r="AQ154" s="1834"/>
    </row>
    <row r="155">
      <c r="A155" s="1867" t="s">
        <v>581</v>
      </c>
      <c r="B155" s="1868"/>
      <c r="C155" s="1868"/>
      <c r="D155" s="1868"/>
      <c r="E155" s="1851">
        <f t="shared" si="1956"/>
        <v>0</v>
      </c>
      <c r="F155" s="1868"/>
      <c r="G155" s="1868"/>
      <c r="H155" s="1868"/>
      <c r="I155" s="1851">
        <f t="shared" si="1957"/>
        <v>0</v>
      </c>
      <c r="J155" s="1852">
        <f t="shared" si="1958"/>
        <v>0</v>
      </c>
      <c r="K155" s="1868"/>
      <c r="L155" s="1868"/>
      <c r="M155" s="1868"/>
      <c r="N155" s="1851">
        <f t="shared" si="1959"/>
        <v>0</v>
      </c>
      <c r="O155" s="1852">
        <f t="shared" si="1960"/>
        <v>0</v>
      </c>
      <c r="P155" s="1868"/>
      <c r="Q155" s="1868"/>
      <c r="R155" s="1868"/>
      <c r="S155" s="1851">
        <f t="shared" si="1961"/>
        <v>0</v>
      </c>
      <c r="T155" s="1853">
        <f t="shared" si="1970"/>
        <v>0</v>
      </c>
      <c r="V155" s="1867" t="s">
        <v>125</v>
      </c>
      <c r="W155" s="1868"/>
      <c r="X155" s="1868"/>
      <c r="Y155" s="1868"/>
      <c r="Z155" s="1851">
        <f t="shared" si="1963"/>
        <v>0</v>
      </c>
      <c r="AA155" s="1868"/>
      <c r="AB155" s="1868"/>
      <c r="AC155" s="1868"/>
      <c r="AD155" s="1851">
        <f t="shared" si="1964"/>
        <v>0</v>
      </c>
      <c r="AE155" s="1852">
        <f t="shared" si="1965"/>
        <v>0</v>
      </c>
      <c r="AF155" s="1868"/>
      <c r="AG155" s="1868"/>
      <c r="AH155" s="1868"/>
      <c r="AI155" s="1851">
        <f t="shared" si="1966"/>
        <v>0</v>
      </c>
      <c r="AJ155" s="1852">
        <f t="shared" si="1967"/>
        <v>0</v>
      </c>
      <c r="AK155" s="1868"/>
      <c r="AL155" s="1854"/>
      <c r="AM155" s="1855"/>
      <c r="AN155" s="1851">
        <f t="shared" si="1968"/>
        <v>0</v>
      </c>
      <c r="AO155" s="1853">
        <f t="shared" si="1977"/>
        <v>0</v>
      </c>
      <c r="AQ155" s="1834"/>
    </row>
    <row r="156">
      <c r="A156" s="1867" t="s">
        <v>582</v>
      </c>
      <c r="B156" s="1868"/>
      <c r="C156" s="1868"/>
      <c r="D156" s="1868"/>
      <c r="E156" s="1851">
        <f t="shared" si="1956"/>
        <v>0</v>
      </c>
      <c r="F156" s="1868"/>
      <c r="G156" s="1868"/>
      <c r="H156" s="1868"/>
      <c r="I156" s="1851">
        <f t="shared" si="1957"/>
        <v>0</v>
      </c>
      <c r="J156" s="1852">
        <f t="shared" si="1958"/>
        <v>0</v>
      </c>
      <c r="K156" s="1868"/>
      <c r="L156" s="1868"/>
      <c r="M156" s="1868"/>
      <c r="N156" s="1851">
        <f t="shared" si="1959"/>
        <v>0</v>
      </c>
      <c r="O156" s="1852">
        <f t="shared" si="1960"/>
        <v>0</v>
      </c>
      <c r="P156" s="1868"/>
      <c r="Q156" s="1868"/>
      <c r="R156" s="1868"/>
      <c r="S156" s="1851">
        <f t="shared" si="1961"/>
        <v>0</v>
      </c>
      <c r="T156" s="1853">
        <f t="shared" si="1970"/>
        <v>0</v>
      </c>
      <c r="V156" s="1867" t="s">
        <v>582</v>
      </c>
      <c r="W156" s="1868"/>
      <c r="X156" s="1868"/>
      <c r="Y156" s="1868"/>
      <c r="Z156" s="1851">
        <f t="shared" si="1963"/>
        <v>0</v>
      </c>
      <c r="AA156" s="1868"/>
      <c r="AB156" s="1868"/>
      <c r="AC156" s="1868"/>
      <c r="AD156" s="1851">
        <f t="shared" si="1964"/>
        <v>0</v>
      </c>
      <c r="AE156" s="1852">
        <f t="shared" si="1965"/>
        <v>0</v>
      </c>
      <c r="AF156" s="1868"/>
      <c r="AG156" s="1868"/>
      <c r="AH156" s="1868"/>
      <c r="AI156" s="1851">
        <f t="shared" si="1966"/>
        <v>0</v>
      </c>
      <c r="AJ156" s="1852">
        <f t="shared" si="1967"/>
        <v>0</v>
      </c>
      <c r="AK156" s="1868"/>
      <c r="AL156" s="1854"/>
      <c r="AM156" s="1855"/>
      <c r="AN156" s="1851">
        <f t="shared" si="1968"/>
        <v>0</v>
      </c>
      <c r="AO156" s="1853">
        <f t="shared" si="1977"/>
        <v>0</v>
      </c>
      <c r="AQ156" s="1834"/>
    </row>
    <row r="157" s="1869" customFormat="1">
      <c r="A157" s="1870" t="s">
        <v>583</v>
      </c>
      <c r="B157" s="1871">
        <f>SUM(B152:B156)</f>
        <v>0</v>
      </c>
      <c r="C157" s="1871">
        <f>SUM(C152:C156)</f>
        <v>0</v>
      </c>
      <c r="D157" s="1871">
        <f>SUM(D152:D156)</f>
        <v>0</v>
      </c>
      <c r="E157" s="1859">
        <f t="shared" si="1956"/>
        <v>0</v>
      </c>
      <c r="F157" s="1871">
        <f>SUM(F152:F156)</f>
        <v>0</v>
      </c>
      <c r="G157" s="1871">
        <f>SUM(G152:G156)</f>
        <v>0</v>
      </c>
      <c r="H157" s="1871">
        <f>SUM(H152:H156)</f>
        <v>0</v>
      </c>
      <c r="I157" s="1859">
        <f t="shared" si="1957"/>
        <v>0</v>
      </c>
      <c r="J157" s="1860">
        <f t="shared" si="1958"/>
        <v>0</v>
      </c>
      <c r="K157" s="1871">
        <f>SUM(K152:K156)</f>
        <v>0</v>
      </c>
      <c r="L157" s="1871">
        <f>SUM(L152:L156)</f>
        <v>0</v>
      </c>
      <c r="M157" s="1871">
        <f>SUM(M152:M156)</f>
        <v>0</v>
      </c>
      <c r="N157" s="1859">
        <f t="shared" si="1959"/>
        <v>0</v>
      </c>
      <c r="O157" s="1860">
        <f t="shared" si="1960"/>
        <v>0</v>
      </c>
      <c r="P157" s="1871">
        <f>SUM(P152:P156)</f>
        <v>0</v>
      </c>
      <c r="Q157" s="1871">
        <f>SUM(Q152:Q156)</f>
        <v>0</v>
      </c>
      <c r="R157" s="1871">
        <f>SUM(R152:R156)</f>
        <v>0</v>
      </c>
      <c r="S157" s="1859">
        <f t="shared" si="1961"/>
        <v>0</v>
      </c>
      <c r="T157" s="1861">
        <f t="shared" si="1970"/>
        <v>0</v>
      </c>
      <c r="U157" s="1515"/>
      <c r="V157" s="1870" t="s">
        <v>583</v>
      </c>
      <c r="W157" s="1871">
        <f>SUM(W152:W156)</f>
        <v>0</v>
      </c>
      <c r="X157" s="1871">
        <f>SUM(X152:X156)</f>
        <v>0</v>
      </c>
      <c r="Y157" s="1871">
        <f>SUM(Y152:Y156)</f>
        <v>0</v>
      </c>
      <c r="Z157" s="1859">
        <f t="shared" si="1963"/>
        <v>0</v>
      </c>
      <c r="AA157" s="1871">
        <f>SUM(AA152:AA156)</f>
        <v>0</v>
      </c>
      <c r="AB157" s="1871">
        <f>SUM(AB152:AB156)</f>
        <v>0</v>
      </c>
      <c r="AC157" s="1871">
        <f>SUM(AC152:AC156)</f>
        <v>0</v>
      </c>
      <c r="AD157" s="1859">
        <f t="shared" si="1964"/>
        <v>0</v>
      </c>
      <c r="AE157" s="1860">
        <f t="shared" si="1965"/>
        <v>0</v>
      </c>
      <c r="AF157" s="1871">
        <f>SUM(AF152:AF156)</f>
        <v>0</v>
      </c>
      <c r="AG157" s="1871">
        <f>SUM(AG152:AG156)</f>
        <v>0</v>
      </c>
      <c r="AH157" s="1871">
        <f>SUM(AH152:AH156)</f>
        <v>0</v>
      </c>
      <c r="AI157" s="1859">
        <f t="shared" si="1966"/>
        <v>0</v>
      </c>
      <c r="AJ157" s="1860">
        <f t="shared" si="1967"/>
        <v>0</v>
      </c>
      <c r="AK157" s="1871">
        <f>SUM(AK152:AK156)</f>
        <v>0</v>
      </c>
      <c r="AL157" s="1871">
        <f>SUM(AL152:AL156)</f>
        <v>0</v>
      </c>
      <c r="AM157" s="1871">
        <f>SUM(AM152:AM156)</f>
        <v>0</v>
      </c>
      <c r="AN157" s="1859">
        <f t="shared" si="1968"/>
        <v>0</v>
      </c>
      <c r="AO157" s="1861">
        <f t="shared" si="1977"/>
        <v>0</v>
      </c>
      <c r="AP157" s="1515"/>
      <c r="AQ157" s="1872"/>
      <c r="AR157" s="1515"/>
      <c r="AS157" s="1515"/>
      <c r="AT157" s="1515"/>
      <c r="AU157" s="1515"/>
      <c r="AV157" s="1515"/>
      <c r="AW157" s="1515"/>
      <c r="AX157" s="1515"/>
      <c r="AY157" s="1515"/>
      <c r="AZ157" s="1515"/>
    </row>
    <row r="158" s="1510" customFormat="1">
      <c r="A158" s="1873" t="s">
        <v>584</v>
      </c>
      <c r="B158" s="1858"/>
      <c r="C158" s="1858"/>
      <c r="D158" s="1858"/>
      <c r="E158" s="1859">
        <f t="shared" si="1956"/>
        <v>0</v>
      </c>
      <c r="F158" s="1858"/>
      <c r="G158" s="1858"/>
      <c r="H158" s="1302"/>
      <c r="I158" s="1859">
        <f t="shared" si="1957"/>
        <v>0</v>
      </c>
      <c r="J158" s="1860">
        <f t="shared" si="1958"/>
        <v>0</v>
      </c>
      <c r="K158" s="1858"/>
      <c r="L158" s="1858"/>
      <c r="M158" s="1858"/>
      <c r="N158" s="1859">
        <f t="shared" si="1959"/>
        <v>0</v>
      </c>
      <c r="O158" s="1860">
        <f t="shared" si="1960"/>
        <v>0</v>
      </c>
      <c r="P158" s="1858"/>
      <c r="Q158" s="1858"/>
      <c r="R158" s="1858"/>
      <c r="S158" s="1859">
        <f t="shared" si="1961"/>
        <v>0</v>
      </c>
      <c r="T158" s="1861">
        <f t="shared" si="1970"/>
        <v>0</v>
      </c>
      <c r="U158" s="1515"/>
      <c r="V158" s="1873" t="s">
        <v>584</v>
      </c>
      <c r="W158" s="1858"/>
      <c r="X158" s="1858"/>
      <c r="Y158" s="1858"/>
      <c r="Z158" s="1859">
        <f t="shared" si="1963"/>
        <v>0</v>
      </c>
      <c r="AA158" s="1858"/>
      <c r="AB158" s="1858"/>
      <c r="AC158" s="1302"/>
      <c r="AD158" s="1859">
        <f t="shared" si="1964"/>
        <v>0</v>
      </c>
      <c r="AE158" s="1860">
        <f t="shared" si="1965"/>
        <v>0</v>
      </c>
      <c r="AF158" s="1858"/>
      <c r="AG158" s="1858"/>
      <c r="AH158" s="1858"/>
      <c r="AI158" s="1859">
        <f t="shared" si="1966"/>
        <v>0</v>
      </c>
      <c r="AJ158" s="1860">
        <f t="shared" si="1967"/>
        <v>0</v>
      </c>
      <c r="AK158" s="1858"/>
      <c r="AL158" s="1874"/>
      <c r="AM158" s="1875"/>
      <c r="AN158" s="1859">
        <f t="shared" si="1968"/>
        <v>0</v>
      </c>
      <c r="AO158" s="1861">
        <f t="shared" si="1977"/>
        <v>0</v>
      </c>
      <c r="AP158" s="1515"/>
      <c r="AQ158" s="1862"/>
      <c r="AR158" s="1515"/>
      <c r="AS158" s="1515"/>
      <c r="AT158" s="1515"/>
      <c r="AU158" s="1515"/>
      <c r="AV158" s="1515"/>
      <c r="AW158" s="1515"/>
      <c r="AX158" s="1515"/>
      <c r="AY158" s="1515"/>
      <c r="AZ158" s="1515"/>
    </row>
    <row r="159" s="1510" customFormat="1">
      <c r="A159" s="1876" t="s">
        <v>577</v>
      </c>
      <c r="B159" s="1868"/>
      <c r="C159" s="1868"/>
      <c r="D159" s="1868"/>
      <c r="E159" s="1851">
        <f t="shared" si="1956"/>
        <v>0</v>
      </c>
      <c r="F159" s="1868"/>
      <c r="G159" s="1868"/>
      <c r="H159" s="1868"/>
      <c r="I159" s="1851">
        <f t="shared" si="1957"/>
        <v>0</v>
      </c>
      <c r="J159" s="1852">
        <f t="shared" si="1958"/>
        <v>0</v>
      </c>
      <c r="K159" s="1868"/>
      <c r="L159" s="1868"/>
      <c r="M159" s="1868"/>
      <c r="N159" s="1851">
        <f t="shared" si="1959"/>
        <v>0</v>
      </c>
      <c r="O159" s="1852">
        <f t="shared" si="1960"/>
        <v>0</v>
      </c>
      <c r="P159" s="1868"/>
      <c r="Q159" s="1868"/>
      <c r="R159" s="1868"/>
      <c r="S159" s="1851">
        <f t="shared" si="1961"/>
        <v>0</v>
      </c>
      <c r="T159" s="1853">
        <f t="shared" si="1970"/>
        <v>0</v>
      </c>
      <c r="U159" s="1515"/>
      <c r="V159" s="1876" t="s">
        <v>577</v>
      </c>
      <c r="W159" s="1868"/>
      <c r="X159" s="1868"/>
      <c r="Y159" s="1868"/>
      <c r="Z159" s="1851">
        <f t="shared" si="1963"/>
        <v>0</v>
      </c>
      <c r="AA159" s="1868"/>
      <c r="AB159" s="1868"/>
      <c r="AC159" s="1868"/>
      <c r="AD159" s="1851">
        <f t="shared" si="1964"/>
        <v>0</v>
      </c>
      <c r="AE159" s="1852">
        <f t="shared" si="1965"/>
        <v>0</v>
      </c>
      <c r="AF159" s="1868"/>
      <c r="AG159" s="1868"/>
      <c r="AH159" s="1868"/>
      <c r="AI159" s="1851">
        <f t="shared" si="1966"/>
        <v>0</v>
      </c>
      <c r="AJ159" s="1852">
        <f t="shared" si="1967"/>
        <v>0</v>
      </c>
      <c r="AK159" s="1868"/>
      <c r="AL159" s="1854"/>
      <c r="AM159" s="1855"/>
      <c r="AN159" s="1851">
        <f t="shared" si="1968"/>
        <v>0</v>
      </c>
      <c r="AO159" s="1853">
        <f t="shared" si="1977"/>
        <v>0</v>
      </c>
      <c r="AP159" s="1515"/>
      <c r="AQ159" s="1834"/>
      <c r="AR159" s="1515"/>
      <c r="AS159" s="1515"/>
      <c r="AT159" s="1515"/>
      <c r="AU159" s="1515"/>
      <c r="AV159" s="1515"/>
      <c r="AW159" s="1515"/>
      <c r="AX159" s="1515"/>
      <c r="AY159" s="1515"/>
      <c r="AZ159" s="1515"/>
    </row>
    <row r="160" s="1510" customFormat="1">
      <c r="A160" s="1876" t="s">
        <v>578</v>
      </c>
      <c r="B160" s="1868"/>
      <c r="C160" s="1868"/>
      <c r="D160" s="1868"/>
      <c r="E160" s="1851">
        <f t="shared" si="1956"/>
        <v>0</v>
      </c>
      <c r="F160" s="1868"/>
      <c r="G160" s="1868"/>
      <c r="H160" s="1868"/>
      <c r="I160" s="1851">
        <f t="shared" si="1957"/>
        <v>0</v>
      </c>
      <c r="J160" s="1852">
        <f t="shared" si="1958"/>
        <v>0</v>
      </c>
      <c r="K160" s="1868"/>
      <c r="L160" s="1868"/>
      <c r="M160" s="1868"/>
      <c r="N160" s="1851">
        <f t="shared" si="1959"/>
        <v>0</v>
      </c>
      <c r="O160" s="1852">
        <f t="shared" si="1960"/>
        <v>0</v>
      </c>
      <c r="P160" s="1868"/>
      <c r="Q160" s="1868"/>
      <c r="R160" s="1868"/>
      <c r="S160" s="1851">
        <f t="shared" si="1961"/>
        <v>0</v>
      </c>
      <c r="T160" s="1853">
        <f t="shared" si="1970"/>
        <v>0</v>
      </c>
      <c r="U160" s="1515"/>
      <c r="V160" s="1876" t="s">
        <v>578</v>
      </c>
      <c r="W160" s="1868"/>
      <c r="X160" s="1868"/>
      <c r="Y160" s="1868"/>
      <c r="Z160" s="1851">
        <f t="shared" si="1963"/>
        <v>0</v>
      </c>
      <c r="AA160" s="1868"/>
      <c r="AB160" s="1868"/>
      <c r="AC160" s="1868"/>
      <c r="AD160" s="1851">
        <f t="shared" si="1964"/>
        <v>0</v>
      </c>
      <c r="AE160" s="1852">
        <f t="shared" si="1965"/>
        <v>0</v>
      </c>
      <c r="AF160" s="1868"/>
      <c r="AG160" s="1868"/>
      <c r="AH160" s="1868"/>
      <c r="AI160" s="1851">
        <f t="shared" si="1966"/>
        <v>0</v>
      </c>
      <c r="AJ160" s="1852">
        <f t="shared" si="1967"/>
        <v>0</v>
      </c>
      <c r="AK160" s="1868"/>
      <c r="AL160" s="1854"/>
      <c r="AM160" s="1855"/>
      <c r="AN160" s="1851">
        <f t="shared" si="1968"/>
        <v>0</v>
      </c>
      <c r="AO160" s="1853">
        <f t="shared" si="1977"/>
        <v>0</v>
      </c>
      <c r="AP160" s="1515"/>
      <c r="AQ160" s="1834"/>
      <c r="AR160" s="1515"/>
      <c r="AS160" s="1515"/>
      <c r="AT160" s="1515"/>
      <c r="AU160" s="1515"/>
      <c r="AV160" s="1515"/>
      <c r="AW160" s="1515"/>
      <c r="AX160" s="1515"/>
      <c r="AY160" s="1515"/>
      <c r="AZ160" s="1515"/>
    </row>
    <row r="161" s="1510" customFormat="1">
      <c r="A161" s="1876" t="s">
        <v>579</v>
      </c>
      <c r="B161" s="1868"/>
      <c r="C161" s="1868"/>
      <c r="D161" s="1868"/>
      <c r="E161" s="1851">
        <f t="shared" si="1956"/>
        <v>0</v>
      </c>
      <c r="F161" s="1868"/>
      <c r="G161" s="1868"/>
      <c r="H161" s="1868"/>
      <c r="I161" s="1851">
        <f t="shared" si="1957"/>
        <v>0</v>
      </c>
      <c r="J161" s="1852">
        <f t="shared" si="1958"/>
        <v>0</v>
      </c>
      <c r="K161" s="1868"/>
      <c r="L161" s="1868"/>
      <c r="M161" s="1868"/>
      <c r="N161" s="1851">
        <f t="shared" si="1959"/>
        <v>0</v>
      </c>
      <c r="O161" s="1852">
        <f t="shared" si="1960"/>
        <v>0</v>
      </c>
      <c r="P161" s="1868"/>
      <c r="Q161" s="1868"/>
      <c r="R161" s="1868"/>
      <c r="S161" s="1851">
        <f t="shared" si="1961"/>
        <v>0</v>
      </c>
      <c r="T161" s="1853">
        <f t="shared" si="1970"/>
        <v>0</v>
      </c>
      <c r="U161" s="1515"/>
      <c r="V161" s="1876" t="s">
        <v>580</v>
      </c>
      <c r="W161" s="1868"/>
      <c r="X161" s="1868"/>
      <c r="Y161" s="1868"/>
      <c r="Z161" s="1851">
        <f t="shared" si="1963"/>
        <v>0</v>
      </c>
      <c r="AA161" s="1868"/>
      <c r="AB161" s="1868"/>
      <c r="AC161" s="1868"/>
      <c r="AD161" s="1851">
        <f t="shared" si="1964"/>
        <v>0</v>
      </c>
      <c r="AE161" s="1852">
        <f t="shared" si="1965"/>
        <v>0</v>
      </c>
      <c r="AF161" s="1868"/>
      <c r="AG161" s="1868"/>
      <c r="AH161" s="1868"/>
      <c r="AI161" s="1851">
        <f t="shared" si="1966"/>
        <v>0</v>
      </c>
      <c r="AJ161" s="1852">
        <f t="shared" si="1967"/>
        <v>0</v>
      </c>
      <c r="AK161" s="1868"/>
      <c r="AL161" s="1854"/>
      <c r="AM161" s="1855"/>
      <c r="AN161" s="1851">
        <f t="shared" si="1968"/>
        <v>0</v>
      </c>
      <c r="AO161" s="1853">
        <f t="shared" si="1977"/>
        <v>0</v>
      </c>
      <c r="AP161" s="1515"/>
      <c r="AQ161" s="1834"/>
      <c r="AR161" s="1515"/>
      <c r="AS161" s="1515"/>
      <c r="AT161" s="1515"/>
      <c r="AU161" s="1515"/>
      <c r="AV161" s="1515"/>
      <c r="AW161" s="1515"/>
      <c r="AX161" s="1515"/>
      <c r="AY161" s="1515"/>
      <c r="AZ161" s="1515"/>
    </row>
    <row r="162" s="1510" customFormat="1">
      <c r="A162" s="1876" t="s">
        <v>581</v>
      </c>
      <c r="B162" s="1868"/>
      <c r="C162" s="1868"/>
      <c r="D162" s="1868"/>
      <c r="E162" s="1851">
        <f t="shared" si="1956"/>
        <v>0</v>
      </c>
      <c r="F162" s="1868"/>
      <c r="G162" s="1868"/>
      <c r="H162" s="1868"/>
      <c r="I162" s="1851">
        <f t="shared" si="1957"/>
        <v>0</v>
      </c>
      <c r="J162" s="1852">
        <f t="shared" si="1958"/>
        <v>0</v>
      </c>
      <c r="K162" s="1868"/>
      <c r="L162" s="1868"/>
      <c r="M162" s="1868"/>
      <c r="N162" s="1851">
        <f t="shared" si="1959"/>
        <v>0</v>
      </c>
      <c r="O162" s="1852">
        <f t="shared" si="1960"/>
        <v>0</v>
      </c>
      <c r="P162" s="1868"/>
      <c r="Q162" s="1868"/>
      <c r="R162" s="1868"/>
      <c r="S162" s="1851">
        <f t="shared" si="1961"/>
        <v>0</v>
      </c>
      <c r="T162" s="1853">
        <f t="shared" si="1970"/>
        <v>0</v>
      </c>
      <c r="U162" s="1515"/>
      <c r="V162" s="1876" t="s">
        <v>125</v>
      </c>
      <c r="W162" s="1868"/>
      <c r="X162" s="1868"/>
      <c r="Y162" s="1868"/>
      <c r="Z162" s="1851">
        <f t="shared" si="1963"/>
        <v>0</v>
      </c>
      <c r="AA162" s="1868"/>
      <c r="AB162" s="1868"/>
      <c r="AC162" s="1868"/>
      <c r="AD162" s="1851">
        <f t="shared" si="1964"/>
        <v>0</v>
      </c>
      <c r="AE162" s="1852">
        <f t="shared" si="1965"/>
        <v>0</v>
      </c>
      <c r="AF162" s="1868"/>
      <c r="AG162" s="1868"/>
      <c r="AH162" s="1868"/>
      <c r="AI162" s="1851">
        <f t="shared" si="1966"/>
        <v>0</v>
      </c>
      <c r="AJ162" s="1852">
        <f t="shared" si="1967"/>
        <v>0</v>
      </c>
      <c r="AK162" s="1868"/>
      <c r="AL162" s="1854"/>
      <c r="AM162" s="1855"/>
      <c r="AN162" s="1851">
        <f t="shared" si="1968"/>
        <v>0</v>
      </c>
      <c r="AO162" s="1853">
        <f t="shared" si="1977"/>
        <v>0</v>
      </c>
      <c r="AP162" s="1515"/>
      <c r="AQ162" s="1834"/>
      <c r="AR162" s="1515"/>
      <c r="AS162" s="1515"/>
      <c r="AT162" s="1515"/>
      <c r="AU162" s="1515"/>
      <c r="AV162" s="1515"/>
      <c r="AW162" s="1515"/>
      <c r="AX162" s="1515"/>
      <c r="AY162" s="1515"/>
      <c r="AZ162" s="1515"/>
    </row>
    <row r="163" s="1510" customFormat="1">
      <c r="A163" s="1876" t="s">
        <v>582</v>
      </c>
      <c r="B163" s="1868"/>
      <c r="C163" s="1868"/>
      <c r="D163" s="1868"/>
      <c r="E163" s="1851">
        <f t="shared" si="1956"/>
        <v>0</v>
      </c>
      <c r="F163" s="1868"/>
      <c r="G163" s="1868"/>
      <c r="H163" s="1868"/>
      <c r="I163" s="1851">
        <f t="shared" si="1957"/>
        <v>0</v>
      </c>
      <c r="J163" s="1852">
        <f t="shared" si="1958"/>
        <v>0</v>
      </c>
      <c r="K163" s="1868"/>
      <c r="L163" s="1868"/>
      <c r="M163" s="1868"/>
      <c r="N163" s="1851">
        <f t="shared" si="1959"/>
        <v>0</v>
      </c>
      <c r="O163" s="1852">
        <f t="shared" si="1960"/>
        <v>0</v>
      </c>
      <c r="P163" s="1868"/>
      <c r="Q163" s="1868"/>
      <c r="R163" s="1868"/>
      <c r="S163" s="1851">
        <f t="shared" si="1961"/>
        <v>0</v>
      </c>
      <c r="T163" s="1853">
        <f t="shared" si="1970"/>
        <v>0</v>
      </c>
      <c r="U163" s="1515"/>
      <c r="V163" s="1876" t="s">
        <v>582</v>
      </c>
      <c r="W163" s="1868"/>
      <c r="X163" s="1868"/>
      <c r="Y163" s="1868"/>
      <c r="Z163" s="1851">
        <f t="shared" si="1963"/>
        <v>0</v>
      </c>
      <c r="AA163" s="1868"/>
      <c r="AB163" s="1868"/>
      <c r="AC163" s="1868"/>
      <c r="AD163" s="1851">
        <f t="shared" si="1964"/>
        <v>0</v>
      </c>
      <c r="AE163" s="1852">
        <f t="shared" si="1965"/>
        <v>0</v>
      </c>
      <c r="AF163" s="1868"/>
      <c r="AG163" s="1868"/>
      <c r="AH163" s="1868"/>
      <c r="AI163" s="1851">
        <f t="shared" si="1966"/>
        <v>0</v>
      </c>
      <c r="AJ163" s="1852">
        <f t="shared" si="1967"/>
        <v>0</v>
      </c>
      <c r="AK163" s="1868"/>
      <c r="AL163" s="1854"/>
      <c r="AM163" s="1855"/>
      <c r="AN163" s="1851">
        <f t="shared" si="1968"/>
        <v>0</v>
      </c>
      <c r="AO163" s="1853">
        <f t="shared" si="1977"/>
        <v>0</v>
      </c>
      <c r="AP163" s="1515"/>
      <c r="AQ163" s="1834"/>
      <c r="AR163" s="1515"/>
      <c r="AS163" s="1515"/>
      <c r="AT163" s="1515"/>
      <c r="AU163" s="1515"/>
      <c r="AV163" s="1515"/>
      <c r="AW163" s="1515"/>
      <c r="AX163" s="1515"/>
      <c r="AY163" s="1515"/>
      <c r="AZ163" s="1515"/>
    </row>
    <row r="164" s="1510" customFormat="1">
      <c r="A164" s="1877" t="s">
        <v>585</v>
      </c>
      <c r="B164" s="1871">
        <f>SUM(B159:B163)</f>
        <v>0</v>
      </c>
      <c r="C164" s="1871">
        <f>SUM(C159:C163)</f>
        <v>0</v>
      </c>
      <c r="D164" s="1871">
        <f>SUM(D159:D163)</f>
        <v>0</v>
      </c>
      <c r="E164" s="1851">
        <f t="shared" si="1956"/>
        <v>0</v>
      </c>
      <c r="F164" s="1871">
        <f>SUM(F159:F163)</f>
        <v>0</v>
      </c>
      <c r="G164" s="1871">
        <f>SUM(G159:G163)</f>
        <v>0</v>
      </c>
      <c r="H164" s="1871">
        <f>SUM(H159:H163)</f>
        <v>0</v>
      </c>
      <c r="I164" s="1859">
        <f t="shared" si="1957"/>
        <v>0</v>
      </c>
      <c r="J164" s="1860">
        <f t="shared" si="1958"/>
        <v>0</v>
      </c>
      <c r="K164" s="1871">
        <f>SUM(K159:K163)</f>
        <v>0</v>
      </c>
      <c r="L164" s="1871">
        <f>SUM(L159:L163)</f>
        <v>0</v>
      </c>
      <c r="M164" s="1871">
        <f>SUM(M159:M163)</f>
        <v>0</v>
      </c>
      <c r="N164" s="1859">
        <f t="shared" si="1959"/>
        <v>0</v>
      </c>
      <c r="O164" s="1860">
        <f t="shared" si="1960"/>
        <v>0</v>
      </c>
      <c r="P164" s="1871">
        <f>SUM(P159:P163)</f>
        <v>0</v>
      </c>
      <c r="Q164" s="1871">
        <f>SUM(Q159:Q163)</f>
        <v>0</v>
      </c>
      <c r="R164" s="1871">
        <f>SUM(R159:R163)</f>
        <v>0</v>
      </c>
      <c r="S164" s="1859">
        <f t="shared" si="1961"/>
        <v>0</v>
      </c>
      <c r="T164" s="1861">
        <f>SUM(T159:T163)</f>
        <v>0</v>
      </c>
      <c r="U164" s="1515"/>
      <c r="V164" s="1877" t="s">
        <v>585</v>
      </c>
      <c r="W164" s="1871">
        <f>SUM(W159:W163)</f>
        <v>0</v>
      </c>
      <c r="X164" s="1871">
        <f>SUM(X159:X163)</f>
        <v>0</v>
      </c>
      <c r="Y164" s="1871">
        <f>SUM(Y159:Y163)</f>
        <v>0</v>
      </c>
      <c r="Z164" s="1851">
        <f t="shared" si="1963"/>
        <v>0</v>
      </c>
      <c r="AA164" s="1871">
        <f>SUM(AA159:AA163)</f>
        <v>0</v>
      </c>
      <c r="AB164" s="1871">
        <f>SUM(AB159:AB163)</f>
        <v>0</v>
      </c>
      <c r="AC164" s="1871">
        <f>SUM(AC159:AC163)</f>
        <v>0</v>
      </c>
      <c r="AD164" s="1859">
        <f t="shared" si="1964"/>
        <v>0</v>
      </c>
      <c r="AE164" s="1860">
        <f t="shared" si="1965"/>
        <v>0</v>
      </c>
      <c r="AF164" s="1871">
        <f>SUM(AF159:AF163)</f>
        <v>0</v>
      </c>
      <c r="AG164" s="1871">
        <f>SUM(AG159:AG163)</f>
        <v>0</v>
      </c>
      <c r="AH164" s="1871">
        <f>SUM(AH159:AH163)</f>
        <v>0</v>
      </c>
      <c r="AI164" s="1859">
        <f t="shared" si="1966"/>
        <v>0</v>
      </c>
      <c r="AJ164" s="1860">
        <f t="shared" si="1967"/>
        <v>0</v>
      </c>
      <c r="AK164" s="1871">
        <f>SUM(AK159:AK163)</f>
        <v>0</v>
      </c>
      <c r="AL164" s="1871">
        <f>SUM(AL159:AL163)</f>
        <v>0</v>
      </c>
      <c r="AM164" s="1871">
        <f>SUM(AM159:AM163)</f>
        <v>0</v>
      </c>
      <c r="AN164" s="1859">
        <f t="shared" si="1968"/>
        <v>0</v>
      </c>
      <c r="AO164" s="1861">
        <f>SUM(AO159:AO163)</f>
        <v>0</v>
      </c>
      <c r="AP164" s="1515"/>
      <c r="AQ164" s="1872"/>
      <c r="AR164" s="1515"/>
      <c r="AS164" s="1515"/>
      <c r="AT164" s="1515"/>
      <c r="AU164" s="1515"/>
      <c r="AV164" s="1515"/>
      <c r="AW164" s="1515"/>
      <c r="AX164" s="1515"/>
      <c r="AY164" s="1515"/>
      <c r="AZ164" s="1515"/>
    </row>
    <row r="165" s="1510" customFormat="1" ht="18.75">
      <c r="A165" s="1870" t="s">
        <v>586</v>
      </c>
      <c r="B165" s="1302">
        <f>B158+B151</f>
        <v>17839</v>
      </c>
      <c r="C165" s="1302">
        <f>C158+C151</f>
        <v>24898</v>
      </c>
      <c r="D165" s="1302">
        <f>D158+D151</f>
        <v>0</v>
      </c>
      <c r="E165" s="1851">
        <f t="shared" si="1956"/>
        <v>42737</v>
      </c>
      <c r="F165" s="1302">
        <f>F158+F151</f>
        <v>0</v>
      </c>
      <c r="G165" s="1302">
        <f>G158+G151</f>
        <v>0</v>
      </c>
      <c r="H165" s="1302">
        <f>H158+H151</f>
        <v>0</v>
      </c>
      <c r="I165" s="1859">
        <f t="shared" si="1957"/>
        <v>0</v>
      </c>
      <c r="J165" s="1860">
        <f t="shared" si="1958"/>
        <v>42737</v>
      </c>
      <c r="K165" s="1302">
        <f>K158+K151</f>
        <v>0</v>
      </c>
      <c r="L165" s="1302">
        <f>L158+L151</f>
        <v>0</v>
      </c>
      <c r="M165" s="1302">
        <f>M158+M151</f>
        <v>0</v>
      </c>
      <c r="N165" s="1859">
        <f t="shared" si="1959"/>
        <v>0</v>
      </c>
      <c r="O165" s="1860">
        <f t="shared" si="1960"/>
        <v>42737</v>
      </c>
      <c r="P165" s="1302">
        <f>P158+P151</f>
        <v>0</v>
      </c>
      <c r="Q165" s="1302">
        <f>Q158+Q151</f>
        <v>0</v>
      </c>
      <c r="R165" s="1302">
        <f>R158+R151</f>
        <v>0</v>
      </c>
      <c r="S165" s="1859">
        <f t="shared" si="1961"/>
        <v>0</v>
      </c>
      <c r="T165" s="1861">
        <f>T151+T158</f>
        <v>42737</v>
      </c>
      <c r="U165" s="1878">
        <f>T151-T148-T145-T139</f>
        <v>41210.5</v>
      </c>
      <c r="V165" s="1870" t="s">
        <v>586</v>
      </c>
      <c r="W165" s="1302">
        <f>W158+W151</f>
        <v>7191</v>
      </c>
      <c r="X165" s="1302">
        <f>X158+X151</f>
        <v>9787</v>
      </c>
      <c r="Y165" s="1302">
        <f>Y158+Y151</f>
        <v>0</v>
      </c>
      <c r="Z165" s="1851">
        <f t="shared" si="1963"/>
        <v>16978</v>
      </c>
      <c r="AA165" s="1302">
        <f>AA158+AA151</f>
        <v>0</v>
      </c>
      <c r="AB165" s="1302">
        <f>AB158+AB151</f>
        <v>0</v>
      </c>
      <c r="AC165" s="1302">
        <f>AC158+AC151</f>
        <v>0</v>
      </c>
      <c r="AD165" s="1859">
        <f t="shared" si="1964"/>
        <v>0</v>
      </c>
      <c r="AE165" s="1860">
        <f t="shared" si="1965"/>
        <v>16978</v>
      </c>
      <c r="AF165" s="1302">
        <f>AF158+AF151</f>
        <v>0</v>
      </c>
      <c r="AG165" s="1302">
        <f>AG158+AG151</f>
        <v>0</v>
      </c>
      <c r="AH165" s="1302">
        <f>AH158+AH151</f>
        <v>0</v>
      </c>
      <c r="AI165" s="1859">
        <f t="shared" si="1966"/>
        <v>0</v>
      </c>
      <c r="AJ165" s="1860">
        <f t="shared" si="1967"/>
        <v>16978</v>
      </c>
      <c r="AK165" s="1302">
        <f>AK158+AK151</f>
        <v>0</v>
      </c>
      <c r="AL165" s="1302">
        <f>AL158+AL151</f>
        <v>0</v>
      </c>
      <c r="AM165" s="1302">
        <f>AM158+AM151</f>
        <v>0</v>
      </c>
      <c r="AN165" s="1859">
        <f t="shared" si="1968"/>
        <v>0</v>
      </c>
      <c r="AO165" s="1861">
        <f>AO151+AO158</f>
        <v>16978</v>
      </c>
      <c r="AP165" s="1515"/>
      <c r="AQ165" s="1612"/>
      <c r="AR165" s="1515"/>
      <c r="AS165" s="1515"/>
      <c r="AT165" s="1515"/>
      <c r="AU165" s="1515"/>
      <c r="AV165" s="1515"/>
      <c r="AW165" s="1515"/>
      <c r="AX165" s="1515"/>
      <c r="AY165" s="1515"/>
      <c r="AZ165" s="1515"/>
    </row>
    <row r="166" s="1510" customFormat="1">
      <c r="A166" s="1870" t="s">
        <v>587</v>
      </c>
      <c r="B166" s="1871">
        <f>B164+B157</f>
        <v>0</v>
      </c>
      <c r="C166" s="1871">
        <f>C164+C157</f>
        <v>0</v>
      </c>
      <c r="D166" s="1871">
        <f>D164+D157</f>
        <v>0</v>
      </c>
      <c r="E166" s="1851">
        <f t="shared" ref="E166:E229" si="1978">B166+C166+D166</f>
        <v>0</v>
      </c>
      <c r="F166" s="1871">
        <f>F164+F157</f>
        <v>0</v>
      </c>
      <c r="G166" s="1871">
        <f>G164+G157</f>
        <v>0</v>
      </c>
      <c r="H166" s="1871">
        <f>H164+H157</f>
        <v>0</v>
      </c>
      <c r="I166" s="1859">
        <f t="shared" ref="I166:I229" si="1979">F166+G166+H166</f>
        <v>0</v>
      </c>
      <c r="J166" s="1860">
        <f t="shared" ref="J166:J229" si="1980">E166+I166</f>
        <v>0</v>
      </c>
      <c r="K166" s="1871">
        <f>K164+K157</f>
        <v>0</v>
      </c>
      <c r="L166" s="1871">
        <f>L164+L157</f>
        <v>0</v>
      </c>
      <c r="M166" s="1871">
        <f>M164+M157</f>
        <v>0</v>
      </c>
      <c r="N166" s="1859">
        <f t="shared" ref="N166:N229" si="1981">K166+L166+M166</f>
        <v>0</v>
      </c>
      <c r="O166" s="1860">
        <f t="shared" ref="O166:O229" si="1982">J166+N166</f>
        <v>0</v>
      </c>
      <c r="P166" s="1871">
        <f>P164+P157</f>
        <v>0</v>
      </c>
      <c r="Q166" s="1871">
        <f>Q164+Q157</f>
        <v>0</v>
      </c>
      <c r="R166" s="1871">
        <f>R164+R157</f>
        <v>0</v>
      </c>
      <c r="S166" s="1859">
        <f t="shared" ref="S166" si="1983">P166+Q166+R166</f>
        <v>0</v>
      </c>
      <c r="T166" s="1861">
        <f>T157+T164</f>
        <v>0</v>
      </c>
      <c r="U166" s="1879"/>
      <c r="V166" s="1870" t="s">
        <v>587</v>
      </c>
      <c r="W166" s="1871">
        <f>W164+W157</f>
        <v>0</v>
      </c>
      <c r="X166" s="1871">
        <f>X164+X157</f>
        <v>0</v>
      </c>
      <c r="Y166" s="1871">
        <f>Y164+Y157</f>
        <v>0</v>
      </c>
      <c r="Z166" s="1851">
        <f t="shared" ref="Z166:Z229" si="1984">W166+X166+Y166</f>
        <v>0</v>
      </c>
      <c r="AA166" s="1871">
        <f>AA164+AA157</f>
        <v>0</v>
      </c>
      <c r="AB166" s="1871">
        <f>AB164+AB157</f>
        <v>0</v>
      </c>
      <c r="AC166" s="1871">
        <f>AC164+AC157</f>
        <v>0</v>
      </c>
      <c r="AD166" s="1859">
        <f t="shared" ref="AD166:AD229" si="1985">AA166+AB166+AC166</f>
        <v>0</v>
      </c>
      <c r="AE166" s="1860">
        <f t="shared" ref="AE166:AE229" si="1986">Z166+AD166</f>
        <v>0</v>
      </c>
      <c r="AF166" s="1871">
        <f>AF164+AF157</f>
        <v>0</v>
      </c>
      <c r="AG166" s="1871">
        <f>AG164+AG157</f>
        <v>0</v>
      </c>
      <c r="AH166" s="1871">
        <f>AH164+AH157</f>
        <v>0</v>
      </c>
      <c r="AI166" s="1859">
        <f t="shared" ref="AI166:AI229" si="1987">AF166+AG166+AH166</f>
        <v>0</v>
      </c>
      <c r="AJ166" s="1860">
        <f t="shared" ref="AJ166:AJ229" si="1988">AE166+AI166</f>
        <v>0</v>
      </c>
      <c r="AK166" s="1871">
        <f>AK164+AK157</f>
        <v>0</v>
      </c>
      <c r="AL166" s="1871">
        <f>AL164+AL157</f>
        <v>0</v>
      </c>
      <c r="AM166" s="1871">
        <f>AM164+AM157</f>
        <v>0</v>
      </c>
      <c r="AN166" s="1859">
        <f t="shared" ref="AN166:AN229" si="1989">AK166+AL166+AM166</f>
        <v>0</v>
      </c>
      <c r="AO166" s="1861">
        <f>AO157+AO164</f>
        <v>0</v>
      </c>
      <c r="AP166" s="1515"/>
      <c r="AQ166" s="1872"/>
      <c r="AR166" s="1515"/>
      <c r="AS166" s="1515"/>
      <c r="AT166" s="1515"/>
      <c r="AU166" s="1515"/>
      <c r="AV166" s="1515"/>
      <c r="AW166" s="1515"/>
      <c r="AX166" s="1515"/>
      <c r="AY166" s="1515"/>
      <c r="AZ166" s="1515"/>
    </row>
    <row r="167" s="1880" customFormat="1">
      <c r="A167" s="1881"/>
      <c r="B167" s="1610"/>
      <c r="C167" s="1610"/>
      <c r="D167" s="1610"/>
      <c r="E167" s="1882"/>
      <c r="F167" s="1610"/>
      <c r="G167" s="1610"/>
      <c r="H167" s="1612"/>
      <c r="I167" s="1882"/>
      <c r="J167" s="1882"/>
      <c r="K167" s="1610"/>
      <c r="L167" s="1610"/>
      <c r="M167" s="1610"/>
      <c r="N167" s="1882"/>
      <c r="O167" s="1882"/>
      <c r="P167" s="1610"/>
      <c r="Q167" s="1610"/>
      <c r="R167" s="1612"/>
      <c r="S167" s="1883"/>
      <c r="T167" s="1883"/>
      <c r="U167" s="1879"/>
      <c r="V167" s="1879"/>
      <c r="W167" s="1879"/>
      <c r="X167" s="1879"/>
      <c r="Y167" s="1879"/>
      <c r="Z167" s="1884"/>
      <c r="AA167" s="1879"/>
      <c r="AB167" s="1879"/>
      <c r="AC167" s="1885"/>
      <c r="AD167" s="1884"/>
      <c r="AE167" s="1884"/>
      <c r="AF167" s="1879"/>
      <c r="AG167" s="1879"/>
      <c r="AH167" s="1879"/>
      <c r="AI167" s="1884"/>
      <c r="AJ167" s="1884"/>
      <c r="AK167" s="1879"/>
      <c r="AL167" s="1886"/>
      <c r="AM167" s="1879"/>
      <c r="AN167" s="1884"/>
      <c r="AO167" s="1884"/>
      <c r="AP167" s="1879"/>
      <c r="AQ167" s="1879"/>
      <c r="AR167" s="1879"/>
      <c r="AS167" s="1879"/>
      <c r="AT167" s="1879"/>
      <c r="AU167" s="1879"/>
      <c r="AV167" s="1879"/>
      <c r="AW167" s="1879"/>
      <c r="AX167" s="1879"/>
      <c r="AY167" s="1879"/>
      <c r="AZ167" s="1879"/>
    </row>
    <row r="168" s="1880" customFormat="1">
      <c r="A168" s="1881"/>
      <c r="B168" s="1610"/>
      <c r="C168" s="1610"/>
      <c r="D168" s="1610"/>
      <c r="E168" s="1882"/>
      <c r="F168" s="1610"/>
      <c r="G168" s="1610"/>
      <c r="H168" s="1612"/>
      <c r="I168" s="1882"/>
      <c r="J168" s="1882"/>
      <c r="K168" s="1610"/>
      <c r="L168" s="1610"/>
      <c r="M168" s="1610"/>
      <c r="N168" s="1882"/>
      <c r="O168" s="1882"/>
      <c r="P168" s="1610"/>
      <c r="Q168" s="1610"/>
      <c r="R168" s="1612"/>
      <c r="S168" s="1883"/>
      <c r="T168" s="1883"/>
      <c r="U168" s="1879"/>
      <c r="V168" s="1879"/>
      <c r="W168" s="1879"/>
      <c r="X168" s="1879"/>
      <c r="Y168" s="1879"/>
      <c r="Z168" s="1884"/>
      <c r="AA168" s="1879"/>
      <c r="AB168" s="1879"/>
      <c r="AC168" s="1885"/>
      <c r="AD168" s="1884"/>
      <c r="AE168" s="1884"/>
      <c r="AF168" s="1879"/>
      <c r="AG168" s="1879"/>
      <c r="AH168" s="1879"/>
      <c r="AI168" s="1884"/>
      <c r="AJ168" s="1884"/>
      <c r="AK168" s="1879"/>
      <c r="AL168" s="1886"/>
      <c r="AM168" s="1879"/>
      <c r="AN168" s="1884"/>
      <c r="AO168" s="1884"/>
      <c r="AP168" s="1879"/>
      <c r="AQ168" s="1879"/>
      <c r="AR168" s="1879"/>
      <c r="AS168" s="1879"/>
      <c r="AT168" s="1879"/>
      <c r="AU168" s="1879"/>
      <c r="AV168" s="1879"/>
      <c r="AW168" s="1879"/>
      <c r="AX168" s="1879"/>
      <c r="AY168" s="1879"/>
      <c r="AZ168" s="1879"/>
    </row>
    <row r="169" s="1848" customFormat="1" ht="23.25" customHeight="1">
      <c r="A169" s="1842" t="s">
        <v>588</v>
      </c>
      <c r="B169" s="1887" t="s">
        <v>129</v>
      </c>
      <c r="C169" s="1888"/>
      <c r="D169" s="1888"/>
      <c r="E169" s="1888"/>
      <c r="F169" s="1888"/>
      <c r="G169" s="1888"/>
      <c r="H169" s="1888"/>
      <c r="I169" s="1888"/>
      <c r="J169" s="1888"/>
      <c r="K169" s="1888"/>
      <c r="L169" s="1888"/>
      <c r="M169" s="1888"/>
      <c r="N169" s="1888"/>
      <c r="O169" s="1888"/>
      <c r="P169" s="1888"/>
      <c r="Q169" s="1888"/>
      <c r="R169" s="1888"/>
      <c r="S169" s="1888"/>
      <c r="T169" s="1889"/>
      <c r="U169" s="1621"/>
      <c r="V169" s="1890" t="s">
        <v>588</v>
      </c>
      <c r="W169" s="1891" t="s">
        <v>589</v>
      </c>
      <c r="X169" s="1892"/>
      <c r="Y169" s="1892"/>
      <c r="Z169" s="1892"/>
      <c r="AA169" s="1892"/>
      <c r="AB169" s="1892"/>
      <c r="AC169" s="1892"/>
      <c r="AD169" s="1892"/>
      <c r="AE169" s="1892"/>
      <c r="AF169" s="1892"/>
      <c r="AG169" s="1892"/>
      <c r="AH169" s="1892"/>
      <c r="AI169" s="1892"/>
      <c r="AJ169" s="1892"/>
      <c r="AK169" s="1892"/>
      <c r="AL169" s="1893"/>
      <c r="AM169" s="1892"/>
      <c r="AN169" s="1892"/>
      <c r="AO169" s="1892"/>
      <c r="AP169" s="1621"/>
      <c r="AQ169" s="1621"/>
      <c r="AR169" s="1621"/>
      <c r="AS169" s="1621"/>
      <c r="AT169" s="1621"/>
      <c r="AU169" s="1621"/>
      <c r="AV169" s="1621"/>
      <c r="AW169" s="1621"/>
      <c r="AX169" s="1621"/>
      <c r="AY169" s="1621"/>
      <c r="AZ169" s="1621"/>
    </row>
    <row r="170" s="1894" customFormat="1">
      <c r="A170" s="1427" t="s">
        <v>173</v>
      </c>
      <c r="B170" s="1427" t="s">
        <v>6</v>
      </c>
      <c r="C170" s="1427" t="s">
        <v>7</v>
      </c>
      <c r="D170" s="1849" t="s">
        <v>8</v>
      </c>
      <c r="E170" s="1429" t="s">
        <v>9</v>
      </c>
      <c r="F170" s="1421" t="s">
        <v>10</v>
      </c>
      <c r="G170" s="1421" t="s">
        <v>11</v>
      </c>
      <c r="H170" s="1421" t="s">
        <v>12</v>
      </c>
      <c r="I170" s="1425" t="s">
        <v>174</v>
      </c>
      <c r="J170" s="1430" t="s">
        <v>175</v>
      </c>
      <c r="K170" s="1421" t="s">
        <v>14</v>
      </c>
      <c r="L170" s="1421" t="s">
        <v>15</v>
      </c>
      <c r="M170" s="1421" t="s">
        <v>16</v>
      </c>
      <c r="N170" s="1425" t="s">
        <v>17</v>
      </c>
      <c r="O170" s="1430" t="s">
        <v>176</v>
      </c>
      <c r="P170" s="1421" t="s">
        <v>18</v>
      </c>
      <c r="Q170" s="1421" t="s">
        <v>19</v>
      </c>
      <c r="R170" s="1421" t="s">
        <v>20</v>
      </c>
      <c r="S170" s="1425" t="s">
        <v>177</v>
      </c>
      <c r="T170" s="1426" t="s">
        <v>22</v>
      </c>
      <c r="U170" s="1621"/>
      <c r="V170" s="1421" t="s">
        <v>173</v>
      </c>
      <c r="W170" s="1421" t="s">
        <v>6</v>
      </c>
      <c r="X170" s="1427" t="s">
        <v>7</v>
      </c>
      <c r="Y170" s="1849" t="s">
        <v>8</v>
      </c>
      <c r="Z170" s="1429" t="s">
        <v>9</v>
      </c>
      <c r="AA170" s="1421" t="s">
        <v>10</v>
      </c>
      <c r="AB170" s="1421" t="s">
        <v>11</v>
      </c>
      <c r="AC170" s="1421" t="s">
        <v>12</v>
      </c>
      <c r="AD170" s="1425" t="s">
        <v>174</v>
      </c>
      <c r="AE170" s="1430" t="s">
        <v>175</v>
      </c>
      <c r="AF170" s="1421" t="s">
        <v>14</v>
      </c>
      <c r="AG170" s="1421" t="s">
        <v>15</v>
      </c>
      <c r="AH170" s="1421" t="s">
        <v>16</v>
      </c>
      <c r="AI170" s="1425" t="s">
        <v>17</v>
      </c>
      <c r="AJ170" s="1430" t="s">
        <v>176</v>
      </c>
      <c r="AK170" s="1421" t="s">
        <v>18</v>
      </c>
      <c r="AL170" s="1424" t="s">
        <v>19</v>
      </c>
      <c r="AM170" s="1421" t="s">
        <v>20</v>
      </c>
      <c r="AN170" s="1425" t="s">
        <v>537</v>
      </c>
      <c r="AO170" s="1566" t="s">
        <v>22</v>
      </c>
      <c r="AP170" s="1621"/>
      <c r="AQ170" s="1621"/>
      <c r="AR170" s="1621"/>
      <c r="AS170" s="1621"/>
      <c r="AT170" s="1621"/>
      <c r="AU170" s="1621"/>
      <c r="AV170" s="1621"/>
      <c r="AW170" s="1621"/>
      <c r="AX170" s="1621"/>
      <c r="AY170" s="1621"/>
      <c r="AZ170" s="1621"/>
    </row>
    <row r="171">
      <c r="A171" s="1179" t="s">
        <v>178</v>
      </c>
      <c r="B171" s="1868"/>
      <c r="C171" s="1868"/>
      <c r="D171" s="1868"/>
      <c r="E171" s="1895">
        <f t="shared" si="1978"/>
        <v>0</v>
      </c>
      <c r="F171" s="1868"/>
      <c r="G171" s="1868"/>
      <c r="H171" s="1868"/>
      <c r="I171" s="1895">
        <f t="shared" si="1979"/>
        <v>0</v>
      </c>
      <c r="J171" s="1896">
        <f t="shared" si="1980"/>
        <v>0</v>
      </c>
      <c r="K171" s="1868"/>
      <c r="L171" s="1868"/>
      <c r="M171" s="1868"/>
      <c r="N171" s="1895">
        <f t="shared" si="1981"/>
        <v>0</v>
      </c>
      <c r="O171" s="1896">
        <f t="shared" si="1982"/>
        <v>0</v>
      </c>
      <c r="P171" s="1868"/>
      <c r="Q171" s="1868"/>
      <c r="R171" s="1868"/>
      <c r="S171" s="1895">
        <f t="shared" ref="S171:S210" si="1990">Q171+P171+R171</f>
        <v>0</v>
      </c>
      <c r="T171" s="1897">
        <f t="shared" ref="T171:T218" si="1991">O171+S171</f>
        <v>0</v>
      </c>
      <c r="U171" s="1413"/>
      <c r="V171" s="1179" t="s">
        <v>178</v>
      </c>
      <c r="W171" s="1868"/>
      <c r="X171" s="1868"/>
      <c r="Y171" s="1868"/>
      <c r="Z171" s="1895">
        <f t="shared" si="1984"/>
        <v>0</v>
      </c>
      <c r="AA171" s="1868"/>
      <c r="AB171" s="1868"/>
      <c r="AC171" s="1868"/>
      <c r="AD171" s="1895">
        <f t="shared" si="1985"/>
        <v>0</v>
      </c>
      <c r="AE171" s="1898">
        <f t="shared" si="1986"/>
        <v>0</v>
      </c>
      <c r="AF171" s="1868"/>
      <c r="AG171" s="1868"/>
      <c r="AH171" s="1868"/>
      <c r="AI171" s="1895">
        <f t="shared" si="1987"/>
        <v>0</v>
      </c>
      <c r="AJ171" s="1898">
        <f t="shared" si="1988"/>
        <v>0</v>
      </c>
      <c r="AK171" s="1868"/>
      <c r="AL171" s="1868"/>
      <c r="AM171" s="1868"/>
      <c r="AN171" s="1895">
        <f t="shared" si="1989"/>
        <v>0</v>
      </c>
      <c r="AO171" s="1897">
        <f t="shared" ref="AO171:AO210" si="1992">AJ171+AN171</f>
        <v>0</v>
      </c>
    </row>
    <row r="172">
      <c r="A172" s="1179" t="s">
        <v>354</v>
      </c>
      <c r="B172" s="1868">
        <v>7</v>
      </c>
      <c r="C172" s="1868">
        <v>22</v>
      </c>
      <c r="D172" s="1868"/>
      <c r="E172" s="1895">
        <f t="shared" si="1978"/>
        <v>29</v>
      </c>
      <c r="F172" s="1868"/>
      <c r="G172" s="1868"/>
      <c r="H172" s="1868"/>
      <c r="I172" s="1895">
        <f t="shared" si="1979"/>
        <v>0</v>
      </c>
      <c r="J172" s="1896">
        <f t="shared" si="1980"/>
        <v>29</v>
      </c>
      <c r="K172" s="1868"/>
      <c r="L172" s="1868"/>
      <c r="M172" s="1868"/>
      <c r="N172" s="1895">
        <f t="shared" si="1981"/>
        <v>0</v>
      </c>
      <c r="O172" s="1896">
        <f t="shared" si="1982"/>
        <v>29</v>
      </c>
      <c r="P172" s="1868"/>
      <c r="Q172" s="1868"/>
      <c r="R172" s="1868"/>
      <c r="S172" s="1895">
        <f t="shared" si="1990"/>
        <v>0</v>
      </c>
      <c r="T172" s="1897">
        <f t="shared" si="1991"/>
        <v>29</v>
      </c>
      <c r="U172" s="1413"/>
      <c r="V172" s="1179" t="s">
        <v>354</v>
      </c>
      <c r="W172" s="1868">
        <v>2</v>
      </c>
      <c r="X172" s="1868">
        <v>1</v>
      </c>
      <c r="Y172" s="1868"/>
      <c r="Z172" s="1895">
        <f t="shared" si="1984"/>
        <v>3</v>
      </c>
      <c r="AA172" s="1868"/>
      <c r="AB172" s="1868"/>
      <c r="AC172" s="1868"/>
      <c r="AD172" s="1895">
        <f t="shared" si="1985"/>
        <v>0</v>
      </c>
      <c r="AE172" s="1898">
        <f t="shared" si="1986"/>
        <v>3</v>
      </c>
      <c r="AF172" s="1868"/>
      <c r="AG172" s="1868"/>
      <c r="AH172" s="1868"/>
      <c r="AI172" s="1895">
        <f t="shared" si="1987"/>
        <v>0</v>
      </c>
      <c r="AJ172" s="1898">
        <f t="shared" si="1988"/>
        <v>3</v>
      </c>
      <c r="AK172" s="1868"/>
      <c r="AL172" s="1868"/>
      <c r="AM172" s="1868"/>
      <c r="AN172" s="1895">
        <f t="shared" si="1989"/>
        <v>0</v>
      </c>
      <c r="AO172" s="1897">
        <f t="shared" si="1992"/>
        <v>3</v>
      </c>
    </row>
    <row r="173">
      <c r="A173" s="1179" t="s">
        <v>181</v>
      </c>
      <c r="B173" s="1868">
        <v>18</v>
      </c>
      <c r="C173" s="1868">
        <v>10</v>
      </c>
      <c r="D173" s="1868"/>
      <c r="E173" s="1895">
        <f t="shared" si="1978"/>
        <v>28</v>
      </c>
      <c r="F173" s="1868"/>
      <c r="G173" s="1868"/>
      <c r="H173" s="1868"/>
      <c r="I173" s="1895">
        <f t="shared" si="1979"/>
        <v>0</v>
      </c>
      <c r="J173" s="1896">
        <f t="shared" si="1980"/>
        <v>28</v>
      </c>
      <c r="K173" s="1868"/>
      <c r="L173" s="1868"/>
      <c r="M173" s="1868"/>
      <c r="N173" s="1895">
        <f t="shared" si="1981"/>
        <v>0</v>
      </c>
      <c r="O173" s="1896">
        <f t="shared" si="1982"/>
        <v>28</v>
      </c>
      <c r="P173" s="1868"/>
      <c r="Q173" s="1868"/>
      <c r="R173" s="1868"/>
      <c r="S173" s="1895">
        <f t="shared" si="1990"/>
        <v>0</v>
      </c>
      <c r="T173" s="1897">
        <f t="shared" si="1991"/>
        <v>28</v>
      </c>
      <c r="U173" s="1413"/>
      <c r="V173" s="1179" t="s">
        <v>181</v>
      </c>
      <c r="W173" s="1868">
        <v>3</v>
      </c>
      <c r="X173" s="1868">
        <v>4</v>
      </c>
      <c r="Y173" s="1868"/>
      <c r="Z173" s="1895">
        <f t="shared" si="1984"/>
        <v>7</v>
      </c>
      <c r="AA173" s="1868"/>
      <c r="AB173" s="1868"/>
      <c r="AC173" s="1868"/>
      <c r="AD173" s="1895">
        <f t="shared" si="1985"/>
        <v>0</v>
      </c>
      <c r="AE173" s="1898">
        <f t="shared" si="1986"/>
        <v>7</v>
      </c>
      <c r="AF173" s="1868"/>
      <c r="AG173" s="1868"/>
      <c r="AH173" s="1868"/>
      <c r="AI173" s="1895">
        <f t="shared" si="1987"/>
        <v>0</v>
      </c>
      <c r="AJ173" s="1898">
        <f t="shared" si="1988"/>
        <v>7</v>
      </c>
      <c r="AK173" s="1868"/>
      <c r="AL173" s="1868"/>
      <c r="AM173" s="1868"/>
      <c r="AN173" s="1895">
        <f t="shared" si="1989"/>
        <v>0</v>
      </c>
      <c r="AO173" s="1897">
        <f t="shared" si="1992"/>
        <v>7</v>
      </c>
    </row>
    <row r="174">
      <c r="A174" s="1179" t="s">
        <v>182</v>
      </c>
      <c r="B174" s="1868">
        <v>17</v>
      </c>
      <c r="C174" s="1868">
        <v>11</v>
      </c>
      <c r="D174" s="1868"/>
      <c r="E174" s="1895">
        <f t="shared" si="1978"/>
        <v>28</v>
      </c>
      <c r="F174" s="1868"/>
      <c r="G174" s="1868"/>
      <c r="H174" s="1868"/>
      <c r="I174" s="1895">
        <f t="shared" si="1979"/>
        <v>0</v>
      </c>
      <c r="J174" s="1896">
        <f t="shared" si="1980"/>
        <v>28</v>
      </c>
      <c r="K174" s="1868"/>
      <c r="L174" s="1868"/>
      <c r="M174" s="1868"/>
      <c r="N174" s="1895">
        <f t="shared" si="1981"/>
        <v>0</v>
      </c>
      <c r="O174" s="1896">
        <f t="shared" si="1982"/>
        <v>28</v>
      </c>
      <c r="P174" s="1868"/>
      <c r="Q174" s="1868"/>
      <c r="R174" s="1868"/>
      <c r="S174" s="1895">
        <f t="shared" si="1990"/>
        <v>0</v>
      </c>
      <c r="T174" s="1897">
        <f t="shared" si="1991"/>
        <v>28</v>
      </c>
      <c r="U174" s="1413"/>
      <c r="V174" s="1179" t="s">
        <v>357</v>
      </c>
      <c r="W174" s="1868">
        <v>3</v>
      </c>
      <c r="X174" s="1868">
        <v>5</v>
      </c>
      <c r="Y174" s="1868"/>
      <c r="Z174" s="1895">
        <f t="shared" si="1984"/>
        <v>8</v>
      </c>
      <c r="AA174" s="1868"/>
      <c r="AB174" s="1868"/>
      <c r="AC174" s="1868"/>
      <c r="AD174" s="1895">
        <f t="shared" si="1985"/>
        <v>0</v>
      </c>
      <c r="AE174" s="1898">
        <f t="shared" si="1986"/>
        <v>8</v>
      </c>
      <c r="AF174" s="1868"/>
      <c r="AG174" s="1868"/>
      <c r="AH174" s="1868"/>
      <c r="AI174" s="1895">
        <f t="shared" si="1987"/>
        <v>0</v>
      </c>
      <c r="AJ174" s="1898">
        <f t="shared" si="1988"/>
        <v>8</v>
      </c>
      <c r="AK174" s="1868"/>
      <c r="AL174" s="1868"/>
      <c r="AM174" s="1868"/>
      <c r="AN174" s="1895">
        <f t="shared" si="1989"/>
        <v>0</v>
      </c>
      <c r="AO174" s="1897">
        <f t="shared" si="1992"/>
        <v>8</v>
      </c>
    </row>
    <row r="175">
      <c r="A175" s="1179" t="s">
        <v>183</v>
      </c>
      <c r="B175" s="1868">
        <v>2</v>
      </c>
      <c r="C175" s="1868"/>
      <c r="D175" s="1868"/>
      <c r="E175" s="1895">
        <f t="shared" si="1978"/>
        <v>2</v>
      </c>
      <c r="F175" s="1868"/>
      <c r="G175" s="1868"/>
      <c r="H175" s="1868"/>
      <c r="I175" s="1895">
        <f t="shared" si="1979"/>
        <v>0</v>
      </c>
      <c r="J175" s="1896">
        <f t="shared" si="1980"/>
        <v>2</v>
      </c>
      <c r="K175" s="1868"/>
      <c r="L175" s="1868"/>
      <c r="M175" s="1868"/>
      <c r="N175" s="1895">
        <f t="shared" si="1981"/>
        <v>0</v>
      </c>
      <c r="O175" s="1896">
        <f t="shared" si="1982"/>
        <v>2</v>
      </c>
      <c r="P175" s="1868"/>
      <c r="Q175" s="1868"/>
      <c r="R175" s="1868"/>
      <c r="S175" s="1895">
        <f t="shared" si="1990"/>
        <v>0</v>
      </c>
      <c r="T175" s="1897">
        <f t="shared" si="1991"/>
        <v>2</v>
      </c>
      <c r="U175" s="1413"/>
      <c r="V175" s="1179" t="s">
        <v>183</v>
      </c>
      <c r="W175" s="1868">
        <v>1</v>
      </c>
      <c r="X175" s="1868"/>
      <c r="Y175" s="1868"/>
      <c r="Z175" s="1895">
        <f t="shared" si="1984"/>
        <v>1</v>
      </c>
      <c r="AA175" s="1868"/>
      <c r="AB175" s="1868"/>
      <c r="AC175" s="1868"/>
      <c r="AD175" s="1895">
        <f t="shared" si="1985"/>
        <v>0</v>
      </c>
      <c r="AE175" s="1898">
        <f t="shared" si="1986"/>
        <v>1</v>
      </c>
      <c r="AF175" s="1868"/>
      <c r="AG175" s="1868"/>
      <c r="AH175" s="1868"/>
      <c r="AI175" s="1895">
        <f t="shared" si="1987"/>
        <v>0</v>
      </c>
      <c r="AJ175" s="1898">
        <f t="shared" si="1988"/>
        <v>1</v>
      </c>
      <c r="AK175" s="1868"/>
      <c r="AL175" s="1868"/>
      <c r="AM175" s="1868"/>
      <c r="AN175" s="1895">
        <f t="shared" si="1989"/>
        <v>0</v>
      </c>
      <c r="AO175" s="1897">
        <f t="shared" si="1992"/>
        <v>1</v>
      </c>
    </row>
    <row r="176">
      <c r="A176" s="1179" t="s">
        <v>184</v>
      </c>
      <c r="B176" s="1868">
        <v>12</v>
      </c>
      <c r="C176" s="1868">
        <v>11</v>
      </c>
      <c r="D176" s="1868"/>
      <c r="E176" s="1895">
        <f t="shared" si="1978"/>
        <v>23</v>
      </c>
      <c r="F176" s="1868"/>
      <c r="G176" s="1868"/>
      <c r="H176" s="1868"/>
      <c r="I176" s="1895">
        <f t="shared" si="1979"/>
        <v>0</v>
      </c>
      <c r="J176" s="1896">
        <f t="shared" si="1980"/>
        <v>23</v>
      </c>
      <c r="K176" s="1868"/>
      <c r="L176" s="1868"/>
      <c r="M176" s="1868"/>
      <c r="N176" s="1895">
        <f t="shared" si="1981"/>
        <v>0</v>
      </c>
      <c r="O176" s="1896">
        <f t="shared" si="1982"/>
        <v>23</v>
      </c>
      <c r="P176" s="1868"/>
      <c r="Q176" s="1868"/>
      <c r="R176" s="1868"/>
      <c r="S176" s="1895">
        <f t="shared" si="1990"/>
        <v>0</v>
      </c>
      <c r="T176" s="1897">
        <f t="shared" si="1991"/>
        <v>23</v>
      </c>
      <c r="U176" s="1413"/>
      <c r="V176" s="1179" t="s">
        <v>184</v>
      </c>
      <c r="W176" s="1868">
        <v>1</v>
      </c>
      <c r="X176" s="1868">
        <v>1</v>
      </c>
      <c r="Y176" s="1868"/>
      <c r="Z176" s="1895">
        <f t="shared" si="1984"/>
        <v>2</v>
      </c>
      <c r="AA176" s="1868"/>
      <c r="AB176" s="1868"/>
      <c r="AC176" s="1868"/>
      <c r="AD176" s="1895">
        <f t="shared" si="1985"/>
        <v>0</v>
      </c>
      <c r="AE176" s="1898">
        <f t="shared" si="1986"/>
        <v>2</v>
      </c>
      <c r="AF176" s="1868"/>
      <c r="AG176" s="1868"/>
      <c r="AH176" s="1868"/>
      <c r="AI176" s="1895">
        <f t="shared" si="1987"/>
        <v>0</v>
      </c>
      <c r="AJ176" s="1898">
        <f t="shared" si="1988"/>
        <v>2</v>
      </c>
      <c r="AK176" s="1868"/>
      <c r="AL176" s="1868"/>
      <c r="AM176" s="1868"/>
      <c r="AN176" s="1895">
        <f t="shared" si="1989"/>
        <v>0</v>
      </c>
      <c r="AO176" s="1897">
        <f t="shared" si="1992"/>
        <v>2</v>
      </c>
    </row>
    <row r="177">
      <c r="A177" s="1857" t="s">
        <v>361</v>
      </c>
      <c r="B177" s="1868"/>
      <c r="C177" s="1868"/>
      <c r="D177" s="1868"/>
      <c r="E177" s="1895"/>
      <c r="F177" s="1868"/>
      <c r="G177" s="1868"/>
      <c r="H177" s="1868"/>
      <c r="I177" s="1895"/>
      <c r="J177" s="1896"/>
      <c r="K177" s="1868"/>
      <c r="L177" s="1868"/>
      <c r="M177" s="1868"/>
      <c r="N177" s="1895"/>
      <c r="O177" s="1896"/>
      <c r="P177" s="1868"/>
      <c r="Q177" s="1868"/>
      <c r="R177" s="1868"/>
      <c r="S177" s="1895"/>
      <c r="T177" s="1897">
        <f t="shared" si="1991"/>
        <v>0</v>
      </c>
      <c r="U177" s="1413"/>
      <c r="V177" s="1179"/>
      <c r="W177" s="1868"/>
      <c r="X177" s="1868"/>
      <c r="Y177" s="1868"/>
      <c r="Z177" s="1895"/>
      <c r="AA177" s="1868"/>
      <c r="AB177" s="1868"/>
      <c r="AC177" s="1868"/>
      <c r="AD177" s="1895"/>
      <c r="AE177" s="1898"/>
      <c r="AF177" s="1868"/>
      <c r="AG177" s="1868"/>
      <c r="AH177" s="1868"/>
      <c r="AI177" s="1895"/>
      <c r="AJ177" s="1898"/>
      <c r="AK177" s="1868"/>
      <c r="AL177" s="1868"/>
      <c r="AM177" s="1868"/>
      <c r="AN177" s="1895"/>
      <c r="AO177" s="1897"/>
    </row>
    <row r="178">
      <c r="A178" s="1179" t="s">
        <v>185</v>
      </c>
      <c r="B178" s="1868">
        <v>1</v>
      </c>
      <c r="C178" s="1868">
        <v>2</v>
      </c>
      <c r="D178" s="1868"/>
      <c r="E178" s="1895">
        <f t="shared" si="1978"/>
        <v>3</v>
      </c>
      <c r="F178" s="1868"/>
      <c r="G178" s="1868"/>
      <c r="H178" s="1868"/>
      <c r="I178" s="1895">
        <f t="shared" si="1979"/>
        <v>0</v>
      </c>
      <c r="J178" s="1896">
        <f t="shared" si="1980"/>
        <v>3</v>
      </c>
      <c r="K178" s="1868"/>
      <c r="L178" s="1868"/>
      <c r="M178" s="1868"/>
      <c r="N178" s="1895">
        <f t="shared" si="1981"/>
        <v>0</v>
      </c>
      <c r="O178" s="1896">
        <f t="shared" si="1982"/>
        <v>3</v>
      </c>
      <c r="P178" s="1868"/>
      <c r="Q178" s="1868"/>
      <c r="R178" s="1868"/>
      <c r="S178" s="1895">
        <f t="shared" si="1990"/>
        <v>0</v>
      </c>
      <c r="T178" s="1897">
        <f t="shared" si="1991"/>
        <v>3</v>
      </c>
      <c r="U178" s="1413"/>
      <c r="V178" s="1179" t="s">
        <v>185</v>
      </c>
      <c r="W178" s="1868">
        <v>1</v>
      </c>
      <c r="X178" s="1868">
        <v>1</v>
      </c>
      <c r="Y178" s="1868"/>
      <c r="Z178" s="1895">
        <f t="shared" si="1984"/>
        <v>2</v>
      </c>
      <c r="AA178" s="1868"/>
      <c r="AB178" s="1868"/>
      <c r="AC178" s="1868"/>
      <c r="AD178" s="1895">
        <f t="shared" si="1985"/>
        <v>0</v>
      </c>
      <c r="AE178" s="1898">
        <f t="shared" si="1986"/>
        <v>2</v>
      </c>
      <c r="AF178" s="1868"/>
      <c r="AG178" s="1868"/>
      <c r="AH178" s="1868"/>
      <c r="AI178" s="1895">
        <f t="shared" si="1987"/>
        <v>0</v>
      </c>
      <c r="AJ178" s="1898">
        <f t="shared" si="1988"/>
        <v>2</v>
      </c>
      <c r="AK178" s="1868"/>
      <c r="AL178" s="1868"/>
      <c r="AM178" s="1868"/>
      <c r="AN178" s="1895">
        <f t="shared" si="1989"/>
        <v>0</v>
      </c>
      <c r="AO178" s="1897">
        <f t="shared" si="1992"/>
        <v>2</v>
      </c>
    </row>
    <row r="179">
      <c r="A179" s="1511" t="s">
        <v>363</v>
      </c>
      <c r="B179" s="1871">
        <f>SUM(B171:B178)</f>
        <v>57</v>
      </c>
      <c r="C179" s="1871">
        <f>SUM(C171:C178)</f>
        <v>56</v>
      </c>
      <c r="D179" s="1871">
        <f>SUM(D171:D178)</f>
        <v>0</v>
      </c>
      <c r="E179" s="1899">
        <f t="shared" si="1978"/>
        <v>113</v>
      </c>
      <c r="F179" s="1871">
        <f>SUM(F171:F178)</f>
        <v>0</v>
      </c>
      <c r="G179" s="1871">
        <f>SUM(G171:G178)</f>
        <v>0</v>
      </c>
      <c r="H179" s="1871">
        <f>SUM(H171:H178)</f>
        <v>0</v>
      </c>
      <c r="I179" s="1899">
        <f t="shared" si="1979"/>
        <v>0</v>
      </c>
      <c r="J179" s="1900">
        <f t="shared" si="1980"/>
        <v>113</v>
      </c>
      <c r="K179" s="1871">
        <f>SUM(K171:K178)</f>
        <v>0</v>
      </c>
      <c r="L179" s="1871">
        <f>SUM(L171:L178)</f>
        <v>0</v>
      </c>
      <c r="M179" s="1871">
        <f>SUM(M171:M178)</f>
        <v>0</v>
      </c>
      <c r="N179" s="1899">
        <f t="shared" si="1981"/>
        <v>0</v>
      </c>
      <c r="O179" s="1900">
        <f t="shared" si="1982"/>
        <v>113</v>
      </c>
      <c r="P179" s="1871">
        <f>SUM(P171:P178)</f>
        <v>0</v>
      </c>
      <c r="Q179" s="1871">
        <f>SUM(Q171:Q178)</f>
        <v>0</v>
      </c>
      <c r="R179" s="1871">
        <f>SUM(R171:R178)</f>
        <v>0</v>
      </c>
      <c r="S179" s="1899">
        <f t="shared" si="1990"/>
        <v>0</v>
      </c>
      <c r="T179" s="1901">
        <f t="shared" si="1991"/>
        <v>113</v>
      </c>
      <c r="U179" s="1413"/>
      <c r="V179" s="1511" t="s">
        <v>363</v>
      </c>
      <c r="W179" s="1871">
        <f t="shared" ref="W179:AC179" si="1993">SUM(W171:W178)</f>
        <v>11</v>
      </c>
      <c r="X179" s="1871">
        <f t="shared" si="1993"/>
        <v>12</v>
      </c>
      <c r="Y179" s="1871">
        <f t="shared" si="1993"/>
        <v>0</v>
      </c>
      <c r="Z179" s="1895">
        <f t="shared" si="1984"/>
        <v>23</v>
      </c>
      <c r="AA179" s="1871">
        <f t="shared" si="1993"/>
        <v>0</v>
      </c>
      <c r="AB179" s="1871">
        <f t="shared" si="1993"/>
        <v>0</v>
      </c>
      <c r="AC179" s="1871">
        <f t="shared" si="1993"/>
        <v>0</v>
      </c>
      <c r="AD179" s="1895">
        <f t="shared" si="1985"/>
        <v>0</v>
      </c>
      <c r="AE179" s="1898">
        <f t="shared" si="1986"/>
        <v>23</v>
      </c>
      <c r="AF179" s="1871">
        <f>SUM(AF171:AF178)</f>
        <v>0</v>
      </c>
      <c r="AG179" s="1871">
        <f>SUM(AG171:AG178)</f>
        <v>0</v>
      </c>
      <c r="AH179" s="1871">
        <f t="shared" ref="AH179:AM179" si="1994">SUM(AH171:AH178)</f>
        <v>0</v>
      </c>
      <c r="AI179" s="1895">
        <f t="shared" si="1987"/>
        <v>0</v>
      </c>
      <c r="AJ179" s="1898">
        <f t="shared" si="1988"/>
        <v>23</v>
      </c>
      <c r="AK179" s="1871">
        <f t="shared" si="1994"/>
        <v>0</v>
      </c>
      <c r="AL179" s="1871">
        <f>SUM(AL171:AL178)</f>
        <v>0</v>
      </c>
      <c r="AM179" s="1871">
        <f t="shared" si="1994"/>
        <v>0</v>
      </c>
      <c r="AN179" s="1895">
        <f t="shared" si="1989"/>
        <v>0</v>
      </c>
      <c r="AO179" s="1897">
        <f t="shared" si="1992"/>
        <v>23</v>
      </c>
    </row>
    <row r="180">
      <c r="A180" s="1179" t="s">
        <v>542</v>
      </c>
      <c r="B180" s="1868"/>
      <c r="C180" s="1868"/>
      <c r="D180" s="1868"/>
      <c r="E180" s="1895">
        <f t="shared" si="1978"/>
        <v>0</v>
      </c>
      <c r="F180" s="1868"/>
      <c r="G180" s="1868"/>
      <c r="H180" s="1868"/>
      <c r="I180" s="1895">
        <f t="shared" si="1979"/>
        <v>0</v>
      </c>
      <c r="J180" s="1896">
        <f t="shared" si="1980"/>
        <v>0</v>
      </c>
      <c r="K180" s="1868"/>
      <c r="L180" s="1868"/>
      <c r="M180" s="1868"/>
      <c r="N180" s="1895">
        <f t="shared" si="1981"/>
        <v>0</v>
      </c>
      <c r="O180" s="1896">
        <f t="shared" si="1982"/>
        <v>0</v>
      </c>
      <c r="P180" s="1868"/>
      <c r="Q180" s="1868"/>
      <c r="R180" s="1868"/>
      <c r="S180" s="1895">
        <f t="shared" si="1990"/>
        <v>0</v>
      </c>
      <c r="T180" s="1897">
        <f t="shared" si="1991"/>
        <v>0</v>
      </c>
      <c r="U180" s="1413"/>
      <c r="V180" s="1179" t="s">
        <v>542</v>
      </c>
      <c r="W180" s="1868"/>
      <c r="X180" s="1868"/>
      <c r="Y180" s="1868"/>
      <c r="Z180" s="1895">
        <f t="shared" si="1984"/>
        <v>0</v>
      </c>
      <c r="AA180" s="1868"/>
      <c r="AB180" s="1868"/>
      <c r="AC180" s="1868"/>
      <c r="AD180" s="1895">
        <f t="shared" si="1985"/>
        <v>0</v>
      </c>
      <c r="AE180" s="1898">
        <f t="shared" si="1986"/>
        <v>0</v>
      </c>
      <c r="AF180" s="1868"/>
      <c r="AG180" s="1868"/>
      <c r="AH180" s="1868"/>
      <c r="AI180" s="1895">
        <f t="shared" si="1987"/>
        <v>0</v>
      </c>
      <c r="AJ180" s="1898">
        <f t="shared" si="1988"/>
        <v>0</v>
      </c>
      <c r="AK180" s="1868"/>
      <c r="AL180" s="1868"/>
      <c r="AM180" s="1868"/>
      <c r="AN180" s="1895">
        <f t="shared" si="1989"/>
        <v>0</v>
      </c>
      <c r="AO180" s="1897">
        <f t="shared" si="1992"/>
        <v>0</v>
      </c>
    </row>
    <row r="181">
      <c r="A181" s="1179" t="s">
        <v>195</v>
      </c>
      <c r="B181" s="1868">
        <v>73</v>
      </c>
      <c r="C181" s="1868">
        <v>111</v>
      </c>
      <c r="D181" s="1868"/>
      <c r="E181" s="1895">
        <f t="shared" si="1978"/>
        <v>184</v>
      </c>
      <c r="F181" s="1868"/>
      <c r="G181" s="1868"/>
      <c r="H181" s="1868"/>
      <c r="I181" s="1895">
        <f t="shared" si="1979"/>
        <v>0</v>
      </c>
      <c r="J181" s="1896">
        <f t="shared" si="1980"/>
        <v>184</v>
      </c>
      <c r="K181" s="1868"/>
      <c r="L181" s="1868"/>
      <c r="M181" s="1868"/>
      <c r="N181" s="1895">
        <f t="shared" si="1981"/>
        <v>0</v>
      </c>
      <c r="O181" s="1896">
        <f t="shared" si="1982"/>
        <v>184</v>
      </c>
      <c r="P181" s="1868"/>
      <c r="Q181" s="1868"/>
      <c r="R181" s="1868"/>
      <c r="S181" s="1895">
        <f t="shared" si="1990"/>
        <v>0</v>
      </c>
      <c r="T181" s="1897">
        <f t="shared" si="1991"/>
        <v>184</v>
      </c>
      <c r="U181" s="1413"/>
      <c r="V181" s="1179" t="s">
        <v>195</v>
      </c>
      <c r="W181" s="1868">
        <v>19</v>
      </c>
      <c r="X181" s="1868">
        <v>23</v>
      </c>
      <c r="Y181" s="1868"/>
      <c r="Z181" s="1895">
        <f t="shared" si="1984"/>
        <v>42</v>
      </c>
      <c r="AA181" s="1868"/>
      <c r="AB181" s="1868"/>
      <c r="AC181" s="1868"/>
      <c r="AD181" s="1895">
        <f t="shared" si="1985"/>
        <v>0</v>
      </c>
      <c r="AE181" s="1898">
        <f t="shared" si="1986"/>
        <v>42</v>
      </c>
      <c r="AF181" s="1868"/>
      <c r="AG181" s="1868"/>
      <c r="AH181" s="1868"/>
      <c r="AI181" s="1895">
        <f t="shared" si="1987"/>
        <v>0</v>
      </c>
      <c r="AJ181" s="1898">
        <f t="shared" si="1988"/>
        <v>42</v>
      </c>
      <c r="AK181" s="1868"/>
      <c r="AL181" s="1868"/>
      <c r="AM181" s="1868"/>
      <c r="AN181" s="1895">
        <f t="shared" si="1989"/>
        <v>0</v>
      </c>
      <c r="AO181" s="1897">
        <f t="shared" si="1992"/>
        <v>42</v>
      </c>
    </row>
    <row r="182">
      <c r="A182" s="1179" t="s">
        <v>196</v>
      </c>
      <c r="B182" s="1868">
        <v>13</v>
      </c>
      <c r="C182" s="1868">
        <v>44</v>
      </c>
      <c r="D182" s="1868"/>
      <c r="E182" s="1895">
        <f t="shared" si="1978"/>
        <v>57</v>
      </c>
      <c r="F182" s="1868"/>
      <c r="G182" s="1868"/>
      <c r="H182" s="1868"/>
      <c r="I182" s="1895">
        <f t="shared" si="1979"/>
        <v>0</v>
      </c>
      <c r="J182" s="1896">
        <f t="shared" si="1980"/>
        <v>57</v>
      </c>
      <c r="K182" s="1868"/>
      <c r="L182" s="1868"/>
      <c r="M182" s="1868"/>
      <c r="N182" s="1895">
        <f t="shared" si="1981"/>
        <v>0</v>
      </c>
      <c r="O182" s="1896">
        <f t="shared" si="1982"/>
        <v>57</v>
      </c>
      <c r="P182" s="1868"/>
      <c r="Q182" s="1868"/>
      <c r="R182" s="1868"/>
      <c r="S182" s="1895">
        <f t="shared" si="1990"/>
        <v>0</v>
      </c>
      <c r="T182" s="1897">
        <f t="shared" si="1991"/>
        <v>57</v>
      </c>
      <c r="U182" s="1413"/>
      <c r="V182" s="1179" t="s">
        <v>196</v>
      </c>
      <c r="W182" s="1868">
        <v>10</v>
      </c>
      <c r="X182" s="1868">
        <v>44</v>
      </c>
      <c r="Y182" s="1868"/>
      <c r="Z182" s="1895">
        <f t="shared" si="1984"/>
        <v>54</v>
      </c>
      <c r="AA182" s="1868"/>
      <c r="AB182" s="1868"/>
      <c r="AC182" s="1868"/>
      <c r="AD182" s="1895">
        <f t="shared" si="1985"/>
        <v>0</v>
      </c>
      <c r="AE182" s="1898">
        <f t="shared" si="1986"/>
        <v>54</v>
      </c>
      <c r="AF182" s="1868"/>
      <c r="AG182" s="1868"/>
      <c r="AH182" s="1868"/>
      <c r="AI182" s="1895">
        <f t="shared" si="1987"/>
        <v>0</v>
      </c>
      <c r="AJ182" s="1898">
        <f t="shared" si="1988"/>
        <v>54</v>
      </c>
      <c r="AK182" s="1868"/>
      <c r="AL182" s="1868"/>
      <c r="AM182" s="1868"/>
      <c r="AN182" s="1895">
        <f t="shared" si="1989"/>
        <v>0</v>
      </c>
      <c r="AO182" s="1897">
        <f t="shared" si="1992"/>
        <v>54</v>
      </c>
    </row>
    <row r="183">
      <c r="A183" s="1179" t="s">
        <v>367</v>
      </c>
      <c r="B183" s="1868"/>
      <c r="C183" s="1868"/>
      <c r="D183" s="1868"/>
      <c r="E183" s="1895">
        <f t="shared" si="1978"/>
        <v>0</v>
      </c>
      <c r="F183" s="1868"/>
      <c r="G183" s="1868"/>
      <c r="H183" s="1868"/>
      <c r="I183" s="1895">
        <f t="shared" si="1979"/>
        <v>0</v>
      </c>
      <c r="J183" s="1896">
        <f t="shared" si="1980"/>
        <v>0</v>
      </c>
      <c r="K183" s="1868"/>
      <c r="L183" s="1868"/>
      <c r="M183" s="1868"/>
      <c r="N183" s="1895">
        <f t="shared" si="1981"/>
        <v>0</v>
      </c>
      <c r="O183" s="1896">
        <f t="shared" si="1982"/>
        <v>0</v>
      </c>
      <c r="P183" s="1868"/>
      <c r="Q183" s="1868"/>
      <c r="R183" s="1868"/>
      <c r="S183" s="1895">
        <f t="shared" si="1990"/>
        <v>0</v>
      </c>
      <c r="T183" s="1897">
        <f t="shared" si="1991"/>
        <v>0</v>
      </c>
      <c r="U183" s="1413"/>
      <c r="V183" s="1179" t="s">
        <v>367</v>
      </c>
      <c r="W183" s="1868"/>
      <c r="X183" s="1868"/>
      <c r="Y183" s="1868"/>
      <c r="Z183" s="1895">
        <f t="shared" si="1984"/>
        <v>0</v>
      </c>
      <c r="AA183" s="1868"/>
      <c r="AB183" s="1868"/>
      <c r="AC183" s="1868"/>
      <c r="AD183" s="1895">
        <f t="shared" si="1985"/>
        <v>0</v>
      </c>
      <c r="AE183" s="1898">
        <f t="shared" si="1986"/>
        <v>0</v>
      </c>
      <c r="AF183" s="1868"/>
      <c r="AG183" s="1868"/>
      <c r="AH183" s="1868"/>
      <c r="AI183" s="1895">
        <f t="shared" si="1987"/>
        <v>0</v>
      </c>
      <c r="AJ183" s="1898">
        <f t="shared" si="1988"/>
        <v>0</v>
      </c>
      <c r="AK183" s="1868"/>
      <c r="AL183" s="1868"/>
      <c r="AM183" s="1868"/>
      <c r="AN183" s="1895">
        <f t="shared" si="1989"/>
        <v>0</v>
      </c>
      <c r="AO183" s="1897">
        <f t="shared" si="1992"/>
        <v>0</v>
      </c>
    </row>
    <row r="184">
      <c r="A184" s="1179" t="s">
        <v>201</v>
      </c>
      <c r="B184" s="1868">
        <v>18</v>
      </c>
      <c r="C184" s="1868">
        <v>42</v>
      </c>
      <c r="D184" s="1868"/>
      <c r="E184" s="1895">
        <f t="shared" si="1978"/>
        <v>60</v>
      </c>
      <c r="F184" s="1868"/>
      <c r="G184" s="1868"/>
      <c r="H184" s="1868"/>
      <c r="I184" s="1895">
        <f t="shared" si="1979"/>
        <v>0</v>
      </c>
      <c r="J184" s="1896">
        <f t="shared" si="1980"/>
        <v>60</v>
      </c>
      <c r="K184" s="1868"/>
      <c r="L184" s="1868"/>
      <c r="M184" s="1868"/>
      <c r="N184" s="1895">
        <f t="shared" si="1981"/>
        <v>0</v>
      </c>
      <c r="O184" s="1896">
        <f t="shared" si="1982"/>
        <v>60</v>
      </c>
      <c r="P184" s="1868"/>
      <c r="Q184" s="1868"/>
      <c r="R184" s="1868"/>
      <c r="S184" s="1895">
        <f t="shared" si="1990"/>
        <v>0</v>
      </c>
      <c r="T184" s="1897">
        <f t="shared" si="1991"/>
        <v>60</v>
      </c>
      <c r="U184" s="1413"/>
      <c r="V184" s="1179" t="s">
        <v>201</v>
      </c>
      <c r="W184" s="1868">
        <v>18</v>
      </c>
      <c r="X184" s="1868">
        <v>22</v>
      </c>
      <c r="Y184" s="1868"/>
      <c r="Z184" s="1895">
        <f t="shared" si="1984"/>
        <v>40</v>
      </c>
      <c r="AA184" s="1868"/>
      <c r="AB184" s="1868"/>
      <c r="AC184" s="1868"/>
      <c r="AD184" s="1895">
        <f t="shared" si="1985"/>
        <v>0</v>
      </c>
      <c r="AE184" s="1898">
        <f t="shared" si="1986"/>
        <v>40</v>
      </c>
      <c r="AF184" s="1868"/>
      <c r="AG184" s="1868"/>
      <c r="AH184" s="1868"/>
      <c r="AI184" s="1895">
        <f t="shared" si="1987"/>
        <v>0</v>
      </c>
      <c r="AJ184" s="1898">
        <f t="shared" si="1988"/>
        <v>40</v>
      </c>
      <c r="AK184" s="1868"/>
      <c r="AL184" s="1868"/>
      <c r="AM184" s="1868"/>
      <c r="AN184" s="1895">
        <f t="shared" si="1989"/>
        <v>0</v>
      </c>
      <c r="AO184" s="1897">
        <f t="shared" si="1992"/>
        <v>40</v>
      </c>
    </row>
    <row r="185">
      <c r="A185" s="1179" t="s">
        <v>203</v>
      </c>
      <c r="B185" s="1868"/>
      <c r="C185" s="1868"/>
      <c r="D185" s="1868"/>
      <c r="E185" s="1895">
        <f t="shared" si="1978"/>
        <v>0</v>
      </c>
      <c r="F185" s="1868"/>
      <c r="G185" s="1868"/>
      <c r="H185" s="1868"/>
      <c r="I185" s="1895">
        <f t="shared" si="1979"/>
        <v>0</v>
      </c>
      <c r="J185" s="1896">
        <f t="shared" si="1980"/>
        <v>0</v>
      </c>
      <c r="K185" s="1868"/>
      <c r="L185" s="1868"/>
      <c r="M185" s="1868"/>
      <c r="N185" s="1895">
        <f t="shared" si="1981"/>
        <v>0</v>
      </c>
      <c r="O185" s="1896">
        <f t="shared" si="1982"/>
        <v>0</v>
      </c>
      <c r="P185" s="1868"/>
      <c r="Q185" s="1868"/>
      <c r="R185" s="1868"/>
      <c r="S185" s="1895">
        <f t="shared" si="1990"/>
        <v>0</v>
      </c>
      <c r="T185" s="1897">
        <f t="shared" si="1991"/>
        <v>0</v>
      </c>
      <c r="U185" s="1413"/>
      <c r="V185" s="1179" t="s">
        <v>203</v>
      </c>
      <c r="W185" s="1868"/>
      <c r="X185" s="1868"/>
      <c r="Y185" s="1868"/>
      <c r="Z185" s="1895">
        <f t="shared" si="1984"/>
        <v>0</v>
      </c>
      <c r="AA185" s="1868"/>
      <c r="AB185" s="1868"/>
      <c r="AC185" s="1868"/>
      <c r="AD185" s="1895">
        <f t="shared" si="1985"/>
        <v>0</v>
      </c>
      <c r="AE185" s="1898">
        <f t="shared" si="1986"/>
        <v>0</v>
      </c>
      <c r="AF185" s="1868"/>
      <c r="AG185" s="1868"/>
      <c r="AH185" s="1868"/>
      <c r="AI185" s="1895">
        <f t="shared" si="1987"/>
        <v>0</v>
      </c>
      <c r="AJ185" s="1898">
        <f t="shared" si="1988"/>
        <v>0</v>
      </c>
      <c r="AK185" s="1868"/>
      <c r="AL185" s="1868"/>
      <c r="AM185" s="1868"/>
      <c r="AN185" s="1895">
        <f t="shared" si="1989"/>
        <v>0</v>
      </c>
      <c r="AO185" s="1897">
        <f t="shared" si="1992"/>
        <v>0</v>
      </c>
    </row>
    <row r="186">
      <c r="A186" s="1179" t="s">
        <v>204</v>
      </c>
      <c r="B186" s="1868">
        <v>8</v>
      </c>
      <c r="C186" s="1868">
        <v>2</v>
      </c>
      <c r="D186" s="1868"/>
      <c r="E186" s="1895">
        <f t="shared" si="1978"/>
        <v>10</v>
      </c>
      <c r="F186" s="1868"/>
      <c r="G186" s="1868"/>
      <c r="H186" s="1868"/>
      <c r="I186" s="1895">
        <f t="shared" si="1979"/>
        <v>0</v>
      </c>
      <c r="J186" s="1896">
        <f t="shared" si="1980"/>
        <v>10</v>
      </c>
      <c r="K186" s="1868"/>
      <c r="L186" s="1868"/>
      <c r="M186" s="1868"/>
      <c r="N186" s="1895">
        <f t="shared" si="1981"/>
        <v>0</v>
      </c>
      <c r="O186" s="1896">
        <f t="shared" si="1982"/>
        <v>10</v>
      </c>
      <c r="P186" s="1868"/>
      <c r="Q186" s="1868"/>
      <c r="R186" s="1868"/>
      <c r="S186" s="1895">
        <f t="shared" si="1990"/>
        <v>0</v>
      </c>
      <c r="T186" s="1897">
        <f t="shared" si="1991"/>
        <v>10</v>
      </c>
      <c r="U186" s="1413"/>
      <c r="V186" s="1179" t="s">
        <v>204</v>
      </c>
      <c r="W186" s="1868">
        <v>2</v>
      </c>
      <c r="X186" s="1868">
        <v>1</v>
      </c>
      <c r="Y186" s="1868"/>
      <c r="Z186" s="1895">
        <f t="shared" si="1984"/>
        <v>3</v>
      </c>
      <c r="AA186" s="1868"/>
      <c r="AB186" s="1868"/>
      <c r="AC186" s="1868"/>
      <c r="AD186" s="1895">
        <f t="shared" si="1985"/>
        <v>0</v>
      </c>
      <c r="AE186" s="1898">
        <f t="shared" si="1986"/>
        <v>3</v>
      </c>
      <c r="AF186" s="1868"/>
      <c r="AG186" s="1868"/>
      <c r="AH186" s="1868"/>
      <c r="AI186" s="1895">
        <f t="shared" si="1987"/>
        <v>0</v>
      </c>
      <c r="AJ186" s="1898">
        <f t="shared" si="1988"/>
        <v>3</v>
      </c>
      <c r="AK186" s="1868"/>
      <c r="AL186" s="1868"/>
      <c r="AM186" s="1868"/>
      <c r="AN186" s="1895">
        <f t="shared" si="1989"/>
        <v>0</v>
      </c>
      <c r="AO186" s="1897">
        <f t="shared" si="1992"/>
        <v>3</v>
      </c>
    </row>
    <row r="187">
      <c r="A187" s="1179" t="s">
        <v>590</v>
      </c>
      <c r="B187" s="1868">
        <v>36</v>
      </c>
      <c r="C187" s="1868">
        <v>8</v>
      </c>
      <c r="D187" s="1868"/>
      <c r="E187" s="1895">
        <f t="shared" si="1978"/>
        <v>44</v>
      </c>
      <c r="F187" s="1868"/>
      <c r="G187" s="1868"/>
      <c r="H187" s="1868"/>
      <c r="I187" s="1895">
        <f t="shared" si="1979"/>
        <v>0</v>
      </c>
      <c r="J187" s="1896">
        <f t="shared" si="1980"/>
        <v>44</v>
      </c>
      <c r="K187" s="1868"/>
      <c r="L187" s="1868"/>
      <c r="M187" s="1868"/>
      <c r="N187" s="1895">
        <f t="shared" si="1981"/>
        <v>0</v>
      </c>
      <c r="O187" s="1896">
        <f t="shared" si="1982"/>
        <v>44</v>
      </c>
      <c r="P187" s="1868"/>
      <c r="Q187" s="1868"/>
      <c r="R187" s="1868"/>
      <c r="S187" s="1895">
        <f t="shared" si="1990"/>
        <v>0</v>
      </c>
      <c r="T187" s="1897">
        <f t="shared" si="1991"/>
        <v>44</v>
      </c>
      <c r="U187" s="1413"/>
      <c r="V187" s="1179" t="s">
        <v>591</v>
      </c>
      <c r="W187" s="1868">
        <v>4</v>
      </c>
      <c r="X187" s="1868">
        <v>3</v>
      </c>
      <c r="Y187" s="1868"/>
      <c r="Z187" s="1895">
        <f t="shared" si="1984"/>
        <v>7</v>
      </c>
      <c r="AA187" s="1868"/>
      <c r="AB187" s="1868"/>
      <c r="AC187" s="1868"/>
      <c r="AD187" s="1895">
        <f t="shared" si="1985"/>
        <v>0</v>
      </c>
      <c r="AE187" s="1898">
        <f t="shared" si="1986"/>
        <v>7</v>
      </c>
      <c r="AF187" s="1868"/>
      <c r="AG187" s="1868"/>
      <c r="AH187" s="1868"/>
      <c r="AI187" s="1895">
        <f t="shared" si="1987"/>
        <v>0</v>
      </c>
      <c r="AJ187" s="1898">
        <f t="shared" si="1988"/>
        <v>7</v>
      </c>
      <c r="AK187" s="1868"/>
      <c r="AL187" s="1868"/>
      <c r="AM187" s="1868"/>
      <c r="AN187" s="1895">
        <f t="shared" si="1989"/>
        <v>0</v>
      </c>
      <c r="AO187" s="1897">
        <f t="shared" si="1992"/>
        <v>7</v>
      </c>
    </row>
    <row r="188">
      <c r="A188" s="1179" t="s">
        <v>206</v>
      </c>
      <c r="B188" s="1868">
        <v>14</v>
      </c>
      <c r="C188" s="1868">
        <v>26</v>
      </c>
      <c r="D188" s="1868"/>
      <c r="E188" s="1895">
        <f t="shared" si="1978"/>
        <v>40</v>
      </c>
      <c r="F188" s="1868"/>
      <c r="G188" s="1868"/>
      <c r="H188" s="1868"/>
      <c r="I188" s="1895">
        <f t="shared" si="1979"/>
        <v>0</v>
      </c>
      <c r="J188" s="1896">
        <f t="shared" si="1980"/>
        <v>40</v>
      </c>
      <c r="K188" s="1868"/>
      <c r="L188" s="1868"/>
      <c r="M188" s="1868"/>
      <c r="N188" s="1895">
        <f t="shared" si="1981"/>
        <v>0</v>
      </c>
      <c r="O188" s="1896">
        <f t="shared" si="1982"/>
        <v>40</v>
      </c>
      <c r="P188" s="1868"/>
      <c r="Q188" s="1868"/>
      <c r="R188" s="1868"/>
      <c r="S188" s="1895">
        <f t="shared" si="1990"/>
        <v>0</v>
      </c>
      <c r="T188" s="1897">
        <f t="shared" si="1991"/>
        <v>40</v>
      </c>
      <c r="U188" s="1413"/>
      <c r="V188" s="1179" t="s">
        <v>206</v>
      </c>
      <c r="W188" s="1868">
        <v>3</v>
      </c>
      <c r="X188" s="1868">
        <v>8</v>
      </c>
      <c r="Y188" s="1868"/>
      <c r="Z188" s="1895">
        <f t="shared" si="1984"/>
        <v>11</v>
      </c>
      <c r="AA188" s="1868"/>
      <c r="AB188" s="1868"/>
      <c r="AC188" s="1868"/>
      <c r="AD188" s="1895">
        <f t="shared" si="1985"/>
        <v>0</v>
      </c>
      <c r="AE188" s="1898">
        <f t="shared" si="1986"/>
        <v>11</v>
      </c>
      <c r="AF188" s="1868"/>
      <c r="AG188" s="1868"/>
      <c r="AH188" s="1868"/>
      <c r="AI188" s="1895">
        <f t="shared" si="1987"/>
        <v>0</v>
      </c>
      <c r="AJ188" s="1898">
        <f t="shared" si="1988"/>
        <v>11</v>
      </c>
      <c r="AK188" s="1868"/>
      <c r="AL188" s="1868"/>
      <c r="AM188" s="1868"/>
      <c r="AN188" s="1895">
        <f t="shared" si="1989"/>
        <v>0</v>
      </c>
      <c r="AO188" s="1897">
        <f t="shared" si="1992"/>
        <v>11</v>
      </c>
    </row>
    <row r="189">
      <c r="A189" s="1179" t="s">
        <v>207</v>
      </c>
      <c r="B189" s="1868">
        <v>47</v>
      </c>
      <c r="C189" s="1868">
        <v>48</v>
      </c>
      <c r="D189" s="1868"/>
      <c r="E189" s="1895">
        <f t="shared" si="1978"/>
        <v>95</v>
      </c>
      <c r="F189" s="1868"/>
      <c r="G189" s="1868"/>
      <c r="H189" s="1868"/>
      <c r="I189" s="1895">
        <f t="shared" si="1979"/>
        <v>0</v>
      </c>
      <c r="J189" s="1896">
        <f t="shared" si="1980"/>
        <v>95</v>
      </c>
      <c r="K189" s="1868"/>
      <c r="L189" s="1868"/>
      <c r="M189" s="1868"/>
      <c r="N189" s="1895">
        <f t="shared" si="1981"/>
        <v>0</v>
      </c>
      <c r="O189" s="1896">
        <f t="shared" si="1982"/>
        <v>95</v>
      </c>
      <c r="P189" s="1868"/>
      <c r="Q189" s="1868"/>
      <c r="R189" s="1868"/>
      <c r="S189" s="1895">
        <f t="shared" si="1990"/>
        <v>0</v>
      </c>
      <c r="T189" s="1897">
        <f t="shared" si="1991"/>
        <v>95</v>
      </c>
      <c r="U189" s="1413"/>
      <c r="V189" s="1179" t="s">
        <v>207</v>
      </c>
      <c r="W189" s="1868">
        <v>7</v>
      </c>
      <c r="X189" s="1868">
        <v>7</v>
      </c>
      <c r="Y189" s="1868"/>
      <c r="Z189" s="1895">
        <f t="shared" si="1984"/>
        <v>14</v>
      </c>
      <c r="AA189" s="1868"/>
      <c r="AB189" s="1868"/>
      <c r="AC189" s="1868"/>
      <c r="AD189" s="1895">
        <f t="shared" si="1985"/>
        <v>0</v>
      </c>
      <c r="AE189" s="1898">
        <f t="shared" si="1986"/>
        <v>14</v>
      </c>
      <c r="AF189" s="1868"/>
      <c r="AG189" s="1868"/>
      <c r="AH189" s="1868"/>
      <c r="AI189" s="1895">
        <f t="shared" si="1987"/>
        <v>0</v>
      </c>
      <c r="AJ189" s="1898">
        <f t="shared" si="1988"/>
        <v>14</v>
      </c>
      <c r="AK189" s="1868"/>
      <c r="AL189" s="1868"/>
      <c r="AM189" s="1868"/>
      <c r="AN189" s="1895">
        <f t="shared" si="1989"/>
        <v>0</v>
      </c>
      <c r="AO189" s="1897">
        <f t="shared" si="1992"/>
        <v>14</v>
      </c>
    </row>
    <row r="190">
      <c r="A190" s="1179" t="s">
        <v>209</v>
      </c>
      <c r="B190" s="1868">
        <v>4</v>
      </c>
      <c r="C190" s="1868">
        <v>1</v>
      </c>
      <c r="D190" s="1868"/>
      <c r="E190" s="1895">
        <f t="shared" si="1978"/>
        <v>5</v>
      </c>
      <c r="F190" s="1868"/>
      <c r="G190" s="1868"/>
      <c r="H190" s="1868"/>
      <c r="I190" s="1895">
        <f t="shared" si="1979"/>
        <v>0</v>
      </c>
      <c r="J190" s="1896">
        <f t="shared" si="1980"/>
        <v>5</v>
      </c>
      <c r="K190" s="1868"/>
      <c r="L190" s="1868"/>
      <c r="M190" s="1868"/>
      <c r="N190" s="1895">
        <f t="shared" si="1981"/>
        <v>0</v>
      </c>
      <c r="O190" s="1896">
        <f t="shared" si="1982"/>
        <v>5</v>
      </c>
      <c r="P190" s="1868"/>
      <c r="Q190" s="1868"/>
      <c r="R190" s="1868"/>
      <c r="S190" s="1895">
        <f t="shared" si="1990"/>
        <v>0</v>
      </c>
      <c r="T190" s="1897">
        <f t="shared" si="1991"/>
        <v>5</v>
      </c>
      <c r="U190" s="1413"/>
      <c r="V190" s="1179" t="s">
        <v>209</v>
      </c>
      <c r="W190" s="1868">
        <v>2</v>
      </c>
      <c r="X190" s="1868">
        <v>1</v>
      </c>
      <c r="Y190" s="1868"/>
      <c r="Z190" s="1895">
        <f t="shared" si="1984"/>
        <v>3</v>
      </c>
      <c r="AA190" s="1868"/>
      <c r="AB190" s="1868"/>
      <c r="AC190" s="1868"/>
      <c r="AD190" s="1895">
        <f t="shared" si="1985"/>
        <v>0</v>
      </c>
      <c r="AE190" s="1898">
        <f t="shared" si="1986"/>
        <v>3</v>
      </c>
      <c r="AF190" s="1868"/>
      <c r="AG190" s="1868"/>
      <c r="AH190" s="1868"/>
      <c r="AI190" s="1895">
        <f t="shared" si="1987"/>
        <v>0</v>
      </c>
      <c r="AJ190" s="1898">
        <f t="shared" si="1988"/>
        <v>3</v>
      </c>
      <c r="AK190" s="1868"/>
      <c r="AL190" s="1868"/>
      <c r="AM190" s="1868"/>
      <c r="AN190" s="1895">
        <f t="shared" si="1989"/>
        <v>0</v>
      </c>
      <c r="AO190" s="1897">
        <f t="shared" si="1992"/>
        <v>3</v>
      </c>
    </row>
    <row r="191">
      <c r="A191" s="1179" t="s">
        <v>210</v>
      </c>
      <c r="B191" s="1868">
        <v>30</v>
      </c>
      <c r="C191" s="1868">
        <v>16</v>
      </c>
      <c r="D191" s="1868"/>
      <c r="E191" s="1895">
        <f t="shared" si="1978"/>
        <v>46</v>
      </c>
      <c r="F191" s="1868"/>
      <c r="G191" s="1868"/>
      <c r="H191" s="1868"/>
      <c r="I191" s="1895">
        <f t="shared" si="1979"/>
        <v>0</v>
      </c>
      <c r="J191" s="1896">
        <f t="shared" si="1980"/>
        <v>46</v>
      </c>
      <c r="K191" s="1868"/>
      <c r="L191" s="1868"/>
      <c r="M191" s="1868"/>
      <c r="N191" s="1895">
        <f t="shared" si="1981"/>
        <v>0</v>
      </c>
      <c r="O191" s="1896">
        <f t="shared" si="1982"/>
        <v>46</v>
      </c>
      <c r="P191" s="1868"/>
      <c r="Q191" s="1868"/>
      <c r="R191" s="1868"/>
      <c r="S191" s="1895">
        <f t="shared" si="1990"/>
        <v>0</v>
      </c>
      <c r="T191" s="1897">
        <f t="shared" si="1991"/>
        <v>46</v>
      </c>
      <c r="U191" s="1413"/>
      <c r="V191" s="1179" t="s">
        <v>210</v>
      </c>
      <c r="W191" s="1868">
        <v>3</v>
      </c>
      <c r="X191" s="1868">
        <v>1</v>
      </c>
      <c r="Y191" s="1868"/>
      <c r="Z191" s="1895">
        <f t="shared" si="1984"/>
        <v>4</v>
      </c>
      <c r="AA191" s="1868"/>
      <c r="AB191" s="1868"/>
      <c r="AC191" s="1868"/>
      <c r="AD191" s="1895">
        <f t="shared" si="1985"/>
        <v>0</v>
      </c>
      <c r="AE191" s="1898">
        <f t="shared" si="1986"/>
        <v>4</v>
      </c>
      <c r="AF191" s="1868"/>
      <c r="AG191" s="1868"/>
      <c r="AH191" s="1868"/>
      <c r="AI191" s="1895">
        <f t="shared" si="1987"/>
        <v>0</v>
      </c>
      <c r="AJ191" s="1898">
        <f t="shared" si="1988"/>
        <v>4</v>
      </c>
      <c r="AK191" s="1868"/>
      <c r="AL191" s="1868"/>
      <c r="AM191" s="1868"/>
      <c r="AN191" s="1895">
        <f t="shared" si="1989"/>
        <v>0</v>
      </c>
      <c r="AO191" s="1897">
        <f t="shared" si="1992"/>
        <v>4</v>
      </c>
    </row>
    <row r="192">
      <c r="A192" s="1179" t="s">
        <v>211</v>
      </c>
      <c r="B192" s="1868"/>
      <c r="C192" s="1868">
        <v>9</v>
      </c>
      <c r="D192" s="1868"/>
      <c r="E192" s="1895">
        <f t="shared" si="1978"/>
        <v>9</v>
      </c>
      <c r="F192" s="1868"/>
      <c r="G192" s="1868"/>
      <c r="H192" s="1868"/>
      <c r="I192" s="1895">
        <f t="shared" si="1979"/>
        <v>0</v>
      </c>
      <c r="J192" s="1896">
        <f t="shared" si="1980"/>
        <v>9</v>
      </c>
      <c r="K192" s="1868"/>
      <c r="L192" s="1868"/>
      <c r="M192" s="1868"/>
      <c r="N192" s="1895">
        <f t="shared" si="1981"/>
        <v>0</v>
      </c>
      <c r="O192" s="1896">
        <f t="shared" si="1982"/>
        <v>9</v>
      </c>
      <c r="P192" s="1868"/>
      <c r="Q192" s="1868"/>
      <c r="R192" s="1868"/>
      <c r="S192" s="1895">
        <f t="shared" si="1990"/>
        <v>0</v>
      </c>
      <c r="T192" s="1897">
        <f t="shared" si="1991"/>
        <v>9</v>
      </c>
      <c r="U192" s="1413"/>
      <c r="V192" s="1179" t="s">
        <v>211</v>
      </c>
      <c r="W192" s="1868"/>
      <c r="X192" s="1868">
        <v>3</v>
      </c>
      <c r="Y192" s="1868"/>
      <c r="Z192" s="1895">
        <f t="shared" si="1984"/>
        <v>3</v>
      </c>
      <c r="AA192" s="1868"/>
      <c r="AB192" s="1868"/>
      <c r="AC192" s="1868"/>
      <c r="AD192" s="1895">
        <f t="shared" si="1985"/>
        <v>0</v>
      </c>
      <c r="AE192" s="1898">
        <f t="shared" si="1986"/>
        <v>3</v>
      </c>
      <c r="AF192" s="1868"/>
      <c r="AG192" s="1868"/>
      <c r="AH192" s="1868"/>
      <c r="AI192" s="1895">
        <f t="shared" si="1987"/>
        <v>0</v>
      </c>
      <c r="AJ192" s="1898">
        <f t="shared" si="1988"/>
        <v>3</v>
      </c>
      <c r="AK192" s="1868"/>
      <c r="AL192" s="1868"/>
      <c r="AM192" s="1868"/>
      <c r="AN192" s="1895">
        <f t="shared" si="1989"/>
        <v>0</v>
      </c>
      <c r="AO192" s="1897">
        <f t="shared" si="1992"/>
        <v>3</v>
      </c>
    </row>
    <row r="193">
      <c r="A193" s="1511" t="s">
        <v>363</v>
      </c>
      <c r="B193" s="1871">
        <f>SUM(B180:B192)</f>
        <v>243</v>
      </c>
      <c r="C193" s="1871">
        <f>SUM(C180:C192)</f>
        <v>307</v>
      </c>
      <c r="D193" s="1871">
        <f>SUM(D180:D192)</f>
        <v>0</v>
      </c>
      <c r="E193" s="1899">
        <f t="shared" si="1978"/>
        <v>550</v>
      </c>
      <c r="F193" s="1871">
        <f>SUM(F180:F192)</f>
        <v>0</v>
      </c>
      <c r="G193" s="1871">
        <f>SUM(G180:G192)</f>
        <v>0</v>
      </c>
      <c r="H193" s="1871">
        <f>SUM(H180:H192)</f>
        <v>0</v>
      </c>
      <c r="I193" s="1899">
        <f t="shared" si="1979"/>
        <v>0</v>
      </c>
      <c r="J193" s="1900">
        <f t="shared" si="1980"/>
        <v>550</v>
      </c>
      <c r="K193" s="1871">
        <f>SUM(K180:K192)</f>
        <v>0</v>
      </c>
      <c r="L193" s="1871">
        <f>SUM(L180:L192)</f>
        <v>0</v>
      </c>
      <c r="M193" s="1871">
        <f>SUM(M180:M192)</f>
        <v>0</v>
      </c>
      <c r="N193" s="1899">
        <f t="shared" si="1981"/>
        <v>0</v>
      </c>
      <c r="O193" s="1900">
        <f t="shared" si="1982"/>
        <v>550</v>
      </c>
      <c r="P193" s="1871">
        <f>SUM(P180:P192)</f>
        <v>0</v>
      </c>
      <c r="Q193" s="1871">
        <f>SUM(Q180:Q192)</f>
        <v>0</v>
      </c>
      <c r="R193" s="1871">
        <f>SUM(R180:R192)</f>
        <v>0</v>
      </c>
      <c r="S193" s="1899">
        <f t="shared" si="1990"/>
        <v>0</v>
      </c>
      <c r="T193" s="1901">
        <f t="shared" si="1991"/>
        <v>550</v>
      </c>
      <c r="U193" s="1413"/>
      <c r="V193" s="1511" t="s">
        <v>363</v>
      </c>
      <c r="W193" s="1871">
        <f>SUM(W180:W192)</f>
        <v>68</v>
      </c>
      <c r="X193" s="1871">
        <f>SUM(X180:X192)</f>
        <v>113</v>
      </c>
      <c r="Y193" s="1871">
        <f>SUM(Y180:Y192)</f>
        <v>0</v>
      </c>
      <c r="Z193" s="1895">
        <f t="shared" si="1984"/>
        <v>181</v>
      </c>
      <c r="AA193" s="1871">
        <f>SUM(AA180:AA192)</f>
        <v>0</v>
      </c>
      <c r="AB193" s="1871">
        <f>SUM(AB180:AB192)</f>
        <v>0</v>
      </c>
      <c r="AC193" s="1871">
        <f>SUM(AC180:AC192)</f>
        <v>0</v>
      </c>
      <c r="AD193" s="1895">
        <f t="shared" si="1985"/>
        <v>0</v>
      </c>
      <c r="AE193" s="1898">
        <f t="shared" si="1986"/>
        <v>181</v>
      </c>
      <c r="AF193" s="1871">
        <f>SUM(AF180:AF192)</f>
        <v>0</v>
      </c>
      <c r="AG193" s="1871">
        <f>SUM(AG180:AG192)</f>
        <v>0</v>
      </c>
      <c r="AH193" s="1871">
        <f>SUM(AH180:AH192)</f>
        <v>0</v>
      </c>
      <c r="AI193" s="1895">
        <f t="shared" si="1987"/>
        <v>0</v>
      </c>
      <c r="AJ193" s="1898">
        <f t="shared" si="1988"/>
        <v>181</v>
      </c>
      <c r="AK193" s="1871">
        <f>SUM(AK180:AK192)</f>
        <v>0</v>
      </c>
      <c r="AL193" s="1871">
        <f>SUM(AL180:AL192)</f>
        <v>0</v>
      </c>
      <c r="AM193" s="1871">
        <f>SUM(AM180:AM192)</f>
        <v>0</v>
      </c>
      <c r="AN193" s="1895">
        <f t="shared" si="1989"/>
        <v>0</v>
      </c>
      <c r="AO193" s="1897">
        <f t="shared" si="1992"/>
        <v>181</v>
      </c>
    </row>
    <row r="194">
      <c r="A194" s="1179" t="s">
        <v>379</v>
      </c>
      <c r="B194" s="1868"/>
      <c r="C194" s="1868"/>
      <c r="D194" s="1868"/>
      <c r="E194" s="1895">
        <f t="shared" si="1978"/>
        <v>0</v>
      </c>
      <c r="F194" s="1868"/>
      <c r="G194" s="1868"/>
      <c r="H194" s="1868"/>
      <c r="I194" s="1895">
        <f t="shared" si="1979"/>
        <v>0</v>
      </c>
      <c r="J194" s="1896">
        <f t="shared" si="1980"/>
        <v>0</v>
      </c>
      <c r="K194" s="1868"/>
      <c r="L194" s="1868"/>
      <c r="M194" s="1868"/>
      <c r="N194" s="1895">
        <f t="shared" si="1981"/>
        <v>0</v>
      </c>
      <c r="O194" s="1896">
        <f t="shared" si="1982"/>
        <v>0</v>
      </c>
      <c r="P194" s="1868"/>
      <c r="Q194" s="1868"/>
      <c r="R194" s="1868"/>
      <c r="S194" s="1895">
        <f t="shared" si="1990"/>
        <v>0</v>
      </c>
      <c r="T194" s="1897">
        <f t="shared" si="1991"/>
        <v>0</v>
      </c>
      <c r="U194" s="1413"/>
      <c r="V194" s="1179" t="s">
        <v>379</v>
      </c>
      <c r="W194" s="1868"/>
      <c r="X194" s="1868"/>
      <c r="Y194" s="1868"/>
      <c r="Z194" s="1895">
        <f t="shared" si="1984"/>
        <v>0</v>
      </c>
      <c r="AA194" s="1868"/>
      <c r="AB194" s="1868"/>
      <c r="AC194" s="1868"/>
      <c r="AD194" s="1895">
        <f t="shared" si="1985"/>
        <v>0</v>
      </c>
      <c r="AE194" s="1898">
        <f t="shared" si="1986"/>
        <v>0</v>
      </c>
      <c r="AF194" s="1868"/>
      <c r="AG194" s="1868"/>
      <c r="AH194" s="1868"/>
      <c r="AI194" s="1895">
        <f t="shared" si="1987"/>
        <v>0</v>
      </c>
      <c r="AJ194" s="1898">
        <f t="shared" si="1988"/>
        <v>0</v>
      </c>
      <c r="AK194" s="1868"/>
      <c r="AL194" s="1868"/>
      <c r="AM194" s="1868"/>
      <c r="AN194" s="1895">
        <f t="shared" si="1989"/>
        <v>0</v>
      </c>
      <c r="AO194" s="1897">
        <f t="shared" si="1992"/>
        <v>0</v>
      </c>
    </row>
    <row r="195">
      <c r="A195" s="1561" t="s">
        <v>525</v>
      </c>
      <c r="B195" s="1868"/>
      <c r="C195" s="1868"/>
      <c r="D195" s="1868"/>
      <c r="E195" s="1895">
        <f t="shared" si="1978"/>
        <v>0</v>
      </c>
      <c r="F195" s="1868"/>
      <c r="G195" s="1868"/>
      <c r="H195" s="1868"/>
      <c r="I195" s="1895">
        <f t="shared" si="1979"/>
        <v>0</v>
      </c>
      <c r="J195" s="1896">
        <f t="shared" si="1980"/>
        <v>0</v>
      </c>
      <c r="K195" s="1868"/>
      <c r="L195" s="1868"/>
      <c r="M195" s="1868"/>
      <c r="N195" s="1895">
        <f t="shared" si="1981"/>
        <v>0</v>
      </c>
      <c r="O195" s="1896">
        <f t="shared" si="1982"/>
        <v>0</v>
      </c>
      <c r="P195" s="1868"/>
      <c r="Q195" s="1868"/>
      <c r="R195" s="1868"/>
      <c r="S195" s="1895">
        <f t="shared" si="1990"/>
        <v>0</v>
      </c>
      <c r="T195" s="1897">
        <f t="shared" si="1991"/>
        <v>0</v>
      </c>
      <c r="U195" s="1413"/>
      <c r="V195" s="1551" t="s">
        <v>525</v>
      </c>
      <c r="W195" s="1868"/>
      <c r="X195" s="1868"/>
      <c r="Y195" s="1868"/>
      <c r="Z195" s="1895">
        <f t="shared" si="1984"/>
        <v>0</v>
      </c>
      <c r="AA195" s="1868"/>
      <c r="AB195" s="1868"/>
      <c r="AC195" s="1868"/>
      <c r="AD195" s="1895">
        <f t="shared" si="1985"/>
        <v>0</v>
      </c>
      <c r="AE195" s="1898">
        <f t="shared" si="1986"/>
        <v>0</v>
      </c>
      <c r="AF195" s="1868"/>
      <c r="AG195" s="1868"/>
      <c r="AH195" s="1868"/>
      <c r="AI195" s="1895">
        <f t="shared" si="1987"/>
        <v>0</v>
      </c>
      <c r="AJ195" s="1898">
        <f t="shared" si="1988"/>
        <v>0</v>
      </c>
      <c r="AK195" s="1868"/>
      <c r="AL195" s="1868"/>
      <c r="AM195" s="1868"/>
      <c r="AN195" s="1895">
        <f t="shared" si="1989"/>
        <v>0</v>
      </c>
      <c r="AO195" s="1897">
        <f t="shared" si="1992"/>
        <v>0</v>
      </c>
    </row>
    <row r="196">
      <c r="A196" s="1551" t="s">
        <v>543</v>
      </c>
      <c r="B196" s="1868"/>
      <c r="C196" s="1868"/>
      <c r="D196" s="1868"/>
      <c r="E196" s="1895">
        <f t="shared" si="1978"/>
        <v>0</v>
      </c>
      <c r="F196" s="1868"/>
      <c r="G196" s="1868"/>
      <c r="H196" s="1868"/>
      <c r="I196" s="1895">
        <f t="shared" si="1979"/>
        <v>0</v>
      </c>
      <c r="J196" s="1896">
        <f t="shared" si="1980"/>
        <v>0</v>
      </c>
      <c r="K196" s="1868"/>
      <c r="L196" s="1868"/>
      <c r="M196" s="1868"/>
      <c r="N196" s="1895">
        <f t="shared" si="1981"/>
        <v>0</v>
      </c>
      <c r="O196" s="1896">
        <f t="shared" si="1982"/>
        <v>0</v>
      </c>
      <c r="P196" s="1868"/>
      <c r="Q196" s="1868"/>
      <c r="R196" s="1868"/>
      <c r="S196" s="1895">
        <f t="shared" si="1990"/>
        <v>0</v>
      </c>
      <c r="T196" s="1897">
        <f t="shared" si="1991"/>
        <v>0</v>
      </c>
      <c r="U196" s="1413"/>
      <c r="V196" s="1551" t="s">
        <v>543</v>
      </c>
      <c r="W196" s="1868"/>
      <c r="X196" s="1868"/>
      <c r="Y196" s="1868"/>
      <c r="Z196" s="1895">
        <f t="shared" si="1984"/>
        <v>0</v>
      </c>
      <c r="AA196" s="1868"/>
      <c r="AB196" s="1868"/>
      <c r="AC196" s="1868"/>
      <c r="AD196" s="1895">
        <f t="shared" si="1985"/>
        <v>0</v>
      </c>
      <c r="AE196" s="1898">
        <f t="shared" si="1986"/>
        <v>0</v>
      </c>
      <c r="AF196" s="1868"/>
      <c r="AG196" s="1868"/>
      <c r="AH196" s="1868"/>
      <c r="AI196" s="1895">
        <f t="shared" si="1987"/>
        <v>0</v>
      </c>
      <c r="AJ196" s="1898">
        <f t="shared" si="1988"/>
        <v>0</v>
      </c>
      <c r="AK196" s="1868"/>
      <c r="AL196" s="1868"/>
      <c r="AM196" s="1868"/>
      <c r="AN196" s="1895">
        <f t="shared" si="1989"/>
        <v>0</v>
      </c>
      <c r="AO196" s="1897">
        <f t="shared" si="1992"/>
        <v>0</v>
      </c>
    </row>
    <row r="197">
      <c r="A197" s="1511" t="s">
        <v>544</v>
      </c>
      <c r="B197" s="1871">
        <f t="shared" ref="B197:H201" si="1995">SUM(B194:B196)</f>
        <v>0</v>
      </c>
      <c r="C197" s="1871">
        <f t="shared" si="1995"/>
        <v>0</v>
      </c>
      <c r="D197" s="1871">
        <f>SUM(D194:D196)</f>
        <v>0</v>
      </c>
      <c r="E197" s="1899">
        <f t="shared" si="1978"/>
        <v>0</v>
      </c>
      <c r="F197" s="1871">
        <f>SUM(F194:F196)</f>
        <v>0</v>
      </c>
      <c r="G197" s="1871">
        <f>SUM(G194:G196)</f>
        <v>0</v>
      </c>
      <c r="H197" s="1871">
        <f t="shared" si="1995"/>
        <v>0</v>
      </c>
      <c r="I197" s="1895">
        <f t="shared" si="1979"/>
        <v>0</v>
      </c>
      <c r="J197" s="1896">
        <f t="shared" si="1980"/>
        <v>0</v>
      </c>
      <c r="K197" s="1871">
        <f>SUM(K194:K196)</f>
        <v>0</v>
      </c>
      <c r="L197" s="1871">
        <f>SUM(L194:L196)</f>
        <v>0</v>
      </c>
      <c r="M197" s="1871">
        <f t="shared" ref="M197:R201" si="1996">SUM(M194:M196)</f>
        <v>0</v>
      </c>
      <c r="N197" s="1895">
        <f t="shared" si="1981"/>
        <v>0</v>
      </c>
      <c r="O197" s="1896">
        <f t="shared" si="1982"/>
        <v>0</v>
      </c>
      <c r="P197" s="1871">
        <f t="shared" si="1996"/>
        <v>0</v>
      </c>
      <c r="Q197" s="1871">
        <f t="shared" si="1996"/>
        <v>0</v>
      </c>
      <c r="R197" s="1871">
        <f t="shared" si="1996"/>
        <v>0</v>
      </c>
      <c r="S197" s="1895">
        <f t="shared" si="1990"/>
        <v>0</v>
      </c>
      <c r="T197" s="1897">
        <f t="shared" si="1991"/>
        <v>0</v>
      </c>
      <c r="U197" s="1413"/>
      <c r="V197" s="1511" t="s">
        <v>544</v>
      </c>
      <c r="W197" s="1871">
        <f t="shared" ref="W197:AM201" si="1997">SUM(W194:W196)</f>
        <v>0</v>
      </c>
      <c r="X197" s="1871">
        <f t="shared" si="1997"/>
        <v>0</v>
      </c>
      <c r="Y197" s="1871">
        <f>SUM(Y194:Y196)</f>
        <v>0</v>
      </c>
      <c r="Z197" s="1895">
        <f t="shared" si="1984"/>
        <v>0</v>
      </c>
      <c r="AA197" s="1871">
        <f t="shared" si="1997"/>
        <v>0</v>
      </c>
      <c r="AB197" s="1871">
        <f t="shared" si="1997"/>
        <v>0</v>
      </c>
      <c r="AC197" s="1871">
        <f t="shared" si="1997"/>
        <v>0</v>
      </c>
      <c r="AD197" s="1895">
        <f t="shared" si="1985"/>
        <v>0</v>
      </c>
      <c r="AE197" s="1898">
        <f t="shared" si="1986"/>
        <v>0</v>
      </c>
      <c r="AF197" s="1871">
        <f>SUM(AF194:AF196)</f>
        <v>0</v>
      </c>
      <c r="AG197" s="1871">
        <f>SUM(AG194:AG196)</f>
        <v>0</v>
      </c>
      <c r="AH197" s="1871">
        <f t="shared" si="1997"/>
        <v>0</v>
      </c>
      <c r="AI197" s="1895">
        <f t="shared" si="1987"/>
        <v>0</v>
      </c>
      <c r="AJ197" s="1898">
        <f t="shared" si="1988"/>
        <v>0</v>
      </c>
      <c r="AK197" s="1871">
        <f t="shared" si="1997"/>
        <v>0</v>
      </c>
      <c r="AL197" s="1871">
        <f>SUM(AL194:AL196)</f>
        <v>0</v>
      </c>
      <c r="AM197" s="1871">
        <f t="shared" si="1997"/>
        <v>0</v>
      </c>
      <c r="AN197" s="1895">
        <f t="shared" si="1989"/>
        <v>0</v>
      </c>
      <c r="AO197" s="1897">
        <f t="shared" si="1992"/>
        <v>0</v>
      </c>
    </row>
    <row r="198">
      <c r="A198" s="1179" t="s">
        <v>390</v>
      </c>
      <c r="B198" s="1868"/>
      <c r="C198" s="1868"/>
      <c r="D198" s="1868"/>
      <c r="E198" s="1895">
        <f t="shared" si="1978"/>
        <v>0</v>
      </c>
      <c r="F198" s="1871"/>
      <c r="G198" s="1868"/>
      <c r="H198" s="1871"/>
      <c r="I198" s="1895">
        <f t="shared" si="1979"/>
        <v>0</v>
      </c>
      <c r="J198" s="1896">
        <f t="shared" si="1980"/>
        <v>0</v>
      </c>
      <c r="K198" s="1868"/>
      <c r="L198" s="1868"/>
      <c r="M198" s="1868"/>
      <c r="N198" s="1895">
        <f t="shared" si="1981"/>
        <v>0</v>
      </c>
      <c r="O198" s="1896">
        <f t="shared" si="1982"/>
        <v>0</v>
      </c>
      <c r="P198" s="1868"/>
      <c r="Q198" s="1868"/>
      <c r="R198" s="1868"/>
      <c r="S198" s="1895">
        <f t="shared" si="1990"/>
        <v>0</v>
      </c>
      <c r="T198" s="1897">
        <f t="shared" si="1991"/>
        <v>0</v>
      </c>
      <c r="U198" s="1413"/>
      <c r="V198" s="1179" t="s">
        <v>390</v>
      </c>
      <c r="W198" s="1868"/>
      <c r="X198" s="1868"/>
      <c r="Y198" s="1868"/>
      <c r="Z198" s="1895">
        <f t="shared" si="1984"/>
        <v>0</v>
      </c>
      <c r="AA198" s="1868"/>
      <c r="AB198" s="1868"/>
      <c r="AC198" s="1868"/>
      <c r="AD198" s="1895">
        <f t="shared" si="1985"/>
        <v>0</v>
      </c>
      <c r="AE198" s="1898">
        <f t="shared" si="1986"/>
        <v>0</v>
      </c>
      <c r="AF198" s="1868"/>
      <c r="AG198" s="1868"/>
      <c r="AH198" s="1868"/>
      <c r="AI198" s="1895">
        <f t="shared" si="1987"/>
        <v>0</v>
      </c>
      <c r="AJ198" s="1898">
        <f t="shared" si="1988"/>
        <v>0</v>
      </c>
      <c r="AK198" s="1868"/>
      <c r="AL198" s="1868"/>
      <c r="AM198" s="1868"/>
      <c r="AN198" s="1895">
        <f t="shared" si="1989"/>
        <v>0</v>
      </c>
      <c r="AO198" s="1897">
        <f t="shared" si="1992"/>
        <v>0</v>
      </c>
    </row>
    <row r="199">
      <c r="A199" s="1179" t="s">
        <v>392</v>
      </c>
      <c r="B199" s="1868"/>
      <c r="C199" s="1871"/>
      <c r="D199" s="1868"/>
      <c r="E199" s="1895">
        <f t="shared" si="1978"/>
        <v>0</v>
      </c>
      <c r="F199" s="1871"/>
      <c r="G199" s="1871"/>
      <c r="H199" s="1871"/>
      <c r="I199" s="1895">
        <f t="shared" si="1979"/>
        <v>0</v>
      </c>
      <c r="J199" s="1896">
        <f t="shared" si="1980"/>
        <v>0</v>
      </c>
      <c r="K199" s="1871"/>
      <c r="L199" s="1868"/>
      <c r="M199" s="1868"/>
      <c r="N199" s="1895">
        <f t="shared" si="1981"/>
        <v>0</v>
      </c>
      <c r="O199" s="1896">
        <f t="shared" si="1982"/>
        <v>0</v>
      </c>
      <c r="P199" s="1868"/>
      <c r="Q199" s="1868"/>
      <c r="R199" s="1868"/>
      <c r="S199" s="1895">
        <f t="shared" si="1990"/>
        <v>0</v>
      </c>
      <c r="T199" s="1897">
        <f t="shared" si="1991"/>
        <v>0</v>
      </c>
      <c r="U199" s="1413"/>
      <c r="V199" s="1179" t="s">
        <v>392</v>
      </c>
      <c r="W199" s="1868"/>
      <c r="X199" s="1868"/>
      <c r="Y199" s="1868"/>
      <c r="Z199" s="1895">
        <f t="shared" si="1984"/>
        <v>0</v>
      </c>
      <c r="AA199" s="1868"/>
      <c r="AB199" s="1868"/>
      <c r="AC199" s="1868"/>
      <c r="AD199" s="1895">
        <f t="shared" si="1985"/>
        <v>0</v>
      </c>
      <c r="AE199" s="1898">
        <f t="shared" si="1986"/>
        <v>0</v>
      </c>
      <c r="AF199" s="1868"/>
      <c r="AG199" s="1868"/>
      <c r="AH199" s="1868"/>
      <c r="AI199" s="1895">
        <f t="shared" si="1987"/>
        <v>0</v>
      </c>
      <c r="AJ199" s="1898">
        <f t="shared" si="1988"/>
        <v>0</v>
      </c>
      <c r="AK199" s="1868"/>
      <c r="AL199" s="1868"/>
      <c r="AM199" s="1868"/>
      <c r="AN199" s="1895">
        <f t="shared" si="1989"/>
        <v>0</v>
      </c>
      <c r="AO199" s="1897">
        <f t="shared" si="1992"/>
        <v>0</v>
      </c>
    </row>
    <row r="200">
      <c r="A200" s="1179" t="s">
        <v>265</v>
      </c>
      <c r="B200" s="1868"/>
      <c r="C200" s="1868"/>
      <c r="D200" s="1868"/>
      <c r="E200" s="1895">
        <f t="shared" si="1978"/>
        <v>0</v>
      </c>
      <c r="F200" s="1868"/>
      <c r="G200" s="1868"/>
      <c r="H200" s="1868"/>
      <c r="I200" s="1895">
        <f t="shared" si="1979"/>
        <v>0</v>
      </c>
      <c r="J200" s="1896">
        <f t="shared" si="1980"/>
        <v>0</v>
      </c>
      <c r="K200" s="1868"/>
      <c r="L200" s="1868"/>
      <c r="M200" s="1868"/>
      <c r="N200" s="1895">
        <f t="shared" si="1981"/>
        <v>0</v>
      </c>
      <c r="O200" s="1896">
        <f t="shared" si="1982"/>
        <v>0</v>
      </c>
      <c r="P200" s="1868"/>
      <c r="Q200" s="1868"/>
      <c r="R200" s="1868"/>
      <c r="S200" s="1895">
        <f t="shared" si="1990"/>
        <v>0</v>
      </c>
      <c r="T200" s="1897">
        <f t="shared" si="1991"/>
        <v>0</v>
      </c>
      <c r="U200" s="1413"/>
      <c r="V200" s="1179" t="s">
        <v>265</v>
      </c>
      <c r="W200" s="1868"/>
      <c r="X200" s="1868"/>
      <c r="Y200" s="1868"/>
      <c r="Z200" s="1895">
        <f t="shared" si="1984"/>
        <v>0</v>
      </c>
      <c r="AA200" s="1868"/>
      <c r="AB200" s="1868"/>
      <c r="AC200" s="1868"/>
      <c r="AD200" s="1895">
        <f t="shared" si="1985"/>
        <v>0</v>
      </c>
      <c r="AE200" s="1898">
        <f t="shared" si="1986"/>
        <v>0</v>
      </c>
      <c r="AF200" s="1868"/>
      <c r="AG200" s="1868"/>
      <c r="AH200" s="1868"/>
      <c r="AI200" s="1895">
        <f t="shared" si="1987"/>
        <v>0</v>
      </c>
      <c r="AJ200" s="1898">
        <f t="shared" si="1988"/>
        <v>0</v>
      </c>
      <c r="AK200" s="1868"/>
      <c r="AL200" s="1868"/>
      <c r="AM200" s="1868"/>
      <c r="AN200" s="1895">
        <f t="shared" si="1989"/>
        <v>0</v>
      </c>
      <c r="AO200" s="1897">
        <f t="shared" si="1992"/>
        <v>0</v>
      </c>
    </row>
    <row r="201">
      <c r="A201" s="1511" t="s">
        <v>394</v>
      </c>
      <c r="B201" s="1871">
        <f t="shared" si="1995"/>
        <v>0</v>
      </c>
      <c r="C201" s="1871">
        <f t="shared" si="1995"/>
        <v>0</v>
      </c>
      <c r="D201" s="1871">
        <f>SUM(D198:D200)</f>
        <v>0</v>
      </c>
      <c r="E201" s="1899">
        <f t="shared" si="1978"/>
        <v>0</v>
      </c>
      <c r="F201" s="1871">
        <f>SUM(F198:F200)</f>
        <v>0</v>
      </c>
      <c r="G201" s="1871">
        <f>SUM(G198:G200)</f>
        <v>0</v>
      </c>
      <c r="H201" s="1871">
        <f t="shared" si="1995"/>
        <v>0</v>
      </c>
      <c r="I201" s="1899">
        <f t="shared" si="1979"/>
        <v>0</v>
      </c>
      <c r="J201" s="1900">
        <f t="shared" si="1980"/>
        <v>0</v>
      </c>
      <c r="K201" s="1871">
        <f>SUM(K198:K200)</f>
        <v>0</v>
      </c>
      <c r="L201" s="1871">
        <f>SUM(L198:L200)</f>
        <v>0</v>
      </c>
      <c r="M201" s="1871">
        <f t="shared" si="1996"/>
        <v>0</v>
      </c>
      <c r="N201" s="1899">
        <f t="shared" si="1981"/>
        <v>0</v>
      </c>
      <c r="O201" s="1900">
        <f t="shared" si="1982"/>
        <v>0</v>
      </c>
      <c r="P201" s="1871">
        <f t="shared" si="1996"/>
        <v>0</v>
      </c>
      <c r="Q201" s="1871">
        <f t="shared" si="1996"/>
        <v>0</v>
      </c>
      <c r="R201" s="1871">
        <f t="shared" si="1996"/>
        <v>0</v>
      </c>
      <c r="S201" s="1899">
        <f t="shared" si="1990"/>
        <v>0</v>
      </c>
      <c r="T201" s="1901">
        <f t="shared" si="1991"/>
        <v>0</v>
      </c>
      <c r="U201" s="1902"/>
      <c r="V201" s="1511" t="s">
        <v>394</v>
      </c>
      <c r="W201" s="1871">
        <f t="shared" si="1997"/>
        <v>0</v>
      </c>
      <c r="X201" s="1871">
        <f t="shared" si="1997"/>
        <v>0</v>
      </c>
      <c r="Y201" s="1871">
        <f>SUM(Y198:Y200)</f>
        <v>0</v>
      </c>
      <c r="Z201" s="1895">
        <f t="shared" si="1984"/>
        <v>0</v>
      </c>
      <c r="AA201" s="1871">
        <f t="shared" si="1997"/>
        <v>0</v>
      </c>
      <c r="AB201" s="1871">
        <f t="shared" si="1997"/>
        <v>0</v>
      </c>
      <c r="AC201" s="1871">
        <f t="shared" si="1997"/>
        <v>0</v>
      </c>
      <c r="AD201" s="1895">
        <f t="shared" si="1985"/>
        <v>0</v>
      </c>
      <c r="AE201" s="1898">
        <f t="shared" si="1986"/>
        <v>0</v>
      </c>
      <c r="AF201" s="1871">
        <f>SUM(AF198:AF200)</f>
        <v>0</v>
      </c>
      <c r="AG201" s="1871">
        <f>SUM(AG198:AG200)</f>
        <v>0</v>
      </c>
      <c r="AH201" s="1871">
        <f t="shared" si="1997"/>
        <v>0</v>
      </c>
      <c r="AI201" s="1895">
        <f t="shared" si="1987"/>
        <v>0</v>
      </c>
      <c r="AJ201" s="1898">
        <f t="shared" si="1988"/>
        <v>0</v>
      </c>
      <c r="AK201" s="1871">
        <f t="shared" si="1997"/>
        <v>0</v>
      </c>
      <c r="AL201" s="1871">
        <f>SUM(AL198:AL200)</f>
        <v>0</v>
      </c>
      <c r="AM201" s="1871">
        <f t="shared" si="1997"/>
        <v>0</v>
      </c>
      <c r="AN201" s="1895">
        <f t="shared" si="1989"/>
        <v>0</v>
      </c>
      <c r="AO201" s="1897">
        <f t="shared" si="1992"/>
        <v>0</v>
      </c>
      <c r="AP201" s="1903"/>
      <c r="AQ201" s="1903"/>
      <c r="AR201" s="1903"/>
      <c r="AS201" s="1903"/>
      <c r="AT201" s="1903"/>
      <c r="AU201" s="1903"/>
      <c r="AV201" s="1903"/>
      <c r="AW201" s="1903"/>
      <c r="AX201" s="1903"/>
    </row>
    <row r="202">
      <c r="A202" s="1904" t="s">
        <v>545</v>
      </c>
      <c r="B202" s="1905">
        <f>B179+B193+B197+B201</f>
        <v>300</v>
      </c>
      <c r="C202" s="1905">
        <f>C179+C193+C197+C201</f>
        <v>363</v>
      </c>
      <c r="D202" s="1905">
        <f>D179+D193+D197+D201</f>
        <v>0</v>
      </c>
      <c r="E202" s="1899">
        <f t="shared" si="1978"/>
        <v>663</v>
      </c>
      <c r="F202" s="1905">
        <f>F179+F193+F197+F201</f>
        <v>0</v>
      </c>
      <c r="G202" s="1905">
        <f>G179+G193+G197+G201</f>
        <v>0</v>
      </c>
      <c r="H202" s="1905">
        <f>H179+H193+H197+H201</f>
        <v>0</v>
      </c>
      <c r="I202" s="1899">
        <f t="shared" si="1979"/>
        <v>0</v>
      </c>
      <c r="J202" s="1899">
        <f t="shared" si="1980"/>
        <v>663</v>
      </c>
      <c r="K202" s="1905">
        <f>K179+K193+K197+K201</f>
        <v>0</v>
      </c>
      <c r="L202" s="1905">
        <f>L179+L193+L197+L201</f>
        <v>0</v>
      </c>
      <c r="M202" s="1905">
        <f>M179+M193+M197+M201</f>
        <v>0</v>
      </c>
      <c r="N202" s="1899">
        <f t="shared" si="1981"/>
        <v>0</v>
      </c>
      <c r="O202" s="1899">
        <f t="shared" si="1982"/>
        <v>663</v>
      </c>
      <c r="P202" s="1905">
        <f>P179+P193+P197+P201</f>
        <v>0</v>
      </c>
      <c r="Q202" s="1905">
        <f>Q179+Q193+Q197+Q201</f>
        <v>0</v>
      </c>
      <c r="R202" s="1905">
        <f>R179+R193+R197+R201</f>
        <v>0</v>
      </c>
      <c r="S202" s="1899">
        <f t="shared" si="1990"/>
        <v>0</v>
      </c>
      <c r="T202" s="1899">
        <f t="shared" si="1991"/>
        <v>663</v>
      </c>
      <c r="U202" s="1902"/>
      <c r="V202" s="1511" t="s">
        <v>545</v>
      </c>
      <c r="W202" s="1871">
        <f>W179+W193+W197+W201</f>
        <v>79</v>
      </c>
      <c r="X202" s="1871">
        <f>X179+X193+X197+X201</f>
        <v>125</v>
      </c>
      <c r="Y202" s="1871">
        <f>Y179+Y193+Y197+Y201</f>
        <v>0</v>
      </c>
      <c r="Z202" s="1895">
        <f t="shared" si="1984"/>
        <v>204</v>
      </c>
      <c r="AA202" s="1871">
        <f>AA179+AA193+AA197+AA201</f>
        <v>0</v>
      </c>
      <c r="AB202" s="1871">
        <f>AB179+AB193+AB197+AB201</f>
        <v>0</v>
      </c>
      <c r="AC202" s="1871">
        <f>AC179+AC193+AC197+AC201</f>
        <v>0</v>
      </c>
      <c r="AD202" s="1895">
        <f t="shared" si="1985"/>
        <v>0</v>
      </c>
      <c r="AE202" s="1898">
        <f t="shared" si="1986"/>
        <v>204</v>
      </c>
      <c r="AF202" s="1871">
        <f>AF179+AF193+AF197+AF201</f>
        <v>0</v>
      </c>
      <c r="AG202" s="1871">
        <f>AG179+AG193+AG197+AG201</f>
        <v>0</v>
      </c>
      <c r="AH202" s="1871">
        <f>AH179+AH193+AH197+AH201</f>
        <v>0</v>
      </c>
      <c r="AI202" s="1895">
        <f t="shared" si="1987"/>
        <v>0</v>
      </c>
      <c r="AJ202" s="1898">
        <f t="shared" si="1988"/>
        <v>204</v>
      </c>
      <c r="AK202" s="1871">
        <f>AK179+AK193+AK197+AK201</f>
        <v>0</v>
      </c>
      <c r="AL202" s="1871">
        <f>AL179+AL193+AL197+AL201</f>
        <v>0</v>
      </c>
      <c r="AM202" s="1871">
        <f>AM179+AM193+AM197+AM201</f>
        <v>0</v>
      </c>
      <c r="AN202" s="1895">
        <f t="shared" si="1989"/>
        <v>0</v>
      </c>
      <c r="AO202" s="1897">
        <f t="shared" si="1992"/>
        <v>204</v>
      </c>
      <c r="AP202" s="1903"/>
      <c r="AQ202" s="1903"/>
      <c r="AR202" s="1903"/>
      <c r="AS202" s="1903"/>
      <c r="AT202" s="1903"/>
      <c r="AU202" s="1903"/>
      <c r="AV202" s="1903"/>
      <c r="AW202" s="1903"/>
      <c r="AX202" s="1903"/>
    </row>
    <row r="203">
      <c r="A203" s="1179" t="s">
        <v>50</v>
      </c>
      <c r="B203" s="1868"/>
      <c r="C203" s="1868"/>
      <c r="D203" s="1868"/>
      <c r="E203" s="1895">
        <f t="shared" si="1978"/>
        <v>0</v>
      </c>
      <c r="F203" s="1868"/>
      <c r="G203" s="1868"/>
      <c r="H203" s="1868"/>
      <c r="I203" s="1895">
        <f t="shared" si="1979"/>
        <v>0</v>
      </c>
      <c r="J203" s="1896">
        <f t="shared" si="1980"/>
        <v>0</v>
      </c>
      <c r="K203" s="1868"/>
      <c r="L203" s="1868"/>
      <c r="M203" s="1868"/>
      <c r="N203" s="1895">
        <f t="shared" si="1981"/>
        <v>0</v>
      </c>
      <c r="O203" s="1896">
        <f t="shared" si="1982"/>
        <v>0</v>
      </c>
      <c r="P203" s="1868"/>
      <c r="Q203" s="1868"/>
      <c r="R203" s="1868"/>
      <c r="S203" s="1895">
        <f t="shared" si="1990"/>
        <v>0</v>
      </c>
      <c r="T203" s="1897">
        <f t="shared" si="1991"/>
        <v>0</v>
      </c>
      <c r="U203" s="1413"/>
      <c r="V203" s="1179" t="s">
        <v>50</v>
      </c>
      <c r="W203" s="1868"/>
      <c r="X203" s="1868"/>
      <c r="Y203" s="1868"/>
      <c r="Z203" s="1895">
        <f t="shared" si="1984"/>
        <v>0</v>
      </c>
      <c r="AA203" s="1868"/>
      <c r="AB203" s="1868"/>
      <c r="AC203" s="1868"/>
      <c r="AD203" s="1895">
        <f t="shared" si="1985"/>
        <v>0</v>
      </c>
      <c r="AE203" s="1898">
        <f t="shared" si="1986"/>
        <v>0</v>
      </c>
      <c r="AF203" s="1868"/>
      <c r="AG203" s="1868"/>
      <c r="AH203" s="1868"/>
      <c r="AI203" s="1895">
        <f t="shared" si="1987"/>
        <v>0</v>
      </c>
      <c r="AJ203" s="1898">
        <f t="shared" si="1988"/>
        <v>0</v>
      </c>
      <c r="AK203" s="1868"/>
      <c r="AL203" s="1868"/>
      <c r="AM203" s="1868"/>
      <c r="AN203" s="1895">
        <f t="shared" si="1989"/>
        <v>0</v>
      </c>
      <c r="AO203" s="1897">
        <f t="shared" si="1992"/>
        <v>0</v>
      </c>
    </row>
    <row r="204">
      <c r="A204" s="1179" t="s">
        <v>397</v>
      </c>
      <c r="B204" s="1868"/>
      <c r="C204" s="1868"/>
      <c r="D204" s="1868"/>
      <c r="E204" s="1895">
        <f t="shared" si="1978"/>
        <v>0</v>
      </c>
      <c r="F204" s="1868"/>
      <c r="G204" s="1868"/>
      <c r="H204" s="1868"/>
      <c r="I204" s="1895">
        <f t="shared" si="1979"/>
        <v>0</v>
      </c>
      <c r="J204" s="1896">
        <f t="shared" si="1980"/>
        <v>0</v>
      </c>
      <c r="K204" s="1868"/>
      <c r="L204" s="1868"/>
      <c r="M204" s="1868"/>
      <c r="N204" s="1895">
        <f t="shared" si="1981"/>
        <v>0</v>
      </c>
      <c r="O204" s="1896">
        <f t="shared" si="1982"/>
        <v>0</v>
      </c>
      <c r="P204" s="1868"/>
      <c r="Q204" s="1868"/>
      <c r="R204" s="1868"/>
      <c r="S204" s="1895">
        <f t="shared" si="1990"/>
        <v>0</v>
      </c>
      <c r="T204" s="1897">
        <f t="shared" si="1991"/>
        <v>0</v>
      </c>
      <c r="U204" s="1413"/>
      <c r="V204" s="1179" t="s">
        <v>397</v>
      </c>
      <c r="W204" s="1868"/>
      <c r="X204" s="1868"/>
      <c r="Y204" s="1868"/>
      <c r="Z204" s="1895">
        <f t="shared" si="1984"/>
        <v>0</v>
      </c>
      <c r="AA204" s="1868"/>
      <c r="AB204" s="1868"/>
      <c r="AC204" s="1868"/>
      <c r="AD204" s="1895">
        <f t="shared" si="1985"/>
        <v>0</v>
      </c>
      <c r="AE204" s="1898">
        <f t="shared" si="1986"/>
        <v>0</v>
      </c>
      <c r="AF204" s="1868"/>
      <c r="AG204" s="1868"/>
      <c r="AH204" s="1868"/>
      <c r="AI204" s="1895">
        <f t="shared" si="1987"/>
        <v>0</v>
      </c>
      <c r="AJ204" s="1898">
        <f t="shared" si="1988"/>
        <v>0</v>
      </c>
      <c r="AK204" s="1868"/>
      <c r="AL204" s="1868"/>
      <c r="AM204" s="1868"/>
      <c r="AN204" s="1895">
        <f t="shared" si="1989"/>
        <v>0</v>
      </c>
      <c r="AO204" s="1897">
        <f t="shared" si="1992"/>
        <v>0</v>
      </c>
    </row>
    <row r="205">
      <c r="A205" s="1179" t="s">
        <v>546</v>
      </c>
      <c r="B205" s="1906"/>
      <c r="C205" s="1868"/>
      <c r="D205" s="1868"/>
      <c r="E205" s="1895">
        <f t="shared" si="1978"/>
        <v>0</v>
      </c>
      <c r="F205" s="1868"/>
      <c r="G205" s="1868"/>
      <c r="H205" s="1868"/>
      <c r="I205" s="1895">
        <f t="shared" si="1979"/>
        <v>0</v>
      </c>
      <c r="J205" s="1896">
        <f t="shared" si="1980"/>
        <v>0</v>
      </c>
      <c r="K205" s="1868"/>
      <c r="L205" s="1868"/>
      <c r="M205" s="1868"/>
      <c r="N205" s="1895">
        <f t="shared" si="1981"/>
        <v>0</v>
      </c>
      <c r="O205" s="1896">
        <f t="shared" si="1982"/>
        <v>0</v>
      </c>
      <c r="P205" s="1868"/>
      <c r="Q205" s="1868"/>
      <c r="R205" s="1868"/>
      <c r="S205" s="1895">
        <f t="shared" si="1990"/>
        <v>0</v>
      </c>
      <c r="T205" s="1897">
        <f t="shared" si="1991"/>
        <v>0</v>
      </c>
      <c r="U205" s="1413"/>
      <c r="V205" s="1179" t="s">
        <v>546</v>
      </c>
      <c r="W205" s="1868"/>
      <c r="X205" s="1868"/>
      <c r="Y205" s="1868"/>
      <c r="Z205" s="1895">
        <f t="shared" si="1984"/>
        <v>0</v>
      </c>
      <c r="AA205" s="1868"/>
      <c r="AB205" s="1868"/>
      <c r="AC205" s="1868"/>
      <c r="AD205" s="1895">
        <f t="shared" si="1985"/>
        <v>0</v>
      </c>
      <c r="AE205" s="1898">
        <f t="shared" si="1986"/>
        <v>0</v>
      </c>
      <c r="AF205" s="1868"/>
      <c r="AG205" s="1868"/>
      <c r="AH205" s="1868"/>
      <c r="AI205" s="1895">
        <f t="shared" si="1987"/>
        <v>0</v>
      </c>
      <c r="AJ205" s="1898">
        <f t="shared" si="1988"/>
        <v>0</v>
      </c>
      <c r="AK205" s="1868"/>
      <c r="AL205" s="1868"/>
      <c r="AM205" s="1868"/>
      <c r="AN205" s="1895">
        <f t="shared" si="1989"/>
        <v>0</v>
      </c>
      <c r="AO205" s="1897">
        <f t="shared" si="1992"/>
        <v>0</v>
      </c>
    </row>
    <row r="206">
      <c r="A206" s="1179" t="s">
        <v>547</v>
      </c>
      <c r="B206" s="1906"/>
      <c r="C206" s="1868"/>
      <c r="D206" s="1868"/>
      <c r="E206" s="1895">
        <f t="shared" si="1978"/>
        <v>0</v>
      </c>
      <c r="F206" s="1868"/>
      <c r="G206" s="1868"/>
      <c r="H206" s="1868"/>
      <c r="I206" s="1895">
        <f t="shared" si="1979"/>
        <v>0</v>
      </c>
      <c r="J206" s="1896">
        <f t="shared" si="1980"/>
        <v>0</v>
      </c>
      <c r="K206" s="1868"/>
      <c r="L206" s="1868"/>
      <c r="M206" s="1868"/>
      <c r="N206" s="1895">
        <f t="shared" si="1981"/>
        <v>0</v>
      </c>
      <c r="O206" s="1896">
        <f t="shared" si="1982"/>
        <v>0</v>
      </c>
      <c r="P206" s="1868"/>
      <c r="Q206" s="1868"/>
      <c r="R206" s="1868"/>
      <c r="S206" s="1895">
        <f t="shared" si="1990"/>
        <v>0</v>
      </c>
      <c r="T206" s="1897">
        <f t="shared" si="1991"/>
        <v>0</v>
      </c>
      <c r="U206" s="1413"/>
      <c r="V206" s="1179" t="s">
        <v>547</v>
      </c>
      <c r="W206" s="1868"/>
      <c r="X206" s="1868"/>
      <c r="Y206" s="1868"/>
      <c r="Z206" s="1895">
        <f t="shared" si="1984"/>
        <v>0</v>
      </c>
      <c r="AA206" s="1868"/>
      <c r="AB206" s="1868"/>
      <c r="AC206" s="1868"/>
      <c r="AD206" s="1895">
        <f t="shared" si="1985"/>
        <v>0</v>
      </c>
      <c r="AE206" s="1898">
        <f t="shared" si="1986"/>
        <v>0</v>
      </c>
      <c r="AF206" s="1868"/>
      <c r="AG206" s="1868"/>
      <c r="AH206" s="1868"/>
      <c r="AI206" s="1895">
        <f t="shared" si="1987"/>
        <v>0</v>
      </c>
      <c r="AJ206" s="1898">
        <f t="shared" si="1988"/>
        <v>0</v>
      </c>
      <c r="AK206" s="1868"/>
      <c r="AL206" s="1868"/>
      <c r="AM206" s="1868"/>
      <c r="AN206" s="1895">
        <f t="shared" si="1989"/>
        <v>0</v>
      </c>
      <c r="AO206" s="1897">
        <f t="shared" si="1992"/>
        <v>0</v>
      </c>
    </row>
    <row r="207">
      <c r="A207" s="1907" t="s">
        <v>283</v>
      </c>
      <c r="B207" s="1906"/>
      <c r="C207" s="1868"/>
      <c r="D207" s="1868"/>
      <c r="E207" s="1895">
        <f t="shared" si="1978"/>
        <v>0</v>
      </c>
      <c r="F207" s="1868"/>
      <c r="G207" s="1868"/>
      <c r="H207" s="1868"/>
      <c r="I207" s="1895">
        <f t="shared" si="1979"/>
        <v>0</v>
      </c>
      <c r="J207" s="1896">
        <f t="shared" si="1980"/>
        <v>0</v>
      </c>
      <c r="K207" s="1868"/>
      <c r="L207" s="1868"/>
      <c r="M207" s="1868"/>
      <c r="N207" s="1895">
        <f t="shared" si="1981"/>
        <v>0</v>
      </c>
      <c r="O207" s="1896">
        <f t="shared" si="1982"/>
        <v>0</v>
      </c>
      <c r="P207" s="1868"/>
      <c r="Q207" s="1868"/>
      <c r="R207" s="1868"/>
      <c r="S207" s="1895">
        <f t="shared" si="1990"/>
        <v>0</v>
      </c>
      <c r="T207" s="1897">
        <f t="shared" si="1991"/>
        <v>0</v>
      </c>
      <c r="U207" s="1413"/>
      <c r="V207" s="1179"/>
      <c r="W207" s="1868"/>
      <c r="X207" s="1868"/>
      <c r="Y207" s="1868"/>
      <c r="Z207" s="1895">
        <f t="shared" si="1984"/>
        <v>0</v>
      </c>
      <c r="AA207" s="1868"/>
      <c r="AB207" s="1868"/>
      <c r="AC207" s="1868"/>
      <c r="AD207" s="1895">
        <f t="shared" si="1985"/>
        <v>0</v>
      </c>
      <c r="AE207" s="1898">
        <f t="shared" si="1986"/>
        <v>0</v>
      </c>
      <c r="AF207" s="1868"/>
      <c r="AG207" s="1868"/>
      <c r="AH207" s="1868"/>
      <c r="AI207" s="1895">
        <f t="shared" si="1987"/>
        <v>0</v>
      </c>
      <c r="AJ207" s="1898">
        <f t="shared" si="1988"/>
        <v>0</v>
      </c>
      <c r="AK207" s="1868"/>
      <c r="AL207" s="1868"/>
      <c r="AM207" s="1868"/>
      <c r="AN207" s="1895">
        <f t="shared" si="1989"/>
        <v>0</v>
      </c>
      <c r="AO207" s="1897">
        <f t="shared" si="1992"/>
        <v>0</v>
      </c>
    </row>
    <row r="208">
      <c r="A208" s="1179" t="s">
        <v>548</v>
      </c>
      <c r="B208" s="1906"/>
      <c r="C208" s="1868"/>
      <c r="D208" s="1868"/>
      <c r="E208" s="1895">
        <f t="shared" si="1978"/>
        <v>0</v>
      </c>
      <c r="F208" s="1868"/>
      <c r="G208" s="1868"/>
      <c r="H208" s="1868"/>
      <c r="I208" s="1895">
        <f t="shared" si="1979"/>
        <v>0</v>
      </c>
      <c r="J208" s="1896">
        <f t="shared" si="1980"/>
        <v>0</v>
      </c>
      <c r="K208" s="1868"/>
      <c r="L208" s="1868"/>
      <c r="M208" s="1868"/>
      <c r="N208" s="1895">
        <f t="shared" si="1981"/>
        <v>0</v>
      </c>
      <c r="O208" s="1896">
        <f t="shared" si="1982"/>
        <v>0</v>
      </c>
      <c r="P208" s="1868"/>
      <c r="Q208" s="1868"/>
      <c r="R208" s="1868"/>
      <c r="S208" s="1895">
        <f t="shared" si="1990"/>
        <v>0</v>
      </c>
      <c r="T208" s="1897">
        <f t="shared" si="1991"/>
        <v>0</v>
      </c>
      <c r="U208" s="1413"/>
      <c r="V208" s="1179" t="s">
        <v>548</v>
      </c>
      <c r="W208" s="1868"/>
      <c r="X208" s="1868"/>
      <c r="Y208" s="1868"/>
      <c r="Z208" s="1895">
        <f t="shared" si="1984"/>
        <v>0</v>
      </c>
      <c r="AA208" s="1868"/>
      <c r="AB208" s="1868"/>
      <c r="AC208" s="1868"/>
      <c r="AD208" s="1895">
        <f t="shared" si="1985"/>
        <v>0</v>
      </c>
      <c r="AE208" s="1898">
        <f t="shared" si="1986"/>
        <v>0</v>
      </c>
      <c r="AF208" s="1868"/>
      <c r="AG208" s="1868"/>
      <c r="AH208" s="1868"/>
      <c r="AI208" s="1895">
        <f t="shared" si="1987"/>
        <v>0</v>
      </c>
      <c r="AJ208" s="1898">
        <f t="shared" si="1988"/>
        <v>0</v>
      </c>
      <c r="AK208" s="1868"/>
      <c r="AL208" s="1868"/>
      <c r="AM208" s="1868"/>
      <c r="AN208" s="1895">
        <f t="shared" si="1989"/>
        <v>0</v>
      </c>
      <c r="AO208" s="1897">
        <f t="shared" si="1992"/>
        <v>0</v>
      </c>
    </row>
    <row r="209">
      <c r="A209" s="1179" t="s">
        <v>549</v>
      </c>
      <c r="B209" s="1906"/>
      <c r="C209" s="1868"/>
      <c r="D209" s="1868"/>
      <c r="E209" s="1895">
        <f t="shared" si="1978"/>
        <v>0</v>
      </c>
      <c r="F209" s="1868"/>
      <c r="G209" s="1868"/>
      <c r="H209" s="1868"/>
      <c r="I209" s="1895">
        <f t="shared" si="1979"/>
        <v>0</v>
      </c>
      <c r="J209" s="1896">
        <f t="shared" si="1980"/>
        <v>0</v>
      </c>
      <c r="K209" s="1868"/>
      <c r="L209" s="1868"/>
      <c r="M209" s="1868"/>
      <c r="N209" s="1895">
        <f t="shared" si="1981"/>
        <v>0</v>
      </c>
      <c r="O209" s="1896">
        <f t="shared" si="1982"/>
        <v>0</v>
      </c>
      <c r="P209" s="1868"/>
      <c r="Q209" s="1868"/>
      <c r="R209" s="1868"/>
      <c r="S209" s="1895">
        <f t="shared" si="1990"/>
        <v>0</v>
      </c>
      <c r="T209" s="1897">
        <f t="shared" si="1991"/>
        <v>0</v>
      </c>
      <c r="U209" s="1413"/>
      <c r="V209" s="1179" t="s">
        <v>549</v>
      </c>
      <c r="W209" s="1868"/>
      <c r="X209" s="1868"/>
      <c r="Y209" s="1868"/>
      <c r="Z209" s="1895">
        <f t="shared" si="1984"/>
        <v>0</v>
      </c>
      <c r="AA209" s="1868"/>
      <c r="AB209" s="1868"/>
      <c r="AC209" s="1868"/>
      <c r="AD209" s="1895">
        <f t="shared" si="1985"/>
        <v>0</v>
      </c>
      <c r="AE209" s="1898">
        <f t="shared" si="1986"/>
        <v>0</v>
      </c>
      <c r="AF209" s="1868"/>
      <c r="AG209" s="1868"/>
      <c r="AH209" s="1868"/>
      <c r="AI209" s="1895">
        <f t="shared" si="1987"/>
        <v>0</v>
      </c>
      <c r="AJ209" s="1898">
        <f t="shared" si="1988"/>
        <v>0</v>
      </c>
      <c r="AK209" s="1868"/>
      <c r="AL209" s="1868"/>
      <c r="AM209" s="1868"/>
      <c r="AN209" s="1895">
        <f t="shared" si="1989"/>
        <v>0</v>
      </c>
      <c r="AO209" s="1897">
        <f t="shared" si="1992"/>
        <v>0</v>
      </c>
    </row>
    <row r="210">
      <c r="A210" s="1904" t="s">
        <v>22</v>
      </c>
      <c r="B210" s="1905">
        <f t="shared" ref="B210:H210" si="1998">SUM(B202:B209)</f>
        <v>300</v>
      </c>
      <c r="C210" s="1905">
        <f t="shared" si="1998"/>
        <v>363</v>
      </c>
      <c r="D210" s="1905">
        <f>SUM(D202:D209)</f>
        <v>0</v>
      </c>
      <c r="E210" s="1899">
        <f t="shared" si="1978"/>
        <v>663</v>
      </c>
      <c r="F210" s="1905">
        <f>SUM(F202:F209)</f>
        <v>0</v>
      </c>
      <c r="G210" s="1905">
        <f>SUM(G202:G209)</f>
        <v>0</v>
      </c>
      <c r="H210" s="1905">
        <f t="shared" si="1998"/>
        <v>0</v>
      </c>
      <c r="I210" s="1899">
        <f t="shared" si="1979"/>
        <v>0</v>
      </c>
      <c r="J210" s="1899">
        <f t="shared" si="1980"/>
        <v>663</v>
      </c>
      <c r="K210" s="1905">
        <f>SUM(K202:K209)</f>
        <v>0</v>
      </c>
      <c r="L210" s="1905">
        <f>SUM(L202:L209)</f>
        <v>0</v>
      </c>
      <c r="M210" s="1905">
        <f t="shared" ref="M210:R210" si="1999">SUM(M202:M209)</f>
        <v>0</v>
      </c>
      <c r="N210" s="1899">
        <f t="shared" si="1981"/>
        <v>0</v>
      </c>
      <c r="O210" s="1899">
        <f t="shared" si="1982"/>
        <v>663</v>
      </c>
      <c r="P210" s="1905">
        <f t="shared" si="1999"/>
        <v>0</v>
      </c>
      <c r="Q210" s="1905">
        <f t="shared" si="1999"/>
        <v>0</v>
      </c>
      <c r="R210" s="1905">
        <f t="shared" si="1999"/>
        <v>0</v>
      </c>
      <c r="S210" s="1899">
        <f t="shared" si="1990"/>
        <v>0</v>
      </c>
      <c r="T210" s="1899">
        <f t="shared" si="1991"/>
        <v>663</v>
      </c>
      <c r="U210" s="1413"/>
      <c r="V210" s="1511" t="s">
        <v>22</v>
      </c>
      <c r="W210" s="1871">
        <f t="shared" ref="W210:AM210" si="2000">SUM(W202:W209)</f>
        <v>79</v>
      </c>
      <c r="X210" s="1871">
        <f t="shared" si="2000"/>
        <v>125</v>
      </c>
      <c r="Y210" s="1871">
        <f>SUM(Y202:Y209)</f>
        <v>0</v>
      </c>
      <c r="Z210" s="1895">
        <f t="shared" si="1984"/>
        <v>204</v>
      </c>
      <c r="AA210" s="1871">
        <f t="shared" si="2000"/>
        <v>0</v>
      </c>
      <c r="AB210" s="1871">
        <f t="shared" si="2000"/>
        <v>0</v>
      </c>
      <c r="AC210" s="1871">
        <f t="shared" si="2000"/>
        <v>0</v>
      </c>
      <c r="AD210" s="1895">
        <f t="shared" si="1985"/>
        <v>0</v>
      </c>
      <c r="AE210" s="1898">
        <f t="shared" si="1986"/>
        <v>204</v>
      </c>
      <c r="AF210" s="1871">
        <f>SUM(AF202:AF209)</f>
        <v>0</v>
      </c>
      <c r="AG210" s="1871">
        <f>SUM(AG202:AG209)</f>
        <v>0</v>
      </c>
      <c r="AH210" s="1871">
        <f t="shared" si="2000"/>
        <v>0</v>
      </c>
      <c r="AI210" s="1895">
        <f t="shared" si="1987"/>
        <v>0</v>
      </c>
      <c r="AJ210" s="1898">
        <f t="shared" si="1988"/>
        <v>204</v>
      </c>
      <c r="AK210" s="1871">
        <f t="shared" si="2000"/>
        <v>0</v>
      </c>
      <c r="AL210" s="1871">
        <f>SUM(AL202:AL209)</f>
        <v>0</v>
      </c>
      <c r="AM210" s="1871">
        <f t="shared" si="2000"/>
        <v>0</v>
      </c>
      <c r="AN210" s="1895">
        <f t="shared" si="1989"/>
        <v>0</v>
      </c>
      <c r="AO210" s="1897">
        <f t="shared" si="1992"/>
        <v>204</v>
      </c>
    </row>
    <row r="211">
      <c r="A211" s="1515"/>
      <c r="B211" s="1908"/>
      <c r="C211" s="1908"/>
      <c r="D211" s="1872"/>
      <c r="E211" s="1835"/>
      <c r="F211" s="1908"/>
      <c r="G211" s="1908"/>
      <c r="H211" s="1908"/>
      <c r="I211" s="1833"/>
      <c r="J211" s="1833"/>
      <c r="K211" s="1908"/>
      <c r="L211" s="1908"/>
      <c r="M211" s="1908"/>
      <c r="N211" s="1833"/>
      <c r="O211" s="1833"/>
      <c r="P211" s="1908"/>
      <c r="Q211" s="1872"/>
      <c r="R211" s="1872"/>
      <c r="S211" s="1835"/>
      <c r="T211" s="1835"/>
      <c r="V211" s="1515"/>
      <c r="W211" s="1908"/>
      <c r="X211" s="1908"/>
      <c r="Y211" s="1908"/>
      <c r="Z211" s="1833"/>
      <c r="AA211" s="1908"/>
      <c r="AB211" s="1908"/>
      <c r="AC211" s="1908"/>
      <c r="AD211" s="1833"/>
      <c r="AE211" s="1833"/>
      <c r="AF211" s="1908"/>
      <c r="AG211" s="1908"/>
      <c r="AH211" s="1872"/>
      <c r="AI211" s="1835"/>
      <c r="AJ211" s="1835"/>
      <c r="AK211" s="1908"/>
      <c r="AL211" s="1909"/>
      <c r="AM211" s="1908"/>
      <c r="AN211" s="1910"/>
      <c r="AO211" s="1910"/>
    </row>
    <row r="212">
      <c r="A212" s="1410"/>
      <c r="C212" s="1410"/>
      <c r="D212" s="1410"/>
      <c r="E212" s="1911"/>
      <c r="F212" s="1410"/>
      <c r="G212" s="1410"/>
      <c r="H212" s="1410"/>
      <c r="I212" s="1911"/>
      <c r="J212" s="1911"/>
      <c r="K212" s="1410"/>
      <c r="L212" s="1410"/>
      <c r="M212" s="1410"/>
      <c r="N212" s="1911"/>
      <c r="O212" s="1911"/>
      <c r="P212" s="1410"/>
      <c r="Q212" s="1410"/>
      <c r="R212" s="1420"/>
      <c r="S212" s="1415"/>
      <c r="T212" s="1836"/>
      <c r="V212" s="1410"/>
      <c r="W212" s="1410"/>
      <c r="X212" s="1410"/>
      <c r="Y212" s="1410"/>
      <c r="Z212" s="1911"/>
      <c r="AA212" s="1410"/>
      <c r="AB212" s="1410"/>
      <c r="AC212" s="1410"/>
      <c r="AD212" s="1911"/>
      <c r="AE212" s="1911"/>
      <c r="AF212" s="1410"/>
      <c r="AG212" s="1410"/>
      <c r="AH212" s="1410"/>
      <c r="AI212" s="1911"/>
      <c r="AJ212" s="1911"/>
      <c r="AK212" s="1410"/>
      <c r="AL212" s="1912"/>
      <c r="AM212" s="1410"/>
      <c r="AN212" s="1911"/>
      <c r="AO212" s="1910"/>
    </row>
    <row r="213" s="1434" customFormat="1" ht="35.25" customHeight="1">
      <c r="A213" s="1842" t="s">
        <v>592</v>
      </c>
      <c r="B213" s="1887" t="s">
        <v>129</v>
      </c>
      <c r="C213" s="1888"/>
      <c r="D213" s="1888"/>
      <c r="E213" s="1888"/>
      <c r="F213" s="1888"/>
      <c r="G213" s="1888"/>
      <c r="H213" s="1888"/>
      <c r="I213" s="1888"/>
      <c r="J213" s="1888"/>
      <c r="K213" s="1888"/>
      <c r="L213" s="1888"/>
      <c r="M213" s="1888"/>
      <c r="N213" s="1888"/>
      <c r="O213" s="1888"/>
      <c r="P213" s="1888"/>
      <c r="Q213" s="1888"/>
      <c r="R213" s="1888"/>
      <c r="S213" s="1888"/>
      <c r="T213" s="1889"/>
      <c r="U213" s="1409"/>
      <c r="V213" s="1409"/>
      <c r="W213" s="1409"/>
      <c r="X213" s="1409"/>
      <c r="Y213" s="1409"/>
      <c r="Z213" s="1418"/>
      <c r="AA213" s="1409"/>
      <c r="AB213" s="1409"/>
      <c r="AC213" s="1409"/>
      <c r="AD213" s="1418"/>
      <c r="AE213" s="1418"/>
      <c r="AF213" s="1409"/>
      <c r="AG213" s="1409"/>
      <c r="AH213" s="1409"/>
      <c r="AI213" s="1418"/>
      <c r="AJ213" s="1418"/>
      <c r="AK213" s="1409"/>
      <c r="AL213" s="1417"/>
      <c r="AM213" s="1409"/>
      <c r="AN213" s="1418"/>
      <c r="AO213" s="1418"/>
      <c r="AP213" s="1409"/>
      <c r="AQ213" s="1409"/>
      <c r="AR213" s="1409"/>
      <c r="AS213" s="1409"/>
      <c r="AT213" s="1409"/>
      <c r="AU213" s="1409"/>
      <c r="AV213" s="1409"/>
      <c r="AW213" s="1409"/>
      <c r="AX213" s="1409"/>
      <c r="AY213" s="1409"/>
      <c r="AZ213" s="1409"/>
    </row>
    <row r="214" s="1445" customFormat="1">
      <c r="A214" s="1446" t="s">
        <v>173</v>
      </c>
      <c r="B214" s="1446" t="s">
        <v>6</v>
      </c>
      <c r="C214" s="1446" t="s">
        <v>7</v>
      </c>
      <c r="D214" s="1913" t="s">
        <v>8</v>
      </c>
      <c r="E214" s="1914" t="s">
        <v>9</v>
      </c>
      <c r="F214" s="1447" t="s">
        <v>10</v>
      </c>
      <c r="G214" s="1447" t="s">
        <v>11</v>
      </c>
      <c r="H214" s="1447" t="s">
        <v>12</v>
      </c>
      <c r="I214" s="1448" t="s">
        <v>174</v>
      </c>
      <c r="J214" s="1449" t="s">
        <v>175</v>
      </c>
      <c r="K214" s="1447" t="s">
        <v>14</v>
      </c>
      <c r="L214" s="1447" t="s">
        <v>15</v>
      </c>
      <c r="M214" s="1447" t="s">
        <v>16</v>
      </c>
      <c r="N214" s="1448" t="s">
        <v>17</v>
      </c>
      <c r="O214" s="1449" t="s">
        <v>176</v>
      </c>
      <c r="P214" s="1447" t="s">
        <v>18</v>
      </c>
      <c r="Q214" s="1447" t="s">
        <v>19</v>
      </c>
      <c r="R214" s="1447" t="s">
        <v>20</v>
      </c>
      <c r="S214" s="1448" t="s">
        <v>593</v>
      </c>
      <c r="T214" s="1450" t="s">
        <v>22</v>
      </c>
      <c r="U214" s="1409"/>
      <c r="V214" s="1409"/>
      <c r="W214" s="1409"/>
      <c r="X214" s="1409"/>
      <c r="Y214" s="1409"/>
      <c r="Z214" s="1418"/>
      <c r="AA214" s="1409"/>
      <c r="AB214" s="1409"/>
      <c r="AC214" s="1409"/>
      <c r="AD214" s="1418"/>
      <c r="AE214" s="1418"/>
      <c r="AF214" s="1409"/>
      <c r="AG214" s="1409"/>
      <c r="AH214" s="1409"/>
      <c r="AI214" s="1418"/>
      <c r="AJ214" s="1418"/>
      <c r="AK214" s="1409"/>
      <c r="AL214" s="1417"/>
      <c r="AM214" s="1409"/>
      <c r="AN214" s="1418"/>
      <c r="AO214" s="1418"/>
      <c r="AP214" s="1409"/>
      <c r="AQ214" s="1409"/>
      <c r="AR214" s="1409"/>
      <c r="AS214" s="1409"/>
      <c r="AT214" s="1409"/>
      <c r="AU214" s="1409"/>
      <c r="AV214" s="1409"/>
      <c r="AW214" s="1409"/>
      <c r="AX214" s="1409"/>
      <c r="AY214" s="1409"/>
      <c r="AZ214" s="1409"/>
    </row>
    <row r="215">
      <c r="A215" s="1179" t="s">
        <v>379</v>
      </c>
      <c r="B215" s="1868">
        <v>150</v>
      </c>
      <c r="C215" s="1868">
        <v>172</v>
      </c>
      <c r="D215" s="1868"/>
      <c r="E215" s="1895">
        <f t="shared" si="1978"/>
        <v>322</v>
      </c>
      <c r="F215" s="1868"/>
      <c r="G215" s="1868"/>
      <c r="H215" s="1868"/>
      <c r="I215" s="1895">
        <f t="shared" si="1979"/>
        <v>0</v>
      </c>
      <c r="J215" s="1896">
        <f t="shared" si="1980"/>
        <v>322</v>
      </c>
      <c r="K215" s="1868"/>
      <c r="L215" s="1868"/>
      <c r="M215" s="1868"/>
      <c r="N215" s="1895">
        <f t="shared" si="1981"/>
        <v>0</v>
      </c>
      <c r="O215" s="1896">
        <f t="shared" si="1982"/>
        <v>322</v>
      </c>
      <c r="P215" s="1868"/>
      <c r="Q215" s="1868"/>
      <c r="R215" s="1868"/>
      <c r="S215" s="1895">
        <f t="shared" ref="S215:S253" si="2001">P215+Q215+R215</f>
        <v>0</v>
      </c>
      <c r="T215" s="1897">
        <f t="shared" si="1991"/>
        <v>322</v>
      </c>
      <c r="Z215" s="1418"/>
      <c r="AD215" s="1418"/>
      <c r="AE215" s="1418"/>
      <c r="AI215" s="1418"/>
      <c r="AJ215" s="1418"/>
      <c r="AN215" s="1418"/>
    </row>
    <row r="216">
      <c r="A216" s="1561" t="s">
        <v>525</v>
      </c>
      <c r="B216" s="1868">
        <v>4</v>
      </c>
      <c r="C216" s="1868">
        <v>5</v>
      </c>
      <c r="D216" s="1868"/>
      <c r="E216" s="1895">
        <f t="shared" si="1978"/>
        <v>9</v>
      </c>
      <c r="F216" s="1868"/>
      <c r="G216" s="1868"/>
      <c r="H216" s="1868"/>
      <c r="I216" s="1895">
        <f t="shared" si="1979"/>
        <v>0</v>
      </c>
      <c r="J216" s="1896">
        <f t="shared" si="1980"/>
        <v>9</v>
      </c>
      <c r="K216" s="1868"/>
      <c r="L216" s="1868"/>
      <c r="M216" s="1868"/>
      <c r="N216" s="1895">
        <f t="shared" si="1981"/>
        <v>0</v>
      </c>
      <c r="O216" s="1896">
        <f t="shared" si="1982"/>
        <v>9</v>
      </c>
      <c r="P216" s="1868"/>
      <c r="Q216" s="1868"/>
      <c r="R216" s="1868"/>
      <c r="S216" s="1895">
        <f t="shared" si="2001"/>
        <v>0</v>
      </c>
      <c r="T216" s="1897">
        <f t="shared" si="1991"/>
        <v>9</v>
      </c>
      <c r="Z216" s="1418"/>
      <c r="AD216" s="1418"/>
      <c r="AE216" s="1418"/>
      <c r="AI216" s="1418"/>
      <c r="AJ216" s="1418"/>
      <c r="AN216" s="1418"/>
    </row>
    <row r="217">
      <c r="A217" s="1551" t="s">
        <v>543</v>
      </c>
      <c r="B217" s="1868"/>
      <c r="C217" s="1868"/>
      <c r="D217" s="1868"/>
      <c r="E217" s="1895">
        <f t="shared" si="1978"/>
        <v>0</v>
      </c>
      <c r="F217" s="1868"/>
      <c r="G217" s="1868"/>
      <c r="H217" s="1868"/>
      <c r="I217" s="1895">
        <f t="shared" si="1979"/>
        <v>0</v>
      </c>
      <c r="J217" s="1896">
        <f t="shared" si="1980"/>
        <v>0</v>
      </c>
      <c r="K217" s="1868"/>
      <c r="L217" s="1868"/>
      <c r="M217" s="1868"/>
      <c r="N217" s="1895">
        <f t="shared" si="1981"/>
        <v>0</v>
      </c>
      <c r="O217" s="1896">
        <f t="shared" si="1982"/>
        <v>0</v>
      </c>
      <c r="P217" s="1868"/>
      <c r="Q217" s="1868"/>
      <c r="R217" s="1868"/>
      <c r="S217" s="1895">
        <f t="shared" si="2001"/>
        <v>0</v>
      </c>
      <c r="T217" s="1897">
        <f t="shared" si="1991"/>
        <v>0</v>
      </c>
      <c r="Z217" s="1418"/>
      <c r="AD217" s="1418"/>
      <c r="AE217" s="1418"/>
      <c r="AI217" s="1418"/>
      <c r="AJ217" s="1418"/>
      <c r="AN217" s="1418"/>
    </row>
    <row r="218">
      <c r="A218" s="1511" t="s">
        <v>544</v>
      </c>
      <c r="B218" s="1905">
        <f t="shared" ref="B218:H218" si="2002">SUM(B215:B217)</f>
        <v>154</v>
      </c>
      <c r="C218" s="1905">
        <f t="shared" si="2002"/>
        <v>177</v>
      </c>
      <c r="D218" s="1905">
        <f t="shared" si="2002"/>
        <v>0</v>
      </c>
      <c r="E218" s="1899">
        <f t="shared" si="1978"/>
        <v>331</v>
      </c>
      <c r="F218" s="1905">
        <f>SUM(F215:F217)</f>
        <v>0</v>
      </c>
      <c r="G218" s="1905">
        <f>SUM(G215:G217)</f>
        <v>0</v>
      </c>
      <c r="H218" s="1905">
        <f t="shared" si="2002"/>
        <v>0</v>
      </c>
      <c r="I218" s="1899">
        <f t="shared" si="1979"/>
        <v>0</v>
      </c>
      <c r="J218" s="1915">
        <f t="shared" si="1980"/>
        <v>331</v>
      </c>
      <c r="K218" s="1905">
        <f>SUM(K215:K217)</f>
        <v>0</v>
      </c>
      <c r="L218" s="1905">
        <f>SUM(L215:L217)</f>
        <v>0</v>
      </c>
      <c r="M218" s="1905">
        <f t="shared" ref="M218:R218" si="2003">SUM(M215:M217)</f>
        <v>0</v>
      </c>
      <c r="N218" s="1899">
        <f t="shared" si="1981"/>
        <v>0</v>
      </c>
      <c r="O218" s="1899">
        <f t="shared" si="1982"/>
        <v>331</v>
      </c>
      <c r="P218" s="1905">
        <f t="shared" si="2003"/>
        <v>0</v>
      </c>
      <c r="Q218" s="1905">
        <f t="shared" si="2003"/>
        <v>0</v>
      </c>
      <c r="R218" s="1905">
        <f t="shared" si="2003"/>
        <v>0</v>
      </c>
      <c r="S218" s="1899">
        <f t="shared" si="2001"/>
        <v>0</v>
      </c>
      <c r="T218" s="1899">
        <f t="shared" si="1991"/>
        <v>331</v>
      </c>
      <c r="Z218" s="1418"/>
      <c r="AD218" s="1418"/>
      <c r="AE218" s="1418"/>
      <c r="AI218" s="1418"/>
      <c r="AJ218" s="1418"/>
      <c r="AN218" s="1418"/>
    </row>
    <row r="219" ht="35.25" customHeight="1">
      <c r="A219" s="1526"/>
      <c r="B219" s="1872"/>
      <c r="C219" s="1908"/>
      <c r="D219" s="1872"/>
      <c r="E219" s="1836"/>
      <c r="F219" s="1908"/>
      <c r="G219" s="1908"/>
      <c r="H219" s="1908"/>
      <c r="I219" s="1910"/>
      <c r="J219" s="1916"/>
      <c r="K219" s="1908"/>
      <c r="L219" s="1908"/>
      <c r="M219" s="1908"/>
      <c r="N219" s="1910"/>
      <c r="O219" s="1910"/>
      <c r="P219" s="1908"/>
      <c r="Q219" s="1908"/>
      <c r="R219" s="1872"/>
      <c r="S219" s="1836"/>
      <c r="T219" s="1836"/>
      <c r="Z219" s="1418"/>
      <c r="AD219" s="1418"/>
      <c r="AE219" s="1418"/>
      <c r="AI219" s="1418"/>
      <c r="AJ219" s="1418"/>
      <c r="AN219" s="1418"/>
    </row>
    <row r="220" ht="22.5" customHeight="1">
      <c r="A220" s="1917" t="s">
        <v>594</v>
      </c>
      <c r="B220" s="1918" t="s">
        <v>129</v>
      </c>
      <c r="C220" s="1919"/>
      <c r="D220" s="1919"/>
      <c r="E220" s="1919"/>
      <c r="F220" s="1920"/>
      <c r="G220" s="1920"/>
      <c r="H220" s="1920"/>
      <c r="I220" s="1920"/>
      <c r="J220" s="1921"/>
      <c r="K220" s="1920"/>
      <c r="L220" s="1920"/>
      <c r="M220" s="1920"/>
      <c r="N220" s="1920"/>
      <c r="O220" s="1920"/>
      <c r="P220" s="1920"/>
      <c r="Q220" s="1920"/>
      <c r="R220" s="1919"/>
      <c r="S220" s="1919"/>
      <c r="T220" s="1922"/>
      <c r="V220" s="1917" t="s">
        <v>594</v>
      </c>
      <c r="W220" s="1918" t="s">
        <v>595</v>
      </c>
      <c r="X220" s="1919"/>
      <c r="Y220" s="1919"/>
      <c r="Z220" s="1919"/>
      <c r="AA220" s="1920"/>
      <c r="AB220" s="1920"/>
      <c r="AC220" s="1920"/>
      <c r="AD220" s="1920"/>
      <c r="AE220" s="1921"/>
      <c r="AF220" s="1920"/>
      <c r="AG220" s="1920"/>
      <c r="AH220" s="1920"/>
      <c r="AI220" s="1920"/>
      <c r="AJ220" s="1920"/>
      <c r="AK220" s="1920"/>
      <c r="AL220" s="1920"/>
      <c r="AM220" s="1919"/>
      <c r="AN220" s="1919"/>
      <c r="AO220" s="1922"/>
    </row>
    <row r="221" ht="15.75" customHeight="1">
      <c r="A221" s="1923"/>
      <c r="B221" s="1924"/>
      <c r="C221" s="1925"/>
      <c r="D221" s="1925"/>
      <c r="E221" s="1925"/>
      <c r="F221" s="1926"/>
      <c r="G221" s="1926"/>
      <c r="H221" s="1926"/>
      <c r="I221" s="1926"/>
      <c r="J221" s="1927"/>
      <c r="K221" s="1926"/>
      <c r="L221" s="1925"/>
      <c r="M221" s="1926"/>
      <c r="N221" s="1926"/>
      <c r="O221" s="1926"/>
      <c r="P221" s="1926"/>
      <c r="Q221" s="1926"/>
      <c r="R221" s="1925"/>
      <c r="S221" s="1925"/>
      <c r="T221" s="1928"/>
      <c r="V221" s="1923"/>
      <c r="W221" s="1924"/>
      <c r="X221" s="1925"/>
      <c r="Y221" s="1925"/>
      <c r="Z221" s="1925"/>
      <c r="AA221" s="1926"/>
      <c r="AB221" s="1926"/>
      <c r="AC221" s="1926"/>
      <c r="AD221" s="1926"/>
      <c r="AE221" s="1927"/>
      <c r="AF221" s="1926"/>
      <c r="AG221" s="1925"/>
      <c r="AH221" s="1926"/>
      <c r="AI221" s="1926"/>
      <c r="AJ221" s="1926"/>
      <c r="AK221" s="1926"/>
      <c r="AL221" s="1926"/>
      <c r="AM221" s="1925"/>
      <c r="AN221" s="1925"/>
      <c r="AO221" s="1928"/>
    </row>
    <row r="222" s="1445" customFormat="1">
      <c r="A222" s="1179" t="s">
        <v>173</v>
      </c>
      <c r="B222" s="1929" t="s">
        <v>6</v>
      </c>
      <c r="C222" s="1929" t="s">
        <v>7</v>
      </c>
      <c r="D222" s="1930" t="s">
        <v>8</v>
      </c>
      <c r="E222" s="1931" t="s">
        <v>9</v>
      </c>
      <c r="F222" s="1932" t="s">
        <v>10</v>
      </c>
      <c r="G222" s="1932" t="s">
        <v>11</v>
      </c>
      <c r="H222" s="1932" t="s">
        <v>12</v>
      </c>
      <c r="I222" s="1933" t="s">
        <v>174</v>
      </c>
      <c r="J222" s="1934" t="s">
        <v>175</v>
      </c>
      <c r="K222" s="1932" t="s">
        <v>14</v>
      </c>
      <c r="L222" s="1932" t="s">
        <v>15</v>
      </c>
      <c r="M222" s="1932" t="s">
        <v>16</v>
      </c>
      <c r="N222" s="1933" t="s">
        <v>17</v>
      </c>
      <c r="O222" s="1934" t="s">
        <v>176</v>
      </c>
      <c r="P222" s="1932" t="s">
        <v>18</v>
      </c>
      <c r="Q222" s="1932" t="s">
        <v>19</v>
      </c>
      <c r="R222" s="1932" t="s">
        <v>20</v>
      </c>
      <c r="S222" s="1933" t="s">
        <v>593</v>
      </c>
      <c r="T222" s="1935" t="s">
        <v>22</v>
      </c>
      <c r="U222" s="1409"/>
      <c r="V222" s="1936" t="s">
        <v>173</v>
      </c>
      <c r="W222" s="1929" t="s">
        <v>6</v>
      </c>
      <c r="X222" s="1929" t="s">
        <v>7</v>
      </c>
      <c r="Y222" s="1930" t="s">
        <v>8</v>
      </c>
      <c r="Z222" s="1931" t="s">
        <v>9</v>
      </c>
      <c r="AA222" s="1932" t="s">
        <v>10</v>
      </c>
      <c r="AB222" s="1932" t="s">
        <v>11</v>
      </c>
      <c r="AC222" s="1932" t="s">
        <v>12</v>
      </c>
      <c r="AD222" s="1933" t="s">
        <v>174</v>
      </c>
      <c r="AE222" s="1934" t="s">
        <v>175</v>
      </c>
      <c r="AF222" s="1932" t="s">
        <v>14</v>
      </c>
      <c r="AG222" s="1932" t="s">
        <v>15</v>
      </c>
      <c r="AH222" s="1932" t="s">
        <v>16</v>
      </c>
      <c r="AI222" s="1933" t="s">
        <v>17</v>
      </c>
      <c r="AJ222" s="1934" t="s">
        <v>176</v>
      </c>
      <c r="AK222" s="1932" t="s">
        <v>18</v>
      </c>
      <c r="AL222" s="1932" t="s">
        <v>19</v>
      </c>
      <c r="AM222" s="1932" t="s">
        <v>20</v>
      </c>
      <c r="AN222" s="1933" t="s">
        <v>593</v>
      </c>
      <c r="AO222" s="1935" t="s">
        <v>22</v>
      </c>
      <c r="AP222" s="1409"/>
      <c r="AQ222" s="1409"/>
      <c r="AR222" s="1409"/>
      <c r="AS222" s="1409"/>
      <c r="AT222" s="1409"/>
      <c r="AU222" s="1409"/>
      <c r="AV222" s="1409"/>
      <c r="AW222" s="1409"/>
      <c r="AX222" s="1409"/>
      <c r="AY222" s="1409"/>
      <c r="AZ222" s="1409"/>
    </row>
    <row r="223">
      <c r="A223" s="1937"/>
      <c r="B223" s="1938"/>
      <c r="C223" s="1939"/>
      <c r="D223" s="1939"/>
      <c r="E223" s="1940"/>
      <c r="F223" s="1939"/>
      <c r="G223" s="1939"/>
      <c r="H223" s="1939"/>
      <c r="I223" s="1941">
        <f t="shared" si="1979"/>
        <v>0</v>
      </c>
      <c r="J223" s="1896">
        <f t="shared" si="1980"/>
        <v>0</v>
      </c>
      <c r="K223" s="1942"/>
      <c r="L223" s="1942"/>
      <c r="M223" s="1942"/>
      <c r="N223" s="1943">
        <f t="shared" si="1981"/>
        <v>0</v>
      </c>
      <c r="O223" s="1896">
        <f t="shared" si="1982"/>
        <v>0</v>
      </c>
      <c r="P223" s="1942"/>
      <c r="Q223" s="1942"/>
      <c r="R223" s="1939"/>
      <c r="S223" s="1944">
        <f t="shared" si="2001"/>
        <v>0</v>
      </c>
      <c r="T223" s="1945"/>
      <c r="V223" s="1937"/>
      <c r="W223" s="1938"/>
      <c r="X223" s="1939"/>
      <c r="Y223" s="1939"/>
      <c r="Z223" s="1940"/>
      <c r="AA223" s="1939"/>
      <c r="AB223" s="1939"/>
      <c r="AC223" s="1939"/>
      <c r="AD223" s="1941">
        <f t="shared" si="1985"/>
        <v>0</v>
      </c>
      <c r="AE223" s="1896">
        <f t="shared" si="1986"/>
        <v>0</v>
      </c>
      <c r="AF223" s="1942"/>
      <c r="AG223" s="1942"/>
      <c r="AH223" s="1942"/>
      <c r="AI223" s="1943">
        <f t="shared" si="1987"/>
        <v>0</v>
      </c>
      <c r="AJ223" s="1896">
        <f t="shared" si="1988"/>
        <v>0</v>
      </c>
      <c r="AK223" s="1942"/>
      <c r="AL223" s="1942"/>
      <c r="AM223" s="1939"/>
      <c r="AN223" s="1944">
        <f t="shared" si="1989"/>
        <v>0</v>
      </c>
      <c r="AO223" s="1945"/>
    </row>
    <row r="224">
      <c r="A224" s="1946" t="s">
        <v>178</v>
      </c>
      <c r="B224" s="1947"/>
      <c r="C224" s="1413"/>
      <c r="D224" s="1946"/>
      <c r="E224" s="1414"/>
      <c r="F224" s="1946"/>
      <c r="G224" s="1946"/>
      <c r="H224" s="1946"/>
      <c r="I224" s="1941">
        <f t="shared" si="1979"/>
        <v>0</v>
      </c>
      <c r="J224" s="1896">
        <f t="shared" si="1980"/>
        <v>0</v>
      </c>
      <c r="K224" s="1948"/>
      <c r="L224" s="1948"/>
      <c r="M224" s="1948"/>
      <c r="N224" s="1943">
        <f t="shared" si="1981"/>
        <v>0</v>
      </c>
      <c r="O224" s="1896">
        <f t="shared" si="1982"/>
        <v>0</v>
      </c>
      <c r="P224" s="1948"/>
      <c r="Q224" s="1948"/>
      <c r="R224" s="1946"/>
      <c r="S224" s="1944">
        <f t="shared" si="2001"/>
        <v>0</v>
      </c>
      <c r="T224" s="1949">
        <f t="shared" ref="T224:T230" si="2004">SUM(B224:R224)</f>
        <v>0</v>
      </c>
      <c r="V224" s="1946" t="s">
        <v>178</v>
      </c>
      <c r="W224" s="1947"/>
      <c r="X224" s="1413"/>
      <c r="Y224" s="1946"/>
      <c r="Z224" s="1414"/>
      <c r="AA224" s="1946"/>
      <c r="AB224" s="1946"/>
      <c r="AC224" s="1946"/>
      <c r="AD224" s="1941">
        <f t="shared" si="1985"/>
        <v>0</v>
      </c>
      <c r="AE224" s="1896">
        <f t="shared" si="1986"/>
        <v>0</v>
      </c>
      <c r="AF224" s="1948"/>
      <c r="AG224" s="1948"/>
      <c r="AH224" s="1948"/>
      <c r="AI224" s="1943">
        <f t="shared" si="1987"/>
        <v>0</v>
      </c>
      <c r="AJ224" s="1896">
        <f t="shared" si="1988"/>
        <v>0</v>
      </c>
      <c r="AK224" s="1948"/>
      <c r="AL224" s="1948"/>
      <c r="AM224" s="1946"/>
      <c r="AN224" s="1944">
        <f t="shared" si="1989"/>
        <v>0</v>
      </c>
      <c r="AO224" s="1949">
        <f t="shared" ref="AO224:AO230" si="2005">SUM(W224:AM224)</f>
        <v>0</v>
      </c>
    </row>
    <row r="225">
      <c r="A225" s="1946" t="s">
        <v>354</v>
      </c>
      <c r="B225" s="1947"/>
      <c r="C225" s="1413"/>
      <c r="D225" s="1946"/>
      <c r="E225" s="1414"/>
      <c r="F225" s="1946"/>
      <c r="G225" s="1946"/>
      <c r="H225" s="1946"/>
      <c r="I225" s="1941">
        <f t="shared" si="1979"/>
        <v>0</v>
      </c>
      <c r="J225" s="1896">
        <f t="shared" si="1980"/>
        <v>0</v>
      </c>
      <c r="K225" s="1948"/>
      <c r="L225" s="1948"/>
      <c r="M225" s="1948"/>
      <c r="N225" s="1943">
        <f t="shared" si="1981"/>
        <v>0</v>
      </c>
      <c r="O225" s="1896">
        <f t="shared" si="1982"/>
        <v>0</v>
      </c>
      <c r="P225" s="1948"/>
      <c r="Q225" s="1948"/>
      <c r="R225" s="1946"/>
      <c r="S225" s="1944">
        <f t="shared" si="2001"/>
        <v>0</v>
      </c>
      <c r="T225" s="1949">
        <f t="shared" si="2004"/>
        <v>0</v>
      </c>
      <c r="V225" s="1946" t="s">
        <v>354</v>
      </c>
      <c r="W225" s="1947"/>
      <c r="X225" s="1413"/>
      <c r="Y225" s="1946"/>
      <c r="Z225" s="1414"/>
      <c r="AA225" s="1946"/>
      <c r="AB225" s="1946"/>
      <c r="AC225" s="1946"/>
      <c r="AD225" s="1941">
        <f t="shared" si="1985"/>
        <v>0</v>
      </c>
      <c r="AE225" s="1896">
        <f t="shared" si="1986"/>
        <v>0</v>
      </c>
      <c r="AF225" s="1948"/>
      <c r="AG225" s="1948"/>
      <c r="AH225" s="1948"/>
      <c r="AI225" s="1943">
        <f t="shared" si="1987"/>
        <v>0</v>
      </c>
      <c r="AJ225" s="1896">
        <f t="shared" si="1988"/>
        <v>0</v>
      </c>
      <c r="AK225" s="1948"/>
      <c r="AL225" s="1948"/>
      <c r="AM225" s="1946"/>
      <c r="AN225" s="1944">
        <f t="shared" si="1989"/>
        <v>0</v>
      </c>
      <c r="AO225" s="1949">
        <f t="shared" si="2005"/>
        <v>0</v>
      </c>
    </row>
    <row r="226">
      <c r="A226" s="1946" t="s">
        <v>181</v>
      </c>
      <c r="B226" s="1947"/>
      <c r="C226" s="1413"/>
      <c r="D226" s="1947"/>
      <c r="E226" s="1950"/>
      <c r="F226" s="1946"/>
      <c r="G226" s="1946"/>
      <c r="H226" s="1946"/>
      <c r="I226" s="1941">
        <f t="shared" si="1979"/>
        <v>0</v>
      </c>
      <c r="J226" s="1896">
        <f t="shared" si="1980"/>
        <v>0</v>
      </c>
      <c r="K226" s="1948"/>
      <c r="L226" s="1948"/>
      <c r="M226" s="1951"/>
      <c r="N226" s="1943">
        <f t="shared" si="1981"/>
        <v>0</v>
      </c>
      <c r="O226" s="1896">
        <f t="shared" si="1982"/>
        <v>0</v>
      </c>
      <c r="P226" s="1948"/>
      <c r="Q226" s="1951"/>
      <c r="R226" s="1946"/>
      <c r="S226" s="1944">
        <f t="shared" si="2001"/>
        <v>0</v>
      </c>
      <c r="T226" s="1949">
        <f t="shared" si="2004"/>
        <v>0</v>
      </c>
      <c r="V226" s="1946" t="s">
        <v>181</v>
      </c>
      <c r="W226" s="1947"/>
      <c r="X226" s="1413"/>
      <c r="Y226" s="1947"/>
      <c r="Z226" s="1950"/>
      <c r="AA226" s="1946"/>
      <c r="AB226" s="1946"/>
      <c r="AC226" s="1946"/>
      <c r="AD226" s="1941">
        <f t="shared" si="1985"/>
        <v>0</v>
      </c>
      <c r="AE226" s="1896">
        <f t="shared" si="1986"/>
        <v>0</v>
      </c>
      <c r="AF226" s="1948"/>
      <c r="AG226" s="1948"/>
      <c r="AH226" s="1951"/>
      <c r="AI226" s="1943">
        <f t="shared" si="1987"/>
        <v>0</v>
      </c>
      <c r="AJ226" s="1896">
        <f t="shared" si="1988"/>
        <v>0</v>
      </c>
      <c r="AK226" s="1948"/>
      <c r="AL226" s="1951"/>
      <c r="AM226" s="1946"/>
      <c r="AN226" s="1944">
        <f t="shared" si="1989"/>
        <v>0</v>
      </c>
      <c r="AO226" s="1949">
        <f t="shared" si="2005"/>
        <v>0</v>
      </c>
    </row>
    <row r="227">
      <c r="A227" s="1946" t="s">
        <v>182</v>
      </c>
      <c r="B227" s="1947">
        <v>5</v>
      </c>
      <c r="C227" s="1413">
        <v>4</v>
      </c>
      <c r="D227" s="1946"/>
      <c r="E227" s="1414"/>
      <c r="F227" s="1946"/>
      <c r="G227" s="1946"/>
      <c r="H227" s="1946"/>
      <c r="I227" s="1941">
        <f t="shared" si="1979"/>
        <v>0</v>
      </c>
      <c r="J227" s="1896">
        <f t="shared" si="1980"/>
        <v>0</v>
      </c>
      <c r="K227" s="1948"/>
      <c r="L227" s="1951"/>
      <c r="M227" s="1948"/>
      <c r="N227" s="1943">
        <f t="shared" si="1981"/>
        <v>0</v>
      </c>
      <c r="O227" s="1896">
        <f t="shared" si="1982"/>
        <v>0</v>
      </c>
      <c r="P227" s="1948"/>
      <c r="Q227" s="1948"/>
      <c r="R227" s="1946"/>
      <c r="S227" s="1944">
        <f t="shared" si="2001"/>
        <v>0</v>
      </c>
      <c r="T227" s="1949">
        <f t="shared" si="2004"/>
        <v>9</v>
      </c>
      <c r="V227" s="1946" t="s">
        <v>182</v>
      </c>
      <c r="W227" s="1947">
        <v>1</v>
      </c>
      <c r="X227" s="1413">
        <v>0</v>
      </c>
      <c r="Y227" s="1946"/>
      <c r="Z227" s="1414"/>
      <c r="AA227" s="1946"/>
      <c r="AB227" s="1946"/>
      <c r="AC227" s="1946"/>
      <c r="AD227" s="1941">
        <f t="shared" si="1985"/>
        <v>0</v>
      </c>
      <c r="AE227" s="1896">
        <f t="shared" si="1986"/>
        <v>0</v>
      </c>
      <c r="AF227" s="1948"/>
      <c r="AG227" s="1951"/>
      <c r="AH227" s="1948"/>
      <c r="AI227" s="1943">
        <f t="shared" si="1987"/>
        <v>0</v>
      </c>
      <c r="AJ227" s="1896">
        <f t="shared" si="1988"/>
        <v>0</v>
      </c>
      <c r="AK227" s="1948"/>
      <c r="AL227" s="1948"/>
      <c r="AM227" s="1946"/>
      <c r="AN227" s="1944">
        <f t="shared" si="1989"/>
        <v>0</v>
      </c>
      <c r="AO227" s="1949">
        <f t="shared" si="2005"/>
        <v>1</v>
      </c>
    </row>
    <row r="228">
      <c r="A228" s="1946" t="s">
        <v>183</v>
      </c>
      <c r="B228" s="1947"/>
      <c r="C228" s="1413"/>
      <c r="D228" s="1946"/>
      <c r="E228" s="1414"/>
      <c r="F228" s="1946"/>
      <c r="G228" s="1946"/>
      <c r="H228" s="1946"/>
      <c r="I228" s="1941">
        <f t="shared" si="1979"/>
        <v>0</v>
      </c>
      <c r="J228" s="1896">
        <f t="shared" si="1980"/>
        <v>0</v>
      </c>
      <c r="K228" s="1948"/>
      <c r="L228" s="1948"/>
      <c r="M228" s="1948"/>
      <c r="N228" s="1943">
        <f t="shared" si="1981"/>
        <v>0</v>
      </c>
      <c r="O228" s="1896">
        <f t="shared" si="1982"/>
        <v>0</v>
      </c>
      <c r="P228" s="1948"/>
      <c r="Q228" s="1948"/>
      <c r="R228" s="1946"/>
      <c r="S228" s="1944">
        <f t="shared" si="2001"/>
        <v>0</v>
      </c>
      <c r="T228" s="1949">
        <f t="shared" si="2004"/>
        <v>0</v>
      </c>
      <c r="V228" s="1946" t="s">
        <v>183</v>
      </c>
      <c r="W228" s="1947"/>
      <c r="X228" s="1413"/>
      <c r="Y228" s="1946"/>
      <c r="Z228" s="1414"/>
      <c r="AA228" s="1946"/>
      <c r="AB228" s="1946"/>
      <c r="AC228" s="1946"/>
      <c r="AD228" s="1941">
        <f t="shared" si="1985"/>
        <v>0</v>
      </c>
      <c r="AE228" s="1896">
        <f t="shared" si="1986"/>
        <v>0</v>
      </c>
      <c r="AF228" s="1948"/>
      <c r="AG228" s="1948"/>
      <c r="AH228" s="1948"/>
      <c r="AI228" s="1943">
        <f t="shared" si="1987"/>
        <v>0</v>
      </c>
      <c r="AJ228" s="1896">
        <f t="shared" si="1988"/>
        <v>0</v>
      </c>
      <c r="AK228" s="1948"/>
      <c r="AL228" s="1948"/>
      <c r="AM228" s="1946"/>
      <c r="AN228" s="1944">
        <f t="shared" si="1989"/>
        <v>0</v>
      </c>
      <c r="AO228" s="1949">
        <f t="shared" si="2005"/>
        <v>0</v>
      </c>
    </row>
    <row r="229">
      <c r="A229" s="1946" t="s">
        <v>184</v>
      </c>
      <c r="B229" s="1947"/>
      <c r="C229" s="1413"/>
      <c r="D229" s="1946"/>
      <c r="E229" s="1414"/>
      <c r="F229" s="1946"/>
      <c r="G229" s="1946"/>
      <c r="H229" s="1946"/>
      <c r="I229" s="1941">
        <f t="shared" si="1979"/>
        <v>0</v>
      </c>
      <c r="J229" s="1896">
        <f t="shared" si="1980"/>
        <v>0</v>
      </c>
      <c r="K229" s="1948"/>
      <c r="L229" s="1948"/>
      <c r="M229" s="1948"/>
      <c r="N229" s="1943">
        <f t="shared" si="1981"/>
        <v>0</v>
      </c>
      <c r="O229" s="1896">
        <f t="shared" si="1982"/>
        <v>0</v>
      </c>
      <c r="P229" s="1951"/>
      <c r="Q229" s="1948"/>
      <c r="R229" s="1946"/>
      <c r="S229" s="1944">
        <f t="shared" si="2001"/>
        <v>0</v>
      </c>
      <c r="T229" s="1949">
        <f t="shared" si="2004"/>
        <v>0</v>
      </c>
      <c r="V229" s="1946" t="s">
        <v>184</v>
      </c>
      <c r="W229" s="1947"/>
      <c r="X229" s="1413"/>
      <c r="Y229" s="1946"/>
      <c r="Z229" s="1414"/>
      <c r="AA229" s="1946"/>
      <c r="AB229" s="1946"/>
      <c r="AC229" s="1946"/>
      <c r="AD229" s="1941">
        <f t="shared" si="1985"/>
        <v>0</v>
      </c>
      <c r="AE229" s="1896">
        <f t="shared" si="1986"/>
        <v>0</v>
      </c>
      <c r="AF229" s="1948"/>
      <c r="AG229" s="1948"/>
      <c r="AH229" s="1948"/>
      <c r="AI229" s="1943">
        <f t="shared" si="1987"/>
        <v>0</v>
      </c>
      <c r="AJ229" s="1896">
        <f t="shared" si="1988"/>
        <v>0</v>
      </c>
      <c r="AK229" s="1951"/>
      <c r="AL229" s="1948"/>
      <c r="AM229" s="1946"/>
      <c r="AN229" s="1944">
        <f t="shared" si="1989"/>
        <v>0</v>
      </c>
      <c r="AO229" s="1949">
        <f t="shared" si="2005"/>
        <v>0</v>
      </c>
    </row>
    <row r="230">
      <c r="A230" s="1946" t="s">
        <v>185</v>
      </c>
      <c r="B230" s="1947"/>
      <c r="C230" s="1413"/>
      <c r="D230" s="1946"/>
      <c r="E230" s="1414"/>
      <c r="F230" s="1946"/>
      <c r="G230" s="1946"/>
      <c r="H230" s="1946"/>
      <c r="I230" s="1941">
        <f t="shared" ref="I230:I293" si="2006">F230+G230+H230</f>
        <v>0</v>
      </c>
      <c r="J230" s="1952">
        <f t="shared" ref="J230:J293" si="2007">E230+I230</f>
        <v>0</v>
      </c>
      <c r="K230" s="1948"/>
      <c r="L230" s="1948"/>
      <c r="M230" s="1948"/>
      <c r="N230" s="1943">
        <f t="shared" ref="N230:N293" si="2008">K230+L230+M230</f>
        <v>0</v>
      </c>
      <c r="O230" s="1952">
        <f t="shared" ref="O230:O253" si="2009">J230+N230</f>
        <v>0</v>
      </c>
      <c r="P230" s="1948"/>
      <c r="Q230" s="1948"/>
      <c r="R230" s="1946"/>
      <c r="S230" s="1953">
        <f t="shared" si="2001"/>
        <v>0</v>
      </c>
      <c r="T230" s="1949">
        <f t="shared" si="2004"/>
        <v>0</v>
      </c>
      <c r="V230" s="1946" t="s">
        <v>185</v>
      </c>
      <c r="W230" s="1947"/>
      <c r="X230" s="1413"/>
      <c r="Y230" s="1946"/>
      <c r="Z230" s="1414"/>
      <c r="AA230" s="1946"/>
      <c r="AB230" s="1946"/>
      <c r="AC230" s="1946"/>
      <c r="AD230" s="1941">
        <f t="shared" ref="AD230:AD293" si="2010">AA230+AB230+AC230</f>
        <v>0</v>
      </c>
      <c r="AE230" s="1952">
        <f t="shared" ref="AE230:AE293" si="2011">Z230+AD230</f>
        <v>0</v>
      </c>
      <c r="AF230" s="1948"/>
      <c r="AG230" s="1948"/>
      <c r="AH230" s="1948"/>
      <c r="AI230" s="1943">
        <f t="shared" ref="AI230:AI293" si="2012">AF230+AG230+AH230</f>
        <v>0</v>
      </c>
      <c r="AJ230" s="1952">
        <f t="shared" ref="AJ230:AJ253" si="2013">AE230+AI230</f>
        <v>0</v>
      </c>
      <c r="AK230" s="1948"/>
      <c r="AL230" s="1948"/>
      <c r="AM230" s="1946"/>
      <c r="AN230" s="1953">
        <f t="shared" ref="AN230:AN253" si="2014">AK230+AL230+AM230</f>
        <v>0</v>
      </c>
      <c r="AO230" s="1949">
        <f t="shared" si="2005"/>
        <v>0</v>
      </c>
    </row>
    <row r="231">
      <c r="A231" s="1511" t="s">
        <v>363</v>
      </c>
      <c r="B231" s="1954">
        <f>SUM(B224:B230)</f>
        <v>5</v>
      </c>
      <c r="C231" s="1954">
        <f>SUM(C224:C230)</f>
        <v>4</v>
      </c>
      <c r="D231" s="1954">
        <f>SUM(D224:D230)</f>
        <v>0</v>
      </c>
      <c r="E231" s="1955"/>
      <c r="F231" s="1954">
        <f>SUM(F224:F230)</f>
        <v>0</v>
      </c>
      <c r="G231" s="1954">
        <f>SUM(G224:G230)</f>
        <v>0</v>
      </c>
      <c r="H231" s="1954">
        <f>SUM(H224:H230)</f>
        <v>0</v>
      </c>
      <c r="I231" s="1956">
        <f t="shared" si="2006"/>
        <v>0</v>
      </c>
      <c r="J231" s="1896">
        <f t="shared" si="2007"/>
        <v>0</v>
      </c>
      <c r="K231" s="1957">
        <f>SUM(K224:K230)</f>
        <v>0</v>
      </c>
      <c r="L231" s="1957">
        <f>SUM(L224:L230)</f>
        <v>0</v>
      </c>
      <c r="M231" s="1957">
        <f>SUM(M224:M230)</f>
        <v>0</v>
      </c>
      <c r="N231" s="1958">
        <f t="shared" si="2008"/>
        <v>0</v>
      </c>
      <c r="O231" s="1896">
        <f t="shared" si="2009"/>
        <v>0</v>
      </c>
      <c r="P231" s="1957"/>
      <c r="Q231" s="1957"/>
      <c r="R231" s="1954"/>
      <c r="S231" s="1944">
        <f t="shared" si="2001"/>
        <v>0</v>
      </c>
      <c r="T231" s="1959">
        <f>SUM(T224:T230)</f>
        <v>9</v>
      </c>
      <c r="V231" s="1511" t="s">
        <v>363</v>
      </c>
      <c r="W231" s="1954">
        <f>SUM(W224:W230)</f>
        <v>1</v>
      </c>
      <c r="X231" s="1954">
        <f>SUM(X224:X230)</f>
        <v>0</v>
      </c>
      <c r="Y231" s="1954">
        <f>SUM(Y224:Y230)</f>
        <v>0</v>
      </c>
      <c r="Z231" s="1955"/>
      <c r="AA231" s="1954">
        <f>SUM(AA224:AA230)</f>
        <v>0</v>
      </c>
      <c r="AB231" s="1954">
        <f>SUM(AB224:AB230)</f>
        <v>0</v>
      </c>
      <c r="AC231" s="1954">
        <f>SUM(AC224:AC230)</f>
        <v>0</v>
      </c>
      <c r="AD231" s="1956">
        <f t="shared" si="2010"/>
        <v>0</v>
      </c>
      <c r="AE231" s="1896">
        <f t="shared" si="2011"/>
        <v>0</v>
      </c>
      <c r="AF231" s="1957">
        <f>SUM(AF224:AF230)</f>
        <v>0</v>
      </c>
      <c r="AG231" s="1957">
        <f>SUM(AG224:AG230)</f>
        <v>0</v>
      </c>
      <c r="AH231" s="1957">
        <f>SUM(AH224:AH230)</f>
        <v>0</v>
      </c>
      <c r="AI231" s="1958">
        <f t="shared" si="2012"/>
        <v>0</v>
      </c>
      <c r="AJ231" s="1896">
        <f t="shared" si="2013"/>
        <v>0</v>
      </c>
      <c r="AK231" s="1957"/>
      <c r="AL231" s="1957"/>
      <c r="AM231" s="1954"/>
      <c r="AN231" s="1944">
        <f t="shared" si="2014"/>
        <v>0</v>
      </c>
      <c r="AO231" s="1959">
        <f>SUM(AO224:AO230)</f>
        <v>1</v>
      </c>
    </row>
    <row r="232">
      <c r="A232" s="1946" t="s">
        <v>542</v>
      </c>
      <c r="B232" s="1947"/>
      <c r="C232" s="1960"/>
      <c r="D232" s="1960"/>
      <c r="E232" s="1950"/>
      <c r="F232" s="1947"/>
      <c r="G232" s="1960"/>
      <c r="H232" s="1960"/>
      <c r="I232" s="1941">
        <f t="shared" si="2006"/>
        <v>0</v>
      </c>
      <c r="J232" s="1961">
        <f t="shared" si="2007"/>
        <v>0</v>
      </c>
      <c r="K232" s="1962"/>
      <c r="L232" s="1962"/>
      <c r="M232" s="1962"/>
      <c r="N232" s="1943">
        <f t="shared" si="2008"/>
        <v>0</v>
      </c>
      <c r="O232" s="1961">
        <f t="shared" si="2009"/>
        <v>0</v>
      </c>
      <c r="P232" s="1962"/>
      <c r="Q232" s="1962"/>
      <c r="R232" s="1960"/>
      <c r="S232" s="1963">
        <f t="shared" si="2001"/>
        <v>0</v>
      </c>
      <c r="T232" s="1949">
        <f t="shared" ref="T232:T244" si="2015">SUM(B232:R232)</f>
        <v>0</v>
      </c>
      <c r="V232" s="1946" t="s">
        <v>542</v>
      </c>
      <c r="W232" s="1947"/>
      <c r="X232" s="1960"/>
      <c r="Y232" s="1960"/>
      <c r="Z232" s="1950"/>
      <c r="AA232" s="1947"/>
      <c r="AB232" s="1960"/>
      <c r="AC232" s="1960"/>
      <c r="AD232" s="1941">
        <f t="shared" si="2010"/>
        <v>0</v>
      </c>
      <c r="AE232" s="1961">
        <f t="shared" si="2011"/>
        <v>0</v>
      </c>
      <c r="AF232" s="1962"/>
      <c r="AG232" s="1962"/>
      <c r="AH232" s="1962"/>
      <c r="AI232" s="1943">
        <f t="shared" si="2012"/>
        <v>0</v>
      </c>
      <c r="AJ232" s="1961">
        <f t="shared" si="2013"/>
        <v>0</v>
      </c>
      <c r="AK232" s="1962"/>
      <c r="AL232" s="1962"/>
      <c r="AM232" s="1960"/>
      <c r="AN232" s="1963">
        <f t="shared" si="2014"/>
        <v>0</v>
      </c>
      <c r="AO232" s="1949">
        <f t="shared" ref="AO232:AO244" si="2016">SUM(W232:AM232)</f>
        <v>0</v>
      </c>
    </row>
    <row r="233">
      <c r="A233" s="1946" t="s">
        <v>195</v>
      </c>
      <c r="B233" s="1947"/>
      <c r="C233" s="1960"/>
      <c r="D233" s="1960"/>
      <c r="E233" s="1950"/>
      <c r="F233" s="1947"/>
      <c r="G233" s="1960"/>
      <c r="H233" s="1960"/>
      <c r="I233" s="1941">
        <f t="shared" si="2006"/>
        <v>0</v>
      </c>
      <c r="J233" s="1896">
        <f t="shared" si="2007"/>
        <v>0</v>
      </c>
      <c r="K233" s="1962"/>
      <c r="L233" s="1962"/>
      <c r="M233" s="1962"/>
      <c r="N233" s="1943">
        <f t="shared" si="2008"/>
        <v>0</v>
      </c>
      <c r="O233" s="1896">
        <f t="shared" si="2009"/>
        <v>0</v>
      </c>
      <c r="P233" s="1962"/>
      <c r="Q233" s="1962"/>
      <c r="R233" s="1960"/>
      <c r="S233" s="1944">
        <f t="shared" si="2001"/>
        <v>0</v>
      </c>
      <c r="T233" s="1949">
        <f t="shared" si="2015"/>
        <v>0</v>
      </c>
      <c r="V233" s="1946" t="s">
        <v>195</v>
      </c>
      <c r="W233" s="1947"/>
      <c r="X233" s="1960"/>
      <c r="Y233" s="1960"/>
      <c r="Z233" s="1950"/>
      <c r="AA233" s="1947"/>
      <c r="AB233" s="1960"/>
      <c r="AC233" s="1960"/>
      <c r="AD233" s="1941">
        <f t="shared" si="2010"/>
        <v>0</v>
      </c>
      <c r="AE233" s="1896">
        <f t="shared" si="2011"/>
        <v>0</v>
      </c>
      <c r="AF233" s="1962"/>
      <c r="AG233" s="1962"/>
      <c r="AH233" s="1962"/>
      <c r="AI233" s="1943">
        <f t="shared" si="2012"/>
        <v>0</v>
      </c>
      <c r="AJ233" s="1896">
        <f t="shared" si="2013"/>
        <v>0</v>
      </c>
      <c r="AK233" s="1962"/>
      <c r="AL233" s="1962"/>
      <c r="AM233" s="1960"/>
      <c r="AN233" s="1944">
        <f t="shared" si="2014"/>
        <v>0</v>
      </c>
      <c r="AO233" s="1949">
        <f t="shared" si="2016"/>
        <v>0</v>
      </c>
    </row>
    <row r="234">
      <c r="A234" s="1946" t="s">
        <v>196</v>
      </c>
      <c r="B234" s="1947"/>
      <c r="C234" s="1960"/>
      <c r="D234" s="1960"/>
      <c r="E234" s="1950"/>
      <c r="F234" s="1947"/>
      <c r="G234" s="1960"/>
      <c r="H234" s="1960"/>
      <c r="I234" s="1941">
        <f t="shared" si="2006"/>
        <v>0</v>
      </c>
      <c r="J234" s="1896">
        <f t="shared" si="2007"/>
        <v>0</v>
      </c>
      <c r="K234" s="1962"/>
      <c r="L234" s="1962"/>
      <c r="M234" s="1962"/>
      <c r="N234" s="1943">
        <f t="shared" si="2008"/>
        <v>0</v>
      </c>
      <c r="O234" s="1896">
        <f t="shared" si="2009"/>
        <v>0</v>
      </c>
      <c r="P234" s="1962"/>
      <c r="Q234" s="1962"/>
      <c r="R234" s="1960"/>
      <c r="S234" s="1944">
        <f t="shared" si="2001"/>
        <v>0</v>
      </c>
      <c r="T234" s="1949">
        <f t="shared" si="2015"/>
        <v>0</v>
      </c>
      <c r="V234" s="1946" t="s">
        <v>196</v>
      </c>
      <c r="W234" s="1947"/>
      <c r="X234" s="1960"/>
      <c r="Y234" s="1960"/>
      <c r="Z234" s="1950"/>
      <c r="AA234" s="1947"/>
      <c r="AB234" s="1960"/>
      <c r="AC234" s="1960"/>
      <c r="AD234" s="1941">
        <f t="shared" si="2010"/>
        <v>0</v>
      </c>
      <c r="AE234" s="1896">
        <f t="shared" si="2011"/>
        <v>0</v>
      </c>
      <c r="AF234" s="1962"/>
      <c r="AG234" s="1962"/>
      <c r="AH234" s="1962"/>
      <c r="AI234" s="1943">
        <f t="shared" si="2012"/>
        <v>0</v>
      </c>
      <c r="AJ234" s="1896">
        <f t="shared" si="2013"/>
        <v>0</v>
      </c>
      <c r="AK234" s="1962"/>
      <c r="AL234" s="1962"/>
      <c r="AM234" s="1960"/>
      <c r="AN234" s="1944">
        <f t="shared" si="2014"/>
        <v>0</v>
      </c>
      <c r="AO234" s="1949">
        <f t="shared" si="2016"/>
        <v>0</v>
      </c>
    </row>
    <row r="235">
      <c r="A235" s="1946" t="s">
        <v>367</v>
      </c>
      <c r="B235" s="1947"/>
      <c r="C235" s="1960"/>
      <c r="D235" s="1960"/>
      <c r="E235" s="1950"/>
      <c r="F235" s="1947"/>
      <c r="G235" s="1960"/>
      <c r="H235" s="1960"/>
      <c r="I235" s="1941">
        <f t="shared" si="2006"/>
        <v>0</v>
      </c>
      <c r="J235" s="1896">
        <f t="shared" si="2007"/>
        <v>0</v>
      </c>
      <c r="K235" s="1962"/>
      <c r="L235" s="1962"/>
      <c r="M235" s="1962"/>
      <c r="N235" s="1943">
        <f t="shared" si="2008"/>
        <v>0</v>
      </c>
      <c r="O235" s="1896">
        <f t="shared" si="2009"/>
        <v>0</v>
      </c>
      <c r="P235" s="1962"/>
      <c r="Q235" s="1962"/>
      <c r="R235" s="1960"/>
      <c r="S235" s="1944">
        <f t="shared" si="2001"/>
        <v>0</v>
      </c>
      <c r="T235" s="1949">
        <f t="shared" si="2015"/>
        <v>0</v>
      </c>
      <c r="V235" s="1946" t="s">
        <v>367</v>
      </c>
      <c r="W235" s="1947"/>
      <c r="X235" s="1960"/>
      <c r="Y235" s="1960"/>
      <c r="Z235" s="1950"/>
      <c r="AA235" s="1947"/>
      <c r="AB235" s="1960"/>
      <c r="AC235" s="1960"/>
      <c r="AD235" s="1941">
        <f t="shared" si="2010"/>
        <v>0</v>
      </c>
      <c r="AE235" s="1896">
        <f t="shared" si="2011"/>
        <v>0</v>
      </c>
      <c r="AF235" s="1962"/>
      <c r="AG235" s="1962"/>
      <c r="AH235" s="1962"/>
      <c r="AI235" s="1943">
        <f t="shared" si="2012"/>
        <v>0</v>
      </c>
      <c r="AJ235" s="1896">
        <f t="shared" si="2013"/>
        <v>0</v>
      </c>
      <c r="AK235" s="1962"/>
      <c r="AL235" s="1962"/>
      <c r="AM235" s="1960"/>
      <c r="AN235" s="1944">
        <f t="shared" si="2014"/>
        <v>0</v>
      </c>
      <c r="AO235" s="1949">
        <f t="shared" si="2016"/>
        <v>0</v>
      </c>
    </row>
    <row r="236">
      <c r="A236" s="1946" t="s">
        <v>201</v>
      </c>
      <c r="B236" s="1947"/>
      <c r="C236" s="1964"/>
      <c r="D236" s="1964"/>
      <c r="E236" s="1965"/>
      <c r="F236" s="1947"/>
      <c r="G236" s="1960"/>
      <c r="H236" s="1960"/>
      <c r="I236" s="1941">
        <f t="shared" si="2006"/>
        <v>0</v>
      </c>
      <c r="J236" s="1896">
        <f t="shared" si="2007"/>
        <v>0</v>
      </c>
      <c r="K236" s="1962"/>
      <c r="L236" s="1962"/>
      <c r="M236" s="1962"/>
      <c r="N236" s="1943">
        <f t="shared" si="2008"/>
        <v>0</v>
      </c>
      <c r="O236" s="1896">
        <f t="shared" si="2009"/>
        <v>0</v>
      </c>
      <c r="P236" s="1962"/>
      <c r="Q236" s="1962"/>
      <c r="R236" s="1960"/>
      <c r="S236" s="1944">
        <f t="shared" si="2001"/>
        <v>0</v>
      </c>
      <c r="T236" s="1949">
        <f t="shared" si="2015"/>
        <v>0</v>
      </c>
      <c r="V236" s="1946" t="s">
        <v>201</v>
      </c>
      <c r="W236" s="1947"/>
      <c r="X236" s="1964"/>
      <c r="Y236" s="1964"/>
      <c r="Z236" s="1965"/>
      <c r="AA236" s="1947"/>
      <c r="AB236" s="1960"/>
      <c r="AC236" s="1960"/>
      <c r="AD236" s="1941">
        <f t="shared" si="2010"/>
        <v>0</v>
      </c>
      <c r="AE236" s="1896">
        <f t="shared" si="2011"/>
        <v>0</v>
      </c>
      <c r="AF236" s="1962"/>
      <c r="AG236" s="1962"/>
      <c r="AH236" s="1962"/>
      <c r="AI236" s="1943">
        <f t="shared" si="2012"/>
        <v>0</v>
      </c>
      <c r="AJ236" s="1896">
        <f t="shared" si="2013"/>
        <v>0</v>
      </c>
      <c r="AK236" s="1962"/>
      <c r="AL236" s="1962"/>
      <c r="AM236" s="1960"/>
      <c r="AN236" s="1944">
        <f t="shared" si="2014"/>
        <v>0</v>
      </c>
      <c r="AO236" s="1949">
        <f t="shared" si="2016"/>
        <v>0</v>
      </c>
    </row>
    <row r="237">
      <c r="A237" s="1946" t="s">
        <v>203</v>
      </c>
      <c r="B237" s="1947"/>
      <c r="C237" s="1960"/>
      <c r="D237" s="1960"/>
      <c r="E237" s="1950"/>
      <c r="F237" s="1947"/>
      <c r="G237" s="1960"/>
      <c r="H237" s="1960"/>
      <c r="I237" s="1941">
        <f t="shared" si="2006"/>
        <v>0</v>
      </c>
      <c r="J237" s="1896">
        <f t="shared" si="2007"/>
        <v>0</v>
      </c>
      <c r="K237" s="1962"/>
      <c r="L237" s="1962"/>
      <c r="M237" s="1962"/>
      <c r="N237" s="1943">
        <f t="shared" si="2008"/>
        <v>0</v>
      </c>
      <c r="O237" s="1896">
        <f t="shared" si="2009"/>
        <v>0</v>
      </c>
      <c r="P237" s="1962"/>
      <c r="Q237" s="1962"/>
      <c r="R237" s="1960"/>
      <c r="S237" s="1944">
        <f t="shared" si="2001"/>
        <v>0</v>
      </c>
      <c r="T237" s="1949">
        <f t="shared" si="2015"/>
        <v>0</v>
      </c>
      <c r="V237" s="1946" t="s">
        <v>203</v>
      </c>
      <c r="W237" s="1947"/>
      <c r="X237" s="1960"/>
      <c r="Y237" s="1960"/>
      <c r="Z237" s="1950"/>
      <c r="AA237" s="1947"/>
      <c r="AB237" s="1960"/>
      <c r="AC237" s="1960"/>
      <c r="AD237" s="1941">
        <f t="shared" si="2010"/>
        <v>0</v>
      </c>
      <c r="AE237" s="1896">
        <f t="shared" si="2011"/>
        <v>0</v>
      </c>
      <c r="AF237" s="1962"/>
      <c r="AG237" s="1962"/>
      <c r="AH237" s="1962"/>
      <c r="AI237" s="1943">
        <f t="shared" si="2012"/>
        <v>0</v>
      </c>
      <c r="AJ237" s="1896">
        <f t="shared" si="2013"/>
        <v>0</v>
      </c>
      <c r="AK237" s="1962"/>
      <c r="AL237" s="1962"/>
      <c r="AM237" s="1960"/>
      <c r="AN237" s="1944">
        <f t="shared" si="2014"/>
        <v>0</v>
      </c>
      <c r="AO237" s="1949">
        <f t="shared" si="2016"/>
        <v>0</v>
      </c>
    </row>
    <row r="238">
      <c r="A238" s="1946" t="s">
        <v>204</v>
      </c>
      <c r="B238" s="1947"/>
      <c r="C238" s="1960"/>
      <c r="D238" s="1960"/>
      <c r="E238" s="1950"/>
      <c r="F238" s="1947"/>
      <c r="G238" s="1960"/>
      <c r="H238" s="1960"/>
      <c r="I238" s="1941">
        <f t="shared" si="2006"/>
        <v>0</v>
      </c>
      <c r="J238" s="1896">
        <f t="shared" si="2007"/>
        <v>0</v>
      </c>
      <c r="K238" s="1962"/>
      <c r="L238" s="1962"/>
      <c r="M238" s="1962"/>
      <c r="N238" s="1943">
        <f t="shared" si="2008"/>
        <v>0</v>
      </c>
      <c r="O238" s="1896">
        <f t="shared" si="2009"/>
        <v>0</v>
      </c>
      <c r="P238" s="1962"/>
      <c r="Q238" s="1962"/>
      <c r="R238" s="1960"/>
      <c r="S238" s="1944">
        <f t="shared" si="2001"/>
        <v>0</v>
      </c>
      <c r="T238" s="1949">
        <f t="shared" si="2015"/>
        <v>0</v>
      </c>
      <c r="V238" s="1946" t="s">
        <v>204</v>
      </c>
      <c r="W238" s="1947"/>
      <c r="X238" s="1960"/>
      <c r="Y238" s="1960"/>
      <c r="Z238" s="1950"/>
      <c r="AA238" s="1947"/>
      <c r="AB238" s="1960"/>
      <c r="AC238" s="1960"/>
      <c r="AD238" s="1941">
        <f t="shared" si="2010"/>
        <v>0</v>
      </c>
      <c r="AE238" s="1896">
        <f t="shared" si="2011"/>
        <v>0</v>
      </c>
      <c r="AF238" s="1962"/>
      <c r="AG238" s="1962"/>
      <c r="AH238" s="1962"/>
      <c r="AI238" s="1943">
        <f t="shared" si="2012"/>
        <v>0</v>
      </c>
      <c r="AJ238" s="1896">
        <f t="shared" si="2013"/>
        <v>0</v>
      </c>
      <c r="AK238" s="1962"/>
      <c r="AL238" s="1962"/>
      <c r="AM238" s="1960"/>
      <c r="AN238" s="1944">
        <f t="shared" si="2014"/>
        <v>0</v>
      </c>
      <c r="AO238" s="1949">
        <f t="shared" si="2016"/>
        <v>0</v>
      </c>
    </row>
    <row r="239">
      <c r="A239" s="1946" t="s">
        <v>205</v>
      </c>
      <c r="B239" s="1947"/>
      <c r="C239" s="1960"/>
      <c r="D239" s="1960"/>
      <c r="E239" s="1950"/>
      <c r="F239" s="1947"/>
      <c r="G239" s="1960"/>
      <c r="H239" s="1960"/>
      <c r="I239" s="1941">
        <f t="shared" si="2006"/>
        <v>0</v>
      </c>
      <c r="J239" s="1896">
        <f t="shared" si="2007"/>
        <v>0</v>
      </c>
      <c r="K239" s="1962"/>
      <c r="L239" s="1962"/>
      <c r="M239" s="1962"/>
      <c r="N239" s="1943">
        <f t="shared" si="2008"/>
        <v>0</v>
      </c>
      <c r="O239" s="1896">
        <f t="shared" si="2009"/>
        <v>0</v>
      </c>
      <c r="P239" s="1962"/>
      <c r="Q239" s="1962"/>
      <c r="R239" s="1960"/>
      <c r="S239" s="1944">
        <f t="shared" si="2001"/>
        <v>0</v>
      </c>
      <c r="T239" s="1949">
        <f t="shared" si="2015"/>
        <v>0</v>
      </c>
      <c r="V239" s="1946" t="s">
        <v>205</v>
      </c>
      <c r="W239" s="1947"/>
      <c r="X239" s="1960"/>
      <c r="Y239" s="1960"/>
      <c r="Z239" s="1950"/>
      <c r="AA239" s="1947"/>
      <c r="AB239" s="1960"/>
      <c r="AC239" s="1960"/>
      <c r="AD239" s="1941">
        <f t="shared" si="2010"/>
        <v>0</v>
      </c>
      <c r="AE239" s="1896">
        <f t="shared" si="2011"/>
        <v>0</v>
      </c>
      <c r="AF239" s="1962"/>
      <c r="AG239" s="1962"/>
      <c r="AH239" s="1962"/>
      <c r="AI239" s="1943">
        <f t="shared" si="2012"/>
        <v>0</v>
      </c>
      <c r="AJ239" s="1896">
        <f t="shared" si="2013"/>
        <v>0</v>
      </c>
      <c r="AK239" s="1962"/>
      <c r="AL239" s="1962"/>
      <c r="AM239" s="1960"/>
      <c r="AN239" s="1944">
        <f t="shared" si="2014"/>
        <v>0</v>
      </c>
      <c r="AO239" s="1949">
        <f t="shared" si="2016"/>
        <v>0</v>
      </c>
    </row>
    <row r="240">
      <c r="A240" s="1946" t="s">
        <v>206</v>
      </c>
      <c r="B240" s="1947"/>
      <c r="C240" s="1960"/>
      <c r="D240" s="1960"/>
      <c r="E240" s="1950"/>
      <c r="F240" s="1947"/>
      <c r="G240" s="1960"/>
      <c r="H240" s="1960"/>
      <c r="I240" s="1941">
        <f t="shared" si="2006"/>
        <v>0</v>
      </c>
      <c r="J240" s="1896">
        <f t="shared" si="2007"/>
        <v>0</v>
      </c>
      <c r="K240" s="1962"/>
      <c r="L240" s="1962"/>
      <c r="M240" s="1962"/>
      <c r="N240" s="1943">
        <f t="shared" si="2008"/>
        <v>0</v>
      </c>
      <c r="O240" s="1896">
        <f t="shared" si="2009"/>
        <v>0</v>
      </c>
      <c r="P240" s="1962"/>
      <c r="Q240" s="1962"/>
      <c r="R240" s="1960"/>
      <c r="S240" s="1944">
        <f t="shared" si="2001"/>
        <v>0</v>
      </c>
      <c r="T240" s="1949">
        <f t="shared" si="2015"/>
        <v>0</v>
      </c>
      <c r="V240" s="1946" t="s">
        <v>206</v>
      </c>
      <c r="W240" s="1947"/>
      <c r="X240" s="1960"/>
      <c r="Y240" s="1960"/>
      <c r="Z240" s="1950"/>
      <c r="AA240" s="1947"/>
      <c r="AB240" s="1960"/>
      <c r="AC240" s="1960"/>
      <c r="AD240" s="1941">
        <f t="shared" si="2010"/>
        <v>0</v>
      </c>
      <c r="AE240" s="1896">
        <f t="shared" si="2011"/>
        <v>0</v>
      </c>
      <c r="AF240" s="1962"/>
      <c r="AG240" s="1962"/>
      <c r="AH240" s="1962"/>
      <c r="AI240" s="1943">
        <f t="shared" si="2012"/>
        <v>0</v>
      </c>
      <c r="AJ240" s="1896">
        <f t="shared" si="2013"/>
        <v>0</v>
      </c>
      <c r="AK240" s="1962"/>
      <c r="AL240" s="1962"/>
      <c r="AM240" s="1960"/>
      <c r="AN240" s="1944">
        <f t="shared" si="2014"/>
        <v>0</v>
      </c>
      <c r="AO240" s="1949">
        <f t="shared" si="2016"/>
        <v>0</v>
      </c>
    </row>
    <row r="241">
      <c r="A241" s="1946" t="s">
        <v>207</v>
      </c>
      <c r="B241" s="1947">
        <v>16</v>
      </c>
      <c r="C241" s="1964">
        <v>34</v>
      </c>
      <c r="D241" s="1964"/>
      <c r="E241" s="1965"/>
      <c r="F241" s="1947"/>
      <c r="G241" s="1960"/>
      <c r="H241" s="1960"/>
      <c r="I241" s="1941">
        <f t="shared" si="2006"/>
        <v>0</v>
      </c>
      <c r="J241" s="1896">
        <f t="shared" si="2007"/>
        <v>0</v>
      </c>
      <c r="K241" s="1962"/>
      <c r="L241" s="1962"/>
      <c r="M241" s="1962"/>
      <c r="N241" s="1943">
        <f t="shared" si="2008"/>
        <v>0</v>
      </c>
      <c r="O241" s="1896">
        <f t="shared" si="2009"/>
        <v>0</v>
      </c>
      <c r="P241" s="1962"/>
      <c r="Q241" s="1962"/>
      <c r="R241" s="1960"/>
      <c r="S241" s="1944">
        <f t="shared" si="2001"/>
        <v>0</v>
      </c>
      <c r="T241" s="1949">
        <f t="shared" si="2015"/>
        <v>50</v>
      </c>
      <c r="V241" s="1946" t="s">
        <v>207</v>
      </c>
      <c r="W241" s="1947">
        <v>8</v>
      </c>
      <c r="X241" s="1964">
        <v>12</v>
      </c>
      <c r="Y241" s="1964"/>
      <c r="Z241" s="1965"/>
      <c r="AA241" s="1947"/>
      <c r="AB241" s="1960"/>
      <c r="AC241" s="1960"/>
      <c r="AD241" s="1941">
        <f t="shared" si="2010"/>
        <v>0</v>
      </c>
      <c r="AE241" s="1896">
        <f t="shared" si="2011"/>
        <v>0</v>
      </c>
      <c r="AF241" s="1962"/>
      <c r="AG241" s="1962"/>
      <c r="AH241" s="1962"/>
      <c r="AI241" s="1943">
        <f t="shared" si="2012"/>
        <v>0</v>
      </c>
      <c r="AJ241" s="1896">
        <f t="shared" si="2013"/>
        <v>0</v>
      </c>
      <c r="AK241" s="1962"/>
      <c r="AL241" s="1962"/>
      <c r="AM241" s="1960"/>
      <c r="AN241" s="1944">
        <f t="shared" si="2014"/>
        <v>0</v>
      </c>
      <c r="AO241" s="1949">
        <f t="shared" si="2016"/>
        <v>20</v>
      </c>
    </row>
    <row r="242">
      <c r="A242" s="1946" t="s">
        <v>209</v>
      </c>
      <c r="B242" s="1947"/>
      <c r="C242" s="1960"/>
      <c r="D242" s="1960"/>
      <c r="E242" s="1950"/>
      <c r="F242" s="1947"/>
      <c r="G242" s="1960"/>
      <c r="H242" s="1960"/>
      <c r="I242" s="1941">
        <f t="shared" si="2006"/>
        <v>0</v>
      </c>
      <c r="J242" s="1896">
        <f t="shared" si="2007"/>
        <v>0</v>
      </c>
      <c r="K242" s="1962"/>
      <c r="L242" s="1962"/>
      <c r="M242" s="1962"/>
      <c r="N242" s="1943">
        <f t="shared" si="2008"/>
        <v>0</v>
      </c>
      <c r="O242" s="1896">
        <f t="shared" si="2009"/>
        <v>0</v>
      </c>
      <c r="P242" s="1962"/>
      <c r="Q242" s="1962"/>
      <c r="R242" s="1960"/>
      <c r="S242" s="1944">
        <f t="shared" si="2001"/>
        <v>0</v>
      </c>
      <c r="T242" s="1949">
        <f t="shared" si="2015"/>
        <v>0</v>
      </c>
      <c r="V242" s="1946" t="s">
        <v>209</v>
      </c>
      <c r="W242" s="1947"/>
      <c r="X242" s="1960"/>
      <c r="Y242" s="1960"/>
      <c r="Z242" s="1950"/>
      <c r="AA242" s="1947"/>
      <c r="AB242" s="1960"/>
      <c r="AC242" s="1960"/>
      <c r="AD242" s="1941">
        <f t="shared" si="2010"/>
        <v>0</v>
      </c>
      <c r="AE242" s="1896">
        <f t="shared" si="2011"/>
        <v>0</v>
      </c>
      <c r="AF242" s="1962"/>
      <c r="AG242" s="1962"/>
      <c r="AH242" s="1962"/>
      <c r="AI242" s="1943">
        <f t="shared" si="2012"/>
        <v>0</v>
      </c>
      <c r="AJ242" s="1896">
        <f t="shared" si="2013"/>
        <v>0</v>
      </c>
      <c r="AK242" s="1962"/>
      <c r="AL242" s="1962"/>
      <c r="AM242" s="1960"/>
      <c r="AN242" s="1944">
        <f t="shared" si="2014"/>
        <v>0</v>
      </c>
      <c r="AO242" s="1949">
        <f t="shared" si="2016"/>
        <v>0</v>
      </c>
    </row>
    <row r="243">
      <c r="A243" s="1946" t="s">
        <v>210</v>
      </c>
      <c r="B243" s="1947"/>
      <c r="C243" s="1960"/>
      <c r="D243" s="1960"/>
      <c r="E243" s="1950"/>
      <c r="F243" s="1947"/>
      <c r="G243" s="1960"/>
      <c r="H243" s="1960"/>
      <c r="I243" s="1941">
        <f t="shared" si="2006"/>
        <v>0</v>
      </c>
      <c r="J243" s="1896">
        <f t="shared" si="2007"/>
        <v>0</v>
      </c>
      <c r="K243" s="1962"/>
      <c r="L243" s="1962"/>
      <c r="M243" s="1962"/>
      <c r="N243" s="1943">
        <f t="shared" si="2008"/>
        <v>0</v>
      </c>
      <c r="O243" s="1896">
        <f t="shared" si="2009"/>
        <v>0</v>
      </c>
      <c r="P243" s="1962"/>
      <c r="Q243" s="1962"/>
      <c r="R243" s="1960"/>
      <c r="S243" s="1944">
        <f t="shared" si="2001"/>
        <v>0</v>
      </c>
      <c r="T243" s="1949">
        <f t="shared" si="2015"/>
        <v>0</v>
      </c>
      <c r="V243" s="1946" t="s">
        <v>210</v>
      </c>
      <c r="W243" s="1947"/>
      <c r="X243" s="1960"/>
      <c r="Y243" s="1960"/>
      <c r="Z243" s="1950"/>
      <c r="AA243" s="1947"/>
      <c r="AB243" s="1960"/>
      <c r="AC243" s="1960"/>
      <c r="AD243" s="1941">
        <f t="shared" si="2010"/>
        <v>0</v>
      </c>
      <c r="AE243" s="1896">
        <f t="shared" si="2011"/>
        <v>0</v>
      </c>
      <c r="AF243" s="1962"/>
      <c r="AG243" s="1962"/>
      <c r="AH243" s="1962"/>
      <c r="AI243" s="1943">
        <f t="shared" si="2012"/>
        <v>0</v>
      </c>
      <c r="AJ243" s="1896">
        <f t="shared" si="2013"/>
        <v>0</v>
      </c>
      <c r="AK243" s="1962"/>
      <c r="AL243" s="1962"/>
      <c r="AM243" s="1960"/>
      <c r="AN243" s="1944">
        <f t="shared" si="2014"/>
        <v>0</v>
      </c>
      <c r="AO243" s="1949">
        <f t="shared" si="2016"/>
        <v>0</v>
      </c>
    </row>
    <row r="244">
      <c r="A244" s="1946" t="s">
        <v>211</v>
      </c>
      <c r="B244" s="1947"/>
      <c r="C244" s="1960"/>
      <c r="D244" s="1960"/>
      <c r="E244" s="1950"/>
      <c r="F244" s="1947"/>
      <c r="G244" s="1960"/>
      <c r="H244" s="1960"/>
      <c r="I244" s="1941">
        <f t="shared" si="2006"/>
        <v>0</v>
      </c>
      <c r="J244" s="1952">
        <f t="shared" si="2007"/>
        <v>0</v>
      </c>
      <c r="K244" s="1962"/>
      <c r="L244" s="1962"/>
      <c r="M244" s="1962"/>
      <c r="N244" s="1943">
        <f t="shared" si="2008"/>
        <v>0</v>
      </c>
      <c r="O244" s="1952">
        <f t="shared" si="2009"/>
        <v>0</v>
      </c>
      <c r="P244" s="1962"/>
      <c r="Q244" s="1962"/>
      <c r="R244" s="1960"/>
      <c r="S244" s="1953">
        <f t="shared" si="2001"/>
        <v>0</v>
      </c>
      <c r="T244" s="1949">
        <f t="shared" si="2015"/>
        <v>0</v>
      </c>
      <c r="V244" s="1946" t="s">
        <v>211</v>
      </c>
      <c r="W244" s="1947"/>
      <c r="X244" s="1960"/>
      <c r="Y244" s="1960"/>
      <c r="Z244" s="1950"/>
      <c r="AA244" s="1947"/>
      <c r="AB244" s="1960"/>
      <c r="AC244" s="1960"/>
      <c r="AD244" s="1941">
        <f t="shared" si="2010"/>
        <v>0</v>
      </c>
      <c r="AE244" s="1952">
        <f t="shared" si="2011"/>
        <v>0</v>
      </c>
      <c r="AF244" s="1962"/>
      <c r="AG244" s="1962"/>
      <c r="AH244" s="1962"/>
      <c r="AI244" s="1943">
        <f t="shared" si="2012"/>
        <v>0</v>
      </c>
      <c r="AJ244" s="1952">
        <f t="shared" si="2013"/>
        <v>0</v>
      </c>
      <c r="AK244" s="1962"/>
      <c r="AL244" s="1962"/>
      <c r="AM244" s="1960"/>
      <c r="AN244" s="1953">
        <f t="shared" si="2014"/>
        <v>0</v>
      </c>
      <c r="AO244" s="1949">
        <f t="shared" si="2016"/>
        <v>0</v>
      </c>
    </row>
    <row r="245">
      <c r="A245" s="1511" t="s">
        <v>363</v>
      </c>
      <c r="B245" s="1954">
        <f>SUM(B232:B244)</f>
        <v>16</v>
      </c>
      <c r="C245" s="1966">
        <f>SUM(C232:C244)</f>
        <v>34</v>
      </c>
      <c r="D245" s="1966">
        <f>SUM(D232:D244)</f>
        <v>0</v>
      </c>
      <c r="E245" s="1967"/>
      <c r="F245" s="1954">
        <f>SUM(F232:F244)</f>
        <v>0</v>
      </c>
      <c r="G245" s="1966">
        <f>SUM(G232:G244)</f>
        <v>0</v>
      </c>
      <c r="H245" s="1966">
        <f>SUM(H232:H244)</f>
        <v>0</v>
      </c>
      <c r="I245" s="1956">
        <f t="shared" si="2006"/>
        <v>0</v>
      </c>
      <c r="J245" s="1896">
        <f t="shared" si="2007"/>
        <v>0</v>
      </c>
      <c r="K245" s="1968">
        <f>SUM(K232:K244)</f>
        <v>0</v>
      </c>
      <c r="L245" s="1968">
        <f>SUM(L232:L244)</f>
        <v>0</v>
      </c>
      <c r="M245" s="1968">
        <f>SUM(M232:M244)</f>
        <v>0</v>
      </c>
      <c r="N245" s="1958">
        <f t="shared" si="2008"/>
        <v>0</v>
      </c>
      <c r="O245" s="1896">
        <f t="shared" si="2009"/>
        <v>0</v>
      </c>
      <c r="P245" s="1968"/>
      <c r="Q245" s="1968"/>
      <c r="R245" s="1966"/>
      <c r="S245" s="1944">
        <f t="shared" si="2001"/>
        <v>0</v>
      </c>
      <c r="T245" s="1959">
        <f>SUM(T232:T244)</f>
        <v>50</v>
      </c>
      <c r="V245" s="1511" t="s">
        <v>363</v>
      </c>
      <c r="W245" s="1954">
        <f>SUM(W232:W244)</f>
        <v>8</v>
      </c>
      <c r="X245" s="1966">
        <f>SUM(X232:X244)</f>
        <v>12</v>
      </c>
      <c r="Y245" s="1966">
        <f>SUM(Y232:Y244)</f>
        <v>0</v>
      </c>
      <c r="Z245" s="1967"/>
      <c r="AA245" s="1954">
        <f>SUM(AA232:AA244)</f>
        <v>0</v>
      </c>
      <c r="AB245" s="1966">
        <f>SUM(AB232:AB244)</f>
        <v>0</v>
      </c>
      <c r="AC245" s="1966">
        <f>SUM(AC232:AC244)</f>
        <v>0</v>
      </c>
      <c r="AD245" s="1956">
        <f t="shared" si="2010"/>
        <v>0</v>
      </c>
      <c r="AE245" s="1896">
        <f t="shared" si="2011"/>
        <v>0</v>
      </c>
      <c r="AF245" s="1968">
        <f>SUM(AF232:AF244)</f>
        <v>0</v>
      </c>
      <c r="AG245" s="1968">
        <f>SUM(AG232:AG244)</f>
        <v>0</v>
      </c>
      <c r="AH245" s="1968">
        <f>SUM(AH232:AH244)</f>
        <v>0</v>
      </c>
      <c r="AI245" s="1958">
        <f t="shared" si="2012"/>
        <v>0</v>
      </c>
      <c r="AJ245" s="1896">
        <f t="shared" si="2013"/>
        <v>0</v>
      </c>
      <c r="AK245" s="1968"/>
      <c r="AL245" s="1968"/>
      <c r="AM245" s="1966"/>
      <c r="AN245" s="1944">
        <f t="shared" si="2014"/>
        <v>0</v>
      </c>
      <c r="AO245" s="1959">
        <f>SUM(AO232:AO244)</f>
        <v>20</v>
      </c>
    </row>
    <row r="246">
      <c r="A246" s="1946" t="s">
        <v>379</v>
      </c>
      <c r="B246" s="1947"/>
      <c r="C246" s="1960"/>
      <c r="D246" s="1960"/>
      <c r="E246" s="1950"/>
      <c r="F246" s="1947"/>
      <c r="G246" s="1960"/>
      <c r="H246" s="1960"/>
      <c r="I246" s="1941">
        <f t="shared" si="2006"/>
        <v>0</v>
      </c>
      <c r="J246" s="1961">
        <f t="shared" si="2007"/>
        <v>0</v>
      </c>
      <c r="K246" s="1962"/>
      <c r="L246" s="1962"/>
      <c r="M246" s="1962"/>
      <c r="N246" s="1943">
        <f t="shared" si="2008"/>
        <v>0</v>
      </c>
      <c r="O246" s="1961">
        <f t="shared" si="2009"/>
        <v>0</v>
      </c>
      <c r="P246" s="1962"/>
      <c r="Q246" s="1962"/>
      <c r="R246" s="1960"/>
      <c r="S246" s="1963">
        <f t="shared" si="2001"/>
        <v>0</v>
      </c>
      <c r="T246" s="1949">
        <f t="shared" ref="T246:T248" si="2017">SUM(B246:R246)</f>
        <v>0</v>
      </c>
      <c r="V246" s="1946" t="s">
        <v>379</v>
      </c>
      <c r="W246" s="1947"/>
      <c r="X246" s="1960"/>
      <c r="Y246" s="1960"/>
      <c r="Z246" s="1950"/>
      <c r="AA246" s="1947"/>
      <c r="AB246" s="1960"/>
      <c r="AC246" s="1960"/>
      <c r="AD246" s="1941">
        <f t="shared" si="2010"/>
        <v>0</v>
      </c>
      <c r="AE246" s="1961">
        <f t="shared" si="2011"/>
        <v>0</v>
      </c>
      <c r="AF246" s="1962"/>
      <c r="AG246" s="1962"/>
      <c r="AH246" s="1962"/>
      <c r="AI246" s="1943">
        <f t="shared" si="2012"/>
        <v>0</v>
      </c>
      <c r="AJ246" s="1961">
        <f t="shared" si="2013"/>
        <v>0</v>
      </c>
      <c r="AK246" s="1962"/>
      <c r="AL246" s="1962"/>
      <c r="AM246" s="1960"/>
      <c r="AN246" s="1963">
        <f t="shared" si="2014"/>
        <v>0</v>
      </c>
      <c r="AO246" s="1949">
        <f t="shared" ref="AO246:AO248" si="2018">SUM(W246:AM246)</f>
        <v>0</v>
      </c>
    </row>
    <row r="247">
      <c r="A247" s="1969" t="s">
        <v>525</v>
      </c>
      <c r="B247" s="1947"/>
      <c r="C247" s="1960"/>
      <c r="D247" s="1960"/>
      <c r="E247" s="1950"/>
      <c r="F247" s="1947"/>
      <c r="G247" s="1960"/>
      <c r="H247" s="1960"/>
      <c r="I247" s="1941">
        <f t="shared" si="2006"/>
        <v>0</v>
      </c>
      <c r="J247" s="1896">
        <f t="shared" si="2007"/>
        <v>0</v>
      </c>
      <c r="K247" s="1962"/>
      <c r="L247" s="1962"/>
      <c r="M247" s="1962"/>
      <c r="N247" s="1943">
        <f t="shared" si="2008"/>
        <v>0</v>
      </c>
      <c r="O247" s="1896">
        <f t="shared" si="2009"/>
        <v>0</v>
      </c>
      <c r="P247" s="1962"/>
      <c r="Q247" s="1962"/>
      <c r="R247" s="1960"/>
      <c r="S247" s="1944">
        <f t="shared" si="2001"/>
        <v>0</v>
      </c>
      <c r="T247" s="1949">
        <f t="shared" si="2017"/>
        <v>0</v>
      </c>
      <c r="V247" s="1969" t="s">
        <v>525</v>
      </c>
      <c r="W247" s="1947"/>
      <c r="X247" s="1960"/>
      <c r="Y247" s="1960"/>
      <c r="Z247" s="1950"/>
      <c r="AA247" s="1947"/>
      <c r="AB247" s="1960"/>
      <c r="AC247" s="1960"/>
      <c r="AD247" s="1941">
        <f t="shared" si="2010"/>
        <v>0</v>
      </c>
      <c r="AE247" s="1896">
        <f t="shared" si="2011"/>
        <v>0</v>
      </c>
      <c r="AF247" s="1962"/>
      <c r="AG247" s="1962"/>
      <c r="AH247" s="1962"/>
      <c r="AI247" s="1943">
        <f t="shared" si="2012"/>
        <v>0</v>
      </c>
      <c r="AJ247" s="1896">
        <f t="shared" si="2013"/>
        <v>0</v>
      </c>
      <c r="AK247" s="1962"/>
      <c r="AL247" s="1962"/>
      <c r="AM247" s="1960"/>
      <c r="AN247" s="1944">
        <f t="shared" si="2014"/>
        <v>0</v>
      </c>
      <c r="AO247" s="1949">
        <f t="shared" si="2018"/>
        <v>0</v>
      </c>
    </row>
    <row r="248">
      <c r="A248" s="1970" t="s">
        <v>543</v>
      </c>
      <c r="B248" s="1947"/>
      <c r="C248" s="1960"/>
      <c r="D248" s="1960"/>
      <c r="E248" s="1950"/>
      <c r="F248" s="1947"/>
      <c r="G248" s="1960"/>
      <c r="H248" s="1960"/>
      <c r="I248" s="1941">
        <f t="shared" si="2006"/>
        <v>0</v>
      </c>
      <c r="J248" s="1952">
        <f t="shared" si="2007"/>
        <v>0</v>
      </c>
      <c r="K248" s="1962"/>
      <c r="L248" s="1962"/>
      <c r="M248" s="1962"/>
      <c r="N248" s="1943">
        <f t="shared" si="2008"/>
        <v>0</v>
      </c>
      <c r="O248" s="1952">
        <f t="shared" si="2009"/>
        <v>0</v>
      </c>
      <c r="P248" s="1962"/>
      <c r="Q248" s="1962"/>
      <c r="R248" s="1960"/>
      <c r="S248" s="1953">
        <f t="shared" si="2001"/>
        <v>0</v>
      </c>
      <c r="T248" s="1949">
        <f t="shared" si="2017"/>
        <v>0</v>
      </c>
      <c r="V248" s="1970" t="s">
        <v>543</v>
      </c>
      <c r="W248" s="1947"/>
      <c r="X248" s="1960"/>
      <c r="Y248" s="1960"/>
      <c r="Z248" s="1950"/>
      <c r="AA248" s="1947"/>
      <c r="AB248" s="1960"/>
      <c r="AC248" s="1960"/>
      <c r="AD248" s="1941">
        <f t="shared" si="2010"/>
        <v>0</v>
      </c>
      <c r="AE248" s="1952">
        <f t="shared" si="2011"/>
        <v>0</v>
      </c>
      <c r="AF248" s="1962"/>
      <c r="AG248" s="1962"/>
      <c r="AH248" s="1962"/>
      <c r="AI248" s="1943">
        <f t="shared" si="2012"/>
        <v>0</v>
      </c>
      <c r="AJ248" s="1952">
        <f t="shared" si="2013"/>
        <v>0</v>
      </c>
      <c r="AK248" s="1962"/>
      <c r="AL248" s="1962"/>
      <c r="AM248" s="1960"/>
      <c r="AN248" s="1953">
        <f t="shared" si="2014"/>
        <v>0</v>
      </c>
      <c r="AO248" s="1949">
        <f t="shared" si="2018"/>
        <v>0</v>
      </c>
    </row>
    <row r="249">
      <c r="A249" s="1511" t="s">
        <v>544</v>
      </c>
      <c r="B249" s="1954">
        <f>SUM(B246:B248)</f>
        <v>0</v>
      </c>
      <c r="C249" s="1954">
        <f t="shared" ref="C249:D253" si="2019">SUM(C246:C248)</f>
        <v>0</v>
      </c>
      <c r="D249" s="1954">
        <f t="shared" si="2019"/>
        <v>0</v>
      </c>
      <c r="E249" s="1971"/>
      <c r="F249" s="1954">
        <f>SUM(F246:F248)</f>
        <v>0</v>
      </c>
      <c r="G249" s="1954">
        <f>SUM(G246:G248)</f>
        <v>0</v>
      </c>
      <c r="H249" s="1954">
        <f>SUM(H246:H248)</f>
        <v>0</v>
      </c>
      <c r="I249" s="1956">
        <f t="shared" si="2006"/>
        <v>0</v>
      </c>
      <c r="J249" s="1896">
        <f t="shared" si="2007"/>
        <v>0</v>
      </c>
      <c r="K249" s="1957">
        <f>SUM(K246:K248)</f>
        <v>0</v>
      </c>
      <c r="L249" s="1957">
        <f>SUM(L246:L248)</f>
        <v>0</v>
      </c>
      <c r="M249" s="1957">
        <f>SUM(M246:M248)</f>
        <v>0</v>
      </c>
      <c r="N249" s="1958">
        <f t="shared" si="2008"/>
        <v>0</v>
      </c>
      <c r="O249" s="1896">
        <f t="shared" si="2009"/>
        <v>0</v>
      </c>
      <c r="P249" s="1957"/>
      <c r="Q249" s="1957"/>
      <c r="R249" s="1954"/>
      <c r="S249" s="1944">
        <f t="shared" si="2001"/>
        <v>0</v>
      </c>
      <c r="T249" s="1959">
        <f>SUM(T246:T248)</f>
        <v>0</v>
      </c>
      <c r="V249" s="1511" t="s">
        <v>544</v>
      </c>
      <c r="W249" s="1954">
        <f>SUM(W246:W248)</f>
        <v>0</v>
      </c>
      <c r="X249" s="1954">
        <f t="shared" ref="X249:X253" si="2020">SUM(X246:X248)</f>
        <v>0</v>
      </c>
      <c r="Y249" s="1954">
        <f t="shared" ref="Y249:Y253" si="2021">SUM(Y246:Y248)</f>
        <v>0</v>
      </c>
      <c r="Z249" s="1971"/>
      <c r="AA249" s="1954">
        <f>SUM(AA246:AA248)</f>
        <v>0</v>
      </c>
      <c r="AB249" s="1954">
        <f>SUM(AB246:AB248)</f>
        <v>0</v>
      </c>
      <c r="AC249" s="1954">
        <f>SUM(AC246:AC248)</f>
        <v>0</v>
      </c>
      <c r="AD249" s="1956">
        <f t="shared" si="2010"/>
        <v>0</v>
      </c>
      <c r="AE249" s="1896">
        <f t="shared" si="2011"/>
        <v>0</v>
      </c>
      <c r="AF249" s="1957">
        <f>SUM(AF246:AF248)</f>
        <v>0</v>
      </c>
      <c r="AG249" s="1957">
        <f>SUM(AG246:AG248)</f>
        <v>0</v>
      </c>
      <c r="AH249" s="1957">
        <f>SUM(AH246:AH248)</f>
        <v>0</v>
      </c>
      <c r="AI249" s="1958">
        <f t="shared" si="2012"/>
        <v>0</v>
      </c>
      <c r="AJ249" s="1896">
        <f t="shared" si="2013"/>
        <v>0</v>
      </c>
      <c r="AK249" s="1957"/>
      <c r="AL249" s="1957"/>
      <c r="AM249" s="1954"/>
      <c r="AN249" s="1944">
        <f t="shared" si="2014"/>
        <v>0</v>
      </c>
      <c r="AO249" s="1959">
        <f>SUM(AO246:AO248)</f>
        <v>0</v>
      </c>
    </row>
    <row r="250">
      <c r="A250" s="1946" t="s">
        <v>390</v>
      </c>
      <c r="B250" s="1972"/>
      <c r="C250" s="1964"/>
      <c r="D250" s="1960"/>
      <c r="E250" s="1941">
        <f t="shared" ref="E230:E293" si="2022">B250+C250+D250</f>
        <v>0</v>
      </c>
      <c r="F250" s="1960"/>
      <c r="G250" s="1973"/>
      <c r="H250" s="1964"/>
      <c r="I250" s="1941">
        <f t="shared" si="2006"/>
        <v>0</v>
      </c>
      <c r="J250" s="1961">
        <f t="shared" si="2007"/>
        <v>0</v>
      </c>
      <c r="K250" s="1974"/>
      <c r="L250" s="1974"/>
      <c r="M250" s="1974"/>
      <c r="N250" s="1943">
        <f t="shared" si="2008"/>
        <v>0</v>
      </c>
      <c r="O250" s="1961">
        <f t="shared" si="2009"/>
        <v>0</v>
      </c>
      <c r="P250" s="1975"/>
      <c r="Q250" s="1975"/>
      <c r="R250" s="1976"/>
      <c r="S250" s="1963">
        <f t="shared" si="2001"/>
        <v>0</v>
      </c>
      <c r="T250" s="1977">
        <f t="shared" ref="T250:T252" si="2023">O250+S250</f>
        <v>0</v>
      </c>
      <c r="V250" s="1946" t="s">
        <v>390</v>
      </c>
      <c r="W250" s="1972"/>
      <c r="X250" s="1964"/>
      <c r="Y250" s="1960"/>
      <c r="Z250" s="1941">
        <f t="shared" ref="Z230:Z293" si="2024">W250+X250+Y250</f>
        <v>0</v>
      </c>
      <c r="AA250" s="1960"/>
      <c r="AB250" s="1973"/>
      <c r="AC250" s="1964"/>
      <c r="AD250" s="1941">
        <f t="shared" si="2010"/>
        <v>0</v>
      </c>
      <c r="AE250" s="1961">
        <f t="shared" si="2011"/>
        <v>0</v>
      </c>
      <c r="AF250" s="1974"/>
      <c r="AG250" s="1974"/>
      <c r="AH250" s="1974"/>
      <c r="AI250" s="1943">
        <f t="shared" si="2012"/>
        <v>0</v>
      </c>
      <c r="AJ250" s="1961">
        <f t="shared" si="2013"/>
        <v>0</v>
      </c>
      <c r="AK250" s="1975"/>
      <c r="AL250" s="1975"/>
      <c r="AM250" s="1976"/>
      <c r="AN250" s="1963">
        <f t="shared" si="2014"/>
        <v>0</v>
      </c>
      <c r="AO250" s="1977">
        <f t="shared" ref="AO250:AO252" si="2025">AJ250+AN250</f>
        <v>0</v>
      </c>
    </row>
    <row r="251">
      <c r="A251" s="1946" t="s">
        <v>392</v>
      </c>
      <c r="B251" s="1947">
        <v>353</v>
      </c>
      <c r="C251" s="1960">
        <v>407</v>
      </c>
      <c r="D251" s="1960"/>
      <c r="E251" s="1941">
        <f t="shared" si="2022"/>
        <v>760</v>
      </c>
      <c r="F251" s="1960"/>
      <c r="G251" s="1973"/>
      <c r="H251" s="1960"/>
      <c r="I251" s="1941">
        <f t="shared" si="2006"/>
        <v>0</v>
      </c>
      <c r="J251" s="1896">
        <f t="shared" si="2007"/>
        <v>760</v>
      </c>
      <c r="K251" s="1962"/>
      <c r="L251" s="1962"/>
      <c r="M251" s="1962"/>
      <c r="N251" s="1943">
        <f t="shared" si="2008"/>
        <v>0</v>
      </c>
      <c r="O251" s="1896">
        <f t="shared" si="2009"/>
        <v>760</v>
      </c>
      <c r="P251" s="1962"/>
      <c r="Q251" s="1962"/>
      <c r="R251" s="1960"/>
      <c r="S251" s="1944">
        <f t="shared" si="2001"/>
        <v>0</v>
      </c>
      <c r="T251" s="1977">
        <f t="shared" si="2023"/>
        <v>760</v>
      </c>
      <c r="V251" s="1946" t="s">
        <v>392</v>
      </c>
      <c r="W251" s="1947">
        <v>84</v>
      </c>
      <c r="X251" s="1960">
        <v>109</v>
      </c>
      <c r="Y251" s="1960"/>
      <c r="Z251" s="1941">
        <f t="shared" si="2024"/>
        <v>193</v>
      </c>
      <c r="AA251" s="1960"/>
      <c r="AB251" s="1973"/>
      <c r="AC251" s="1960"/>
      <c r="AD251" s="1941">
        <f t="shared" si="2010"/>
        <v>0</v>
      </c>
      <c r="AE251" s="1896">
        <f t="shared" si="2011"/>
        <v>193</v>
      </c>
      <c r="AF251" s="1962"/>
      <c r="AG251" s="1962"/>
      <c r="AH251" s="1962"/>
      <c r="AI251" s="1943">
        <f t="shared" si="2012"/>
        <v>0</v>
      </c>
      <c r="AJ251" s="1896">
        <f t="shared" si="2013"/>
        <v>193</v>
      </c>
      <c r="AK251" s="1962"/>
      <c r="AL251" s="1962"/>
      <c r="AM251" s="1960"/>
      <c r="AN251" s="1944">
        <f t="shared" si="2014"/>
        <v>0</v>
      </c>
      <c r="AO251" s="1977">
        <f t="shared" si="2025"/>
        <v>193</v>
      </c>
    </row>
    <row r="252">
      <c r="A252" s="1946" t="s">
        <v>265</v>
      </c>
      <c r="B252" s="1978"/>
      <c r="C252" s="1979"/>
      <c r="D252" s="1980"/>
      <c r="E252" s="1981"/>
      <c r="F252" s="1982"/>
      <c r="G252" s="1982"/>
      <c r="H252" s="1982"/>
      <c r="I252" s="1941">
        <f t="shared" si="2006"/>
        <v>0</v>
      </c>
      <c r="J252" s="1952">
        <f t="shared" si="2007"/>
        <v>0</v>
      </c>
      <c r="K252" s="1983"/>
      <c r="L252" s="1983"/>
      <c r="M252" s="1983"/>
      <c r="N252" s="1943">
        <f t="shared" si="2008"/>
        <v>0</v>
      </c>
      <c r="O252" s="1952">
        <f t="shared" si="2009"/>
        <v>0</v>
      </c>
      <c r="P252" s="1983"/>
      <c r="Q252" s="1983"/>
      <c r="R252" s="1982"/>
      <c r="S252" s="1953">
        <f t="shared" si="2001"/>
        <v>0</v>
      </c>
      <c r="T252" s="1977">
        <f t="shared" si="2023"/>
        <v>0</v>
      </c>
      <c r="V252" s="1946" t="s">
        <v>265</v>
      </c>
      <c r="W252" s="1978"/>
      <c r="X252" s="1979"/>
      <c r="Y252" s="1980"/>
      <c r="Z252" s="1981"/>
      <c r="AA252" s="1982"/>
      <c r="AB252" s="1982"/>
      <c r="AC252" s="1982"/>
      <c r="AD252" s="1941">
        <f t="shared" si="2010"/>
        <v>0</v>
      </c>
      <c r="AE252" s="1952">
        <f t="shared" si="2011"/>
        <v>0</v>
      </c>
      <c r="AF252" s="1983"/>
      <c r="AG252" s="1983"/>
      <c r="AH252" s="1983"/>
      <c r="AI252" s="1943">
        <f t="shared" si="2012"/>
        <v>0</v>
      </c>
      <c r="AJ252" s="1952">
        <f t="shared" si="2013"/>
        <v>0</v>
      </c>
      <c r="AK252" s="1983"/>
      <c r="AL252" s="1983"/>
      <c r="AM252" s="1982"/>
      <c r="AN252" s="1953">
        <f t="shared" si="2014"/>
        <v>0</v>
      </c>
      <c r="AO252" s="1977">
        <f t="shared" si="2025"/>
        <v>0</v>
      </c>
    </row>
    <row r="253">
      <c r="A253" s="1984" t="s">
        <v>394</v>
      </c>
      <c r="B253" s="1985">
        <f>SUM(B250:B252)</f>
        <v>353</v>
      </c>
      <c r="C253" s="1986">
        <f t="shared" si="2019"/>
        <v>407</v>
      </c>
      <c r="D253" s="1985">
        <f>SUM(D250:D252)</f>
        <v>0</v>
      </c>
      <c r="E253" s="1987">
        <f t="shared" si="2022"/>
        <v>760</v>
      </c>
      <c r="F253" s="1985">
        <f t="shared" ref="F253:T253" si="2026">SUM(F250:F252)</f>
        <v>0</v>
      </c>
      <c r="G253" s="1985">
        <f>SUM(G250:G252)</f>
        <v>0</v>
      </c>
      <c r="H253" s="1985">
        <f t="shared" si="2026"/>
        <v>0</v>
      </c>
      <c r="I253" s="1988">
        <f t="shared" si="2006"/>
        <v>0</v>
      </c>
      <c r="J253" s="1896">
        <f t="shared" si="2007"/>
        <v>760</v>
      </c>
      <c r="K253" s="1989">
        <f>SUM(K250:K252)</f>
        <v>0</v>
      </c>
      <c r="L253" s="1989">
        <f t="shared" si="2026"/>
        <v>0</v>
      </c>
      <c r="M253" s="1989">
        <f t="shared" si="2026"/>
        <v>0</v>
      </c>
      <c r="N253" s="1990">
        <f t="shared" si="2008"/>
        <v>0</v>
      </c>
      <c r="O253" s="1896">
        <f t="shared" si="2009"/>
        <v>760</v>
      </c>
      <c r="P253" s="1989">
        <f t="shared" si="2026"/>
        <v>0</v>
      </c>
      <c r="Q253" s="1989">
        <f t="shared" si="2026"/>
        <v>0</v>
      </c>
      <c r="R253" s="1985">
        <f t="shared" si="2026"/>
        <v>0</v>
      </c>
      <c r="S253" s="1991">
        <f t="shared" si="2001"/>
        <v>0</v>
      </c>
      <c r="T253" s="1992">
        <f t="shared" si="2026"/>
        <v>760</v>
      </c>
      <c r="V253" s="1984" t="s">
        <v>394</v>
      </c>
      <c r="W253" s="1985">
        <f>SUM(W250:W252)</f>
        <v>84</v>
      </c>
      <c r="X253" s="1986">
        <f t="shared" si="2020"/>
        <v>109</v>
      </c>
      <c r="Y253" s="1985">
        <f t="shared" si="2021"/>
        <v>0</v>
      </c>
      <c r="Z253" s="1987">
        <f t="shared" si="2024"/>
        <v>193</v>
      </c>
      <c r="AA253" s="1985">
        <f>SUM(AA250:AA252)</f>
        <v>0</v>
      </c>
      <c r="AB253" s="1985">
        <f>SUM(AB250:AB252)</f>
        <v>0</v>
      </c>
      <c r="AC253" s="1985">
        <f>SUM(AC250:AC252)</f>
        <v>0</v>
      </c>
      <c r="AD253" s="1988">
        <f t="shared" si="2010"/>
        <v>0</v>
      </c>
      <c r="AE253" s="1896">
        <f t="shared" si="2011"/>
        <v>193</v>
      </c>
      <c r="AF253" s="1989">
        <f>SUM(AF250:AF252)</f>
        <v>0</v>
      </c>
      <c r="AG253" s="1989">
        <f t="shared" ref="AG253:AH253" si="2027">SUM(AG250:AG252)</f>
        <v>0</v>
      </c>
      <c r="AH253" s="1989">
        <f t="shared" si="2027"/>
        <v>0</v>
      </c>
      <c r="AI253" s="1990">
        <f t="shared" si="2012"/>
        <v>0</v>
      </c>
      <c r="AJ253" s="1896">
        <f t="shared" si="2013"/>
        <v>193</v>
      </c>
      <c r="AK253" s="1989">
        <f t="shared" ref="AK253:AM253" si="2028">SUM(AK250:AK252)</f>
        <v>0</v>
      </c>
      <c r="AL253" s="1989">
        <f t="shared" si="2028"/>
        <v>0</v>
      </c>
      <c r="AM253" s="1985">
        <f t="shared" si="2028"/>
        <v>0</v>
      </c>
      <c r="AN253" s="1991">
        <f t="shared" si="2014"/>
        <v>0</v>
      </c>
      <c r="AO253" s="1992">
        <f>SUM(AO250:AO252)</f>
        <v>193</v>
      </c>
    </row>
    <row r="254" ht="22.5" customHeight="1">
      <c r="A254" s="1511" t="s">
        <v>545</v>
      </c>
      <c r="B254" s="1993">
        <f>B231+B245+B249+B253</f>
        <v>374</v>
      </c>
      <c r="C254" s="1994">
        <f>C231+C245+C249+C253</f>
        <v>445</v>
      </c>
      <c r="D254" s="1993">
        <f>D231+D245+D249+D253</f>
        <v>0</v>
      </c>
      <c r="E254" s="1995">
        <f t="shared" si="2022"/>
        <v>819</v>
      </c>
      <c r="F254" s="1993">
        <f>F231+F245+F249+F253</f>
        <v>0</v>
      </c>
      <c r="G254" s="1993">
        <f>G231+G245+G249+G253</f>
        <v>0</v>
      </c>
      <c r="H254" s="1993">
        <f>H231+H245+H249+H253</f>
        <v>0</v>
      </c>
      <c r="I254" s="1995">
        <f t="shared" si="2006"/>
        <v>0</v>
      </c>
      <c r="J254" s="1896">
        <f t="shared" si="2007"/>
        <v>819</v>
      </c>
      <c r="K254" s="1996">
        <f>K231+K245+K249+K253</f>
        <v>0</v>
      </c>
      <c r="L254" s="1996">
        <f>L231+L245+L249+L253</f>
        <v>0</v>
      </c>
      <c r="M254" s="1996">
        <f>M231+M245+M249+M253</f>
        <v>0</v>
      </c>
      <c r="N254" s="1997">
        <f t="shared" si="2008"/>
        <v>0</v>
      </c>
      <c r="O254" s="1998">
        <f>N254+J254</f>
        <v>819</v>
      </c>
      <c r="P254" s="1996">
        <f>P231+P245+P249+P253</f>
        <v>0</v>
      </c>
      <c r="Q254" s="1996">
        <f>Q231+Q245+Q249+Q253</f>
        <v>0</v>
      </c>
      <c r="R254" s="1993">
        <f>R231+R245+R249+R253</f>
        <v>0</v>
      </c>
      <c r="S254" s="1999">
        <f>Q254+P254+R254</f>
        <v>0</v>
      </c>
      <c r="T254" s="2000">
        <f>T231+T245+T249+T253</f>
        <v>819</v>
      </c>
      <c r="U254" s="2001"/>
      <c r="V254" s="1511" t="s">
        <v>545</v>
      </c>
      <c r="W254" s="1993">
        <f>W231+W245+W249+W253</f>
        <v>93</v>
      </c>
      <c r="X254" s="1994">
        <f>X231+X245+X249+X253</f>
        <v>121</v>
      </c>
      <c r="Y254" s="1993">
        <f>Y231+Y245+Y249+Y253</f>
        <v>0</v>
      </c>
      <c r="Z254" s="1995">
        <f t="shared" si="2024"/>
        <v>214</v>
      </c>
      <c r="AA254" s="1993">
        <f>AA231+AA245+AA249+AA253</f>
        <v>0</v>
      </c>
      <c r="AB254" s="1993">
        <f>AB231+AB245+AB249+AB253</f>
        <v>0</v>
      </c>
      <c r="AC254" s="1993">
        <f>AC231+AC245+AC249+AC253</f>
        <v>0</v>
      </c>
      <c r="AD254" s="1995">
        <f t="shared" si="2010"/>
        <v>0</v>
      </c>
      <c r="AE254" s="1896">
        <f t="shared" si="2011"/>
        <v>214</v>
      </c>
      <c r="AF254" s="1996">
        <f>AF231+AF245+AF249+AF253</f>
        <v>0</v>
      </c>
      <c r="AG254" s="1996">
        <f>AG231+AG245+AG249+AG253</f>
        <v>0</v>
      </c>
      <c r="AH254" s="1996">
        <f>AH231+AH245+AH249+AH253</f>
        <v>0</v>
      </c>
      <c r="AI254" s="1997">
        <f t="shared" si="2012"/>
        <v>0</v>
      </c>
      <c r="AJ254" s="1998">
        <f>AI254+AE254</f>
        <v>214</v>
      </c>
      <c r="AK254" s="1996">
        <f>AK231+AK245+AK249+AK253</f>
        <v>0</v>
      </c>
      <c r="AL254" s="1996">
        <f>AL231+AL245+AL249+AL253</f>
        <v>0</v>
      </c>
      <c r="AM254" s="1993">
        <f>AM231+AM245+AM249+AM253</f>
        <v>0</v>
      </c>
      <c r="AN254" s="1999">
        <f>AL254+AK254+AM254</f>
        <v>0</v>
      </c>
      <c r="AO254" s="2000">
        <f>AO231+AO245+AO249+AO253</f>
        <v>214</v>
      </c>
    </row>
    <row r="255">
      <c r="A255" s="1946" t="s">
        <v>50</v>
      </c>
      <c r="B255" s="1938"/>
      <c r="C255" s="1939"/>
      <c r="D255" s="2002"/>
      <c r="E255" s="2003"/>
      <c r="F255" s="1939"/>
      <c r="G255" s="2004"/>
      <c r="H255" s="1939"/>
      <c r="I255" s="1941">
        <f t="shared" si="2006"/>
        <v>0</v>
      </c>
      <c r="J255" s="1896">
        <f t="shared" si="2007"/>
        <v>0</v>
      </c>
      <c r="K255" s="2004"/>
      <c r="L255" s="1942"/>
      <c r="M255" s="2004"/>
      <c r="N255" s="1943">
        <f t="shared" si="2008"/>
        <v>0</v>
      </c>
      <c r="O255" s="1896">
        <f t="shared" ref="O255:O259" si="2029">J255+N255</f>
        <v>0</v>
      </c>
      <c r="P255" s="1942"/>
      <c r="Q255" s="2004"/>
      <c r="R255" s="1939"/>
      <c r="S255" s="2005">
        <f t="shared" ref="S255:S259" si="2030">P255+Q255+R255</f>
        <v>0</v>
      </c>
      <c r="T255" s="1949">
        <f t="shared" ref="T255:T311" si="2031">O255+S255</f>
        <v>0</v>
      </c>
      <c r="V255" s="1946" t="s">
        <v>50</v>
      </c>
      <c r="W255" s="1938"/>
      <c r="X255" s="1939"/>
      <c r="Y255" s="2002"/>
      <c r="Z255" s="2003"/>
      <c r="AA255" s="1939"/>
      <c r="AB255" s="2004"/>
      <c r="AC255" s="1939"/>
      <c r="AD255" s="1941">
        <f t="shared" si="2010"/>
        <v>0</v>
      </c>
      <c r="AE255" s="1896">
        <f t="shared" si="2011"/>
        <v>0</v>
      </c>
      <c r="AF255" s="2004"/>
      <c r="AG255" s="1942"/>
      <c r="AH255" s="2004"/>
      <c r="AI255" s="1943">
        <f t="shared" si="2012"/>
        <v>0</v>
      </c>
      <c r="AJ255" s="1896">
        <f t="shared" ref="AJ255:AJ318" si="2032">AE255+AI255</f>
        <v>0</v>
      </c>
      <c r="AK255" s="1942"/>
      <c r="AL255" s="2004"/>
      <c r="AM255" s="1939"/>
      <c r="AN255" s="2005">
        <f t="shared" ref="AN255:AN318" si="2033">AK255+AL255+AM255</f>
        <v>0</v>
      </c>
      <c r="AO255" s="1949">
        <f t="shared" ref="AO255:AO318" si="2034">AJ255+AN255</f>
        <v>0</v>
      </c>
    </row>
    <row r="256">
      <c r="A256" s="1946" t="s">
        <v>397</v>
      </c>
      <c r="B256" s="1947"/>
      <c r="C256" s="1946"/>
      <c r="D256" s="1413"/>
      <c r="E256" s="2006"/>
      <c r="F256" s="1946"/>
      <c r="H256" s="1946"/>
      <c r="I256" s="1941">
        <f t="shared" si="2006"/>
        <v>0</v>
      </c>
      <c r="J256" s="1896">
        <f t="shared" si="2007"/>
        <v>0</v>
      </c>
      <c r="L256" s="1948"/>
      <c r="N256" s="1943">
        <f t="shared" si="2008"/>
        <v>0</v>
      </c>
      <c r="O256" s="1896">
        <f t="shared" si="2029"/>
        <v>0</v>
      </c>
      <c r="P256" s="1948"/>
      <c r="R256" s="1946"/>
      <c r="S256" s="2005">
        <f t="shared" si="2030"/>
        <v>0</v>
      </c>
      <c r="T256" s="1949">
        <f t="shared" si="2031"/>
        <v>0</v>
      </c>
      <c r="V256" s="1946" t="s">
        <v>397</v>
      </c>
      <c r="W256" s="1947"/>
      <c r="X256" s="1946"/>
      <c r="Y256" s="1413"/>
      <c r="Z256" s="2006"/>
      <c r="AA256" s="1946"/>
      <c r="AC256" s="1946"/>
      <c r="AD256" s="1941">
        <f t="shared" si="2010"/>
        <v>0</v>
      </c>
      <c r="AE256" s="1896">
        <f t="shared" si="2011"/>
        <v>0</v>
      </c>
      <c r="AG256" s="1948"/>
      <c r="AI256" s="1943">
        <f t="shared" si="2012"/>
        <v>0</v>
      </c>
      <c r="AJ256" s="1896">
        <f t="shared" si="2032"/>
        <v>0</v>
      </c>
      <c r="AK256" s="1948"/>
      <c r="AL256" s="1409"/>
      <c r="AM256" s="1946"/>
      <c r="AN256" s="2005">
        <f t="shared" si="2033"/>
        <v>0</v>
      </c>
      <c r="AO256" s="1949">
        <f t="shared" si="2034"/>
        <v>0</v>
      </c>
    </row>
    <row r="257">
      <c r="A257" s="1946" t="s">
        <v>546</v>
      </c>
      <c r="B257" s="1947"/>
      <c r="C257" s="1946"/>
      <c r="D257" s="1413"/>
      <c r="E257" s="2006"/>
      <c r="F257" s="1948"/>
      <c r="H257" s="1946"/>
      <c r="I257" s="1941">
        <f t="shared" si="2006"/>
        <v>0</v>
      </c>
      <c r="J257" s="1896">
        <f t="shared" si="2007"/>
        <v>0</v>
      </c>
      <c r="L257" s="1948"/>
      <c r="N257" s="1943">
        <f t="shared" si="2008"/>
        <v>0</v>
      </c>
      <c r="O257" s="1896">
        <f t="shared" si="2029"/>
        <v>0</v>
      </c>
      <c r="P257" s="1948"/>
      <c r="R257" s="1946"/>
      <c r="S257" s="2005">
        <f t="shared" si="2030"/>
        <v>0</v>
      </c>
      <c r="T257" s="1949">
        <f t="shared" si="2031"/>
        <v>0</v>
      </c>
      <c r="V257" s="1946" t="s">
        <v>546</v>
      </c>
      <c r="W257" s="1947"/>
      <c r="X257" s="1946"/>
      <c r="Y257" s="1413"/>
      <c r="Z257" s="2006"/>
      <c r="AA257" s="1948"/>
      <c r="AC257" s="1946"/>
      <c r="AD257" s="1941">
        <f t="shared" si="2010"/>
        <v>0</v>
      </c>
      <c r="AE257" s="1896">
        <f t="shared" si="2011"/>
        <v>0</v>
      </c>
      <c r="AG257" s="1948"/>
      <c r="AI257" s="1943">
        <f t="shared" si="2012"/>
        <v>0</v>
      </c>
      <c r="AJ257" s="1896">
        <f t="shared" si="2032"/>
        <v>0</v>
      </c>
      <c r="AK257" s="1948"/>
      <c r="AL257" s="1409"/>
      <c r="AM257" s="1946"/>
      <c r="AN257" s="2005">
        <f t="shared" si="2033"/>
        <v>0</v>
      </c>
      <c r="AO257" s="1949">
        <f t="shared" si="2034"/>
        <v>0</v>
      </c>
    </row>
    <row r="258">
      <c r="A258" s="1946" t="s">
        <v>547</v>
      </c>
      <c r="B258" s="1947"/>
      <c r="C258" s="1946"/>
      <c r="D258" s="1413"/>
      <c r="E258" s="2006"/>
      <c r="F258" s="1948"/>
      <c r="H258" s="1946"/>
      <c r="I258" s="1941">
        <f t="shared" si="2006"/>
        <v>0</v>
      </c>
      <c r="J258" s="1952">
        <f t="shared" si="2007"/>
        <v>0</v>
      </c>
      <c r="L258" s="1948"/>
      <c r="N258" s="1943">
        <f t="shared" si="2008"/>
        <v>0</v>
      </c>
      <c r="O258" s="1952">
        <f t="shared" si="2029"/>
        <v>0</v>
      </c>
      <c r="P258" s="1948"/>
      <c r="R258" s="1946"/>
      <c r="S258" s="2005">
        <f t="shared" si="2030"/>
        <v>0</v>
      </c>
      <c r="T258" s="1949">
        <f t="shared" si="2031"/>
        <v>0</v>
      </c>
      <c r="V258" s="1946" t="s">
        <v>547</v>
      </c>
      <c r="W258" s="1947"/>
      <c r="X258" s="1946"/>
      <c r="Y258" s="1413"/>
      <c r="Z258" s="2006"/>
      <c r="AA258" s="1948"/>
      <c r="AC258" s="1946"/>
      <c r="AD258" s="1941">
        <f t="shared" si="2010"/>
        <v>0</v>
      </c>
      <c r="AE258" s="1952">
        <f t="shared" si="2011"/>
        <v>0</v>
      </c>
      <c r="AG258" s="1948"/>
      <c r="AI258" s="1943">
        <f t="shared" si="2012"/>
        <v>0</v>
      </c>
      <c r="AJ258" s="1952">
        <f t="shared" si="2032"/>
        <v>0</v>
      </c>
      <c r="AK258" s="1948"/>
      <c r="AL258" s="1409"/>
      <c r="AM258" s="1946"/>
      <c r="AN258" s="2005">
        <f t="shared" si="2033"/>
        <v>0</v>
      </c>
      <c r="AO258" s="1949">
        <f t="shared" si="2034"/>
        <v>0</v>
      </c>
    </row>
    <row r="259">
      <c r="A259" s="1511" t="s">
        <v>22</v>
      </c>
      <c r="B259" s="2007">
        <f>B254+B255+B256+B257+B258</f>
        <v>374</v>
      </c>
      <c r="C259" s="2007">
        <f t="shared" ref="C259:D259" si="2035">C254+C255+C256+C257+C258</f>
        <v>445</v>
      </c>
      <c r="D259" s="2007">
        <f t="shared" si="2035"/>
        <v>0</v>
      </c>
      <c r="E259" s="2008"/>
      <c r="F259" s="2007">
        <f>F254+F255+F256+F257+F258</f>
        <v>0</v>
      </c>
      <c r="G259" s="2007">
        <f>G254+G255+G256+G257+G258</f>
        <v>0</v>
      </c>
      <c r="H259" s="2007">
        <f>H254+H255+H256+H257+H258</f>
        <v>0</v>
      </c>
      <c r="I259" s="1956">
        <f t="shared" si="2006"/>
        <v>0</v>
      </c>
      <c r="J259" s="1896">
        <f t="shared" si="2007"/>
        <v>0</v>
      </c>
      <c r="K259" s="2007">
        <f>K254+K255+K256+K257+K258</f>
        <v>0</v>
      </c>
      <c r="L259" s="2007">
        <f>L254+L255+L256+L257+L258</f>
        <v>0</v>
      </c>
      <c r="M259" s="2007">
        <f>M254+M255+M256+M257+M258</f>
        <v>0</v>
      </c>
      <c r="N259" s="1958">
        <f t="shared" si="2008"/>
        <v>0</v>
      </c>
      <c r="O259" s="1896">
        <f t="shared" si="2029"/>
        <v>0</v>
      </c>
      <c r="P259" s="2007">
        <f>P254+P255+P256+P257+P258</f>
        <v>0</v>
      </c>
      <c r="Q259" s="2007">
        <f>Q254+Q255+Q256+Q257+Q258</f>
        <v>0</v>
      </c>
      <c r="R259" s="2007">
        <f>R254+R255+R256+R257+R258</f>
        <v>0</v>
      </c>
      <c r="S259" s="2009">
        <f t="shared" si="2030"/>
        <v>0</v>
      </c>
      <c r="T259" s="2010">
        <f t="shared" si="2031"/>
        <v>0</v>
      </c>
      <c r="V259" s="1511" t="s">
        <v>22</v>
      </c>
      <c r="W259" s="2007">
        <f>W254+W255+W256+W257+W258</f>
        <v>93</v>
      </c>
      <c r="X259" s="2007">
        <f>X254+X255+X256+X257+X258</f>
        <v>121</v>
      </c>
      <c r="Y259" s="2007">
        <f>Y254+Y255+Y256+Y257+Y258</f>
        <v>0</v>
      </c>
      <c r="Z259" s="1956">
        <f t="shared" si="2024"/>
        <v>214</v>
      </c>
      <c r="AA259" s="2007">
        <f>AA254+AA255+AA256+AA257+AA258</f>
        <v>0</v>
      </c>
      <c r="AB259" s="2007">
        <f>AB254+AB255+AB256+AB257+AB258</f>
        <v>0</v>
      </c>
      <c r="AC259" s="2007">
        <f>AC254+AC255+AC256+AC257+AC258</f>
        <v>0</v>
      </c>
      <c r="AD259" s="1956">
        <f t="shared" si="2010"/>
        <v>0</v>
      </c>
      <c r="AE259" s="1896">
        <f t="shared" si="2011"/>
        <v>214</v>
      </c>
      <c r="AF259" s="2007">
        <f>AF254+AF255+AF256+AF257+AF258</f>
        <v>0</v>
      </c>
      <c r="AG259" s="2007">
        <f>AG254+AG255+AG256+AG257+AG258</f>
        <v>0</v>
      </c>
      <c r="AH259" s="2007">
        <f>AH254+AH255+AH256+AH257+AH258</f>
        <v>0</v>
      </c>
      <c r="AI259" s="2011">
        <f t="shared" si="2012"/>
        <v>0</v>
      </c>
      <c r="AJ259" s="1896">
        <f t="shared" si="2032"/>
        <v>214</v>
      </c>
      <c r="AK259" s="2007">
        <f>AK254+AK255+AK256+AK257+AK258</f>
        <v>0</v>
      </c>
      <c r="AL259" s="2007">
        <f>AL254+AL255+AL256+AL257+AL258</f>
        <v>0</v>
      </c>
      <c r="AM259" s="2007">
        <f>AM254+AM255+AM256+AM257+AM258</f>
        <v>0</v>
      </c>
      <c r="AN259" s="2012">
        <f t="shared" si="2033"/>
        <v>0</v>
      </c>
      <c r="AO259" s="1897">
        <f t="shared" si="2034"/>
        <v>214</v>
      </c>
    </row>
    <row r="260">
      <c r="A260" s="1511" t="s">
        <v>596</v>
      </c>
      <c r="B260" s="1993">
        <f>W259</f>
        <v>93</v>
      </c>
      <c r="C260" s="1993">
        <f t="shared" ref="C260:D260" si="2036">X259</f>
        <v>121</v>
      </c>
      <c r="D260" s="1993">
        <f t="shared" si="2036"/>
        <v>0</v>
      </c>
      <c r="E260" s="1971">
        <f t="shared" si="2022"/>
        <v>214</v>
      </c>
      <c r="F260" s="1993">
        <f>AA259</f>
        <v>0</v>
      </c>
      <c r="G260" s="1993">
        <f>AB259</f>
        <v>0</v>
      </c>
      <c r="H260" s="1993">
        <f>AC259</f>
        <v>0</v>
      </c>
      <c r="I260" s="1971">
        <f t="shared" si="2006"/>
        <v>0</v>
      </c>
      <c r="J260" s="1896">
        <f t="shared" si="2007"/>
        <v>214</v>
      </c>
      <c r="K260" s="1993">
        <f>AF259</f>
        <v>0</v>
      </c>
      <c r="L260" s="1993">
        <f>AG259</f>
        <v>0</v>
      </c>
      <c r="M260" s="1993">
        <f>AH259</f>
        <v>0</v>
      </c>
      <c r="N260" s="2013">
        <f t="shared" si="2008"/>
        <v>0</v>
      </c>
      <c r="O260" s="2014">
        <f>N260+J260</f>
        <v>214</v>
      </c>
      <c r="P260" s="1993">
        <f>AK259</f>
        <v>0</v>
      </c>
      <c r="Q260" s="1993">
        <f>AL259</f>
        <v>0</v>
      </c>
      <c r="R260" s="1993">
        <f>AM259</f>
        <v>0</v>
      </c>
      <c r="S260" s="1955">
        <f>Q260+P260+R260</f>
        <v>0</v>
      </c>
      <c r="T260" s="1959">
        <f t="shared" si="2031"/>
        <v>214</v>
      </c>
      <c r="Z260" s="1418"/>
      <c r="AD260" s="1418"/>
      <c r="AE260" s="1418"/>
      <c r="AI260" s="1418"/>
      <c r="AJ260" s="1418"/>
      <c r="AN260" s="1418"/>
    </row>
    <row r="261">
      <c r="A261" s="1526"/>
      <c r="B261" s="1840"/>
      <c r="C261" s="1840"/>
      <c r="D261" s="1840"/>
      <c r="E261" s="1841"/>
      <c r="F261" s="1838"/>
      <c r="G261" s="1838"/>
      <c r="H261" s="1840"/>
      <c r="I261" s="1841"/>
      <c r="J261" s="1835"/>
      <c r="K261" s="1838"/>
      <c r="L261" s="1838"/>
      <c r="M261" s="1838"/>
      <c r="N261" s="1839"/>
      <c r="O261" s="1839"/>
      <c r="P261" s="1838"/>
      <c r="Q261" s="1838"/>
      <c r="R261" s="1840"/>
      <c r="S261" s="1841"/>
      <c r="T261" s="1841"/>
      <c r="Z261" s="1418"/>
      <c r="AD261" s="1418"/>
      <c r="AE261" s="1418"/>
      <c r="AI261" s="1418"/>
      <c r="AJ261" s="1418"/>
      <c r="AN261" s="1418"/>
    </row>
    <row r="262">
      <c r="A262" s="1515"/>
      <c r="B262" s="1838"/>
      <c r="C262" s="1838"/>
      <c r="D262" s="1838"/>
      <c r="E262" s="1839"/>
      <c r="F262" s="1838"/>
      <c r="G262" s="1838"/>
      <c r="H262" s="1840"/>
      <c r="I262" s="1841"/>
      <c r="J262" s="1835"/>
      <c r="K262" s="1838"/>
      <c r="L262" s="1838"/>
      <c r="M262" s="1838"/>
      <c r="N262" s="1839"/>
      <c r="O262" s="1839"/>
      <c r="P262" s="1838"/>
      <c r="Q262" s="1838"/>
      <c r="R262" s="1840"/>
      <c r="S262" s="1841"/>
      <c r="T262" s="1841"/>
      <c r="Z262" s="1418"/>
      <c r="AD262" s="1418"/>
      <c r="AE262" s="1418"/>
      <c r="AI262" s="1418"/>
      <c r="AJ262" s="1418"/>
      <c r="AN262" s="1418"/>
    </row>
    <row r="263">
      <c r="A263" s="1515"/>
      <c r="B263" s="1838"/>
      <c r="C263" s="1838"/>
      <c r="D263" s="1838"/>
      <c r="E263" s="1839"/>
      <c r="F263" s="1838"/>
      <c r="G263" s="1838"/>
      <c r="H263" s="1838"/>
      <c r="I263" s="1839"/>
      <c r="J263" s="1839"/>
      <c r="K263" s="1838"/>
      <c r="L263" s="1838"/>
      <c r="M263" s="1838"/>
      <c r="N263" s="1839"/>
      <c r="O263" s="1839"/>
      <c r="P263" s="1838"/>
      <c r="Q263" s="1838"/>
      <c r="R263" s="1840"/>
      <c r="S263" s="1841"/>
      <c r="T263" s="1841"/>
      <c r="Z263" s="1418"/>
      <c r="AD263" s="1418"/>
      <c r="AE263" s="1418"/>
      <c r="AI263" s="1418"/>
      <c r="AJ263" s="1418"/>
      <c r="AN263" s="1418"/>
    </row>
    <row r="264">
      <c r="A264" s="2015" t="s">
        <v>597</v>
      </c>
      <c r="B264" s="2016"/>
      <c r="C264" s="1123"/>
      <c r="D264" s="1123"/>
      <c r="E264" s="1123"/>
      <c r="F264" s="1123"/>
      <c r="G264" s="1123"/>
      <c r="H264" s="1123"/>
      <c r="I264" s="2017"/>
      <c r="J264" s="2018"/>
      <c r="K264" s="1123"/>
      <c r="L264" s="1123"/>
      <c r="M264" s="1123"/>
      <c r="N264" s="2017"/>
      <c r="O264" s="2018"/>
      <c r="P264" s="1123"/>
      <c r="Q264" s="1123"/>
      <c r="R264" s="1123"/>
      <c r="S264" s="2017"/>
      <c r="T264" s="1123"/>
      <c r="Z264" s="1418"/>
      <c r="AD264" s="1418"/>
      <c r="AE264" s="1418"/>
      <c r="AI264" s="1418"/>
      <c r="AJ264" s="1418"/>
      <c r="AN264" s="1418"/>
    </row>
    <row r="265">
      <c r="A265" s="1123"/>
      <c r="B265" s="1123"/>
      <c r="C265" s="1123"/>
      <c r="D265" s="1123"/>
      <c r="E265" s="1123"/>
      <c r="F265" s="1123"/>
      <c r="G265" s="1123"/>
      <c r="H265" s="1123"/>
      <c r="I265" s="2017"/>
      <c r="J265" s="2018"/>
      <c r="K265" s="1123"/>
      <c r="L265" s="1123"/>
      <c r="M265" s="1123"/>
      <c r="N265" s="2017"/>
      <c r="O265" s="2018"/>
      <c r="P265" s="1123"/>
      <c r="Q265" s="1123"/>
      <c r="R265" s="1123"/>
      <c r="S265" s="2017"/>
      <c r="T265" s="1123"/>
      <c r="Z265" s="1418"/>
      <c r="AD265" s="1418"/>
      <c r="AE265" s="1418"/>
      <c r="AI265" s="1418"/>
      <c r="AJ265" s="1418"/>
      <c r="AN265" s="1418"/>
    </row>
    <row r="266" s="1848" customFormat="1" ht="18.75">
      <c r="A266" s="2019" t="s">
        <v>173</v>
      </c>
      <c r="B266" s="2020" t="s">
        <v>6</v>
      </c>
      <c r="C266" s="2020" t="s">
        <v>7</v>
      </c>
      <c r="D266" s="2021" t="s">
        <v>8</v>
      </c>
      <c r="E266" s="2022" t="s">
        <v>9</v>
      </c>
      <c r="F266" s="2023" t="s">
        <v>10</v>
      </c>
      <c r="G266" s="2023" t="s">
        <v>11</v>
      </c>
      <c r="H266" s="2023" t="s">
        <v>12</v>
      </c>
      <c r="I266" s="2024" t="s">
        <v>174</v>
      </c>
      <c r="J266" s="2025" t="s">
        <v>175</v>
      </c>
      <c r="K266" s="2023" t="s">
        <v>14</v>
      </c>
      <c r="L266" s="2023" t="s">
        <v>15</v>
      </c>
      <c r="M266" s="2023" t="s">
        <v>16</v>
      </c>
      <c r="N266" s="2024" t="s">
        <v>17</v>
      </c>
      <c r="O266" s="2025" t="s">
        <v>176</v>
      </c>
      <c r="P266" s="2026" t="s">
        <v>18</v>
      </c>
      <c r="Q266" s="2027" t="s">
        <v>19</v>
      </c>
      <c r="R266" s="2023" t="s">
        <v>20</v>
      </c>
      <c r="S266" s="2028" t="s">
        <v>593</v>
      </c>
      <c r="T266" s="1566" t="s">
        <v>22</v>
      </c>
      <c r="U266" s="1621"/>
      <c r="V266" s="1621"/>
      <c r="W266" s="1621"/>
      <c r="X266" s="1621"/>
      <c r="Y266" s="1621"/>
      <c r="Z266" s="1623"/>
      <c r="AA266" s="1621"/>
      <c r="AB266" s="1621"/>
      <c r="AC266" s="1621"/>
      <c r="AD266" s="1623"/>
      <c r="AE266" s="1623"/>
      <c r="AF266" s="1621"/>
      <c r="AG266" s="1621"/>
      <c r="AH266" s="1621"/>
      <c r="AI266" s="1623"/>
      <c r="AJ266" s="1623"/>
      <c r="AK266" s="1621"/>
      <c r="AL266" s="1622"/>
      <c r="AM266" s="1621"/>
      <c r="AN266" s="1623"/>
      <c r="AO266" s="1623"/>
      <c r="AP266" s="1621"/>
      <c r="AQ266" s="1621"/>
      <c r="AR266" s="1621"/>
      <c r="AS266" s="1621"/>
      <c r="AT266" s="1621"/>
      <c r="AU266" s="1621"/>
      <c r="AV266" s="1621"/>
      <c r="AW266" s="1621"/>
      <c r="AX266" s="1621"/>
      <c r="AY266" s="1621"/>
      <c r="AZ266" s="1621"/>
    </row>
    <row r="267" ht="13.5" customHeight="1">
      <c r="A267" s="1982"/>
      <c r="B267" s="1938"/>
      <c r="C267" s="1939"/>
      <c r="D267" s="2029"/>
      <c r="E267" s="2030"/>
      <c r="F267" s="1939"/>
      <c r="G267" s="1939"/>
      <c r="H267" s="1939"/>
      <c r="I267" s="2031"/>
      <c r="J267" s="2032"/>
      <c r="K267" s="1939"/>
      <c r="L267" s="1939"/>
      <c r="M267" s="1939"/>
      <c r="N267" s="2003"/>
      <c r="O267" s="2033"/>
      <c r="P267" s="1939"/>
      <c r="Q267" s="1939"/>
      <c r="R267" s="1939"/>
      <c r="S267" s="1940"/>
      <c r="T267" s="1945"/>
      <c r="Z267" s="1418"/>
      <c r="AD267" s="1418"/>
      <c r="AE267" s="1418"/>
      <c r="AI267" s="1418"/>
      <c r="AJ267" s="1418"/>
      <c r="AN267" s="1418"/>
    </row>
    <row r="268" ht="13.5" hidden="1" customHeight="1">
      <c r="A268" s="1946" t="s">
        <v>178</v>
      </c>
      <c r="B268" s="2034"/>
      <c r="C268" s="1834"/>
      <c r="D268" s="2035"/>
      <c r="E268" s="2036">
        <f t="shared" si="2022"/>
        <v>0</v>
      </c>
      <c r="F268" s="2037"/>
      <c r="G268" s="2038"/>
      <c r="H268" s="2038"/>
      <c r="I268" s="2031">
        <f t="shared" si="2006"/>
        <v>0</v>
      </c>
      <c r="J268" s="2032">
        <f t="shared" si="2007"/>
        <v>0</v>
      </c>
      <c r="K268" s="2038"/>
      <c r="L268" s="2038"/>
      <c r="M268" s="2034"/>
      <c r="N268" s="2039">
        <f t="shared" si="2008"/>
        <v>0</v>
      </c>
      <c r="O268" s="2040">
        <f t="shared" ref="O268:O311" si="2037">J268+N268</f>
        <v>0</v>
      </c>
      <c r="P268" s="2034"/>
      <c r="Q268" s="2038"/>
      <c r="R268" s="2038"/>
      <c r="S268" s="2039">
        <f t="shared" ref="S268:S331" si="2038">P268+Q268+R268</f>
        <v>0</v>
      </c>
      <c r="T268" s="2041">
        <f t="shared" si="2031"/>
        <v>0</v>
      </c>
      <c r="Z268" s="1418"/>
      <c r="AD268" s="1418"/>
      <c r="AE268" s="1418"/>
      <c r="AI268" s="1418"/>
      <c r="AJ268" s="1418"/>
      <c r="AN268" s="1418"/>
    </row>
    <row r="269" ht="13.5" hidden="1" customHeight="1">
      <c r="A269" s="1946" t="s">
        <v>354</v>
      </c>
      <c r="B269" s="2038"/>
      <c r="C269" s="1834"/>
      <c r="D269" s="2034"/>
      <c r="E269" s="2036">
        <f t="shared" si="2022"/>
        <v>0</v>
      </c>
      <c r="F269" s="2037"/>
      <c r="G269" s="2038"/>
      <c r="H269" s="2038"/>
      <c r="I269" s="2031">
        <f t="shared" si="2006"/>
        <v>0</v>
      </c>
      <c r="J269" s="2032">
        <f t="shared" si="2007"/>
        <v>0</v>
      </c>
      <c r="K269" s="2038"/>
      <c r="L269" s="2038"/>
      <c r="M269" s="2038"/>
      <c r="N269" s="2039">
        <f t="shared" si="2008"/>
        <v>0</v>
      </c>
      <c r="O269" s="2040">
        <f t="shared" si="2037"/>
        <v>0</v>
      </c>
      <c r="P269" s="2038"/>
      <c r="Q269" s="2038"/>
      <c r="R269" s="2038"/>
      <c r="S269" s="2039">
        <f t="shared" si="2038"/>
        <v>0</v>
      </c>
      <c r="T269" s="2041">
        <f t="shared" si="2031"/>
        <v>0</v>
      </c>
      <c r="Z269" s="1418"/>
      <c r="AD269" s="1418"/>
      <c r="AE269" s="1418"/>
      <c r="AI269" s="1418"/>
      <c r="AJ269" s="1418"/>
      <c r="AN269" s="1418"/>
    </row>
    <row r="270" ht="13.5" hidden="1" customHeight="1">
      <c r="A270" s="1946" t="s">
        <v>181</v>
      </c>
      <c r="B270" s="2034"/>
      <c r="C270" s="2038"/>
      <c r="D270" s="2038"/>
      <c r="E270" s="2036">
        <f t="shared" si="2022"/>
        <v>0</v>
      </c>
      <c r="F270" s="2037"/>
      <c r="G270" s="2038"/>
      <c r="H270" s="2038"/>
      <c r="I270" s="2031">
        <f t="shared" si="2006"/>
        <v>0</v>
      </c>
      <c r="J270" s="2032">
        <f t="shared" si="2007"/>
        <v>0</v>
      </c>
      <c r="K270" s="2038"/>
      <c r="L270" s="2038"/>
      <c r="M270" s="2038"/>
      <c r="N270" s="2039">
        <f t="shared" si="2008"/>
        <v>0</v>
      </c>
      <c r="O270" s="2040">
        <f t="shared" si="2037"/>
        <v>0</v>
      </c>
      <c r="P270" s="2038"/>
      <c r="Q270" s="2038"/>
      <c r="R270" s="2038"/>
      <c r="S270" s="2039">
        <f t="shared" si="2038"/>
        <v>0</v>
      </c>
      <c r="T270" s="2041">
        <f t="shared" si="2031"/>
        <v>0</v>
      </c>
      <c r="Z270" s="1418"/>
      <c r="AD270" s="1418"/>
      <c r="AE270" s="1418"/>
      <c r="AI270" s="1418"/>
      <c r="AJ270" s="1418"/>
      <c r="AN270" s="1418"/>
    </row>
    <row r="271" ht="13.5" hidden="1" customHeight="1">
      <c r="A271" s="1946" t="s">
        <v>182</v>
      </c>
      <c r="B271" s="2034"/>
      <c r="C271" s="2038"/>
      <c r="D271" s="2038"/>
      <c r="E271" s="2036">
        <f t="shared" si="2022"/>
        <v>0</v>
      </c>
      <c r="F271" s="2037"/>
      <c r="G271" s="2038"/>
      <c r="H271" s="2038"/>
      <c r="I271" s="2031">
        <f t="shared" si="2006"/>
        <v>0</v>
      </c>
      <c r="J271" s="2032">
        <f t="shared" si="2007"/>
        <v>0</v>
      </c>
      <c r="K271" s="2038"/>
      <c r="L271" s="2038"/>
      <c r="M271" s="2038"/>
      <c r="N271" s="2039">
        <f t="shared" si="2008"/>
        <v>0</v>
      </c>
      <c r="O271" s="2040">
        <f t="shared" si="2037"/>
        <v>0</v>
      </c>
      <c r="P271" s="2038"/>
      <c r="Q271" s="2038"/>
      <c r="R271" s="2038"/>
      <c r="S271" s="2039">
        <f t="shared" si="2038"/>
        <v>0</v>
      </c>
      <c r="T271" s="2041">
        <f t="shared" si="2031"/>
        <v>0</v>
      </c>
      <c r="Z271" s="1418"/>
      <c r="AD271" s="1418"/>
      <c r="AE271" s="1418"/>
      <c r="AI271" s="1418"/>
      <c r="AJ271" s="1418"/>
      <c r="AN271" s="1418"/>
    </row>
    <row r="272" ht="13.5" hidden="1" customHeight="1">
      <c r="A272" s="1946" t="s">
        <v>183</v>
      </c>
      <c r="B272" s="2034"/>
      <c r="C272" s="2038"/>
      <c r="D272" s="2038"/>
      <c r="E272" s="2036">
        <f t="shared" si="2022"/>
        <v>0</v>
      </c>
      <c r="F272" s="2037"/>
      <c r="G272" s="2038"/>
      <c r="H272" s="2038"/>
      <c r="I272" s="2031">
        <f t="shared" si="2006"/>
        <v>0</v>
      </c>
      <c r="J272" s="2032">
        <f t="shared" si="2007"/>
        <v>0</v>
      </c>
      <c r="K272" s="2038"/>
      <c r="L272" s="2038"/>
      <c r="M272" s="2038"/>
      <c r="N272" s="2039">
        <f t="shared" si="2008"/>
        <v>0</v>
      </c>
      <c r="O272" s="2040">
        <f t="shared" si="2037"/>
        <v>0</v>
      </c>
      <c r="P272" s="2038"/>
      <c r="Q272" s="2038"/>
      <c r="R272" s="2038"/>
      <c r="S272" s="2039">
        <f t="shared" si="2038"/>
        <v>0</v>
      </c>
      <c r="T272" s="2041">
        <f t="shared" si="2031"/>
        <v>0</v>
      </c>
      <c r="Z272" s="1418"/>
      <c r="AD272" s="1418"/>
      <c r="AE272" s="1418"/>
      <c r="AI272" s="1418"/>
      <c r="AJ272" s="1418"/>
      <c r="AN272" s="1418"/>
    </row>
    <row r="273" ht="13.5" hidden="1" customHeight="1">
      <c r="A273" s="1946" t="s">
        <v>184</v>
      </c>
      <c r="B273" s="2034"/>
      <c r="C273" s="2038"/>
      <c r="D273" s="2038"/>
      <c r="E273" s="2036">
        <f t="shared" si="2022"/>
        <v>0</v>
      </c>
      <c r="F273" s="2037"/>
      <c r="G273" s="2038"/>
      <c r="H273" s="2038"/>
      <c r="I273" s="2031">
        <f t="shared" si="2006"/>
        <v>0</v>
      </c>
      <c r="J273" s="2032">
        <f t="shared" si="2007"/>
        <v>0</v>
      </c>
      <c r="K273" s="2038"/>
      <c r="L273" s="2038"/>
      <c r="M273" s="2038"/>
      <c r="N273" s="2039">
        <f t="shared" si="2008"/>
        <v>0</v>
      </c>
      <c r="O273" s="2040">
        <f t="shared" si="2037"/>
        <v>0</v>
      </c>
      <c r="P273" s="2038"/>
      <c r="Q273" s="2038"/>
      <c r="R273" s="2038"/>
      <c r="S273" s="2039">
        <f t="shared" si="2038"/>
        <v>0</v>
      </c>
      <c r="T273" s="2041">
        <f t="shared" si="2031"/>
        <v>0</v>
      </c>
      <c r="Z273" s="1418"/>
      <c r="AD273" s="1418"/>
      <c r="AE273" s="1418"/>
      <c r="AI273" s="1418"/>
      <c r="AJ273" s="1418"/>
      <c r="AN273" s="1418"/>
    </row>
    <row r="274" ht="13.5" hidden="1" customHeight="1">
      <c r="A274" s="1946" t="s">
        <v>185</v>
      </c>
      <c r="B274" s="2034"/>
      <c r="C274" s="2038"/>
      <c r="D274" s="2038"/>
      <c r="E274" s="2036">
        <f t="shared" si="2022"/>
        <v>0</v>
      </c>
      <c r="F274" s="2037"/>
      <c r="G274" s="2038"/>
      <c r="H274" s="2038"/>
      <c r="I274" s="2031">
        <f t="shared" si="2006"/>
        <v>0</v>
      </c>
      <c r="J274" s="2032">
        <f t="shared" si="2007"/>
        <v>0</v>
      </c>
      <c r="K274" s="2038"/>
      <c r="L274" s="2038"/>
      <c r="M274" s="2038"/>
      <c r="N274" s="2039">
        <f t="shared" si="2008"/>
        <v>0</v>
      </c>
      <c r="O274" s="2040">
        <f t="shared" si="2037"/>
        <v>0</v>
      </c>
      <c r="P274" s="2038"/>
      <c r="Q274" s="2038"/>
      <c r="R274" s="2038"/>
      <c r="S274" s="2039">
        <f t="shared" si="2038"/>
        <v>0</v>
      </c>
      <c r="T274" s="2041">
        <f t="shared" si="2031"/>
        <v>0</v>
      </c>
      <c r="Z274" s="1418"/>
      <c r="AD274" s="1418"/>
      <c r="AE274" s="1418"/>
      <c r="AI274" s="1418"/>
      <c r="AJ274" s="1418"/>
      <c r="AN274" s="1418"/>
    </row>
    <row r="275" ht="13.5" hidden="1" customHeight="1">
      <c r="A275" s="1511" t="s">
        <v>363</v>
      </c>
      <c r="B275" s="1871">
        <f t="shared" ref="B275:R275" si="2039">SUM(B268:B274)</f>
        <v>0</v>
      </c>
      <c r="C275" s="1871">
        <f t="shared" si="2039"/>
        <v>0</v>
      </c>
      <c r="D275" s="1871">
        <f t="shared" si="2039"/>
        <v>0</v>
      </c>
      <c r="E275" s="1899">
        <f t="shared" si="2022"/>
        <v>0</v>
      </c>
      <c r="F275" s="2042">
        <v>0</v>
      </c>
      <c r="G275" s="1871">
        <f>SUM(G268:G274)</f>
        <v>0</v>
      </c>
      <c r="H275" s="1871">
        <f t="shared" si="2039"/>
        <v>0</v>
      </c>
      <c r="I275" s="2043">
        <f t="shared" si="2006"/>
        <v>0</v>
      </c>
      <c r="J275" s="2044">
        <f t="shared" si="2007"/>
        <v>0</v>
      </c>
      <c r="K275" s="1871">
        <f>SUM(K268:K274)</f>
        <v>0</v>
      </c>
      <c r="L275" s="1871">
        <f t="shared" si="2039"/>
        <v>0</v>
      </c>
      <c r="M275" s="1871">
        <f t="shared" si="2039"/>
        <v>0</v>
      </c>
      <c r="N275" s="2045">
        <f t="shared" si="2008"/>
        <v>0</v>
      </c>
      <c r="O275" s="1900">
        <f t="shared" si="2037"/>
        <v>0</v>
      </c>
      <c r="P275" s="1871">
        <f t="shared" si="2039"/>
        <v>0</v>
      </c>
      <c r="Q275" s="1871">
        <f t="shared" si="2039"/>
        <v>0</v>
      </c>
      <c r="R275" s="1871">
        <f t="shared" si="2039"/>
        <v>0</v>
      </c>
      <c r="S275" s="2046">
        <f t="shared" si="2038"/>
        <v>0</v>
      </c>
      <c r="T275" s="1901">
        <f t="shared" si="2031"/>
        <v>0</v>
      </c>
      <c r="Z275" s="1418"/>
      <c r="AD275" s="1418"/>
      <c r="AE275" s="1418"/>
      <c r="AI275" s="1418"/>
      <c r="AJ275" s="1418"/>
      <c r="AN275" s="1418"/>
    </row>
    <row r="276" ht="13.5" hidden="1" customHeight="1">
      <c r="A276" s="1946" t="s">
        <v>542</v>
      </c>
      <c r="B276" s="2034"/>
      <c r="C276" s="2038"/>
      <c r="D276" s="2038"/>
      <c r="E276" s="2036">
        <f t="shared" si="2022"/>
        <v>0</v>
      </c>
      <c r="F276" s="2037"/>
      <c r="G276" s="2038"/>
      <c r="H276" s="2038"/>
      <c r="I276" s="2047">
        <f t="shared" si="2006"/>
        <v>0</v>
      </c>
      <c r="J276" s="2048">
        <f t="shared" si="2007"/>
        <v>0</v>
      </c>
      <c r="K276" s="2038"/>
      <c r="L276" s="2038"/>
      <c r="M276" s="2038"/>
      <c r="N276" s="2039">
        <f t="shared" si="2008"/>
        <v>0</v>
      </c>
      <c r="O276" s="2040">
        <f t="shared" si="2037"/>
        <v>0</v>
      </c>
      <c r="P276" s="2038"/>
      <c r="Q276" s="2038"/>
      <c r="R276" s="2038"/>
      <c r="S276" s="2039">
        <f t="shared" si="2038"/>
        <v>0</v>
      </c>
      <c r="T276" s="2041">
        <f t="shared" si="2031"/>
        <v>0</v>
      </c>
      <c r="Z276" s="1418"/>
      <c r="AD276" s="1418"/>
      <c r="AE276" s="1418"/>
      <c r="AI276" s="1418"/>
      <c r="AJ276" s="1418"/>
      <c r="AN276" s="1418"/>
    </row>
    <row r="277" ht="13.5" hidden="1" customHeight="1">
      <c r="A277" s="1946" t="s">
        <v>195</v>
      </c>
      <c r="B277" s="2034"/>
      <c r="C277" s="2038"/>
      <c r="D277" s="2038"/>
      <c r="E277" s="2036">
        <f t="shared" si="2022"/>
        <v>0</v>
      </c>
      <c r="F277" s="2037"/>
      <c r="G277" s="2038"/>
      <c r="H277" s="2038"/>
      <c r="I277" s="2031">
        <f t="shared" si="2006"/>
        <v>0</v>
      </c>
      <c r="J277" s="2032">
        <f t="shared" si="2007"/>
        <v>0</v>
      </c>
      <c r="K277" s="2038"/>
      <c r="L277" s="2038"/>
      <c r="M277" s="2038"/>
      <c r="N277" s="2039">
        <f t="shared" si="2008"/>
        <v>0</v>
      </c>
      <c r="O277" s="2040">
        <f t="shared" si="2037"/>
        <v>0</v>
      </c>
      <c r="P277" s="2038"/>
      <c r="Q277" s="2038"/>
      <c r="R277" s="2038"/>
      <c r="S277" s="2039">
        <f t="shared" si="2038"/>
        <v>0</v>
      </c>
      <c r="T277" s="2041">
        <f t="shared" si="2031"/>
        <v>0</v>
      </c>
      <c r="Z277" s="1418"/>
      <c r="AD277" s="1418"/>
      <c r="AE277" s="1418"/>
      <c r="AI277" s="1418"/>
      <c r="AJ277" s="1418"/>
      <c r="AN277" s="1418"/>
    </row>
    <row r="278" ht="13.5" hidden="1" customHeight="1">
      <c r="A278" s="1946" t="s">
        <v>196</v>
      </c>
      <c r="B278" s="2034"/>
      <c r="C278" s="2038"/>
      <c r="D278" s="2038"/>
      <c r="E278" s="2036">
        <f t="shared" si="2022"/>
        <v>0</v>
      </c>
      <c r="F278" s="2037"/>
      <c r="G278" s="2038"/>
      <c r="H278" s="2038"/>
      <c r="I278" s="2031">
        <f t="shared" si="2006"/>
        <v>0</v>
      </c>
      <c r="J278" s="2032">
        <f t="shared" si="2007"/>
        <v>0</v>
      </c>
      <c r="K278" s="2038"/>
      <c r="L278" s="2038"/>
      <c r="M278" s="2038"/>
      <c r="N278" s="2039">
        <f t="shared" si="2008"/>
        <v>0</v>
      </c>
      <c r="O278" s="2040">
        <f t="shared" si="2037"/>
        <v>0</v>
      </c>
      <c r="P278" s="2038"/>
      <c r="Q278" s="2038"/>
      <c r="R278" s="2038"/>
      <c r="S278" s="2039">
        <f t="shared" si="2038"/>
        <v>0</v>
      </c>
      <c r="T278" s="2041">
        <f t="shared" si="2031"/>
        <v>0</v>
      </c>
      <c r="Z278" s="1418"/>
      <c r="AD278" s="1418"/>
      <c r="AE278" s="1418"/>
      <c r="AI278" s="1418"/>
      <c r="AJ278" s="1418"/>
      <c r="AN278" s="1418"/>
    </row>
    <row r="279" ht="13.5" hidden="1" customHeight="1">
      <c r="A279" s="1946" t="s">
        <v>367</v>
      </c>
      <c r="B279" s="2034"/>
      <c r="C279" s="2038"/>
      <c r="D279" s="2038"/>
      <c r="E279" s="2036">
        <f t="shared" si="2022"/>
        <v>0</v>
      </c>
      <c r="F279" s="2037"/>
      <c r="G279" s="2038"/>
      <c r="H279" s="2038"/>
      <c r="I279" s="2031">
        <f t="shared" si="2006"/>
        <v>0</v>
      </c>
      <c r="J279" s="2032">
        <f t="shared" si="2007"/>
        <v>0</v>
      </c>
      <c r="K279" s="2038"/>
      <c r="L279" s="2038"/>
      <c r="M279" s="2038"/>
      <c r="N279" s="2039">
        <f t="shared" si="2008"/>
        <v>0</v>
      </c>
      <c r="O279" s="2040">
        <f t="shared" si="2037"/>
        <v>0</v>
      </c>
      <c r="P279" s="2038"/>
      <c r="Q279" s="2038"/>
      <c r="R279" s="2038"/>
      <c r="S279" s="2039">
        <f t="shared" si="2038"/>
        <v>0</v>
      </c>
      <c r="T279" s="2041">
        <f t="shared" si="2031"/>
        <v>0</v>
      </c>
      <c r="Z279" s="1418"/>
      <c r="AD279" s="1418"/>
      <c r="AE279" s="1418"/>
      <c r="AI279" s="1418"/>
      <c r="AJ279" s="1418"/>
      <c r="AN279" s="1418"/>
    </row>
    <row r="280" ht="13.5" hidden="1" customHeight="1">
      <c r="A280" s="1946" t="s">
        <v>201</v>
      </c>
      <c r="B280" s="2034"/>
      <c r="C280" s="2038"/>
      <c r="D280" s="2038"/>
      <c r="E280" s="2036">
        <f t="shared" si="2022"/>
        <v>0</v>
      </c>
      <c r="F280" s="2037"/>
      <c r="G280" s="2038"/>
      <c r="H280" s="2038"/>
      <c r="I280" s="2031">
        <f t="shared" si="2006"/>
        <v>0</v>
      </c>
      <c r="J280" s="2032">
        <f t="shared" si="2007"/>
        <v>0</v>
      </c>
      <c r="K280" s="2038"/>
      <c r="L280" s="2038"/>
      <c r="M280" s="2038"/>
      <c r="N280" s="2039">
        <f t="shared" si="2008"/>
        <v>0</v>
      </c>
      <c r="O280" s="2040">
        <f t="shared" si="2037"/>
        <v>0</v>
      </c>
      <c r="P280" s="2038"/>
      <c r="Q280" s="2038"/>
      <c r="R280" s="2038"/>
      <c r="S280" s="2039">
        <f t="shared" si="2038"/>
        <v>0</v>
      </c>
      <c r="T280" s="2041">
        <f t="shared" si="2031"/>
        <v>0</v>
      </c>
      <c r="Z280" s="1418"/>
      <c r="AD280" s="1418"/>
      <c r="AE280" s="1418"/>
      <c r="AI280" s="1418"/>
      <c r="AJ280" s="1418"/>
      <c r="AN280" s="1418"/>
    </row>
    <row r="281" ht="13.5" hidden="1" customHeight="1">
      <c r="A281" s="1946" t="s">
        <v>203</v>
      </c>
      <c r="B281" s="2034"/>
      <c r="C281" s="2038"/>
      <c r="D281" s="2038"/>
      <c r="E281" s="2036">
        <f t="shared" si="2022"/>
        <v>0</v>
      </c>
      <c r="F281" s="2037"/>
      <c r="G281" s="2038"/>
      <c r="H281" s="2038"/>
      <c r="I281" s="2031">
        <f t="shared" si="2006"/>
        <v>0</v>
      </c>
      <c r="J281" s="2032">
        <f t="shared" si="2007"/>
        <v>0</v>
      </c>
      <c r="K281" s="2038"/>
      <c r="L281" s="2038"/>
      <c r="M281" s="2038"/>
      <c r="N281" s="2039">
        <f t="shared" si="2008"/>
        <v>0</v>
      </c>
      <c r="O281" s="2040">
        <f t="shared" si="2037"/>
        <v>0</v>
      </c>
      <c r="P281" s="2038"/>
      <c r="Q281" s="2038"/>
      <c r="R281" s="2038"/>
      <c r="S281" s="2039">
        <f t="shared" si="2038"/>
        <v>0</v>
      </c>
      <c r="T281" s="2041">
        <f t="shared" si="2031"/>
        <v>0</v>
      </c>
      <c r="Z281" s="1418"/>
      <c r="AD281" s="1418"/>
      <c r="AE281" s="1418"/>
      <c r="AI281" s="1418"/>
      <c r="AJ281" s="1418"/>
      <c r="AN281" s="1418"/>
    </row>
    <row r="282" ht="13.5" hidden="1" customHeight="1">
      <c r="A282" s="1946" t="s">
        <v>204</v>
      </c>
      <c r="B282" s="2034"/>
      <c r="C282" s="2038"/>
      <c r="D282" s="2038"/>
      <c r="E282" s="2036">
        <f t="shared" si="2022"/>
        <v>0</v>
      </c>
      <c r="F282" s="2037"/>
      <c r="G282" s="2038"/>
      <c r="H282" s="2038"/>
      <c r="I282" s="2031">
        <f t="shared" si="2006"/>
        <v>0</v>
      </c>
      <c r="J282" s="2032">
        <f t="shared" si="2007"/>
        <v>0</v>
      </c>
      <c r="K282" s="2038"/>
      <c r="L282" s="2038"/>
      <c r="M282" s="2038"/>
      <c r="N282" s="2039">
        <f t="shared" si="2008"/>
        <v>0</v>
      </c>
      <c r="O282" s="2040">
        <f t="shared" si="2037"/>
        <v>0</v>
      </c>
      <c r="P282" s="2038"/>
      <c r="Q282" s="2038"/>
      <c r="R282" s="2038"/>
      <c r="S282" s="2039">
        <f t="shared" si="2038"/>
        <v>0</v>
      </c>
      <c r="T282" s="2041">
        <f t="shared" si="2031"/>
        <v>0</v>
      </c>
      <c r="Z282" s="1418"/>
      <c r="AD282" s="1418"/>
      <c r="AE282" s="1418"/>
      <c r="AI282" s="1418"/>
      <c r="AJ282" s="1418"/>
      <c r="AN282" s="1418"/>
    </row>
    <row r="283" ht="13.5" hidden="1" customHeight="1">
      <c r="A283" s="1946" t="s">
        <v>205</v>
      </c>
      <c r="B283" s="2034"/>
      <c r="C283" s="2038"/>
      <c r="D283" s="2038"/>
      <c r="E283" s="2036">
        <f t="shared" si="2022"/>
        <v>0</v>
      </c>
      <c r="F283" s="2037"/>
      <c r="G283" s="2038"/>
      <c r="H283" s="2038"/>
      <c r="I283" s="2031">
        <f t="shared" si="2006"/>
        <v>0</v>
      </c>
      <c r="J283" s="2032">
        <f t="shared" si="2007"/>
        <v>0</v>
      </c>
      <c r="K283" s="2038"/>
      <c r="L283" s="2038"/>
      <c r="M283" s="2038"/>
      <c r="N283" s="2039">
        <f t="shared" si="2008"/>
        <v>0</v>
      </c>
      <c r="O283" s="2040">
        <f t="shared" si="2037"/>
        <v>0</v>
      </c>
      <c r="P283" s="2038"/>
      <c r="Q283" s="2038"/>
      <c r="R283" s="2038"/>
      <c r="S283" s="2039">
        <f t="shared" si="2038"/>
        <v>0</v>
      </c>
      <c r="T283" s="2041">
        <f t="shared" si="2031"/>
        <v>0</v>
      </c>
      <c r="Z283" s="1418"/>
      <c r="AD283" s="1418"/>
      <c r="AE283" s="1418"/>
      <c r="AI283" s="1418"/>
      <c r="AJ283" s="1418"/>
      <c r="AN283" s="1418"/>
    </row>
    <row r="284" ht="13.5" hidden="1" customHeight="1">
      <c r="A284" s="1946" t="s">
        <v>206</v>
      </c>
      <c r="B284" s="2034"/>
      <c r="C284" s="2038"/>
      <c r="D284" s="2038"/>
      <c r="E284" s="2036">
        <f t="shared" si="2022"/>
        <v>0</v>
      </c>
      <c r="F284" s="2037"/>
      <c r="G284" s="2038"/>
      <c r="H284" s="2038"/>
      <c r="I284" s="2031">
        <f t="shared" si="2006"/>
        <v>0</v>
      </c>
      <c r="J284" s="2032">
        <f t="shared" si="2007"/>
        <v>0</v>
      </c>
      <c r="K284" s="2038"/>
      <c r="L284" s="2038"/>
      <c r="M284" s="2038"/>
      <c r="N284" s="2039">
        <f t="shared" si="2008"/>
        <v>0</v>
      </c>
      <c r="O284" s="2040">
        <f t="shared" si="2037"/>
        <v>0</v>
      </c>
      <c r="P284" s="2038"/>
      <c r="Q284" s="2038"/>
      <c r="R284" s="2038"/>
      <c r="S284" s="2039">
        <f t="shared" si="2038"/>
        <v>0</v>
      </c>
      <c r="T284" s="2041">
        <f t="shared" si="2031"/>
        <v>0</v>
      </c>
      <c r="Z284" s="1418"/>
      <c r="AD284" s="1418"/>
      <c r="AE284" s="1418"/>
      <c r="AI284" s="1418"/>
      <c r="AJ284" s="1418"/>
      <c r="AN284" s="1418"/>
    </row>
    <row r="285" ht="13.5" hidden="1" customHeight="1">
      <c r="A285" s="1946" t="s">
        <v>207</v>
      </c>
      <c r="B285" s="2034"/>
      <c r="C285" s="2038"/>
      <c r="D285" s="2038"/>
      <c r="E285" s="2036">
        <f t="shared" si="2022"/>
        <v>0</v>
      </c>
      <c r="F285" s="2037"/>
      <c r="G285" s="2038"/>
      <c r="H285" s="2038"/>
      <c r="I285" s="2031">
        <f t="shared" si="2006"/>
        <v>0</v>
      </c>
      <c r="J285" s="2032">
        <f t="shared" si="2007"/>
        <v>0</v>
      </c>
      <c r="K285" s="2038"/>
      <c r="L285" s="2038"/>
      <c r="M285" s="2038"/>
      <c r="N285" s="2039">
        <f t="shared" si="2008"/>
        <v>0</v>
      </c>
      <c r="O285" s="2040">
        <f t="shared" si="2037"/>
        <v>0</v>
      </c>
      <c r="P285" s="2038"/>
      <c r="Q285" s="2038"/>
      <c r="R285" s="2038"/>
      <c r="S285" s="2039">
        <f t="shared" si="2038"/>
        <v>0</v>
      </c>
      <c r="T285" s="2041">
        <f t="shared" si="2031"/>
        <v>0</v>
      </c>
      <c r="Z285" s="1418"/>
      <c r="AD285" s="1418"/>
      <c r="AE285" s="1418"/>
      <c r="AI285" s="1418"/>
      <c r="AJ285" s="1418"/>
      <c r="AN285" s="1418"/>
    </row>
    <row r="286" ht="13.5" hidden="1" customHeight="1">
      <c r="A286" s="1946" t="s">
        <v>209</v>
      </c>
      <c r="B286" s="2034"/>
      <c r="C286" s="2038"/>
      <c r="D286" s="2038"/>
      <c r="E286" s="2036">
        <f t="shared" si="2022"/>
        <v>0</v>
      </c>
      <c r="F286" s="2037"/>
      <c r="G286" s="2038"/>
      <c r="H286" s="2038"/>
      <c r="I286" s="2031">
        <f t="shared" si="2006"/>
        <v>0</v>
      </c>
      <c r="J286" s="2032">
        <f t="shared" si="2007"/>
        <v>0</v>
      </c>
      <c r="K286" s="2038"/>
      <c r="L286" s="2038"/>
      <c r="M286" s="2038"/>
      <c r="N286" s="2039">
        <f t="shared" si="2008"/>
        <v>0</v>
      </c>
      <c r="O286" s="2040">
        <f t="shared" si="2037"/>
        <v>0</v>
      </c>
      <c r="P286" s="2038"/>
      <c r="Q286" s="2038"/>
      <c r="R286" s="2038"/>
      <c r="S286" s="2039">
        <f t="shared" si="2038"/>
        <v>0</v>
      </c>
      <c r="T286" s="2041">
        <f t="shared" si="2031"/>
        <v>0</v>
      </c>
      <c r="Z286" s="1418"/>
      <c r="AD286" s="1418"/>
      <c r="AE286" s="1418"/>
      <c r="AI286" s="1418"/>
      <c r="AJ286" s="1418"/>
      <c r="AN286" s="1418"/>
    </row>
    <row r="287" ht="13.5" hidden="1" customHeight="1">
      <c r="A287" s="1946" t="s">
        <v>210</v>
      </c>
      <c r="B287" s="2034"/>
      <c r="C287" s="2038"/>
      <c r="D287" s="2038"/>
      <c r="E287" s="2036">
        <f t="shared" si="2022"/>
        <v>0</v>
      </c>
      <c r="F287" s="2037"/>
      <c r="G287" s="2038"/>
      <c r="H287" s="2038"/>
      <c r="I287" s="2031">
        <f t="shared" si="2006"/>
        <v>0</v>
      </c>
      <c r="J287" s="2032">
        <f t="shared" si="2007"/>
        <v>0</v>
      </c>
      <c r="K287" s="2038"/>
      <c r="L287" s="2038"/>
      <c r="M287" s="2038"/>
      <c r="N287" s="2039">
        <f t="shared" si="2008"/>
        <v>0</v>
      </c>
      <c r="O287" s="2040">
        <f t="shared" si="2037"/>
        <v>0</v>
      </c>
      <c r="P287" s="2038"/>
      <c r="Q287" s="2038"/>
      <c r="R287" s="2038"/>
      <c r="S287" s="2039">
        <f t="shared" si="2038"/>
        <v>0</v>
      </c>
      <c r="T287" s="2041">
        <f t="shared" si="2031"/>
        <v>0</v>
      </c>
      <c r="Z287" s="1418"/>
      <c r="AD287" s="1418"/>
      <c r="AE287" s="1418"/>
      <c r="AI287" s="1418"/>
      <c r="AJ287" s="1418"/>
      <c r="AN287" s="1418"/>
    </row>
    <row r="288" ht="13.5" hidden="1" customHeight="1">
      <c r="A288" s="1946" t="s">
        <v>211</v>
      </c>
      <c r="B288" s="2034"/>
      <c r="C288" s="2038"/>
      <c r="D288" s="2038"/>
      <c r="E288" s="2036">
        <f t="shared" si="2022"/>
        <v>0</v>
      </c>
      <c r="F288" s="2037"/>
      <c r="G288" s="2038"/>
      <c r="H288" s="2038"/>
      <c r="I288" s="2031">
        <f t="shared" si="2006"/>
        <v>0</v>
      </c>
      <c r="J288" s="2032">
        <f t="shared" si="2007"/>
        <v>0</v>
      </c>
      <c r="K288" s="2038"/>
      <c r="L288" s="2038"/>
      <c r="M288" s="2038"/>
      <c r="N288" s="2039">
        <f t="shared" si="2008"/>
        <v>0</v>
      </c>
      <c r="O288" s="2040">
        <f t="shared" si="2037"/>
        <v>0</v>
      </c>
      <c r="P288" s="2038"/>
      <c r="Q288" s="2038"/>
      <c r="R288" s="2038"/>
      <c r="S288" s="2039">
        <f t="shared" si="2038"/>
        <v>0</v>
      </c>
      <c r="T288" s="2041">
        <f t="shared" si="2031"/>
        <v>0</v>
      </c>
      <c r="Z288" s="1418"/>
      <c r="AD288" s="1418"/>
      <c r="AE288" s="1418"/>
      <c r="AI288" s="1418"/>
      <c r="AJ288" s="1418"/>
      <c r="AN288" s="1418"/>
    </row>
    <row r="289" ht="13.5" customHeight="1">
      <c r="A289" s="1511" t="s">
        <v>363</v>
      </c>
      <c r="B289" s="1871">
        <f t="shared" ref="B289:H289" si="2040">SUM(B276:B288)</f>
        <v>0</v>
      </c>
      <c r="C289" s="2049">
        <f t="shared" si="2040"/>
        <v>0</v>
      </c>
      <c r="D289" s="2049">
        <f t="shared" si="2040"/>
        <v>0</v>
      </c>
      <c r="E289" s="1899">
        <f t="shared" si="2022"/>
        <v>0</v>
      </c>
      <c r="F289" s="2049">
        <v>0</v>
      </c>
      <c r="G289" s="2049">
        <f>SUM(G276:G288)</f>
        <v>0</v>
      </c>
      <c r="H289" s="2049">
        <f t="shared" si="2040"/>
        <v>0</v>
      </c>
      <c r="I289" s="2043">
        <f t="shared" si="2006"/>
        <v>0</v>
      </c>
      <c r="J289" s="2044">
        <f t="shared" si="2007"/>
        <v>0</v>
      </c>
      <c r="K289" s="2049">
        <f>SUM(K276:K288)</f>
        <v>0</v>
      </c>
      <c r="L289" s="2049">
        <f t="shared" ref="L289:R289" si="2041">SUM(L276:L288)</f>
        <v>0</v>
      </c>
      <c r="M289" s="2049">
        <f t="shared" si="2041"/>
        <v>0</v>
      </c>
      <c r="N289" s="1899">
        <f t="shared" si="2008"/>
        <v>0</v>
      </c>
      <c r="O289" s="1900">
        <f t="shared" si="2037"/>
        <v>0</v>
      </c>
      <c r="P289" s="2049">
        <f t="shared" si="2041"/>
        <v>0</v>
      </c>
      <c r="Q289" s="2049">
        <f t="shared" si="2041"/>
        <v>0</v>
      </c>
      <c r="R289" s="2049">
        <f t="shared" si="2041"/>
        <v>0</v>
      </c>
      <c r="S289" s="1899">
        <f t="shared" si="2038"/>
        <v>0</v>
      </c>
      <c r="T289" s="1901">
        <f t="shared" si="2031"/>
        <v>0</v>
      </c>
      <c r="Z289" s="1418"/>
      <c r="AD289" s="1418"/>
      <c r="AE289" s="1418"/>
      <c r="AI289" s="1418"/>
      <c r="AJ289" s="1418"/>
      <c r="AN289" s="1418"/>
    </row>
    <row r="290" ht="13.5" customHeight="1">
      <c r="A290" s="1946" t="s">
        <v>379</v>
      </c>
      <c r="B290" s="2034"/>
      <c r="C290" s="2038"/>
      <c r="D290" s="2038"/>
      <c r="E290" s="2036">
        <f t="shared" si="2022"/>
        <v>0</v>
      </c>
      <c r="F290" s="2038"/>
      <c r="G290" s="2038"/>
      <c r="H290" s="2038"/>
      <c r="I290" s="2047">
        <f t="shared" si="2006"/>
        <v>0</v>
      </c>
      <c r="J290" s="2048">
        <f t="shared" si="2007"/>
        <v>0</v>
      </c>
      <c r="K290" s="2038"/>
      <c r="L290" s="2038"/>
      <c r="M290" s="2038"/>
      <c r="N290" s="1895">
        <f t="shared" si="2008"/>
        <v>0</v>
      </c>
      <c r="O290" s="1896">
        <f t="shared" si="2037"/>
        <v>0</v>
      </c>
      <c r="P290" s="2038"/>
      <c r="Q290" s="2038"/>
      <c r="R290" s="2038"/>
      <c r="S290" s="1895">
        <f t="shared" si="2038"/>
        <v>0</v>
      </c>
      <c r="T290" s="1897">
        <f t="shared" si="2031"/>
        <v>0</v>
      </c>
      <c r="Z290" s="1418"/>
      <c r="AD290" s="1418"/>
      <c r="AE290" s="1418"/>
      <c r="AI290" s="1418"/>
      <c r="AJ290" s="1418"/>
      <c r="AN290" s="1418"/>
    </row>
    <row r="291" ht="13.5" customHeight="1">
      <c r="A291" s="1969" t="s">
        <v>525</v>
      </c>
      <c r="B291" s="2034">
        <v>154</v>
      </c>
      <c r="C291" s="2038">
        <v>179</v>
      </c>
      <c r="D291" s="2038"/>
      <c r="E291" s="2036">
        <f t="shared" si="2022"/>
        <v>333</v>
      </c>
      <c r="F291" s="2038"/>
      <c r="G291" s="2038"/>
      <c r="H291" s="2038"/>
      <c r="I291" s="2031">
        <f t="shared" si="2006"/>
        <v>0</v>
      </c>
      <c r="J291" s="2032">
        <f t="shared" si="2007"/>
        <v>333</v>
      </c>
      <c r="K291" s="2038"/>
      <c r="L291" s="2038"/>
      <c r="M291" s="2038"/>
      <c r="N291" s="1895">
        <f t="shared" si="2008"/>
        <v>0</v>
      </c>
      <c r="O291" s="1896">
        <f t="shared" si="2037"/>
        <v>333</v>
      </c>
      <c r="P291" s="2038"/>
      <c r="Q291" s="2038"/>
      <c r="R291" s="2038"/>
      <c r="S291" s="1895">
        <f t="shared" si="2038"/>
        <v>0</v>
      </c>
      <c r="T291" s="1897">
        <f t="shared" si="2031"/>
        <v>333</v>
      </c>
      <c r="Z291" s="1418"/>
      <c r="AD291" s="1418"/>
      <c r="AE291" s="1418"/>
      <c r="AI291" s="1418"/>
      <c r="AJ291" s="1418"/>
      <c r="AN291" s="1418"/>
    </row>
    <row r="292">
      <c r="A292" s="2050" t="s">
        <v>543</v>
      </c>
      <c r="B292" s="2034"/>
      <c r="C292" s="2038"/>
      <c r="D292" s="2038"/>
      <c r="E292" s="2036">
        <f t="shared" si="2022"/>
        <v>0</v>
      </c>
      <c r="F292" s="2038"/>
      <c r="G292" s="2038"/>
      <c r="H292" s="2038"/>
      <c r="I292" s="2031">
        <f t="shared" si="2006"/>
        <v>0</v>
      </c>
      <c r="J292" s="2032">
        <f t="shared" si="2007"/>
        <v>0</v>
      </c>
      <c r="K292" s="2038"/>
      <c r="L292" s="2038"/>
      <c r="M292" s="2038"/>
      <c r="N292" s="1895">
        <f t="shared" si="2008"/>
        <v>0</v>
      </c>
      <c r="O292" s="1896">
        <f t="shared" si="2037"/>
        <v>0</v>
      </c>
      <c r="P292" s="2038"/>
      <c r="Q292" s="2038"/>
      <c r="R292" s="2038"/>
      <c r="S292" s="1895">
        <f t="shared" si="2038"/>
        <v>0</v>
      </c>
      <c r="T292" s="1897">
        <f t="shared" si="2031"/>
        <v>0</v>
      </c>
      <c r="Z292" s="1418"/>
      <c r="AD292" s="1418"/>
      <c r="AE292" s="1418"/>
      <c r="AI292" s="1418"/>
      <c r="AJ292" s="1418"/>
      <c r="AN292" s="1418"/>
    </row>
    <row r="293">
      <c r="A293" s="1511" t="s">
        <v>544</v>
      </c>
      <c r="B293" s="1871">
        <f t="shared" ref="B293:H297" si="2042">SUM(B290:B292)</f>
        <v>154</v>
      </c>
      <c r="C293" s="1871">
        <f t="shared" si="2042"/>
        <v>179</v>
      </c>
      <c r="D293" s="2051">
        <f t="shared" si="2042"/>
        <v>0</v>
      </c>
      <c r="E293" s="1899">
        <f t="shared" si="2022"/>
        <v>333</v>
      </c>
      <c r="F293" s="1871">
        <f>SUM(F290:F292)</f>
        <v>0</v>
      </c>
      <c r="G293" s="1871">
        <f>SUM(G290:G292)</f>
        <v>0</v>
      </c>
      <c r="H293" s="1871">
        <f t="shared" si="2042"/>
        <v>0</v>
      </c>
      <c r="I293" s="2052">
        <f t="shared" si="2006"/>
        <v>0</v>
      </c>
      <c r="J293" s="2053">
        <f t="shared" si="2007"/>
        <v>333</v>
      </c>
      <c r="K293" s="1871">
        <f>SUM(K290:K292)</f>
        <v>0</v>
      </c>
      <c r="L293" s="1871">
        <f t="shared" ref="L293:R297" si="2043">SUM(L290:L292)</f>
        <v>0</v>
      </c>
      <c r="M293" s="1871">
        <f t="shared" si="2043"/>
        <v>0</v>
      </c>
      <c r="N293" s="1899">
        <f t="shared" si="2008"/>
        <v>0</v>
      </c>
      <c r="O293" s="1900">
        <f t="shared" si="2037"/>
        <v>333</v>
      </c>
      <c r="P293" s="1871">
        <f t="shared" si="2043"/>
        <v>0</v>
      </c>
      <c r="Q293" s="1871">
        <f t="shared" si="2043"/>
        <v>0</v>
      </c>
      <c r="R293" s="2051">
        <f t="shared" si="2043"/>
        <v>0</v>
      </c>
      <c r="S293" s="1899">
        <f t="shared" si="2038"/>
        <v>0</v>
      </c>
      <c r="T293" s="1901">
        <f t="shared" si="2031"/>
        <v>333</v>
      </c>
      <c r="Z293" s="1418"/>
      <c r="AD293" s="1418"/>
      <c r="AE293" s="1418"/>
      <c r="AI293" s="1418"/>
      <c r="AJ293" s="1418"/>
      <c r="AN293" s="1418"/>
    </row>
    <row r="294" hidden="1">
      <c r="A294" s="1939" t="s">
        <v>390</v>
      </c>
      <c r="B294" s="2038"/>
      <c r="C294" s="2054"/>
      <c r="D294" s="2054"/>
      <c r="E294" s="2055">
        <f t="shared" ref="E294:E357" si="2044">B294+C294+D294</f>
        <v>0</v>
      </c>
      <c r="F294" s="2054"/>
      <c r="G294" s="2054"/>
      <c r="H294" s="2054"/>
      <c r="I294" s="2031">
        <f t="shared" ref="I294:I311" si="2045">F294+G294+H294</f>
        <v>0</v>
      </c>
      <c r="J294" s="2032">
        <f t="shared" ref="J294:J311" si="2046">E294+I294</f>
        <v>0</v>
      </c>
      <c r="K294" s="2054"/>
      <c r="L294" s="2054"/>
      <c r="M294" s="2054"/>
      <c r="N294" s="1895">
        <f t="shared" ref="N294:N311" si="2047">K294+L294+M294</f>
        <v>0</v>
      </c>
      <c r="O294" s="1896">
        <f t="shared" si="2037"/>
        <v>0</v>
      </c>
      <c r="P294" s="2054"/>
      <c r="Q294" s="2054"/>
      <c r="R294" s="2054"/>
      <c r="S294" s="1895">
        <f t="shared" si="2038"/>
        <v>0</v>
      </c>
      <c r="T294" s="1897">
        <f t="shared" si="2031"/>
        <v>0</v>
      </c>
      <c r="Z294" s="1418"/>
      <c r="AD294" s="1418"/>
      <c r="AE294" s="1418"/>
      <c r="AI294" s="1418"/>
      <c r="AJ294" s="1418"/>
      <c r="AN294" s="1418"/>
    </row>
    <row r="295" hidden="1">
      <c r="A295" s="1946" t="s">
        <v>392</v>
      </c>
      <c r="B295" s="2038"/>
      <c r="C295" s="2054"/>
      <c r="D295" s="2054"/>
      <c r="E295" s="2055">
        <f t="shared" si="2044"/>
        <v>0</v>
      </c>
      <c r="F295" s="2054"/>
      <c r="G295" s="2054"/>
      <c r="H295" s="2054"/>
      <c r="I295" s="2031">
        <f t="shared" si="2045"/>
        <v>0</v>
      </c>
      <c r="J295" s="2032">
        <f t="shared" si="2046"/>
        <v>0</v>
      </c>
      <c r="K295" s="2054"/>
      <c r="L295" s="2054"/>
      <c r="M295" s="2054"/>
      <c r="N295" s="1895">
        <f t="shared" si="2047"/>
        <v>0</v>
      </c>
      <c r="O295" s="1896">
        <f t="shared" si="2037"/>
        <v>0</v>
      </c>
      <c r="P295" s="2054"/>
      <c r="Q295" s="2054"/>
      <c r="R295" s="2054"/>
      <c r="S295" s="1895">
        <f t="shared" si="2038"/>
        <v>0</v>
      </c>
      <c r="T295" s="1897">
        <f t="shared" si="2031"/>
        <v>0</v>
      </c>
      <c r="Z295" s="1418"/>
      <c r="AD295" s="1418"/>
      <c r="AE295" s="1418"/>
      <c r="AI295" s="1418"/>
      <c r="AJ295" s="1418"/>
      <c r="AN295" s="1418"/>
    </row>
    <row r="296" hidden="1">
      <c r="A296" s="1946" t="s">
        <v>265</v>
      </c>
      <c r="B296" s="2056"/>
      <c r="C296" s="2056"/>
      <c r="D296" s="2056"/>
      <c r="E296" s="2055">
        <f t="shared" si="2044"/>
        <v>0</v>
      </c>
      <c r="F296" s="2056"/>
      <c r="G296" s="2056"/>
      <c r="H296" s="2056"/>
      <c r="I296" s="2031">
        <f t="shared" si="2045"/>
        <v>0</v>
      </c>
      <c r="J296" s="2032">
        <f t="shared" si="2046"/>
        <v>0</v>
      </c>
      <c r="K296" s="2056"/>
      <c r="L296" s="2056"/>
      <c r="M296" s="2056"/>
      <c r="N296" s="1895">
        <f t="shared" si="2047"/>
        <v>0</v>
      </c>
      <c r="O296" s="1896">
        <f t="shared" si="2037"/>
        <v>0</v>
      </c>
      <c r="P296" s="2056"/>
      <c r="Q296" s="2056"/>
      <c r="R296" s="2056"/>
      <c r="S296" s="1895">
        <f t="shared" si="2038"/>
        <v>0</v>
      </c>
      <c r="T296" s="1897">
        <f t="shared" si="2031"/>
        <v>0</v>
      </c>
      <c r="Z296" s="1418"/>
      <c r="AD296" s="1418"/>
      <c r="AE296" s="1418"/>
      <c r="AI296" s="1418"/>
      <c r="AJ296" s="1418"/>
      <c r="AN296" s="1418"/>
    </row>
    <row r="297" hidden="1">
      <c r="A297" s="2057" t="s">
        <v>394</v>
      </c>
      <c r="B297" s="2035">
        <f t="shared" si="2042"/>
        <v>0</v>
      </c>
      <c r="C297" s="2035">
        <f t="shared" si="2042"/>
        <v>0</v>
      </c>
      <c r="D297" s="2054">
        <f t="shared" si="2042"/>
        <v>0</v>
      </c>
      <c r="E297" s="2055">
        <f t="shared" si="2044"/>
        <v>0</v>
      </c>
      <c r="F297" s="2035">
        <f>SUM(F294:F296)</f>
        <v>0</v>
      </c>
      <c r="G297" s="2035">
        <f>SUM(G294:G296)</f>
        <v>0</v>
      </c>
      <c r="H297" s="2035">
        <f t="shared" si="2042"/>
        <v>0</v>
      </c>
      <c r="I297" s="2031">
        <f t="shared" si="2045"/>
        <v>0</v>
      </c>
      <c r="J297" s="2032">
        <f t="shared" si="2046"/>
        <v>0</v>
      </c>
      <c r="K297" s="2035">
        <f>SUM(K294:K296)</f>
        <v>0</v>
      </c>
      <c r="L297" s="2035">
        <f t="shared" si="2043"/>
        <v>0</v>
      </c>
      <c r="M297" s="2054">
        <f t="shared" si="2043"/>
        <v>0</v>
      </c>
      <c r="N297" s="1895">
        <f t="shared" si="2047"/>
        <v>0</v>
      </c>
      <c r="O297" s="1896">
        <f t="shared" si="2037"/>
        <v>0</v>
      </c>
      <c r="P297" s="2034">
        <f t="shared" si="2043"/>
        <v>0</v>
      </c>
      <c r="Q297" s="2035">
        <f t="shared" si="2043"/>
        <v>0</v>
      </c>
      <c r="R297" s="2054">
        <f t="shared" si="2043"/>
        <v>0</v>
      </c>
      <c r="S297" s="1895">
        <f t="shared" si="2038"/>
        <v>0</v>
      </c>
      <c r="T297" s="1897">
        <f t="shared" si="2031"/>
        <v>0</v>
      </c>
      <c r="Z297" s="1418"/>
      <c r="AD297" s="1418"/>
      <c r="AE297" s="1418"/>
      <c r="AI297" s="1418"/>
      <c r="AJ297" s="1418"/>
      <c r="AN297" s="1418"/>
    </row>
    <row r="298">
      <c r="A298" s="1511" t="s">
        <v>545</v>
      </c>
      <c r="B298" s="1871">
        <f>B275+B289+B293+B297</f>
        <v>154</v>
      </c>
      <c r="C298" s="1871">
        <f>C275+C289+C293+C297</f>
        <v>179</v>
      </c>
      <c r="D298" s="2051">
        <f>D275+D289+D293+D297</f>
        <v>0</v>
      </c>
      <c r="E298" s="1899">
        <f t="shared" si="2044"/>
        <v>333</v>
      </c>
      <c r="F298" s="1871">
        <f>F275+F289+F293+F297</f>
        <v>0</v>
      </c>
      <c r="G298" s="1871">
        <f>G275+G289+G293+G297</f>
        <v>0</v>
      </c>
      <c r="H298" s="1871">
        <f>H275+H289+H293+H297</f>
        <v>0</v>
      </c>
      <c r="I298" s="2052">
        <f t="shared" si="2045"/>
        <v>0</v>
      </c>
      <c r="J298" s="2053">
        <f t="shared" si="2046"/>
        <v>333</v>
      </c>
      <c r="K298" s="1871">
        <f>K275+K289+K293+K297</f>
        <v>0</v>
      </c>
      <c r="L298" s="1871">
        <f>L275+L289+L293+L297</f>
        <v>0</v>
      </c>
      <c r="M298" s="2051">
        <f>M275+M289+M293+M297</f>
        <v>0</v>
      </c>
      <c r="N298" s="1899">
        <f t="shared" si="2047"/>
        <v>0</v>
      </c>
      <c r="O298" s="1900">
        <f t="shared" si="2037"/>
        <v>333</v>
      </c>
      <c r="P298" s="1871">
        <f>P275+P289+P293+P297</f>
        <v>0</v>
      </c>
      <c r="Q298" s="1871">
        <f>Q275+Q289+Q293+Q297</f>
        <v>0</v>
      </c>
      <c r="R298" s="2051">
        <f>R275+R289+R293+R297</f>
        <v>0</v>
      </c>
      <c r="S298" s="1899">
        <f t="shared" si="2038"/>
        <v>0</v>
      </c>
      <c r="T298" s="1901">
        <f t="shared" si="2031"/>
        <v>333</v>
      </c>
      <c r="Z298" s="1418"/>
      <c r="AD298" s="1418"/>
      <c r="AE298" s="1418"/>
      <c r="AI298" s="1418"/>
      <c r="AJ298" s="1418"/>
      <c r="AN298" s="1418"/>
    </row>
    <row r="299">
      <c r="A299" s="1946" t="s">
        <v>50</v>
      </c>
      <c r="B299" s="2056"/>
      <c r="C299" s="2056"/>
      <c r="D299" s="2056"/>
      <c r="E299" s="2055">
        <f t="shared" si="2044"/>
        <v>0</v>
      </c>
      <c r="F299" s="2056"/>
      <c r="G299" s="2056"/>
      <c r="H299" s="2056"/>
      <c r="I299" s="2031">
        <f t="shared" si="2045"/>
        <v>0</v>
      </c>
      <c r="J299" s="2032">
        <f t="shared" si="2046"/>
        <v>0</v>
      </c>
      <c r="K299" s="2056"/>
      <c r="L299" s="2056"/>
      <c r="M299" s="2056"/>
      <c r="N299" s="1895">
        <f t="shared" si="2047"/>
        <v>0</v>
      </c>
      <c r="O299" s="1896">
        <f t="shared" si="2037"/>
        <v>0</v>
      </c>
      <c r="P299" s="2056"/>
      <c r="Q299" s="2056"/>
      <c r="R299" s="2056"/>
      <c r="S299" s="1895">
        <f t="shared" si="2038"/>
        <v>0</v>
      </c>
      <c r="T299" s="1897">
        <f t="shared" si="2031"/>
        <v>0</v>
      </c>
      <c r="Z299" s="1418"/>
      <c r="AD299" s="1418"/>
      <c r="AE299" s="1418"/>
      <c r="AI299" s="1418"/>
      <c r="AJ299" s="1418"/>
      <c r="AN299" s="1418"/>
    </row>
    <row r="300">
      <c r="A300" s="1946" t="s">
        <v>397</v>
      </c>
      <c r="B300" s="2056"/>
      <c r="C300" s="2056"/>
      <c r="D300" s="2056"/>
      <c r="E300" s="2055">
        <f t="shared" si="2044"/>
        <v>0</v>
      </c>
      <c r="F300" s="2056"/>
      <c r="G300" s="2056"/>
      <c r="H300" s="2056"/>
      <c r="I300" s="2031">
        <f t="shared" si="2045"/>
        <v>0</v>
      </c>
      <c r="J300" s="2032">
        <f t="shared" si="2046"/>
        <v>0</v>
      </c>
      <c r="K300" s="2056"/>
      <c r="L300" s="2056"/>
      <c r="M300" s="2056"/>
      <c r="N300" s="1895">
        <f t="shared" si="2047"/>
        <v>0</v>
      </c>
      <c r="O300" s="1896">
        <f t="shared" si="2037"/>
        <v>0</v>
      </c>
      <c r="P300" s="2056"/>
      <c r="Q300" s="2056"/>
      <c r="R300" s="2056"/>
      <c r="S300" s="1895">
        <f t="shared" si="2038"/>
        <v>0</v>
      </c>
      <c r="T300" s="1897">
        <f t="shared" si="2031"/>
        <v>0</v>
      </c>
      <c r="Z300" s="1418"/>
      <c r="AD300" s="1418"/>
      <c r="AE300" s="1418"/>
      <c r="AI300" s="1418"/>
      <c r="AJ300" s="1418"/>
      <c r="AN300" s="1418"/>
    </row>
    <row r="301">
      <c r="A301" s="1946" t="s">
        <v>546</v>
      </c>
      <c r="B301" s="2056"/>
      <c r="C301" s="2056"/>
      <c r="D301" s="2056"/>
      <c r="E301" s="2055">
        <f t="shared" si="2044"/>
        <v>0</v>
      </c>
      <c r="F301" s="2056"/>
      <c r="G301" s="2056"/>
      <c r="H301" s="2056"/>
      <c r="I301" s="2031">
        <f t="shared" si="2045"/>
        <v>0</v>
      </c>
      <c r="J301" s="2032">
        <f t="shared" si="2046"/>
        <v>0</v>
      </c>
      <c r="K301" s="2056"/>
      <c r="L301" s="2056"/>
      <c r="M301" s="2056"/>
      <c r="N301" s="1895">
        <f t="shared" si="2047"/>
        <v>0</v>
      </c>
      <c r="O301" s="1896">
        <f t="shared" si="2037"/>
        <v>0</v>
      </c>
      <c r="P301" s="2056"/>
      <c r="Q301" s="2056"/>
      <c r="R301" s="2056"/>
      <c r="S301" s="1895">
        <f t="shared" si="2038"/>
        <v>0</v>
      </c>
      <c r="T301" s="1897">
        <f t="shared" si="2031"/>
        <v>0</v>
      </c>
      <c r="Z301" s="1418"/>
      <c r="AD301" s="1418"/>
      <c r="AE301" s="1418"/>
      <c r="AI301" s="1418"/>
      <c r="AJ301" s="1418"/>
      <c r="AN301" s="1418"/>
    </row>
    <row r="302" s="1434" customFormat="1">
      <c r="A302" s="1946" t="s">
        <v>547</v>
      </c>
      <c r="B302" s="2056"/>
      <c r="C302" s="2056"/>
      <c r="D302" s="2056"/>
      <c r="E302" s="2055">
        <f t="shared" si="2044"/>
        <v>0</v>
      </c>
      <c r="F302" s="2056"/>
      <c r="G302" s="2056"/>
      <c r="H302" s="2056"/>
      <c r="I302" s="2031">
        <f t="shared" si="2045"/>
        <v>0</v>
      </c>
      <c r="J302" s="2032">
        <f t="shared" si="2046"/>
        <v>0</v>
      </c>
      <c r="K302" s="2056"/>
      <c r="L302" s="2056"/>
      <c r="M302" s="2056"/>
      <c r="N302" s="1895">
        <f t="shared" si="2047"/>
        <v>0</v>
      </c>
      <c r="O302" s="1896">
        <f t="shared" si="2037"/>
        <v>0</v>
      </c>
      <c r="P302" s="2056"/>
      <c r="Q302" s="2056"/>
      <c r="R302" s="2056"/>
      <c r="S302" s="1895">
        <f t="shared" si="2038"/>
        <v>0</v>
      </c>
      <c r="T302" s="1897">
        <f t="shared" si="2031"/>
        <v>0</v>
      </c>
      <c r="U302" s="1409"/>
      <c r="V302" s="1409"/>
      <c r="W302" s="1409"/>
      <c r="X302" s="1409"/>
      <c r="Y302" s="1409"/>
      <c r="Z302" s="1418"/>
      <c r="AA302" s="1409"/>
      <c r="AB302" s="1409"/>
      <c r="AC302" s="1409"/>
      <c r="AD302" s="1418"/>
      <c r="AE302" s="1418"/>
      <c r="AF302" s="1409"/>
      <c r="AG302" s="1409"/>
      <c r="AH302" s="1409"/>
      <c r="AI302" s="1418"/>
      <c r="AJ302" s="1418"/>
      <c r="AK302" s="1409"/>
      <c r="AL302" s="1417"/>
      <c r="AM302" s="1409"/>
      <c r="AN302" s="1418"/>
      <c r="AO302" s="1418"/>
      <c r="AP302" s="1409"/>
      <c r="AQ302" s="1409"/>
      <c r="AR302" s="1409"/>
      <c r="AS302" s="1409"/>
      <c r="AT302" s="1409"/>
      <c r="AU302" s="1409"/>
      <c r="AV302" s="1409"/>
      <c r="AW302" s="1409"/>
      <c r="AX302" s="1409"/>
      <c r="AY302" s="1409"/>
      <c r="AZ302" s="1409"/>
    </row>
    <row r="303" s="1434" customFormat="1">
      <c r="A303" s="1946" t="s">
        <v>598</v>
      </c>
      <c r="B303" s="2056">
        <v>33</v>
      </c>
      <c r="C303" s="2056">
        <v>25</v>
      </c>
      <c r="D303" s="2056"/>
      <c r="E303" s="2055">
        <f t="shared" si="2044"/>
        <v>58</v>
      </c>
      <c r="F303" s="2056"/>
      <c r="G303" s="2056"/>
      <c r="H303" s="2056"/>
      <c r="I303" s="2031">
        <f t="shared" si="2045"/>
        <v>0</v>
      </c>
      <c r="J303" s="2032">
        <f t="shared" si="2046"/>
        <v>58</v>
      </c>
      <c r="K303" s="2056"/>
      <c r="L303" s="2056"/>
      <c r="M303" s="2056"/>
      <c r="N303" s="1895">
        <f t="shared" si="2047"/>
        <v>0</v>
      </c>
      <c r="O303" s="1896">
        <f t="shared" si="2037"/>
        <v>58</v>
      </c>
      <c r="P303" s="2056"/>
      <c r="Q303" s="2056"/>
      <c r="R303" s="2056"/>
      <c r="S303" s="1895">
        <f t="shared" si="2038"/>
        <v>0</v>
      </c>
      <c r="T303" s="1897">
        <f t="shared" si="2031"/>
        <v>58</v>
      </c>
      <c r="U303" s="1409"/>
      <c r="V303" s="1409"/>
      <c r="W303" s="1409"/>
      <c r="X303" s="1409"/>
      <c r="Y303" s="1409"/>
      <c r="Z303" s="1418"/>
      <c r="AA303" s="1409"/>
      <c r="AB303" s="1409"/>
      <c r="AC303" s="1409"/>
      <c r="AD303" s="1418"/>
      <c r="AE303" s="1418"/>
      <c r="AF303" s="1409"/>
      <c r="AG303" s="1409"/>
      <c r="AH303" s="1409"/>
      <c r="AI303" s="1418"/>
      <c r="AJ303" s="1418"/>
      <c r="AK303" s="1409"/>
      <c r="AL303" s="1417"/>
      <c r="AM303" s="1409"/>
      <c r="AN303" s="1418"/>
      <c r="AO303" s="1418"/>
      <c r="AP303" s="1409"/>
      <c r="AQ303" s="1409"/>
      <c r="AR303" s="1409"/>
      <c r="AS303" s="1409"/>
      <c r="AT303" s="1409"/>
      <c r="AU303" s="1409"/>
      <c r="AV303" s="1409"/>
      <c r="AW303" s="1409"/>
      <c r="AX303" s="1409"/>
      <c r="AY303" s="1409"/>
      <c r="AZ303" s="1409"/>
    </row>
    <row r="304">
      <c r="A304" s="1946" t="s">
        <v>599</v>
      </c>
      <c r="B304" s="2056">
        <v>45</v>
      </c>
      <c r="C304" s="2056">
        <v>38</v>
      </c>
      <c r="D304" s="2056"/>
      <c r="E304" s="2055">
        <f t="shared" si="2044"/>
        <v>83</v>
      </c>
      <c r="F304" s="2056"/>
      <c r="G304" s="2056"/>
      <c r="H304" s="2056"/>
      <c r="I304" s="2031">
        <f t="shared" si="2045"/>
        <v>0</v>
      </c>
      <c r="J304" s="2032">
        <f t="shared" si="2046"/>
        <v>83</v>
      </c>
      <c r="K304" s="2056"/>
      <c r="L304" s="2056"/>
      <c r="M304" s="2056"/>
      <c r="N304" s="1895">
        <f t="shared" si="2047"/>
        <v>0</v>
      </c>
      <c r="O304" s="1896">
        <f t="shared" si="2037"/>
        <v>83</v>
      </c>
      <c r="P304" s="2056"/>
      <c r="Q304" s="2056"/>
      <c r="R304" s="2056"/>
      <c r="S304" s="1895">
        <f t="shared" si="2038"/>
        <v>0</v>
      </c>
      <c r="T304" s="1897">
        <f t="shared" si="2031"/>
        <v>83</v>
      </c>
      <c r="Z304" s="1418"/>
      <c r="AD304" s="1418"/>
      <c r="AE304" s="1418"/>
      <c r="AI304" s="1418"/>
      <c r="AJ304" s="1418"/>
      <c r="AN304" s="1418"/>
    </row>
    <row r="305">
      <c r="A305" s="1946" t="s">
        <v>600</v>
      </c>
      <c r="B305" s="2056"/>
      <c r="C305" s="2056"/>
      <c r="D305" s="2056"/>
      <c r="E305" s="2055">
        <f t="shared" si="2044"/>
        <v>0</v>
      </c>
      <c r="F305" s="2056"/>
      <c r="G305" s="2056"/>
      <c r="H305" s="2056"/>
      <c r="I305" s="2031">
        <f t="shared" si="2045"/>
        <v>0</v>
      </c>
      <c r="J305" s="2032">
        <f t="shared" si="2046"/>
        <v>0</v>
      </c>
      <c r="K305" s="2034"/>
      <c r="L305" s="1834"/>
      <c r="M305" s="2056"/>
      <c r="N305" s="1895">
        <f t="shared" si="2047"/>
        <v>0</v>
      </c>
      <c r="O305" s="1896">
        <f t="shared" si="2037"/>
        <v>0</v>
      </c>
      <c r="P305" s="2056"/>
      <c r="Q305" s="2056"/>
      <c r="R305" s="2056"/>
      <c r="S305" s="1895">
        <f t="shared" si="2038"/>
        <v>0</v>
      </c>
      <c r="T305" s="1897">
        <f t="shared" si="2031"/>
        <v>0</v>
      </c>
      <c r="Z305" s="1418"/>
      <c r="AD305" s="1418"/>
      <c r="AE305" s="1418"/>
      <c r="AI305" s="1418"/>
      <c r="AJ305" s="1418"/>
      <c r="AN305" s="1418"/>
    </row>
    <row r="306">
      <c r="A306" s="1946" t="s">
        <v>601</v>
      </c>
      <c r="B306" s="2056"/>
      <c r="C306" s="2056"/>
      <c r="D306" s="2056"/>
      <c r="E306" s="2055">
        <f t="shared" si="2044"/>
        <v>0</v>
      </c>
      <c r="F306" s="2056"/>
      <c r="G306" s="2056"/>
      <c r="H306" s="2056"/>
      <c r="I306" s="2031">
        <f t="shared" si="2045"/>
        <v>0</v>
      </c>
      <c r="J306" s="2032">
        <f t="shared" si="2046"/>
        <v>0</v>
      </c>
      <c r="K306" s="2056"/>
      <c r="L306" s="2056"/>
      <c r="M306" s="2056"/>
      <c r="N306" s="1895">
        <f t="shared" si="2047"/>
        <v>0</v>
      </c>
      <c r="O306" s="1896">
        <f t="shared" si="2037"/>
        <v>0</v>
      </c>
      <c r="P306" s="2056"/>
      <c r="Q306" s="2056"/>
      <c r="R306" s="2056"/>
      <c r="S306" s="1895">
        <f t="shared" si="2038"/>
        <v>0</v>
      </c>
      <c r="T306" s="1897">
        <f t="shared" si="2031"/>
        <v>0</v>
      </c>
      <c r="Z306" s="1418"/>
      <c r="AD306" s="1418"/>
      <c r="AE306" s="1418"/>
      <c r="AI306" s="1418"/>
      <c r="AJ306" s="1418"/>
      <c r="AN306" s="1418"/>
    </row>
    <row r="307">
      <c r="A307" s="1946" t="s">
        <v>602</v>
      </c>
      <c r="B307" s="2056"/>
      <c r="C307" s="2056"/>
      <c r="D307" s="2056"/>
      <c r="E307" s="2055">
        <f t="shared" si="2044"/>
        <v>0</v>
      </c>
      <c r="F307" s="2056"/>
      <c r="G307" s="2056"/>
      <c r="H307" s="2056"/>
      <c r="I307" s="2031">
        <f t="shared" si="2045"/>
        <v>0</v>
      </c>
      <c r="J307" s="2032">
        <f t="shared" si="2046"/>
        <v>0</v>
      </c>
      <c r="K307" s="2056"/>
      <c r="L307" s="2056"/>
      <c r="M307" s="2056"/>
      <c r="N307" s="1895">
        <f t="shared" si="2047"/>
        <v>0</v>
      </c>
      <c r="O307" s="1896">
        <f t="shared" si="2037"/>
        <v>0</v>
      </c>
      <c r="P307" s="2056"/>
      <c r="Q307" s="2056"/>
      <c r="R307" s="2056"/>
      <c r="S307" s="1895">
        <f t="shared" si="2038"/>
        <v>0</v>
      </c>
      <c r="T307" s="1897">
        <f t="shared" si="2031"/>
        <v>0</v>
      </c>
      <c r="Z307" s="1418"/>
      <c r="AD307" s="1418"/>
      <c r="AE307" s="1418"/>
      <c r="AI307" s="1418"/>
      <c r="AJ307" s="1418"/>
      <c r="AN307" s="1418"/>
    </row>
    <row r="308" s="2058" customFormat="1">
      <c r="A308" s="1865" t="s">
        <v>363</v>
      </c>
      <c r="B308" s="2059">
        <f>SUM(B299:B307)</f>
        <v>78</v>
      </c>
      <c r="C308" s="2059">
        <f>SUM(C299:C307)</f>
        <v>63</v>
      </c>
      <c r="D308" s="2059">
        <f>SUM(D299:D307)</f>
        <v>0</v>
      </c>
      <c r="E308" s="1899">
        <f t="shared" si="2044"/>
        <v>141</v>
      </c>
      <c r="F308" s="2059">
        <f>SUM(F299:F307)</f>
        <v>0</v>
      </c>
      <c r="G308" s="2059">
        <f>SUM(G299:G307)</f>
        <v>0</v>
      </c>
      <c r="H308" s="2059">
        <f>SUM(H299:H307)</f>
        <v>0</v>
      </c>
      <c r="I308" s="2043">
        <f t="shared" si="2045"/>
        <v>0</v>
      </c>
      <c r="J308" s="2044">
        <f t="shared" si="2046"/>
        <v>141</v>
      </c>
      <c r="K308" s="2059">
        <f>SUM(K299:K307)</f>
        <v>0</v>
      </c>
      <c r="L308" s="2059">
        <f>SUM(L299:L307)</f>
        <v>0</v>
      </c>
      <c r="M308" s="2059">
        <f>SUM(M299:M307)</f>
        <v>0</v>
      </c>
      <c r="N308" s="1899">
        <f t="shared" si="2047"/>
        <v>0</v>
      </c>
      <c r="O308" s="1900">
        <f t="shared" si="2037"/>
        <v>141</v>
      </c>
      <c r="P308" s="2059">
        <f>SUM(P299:P307)</f>
        <v>0</v>
      </c>
      <c r="Q308" s="2059">
        <f>SUM(Q299:Q307)</f>
        <v>0</v>
      </c>
      <c r="R308" s="2059">
        <f>SUM(R299:R307)</f>
        <v>0</v>
      </c>
      <c r="S308" s="1899">
        <f t="shared" si="2038"/>
        <v>0</v>
      </c>
      <c r="T308" s="2060">
        <f t="shared" si="2031"/>
        <v>141</v>
      </c>
      <c r="U308" s="1409"/>
      <c r="V308" s="1409"/>
      <c r="W308" s="1409"/>
      <c r="X308" s="1409"/>
      <c r="Y308" s="1409"/>
      <c r="Z308" s="1418"/>
      <c r="AA308" s="1409"/>
      <c r="AB308" s="1409"/>
      <c r="AC308" s="1409"/>
      <c r="AD308" s="1418"/>
      <c r="AE308" s="1418"/>
      <c r="AF308" s="1409"/>
      <c r="AG308" s="1409"/>
      <c r="AH308" s="1409"/>
      <c r="AI308" s="1418"/>
      <c r="AJ308" s="1418"/>
      <c r="AK308" s="1409"/>
      <c r="AL308" s="1417"/>
      <c r="AM308" s="1409"/>
      <c r="AN308" s="1418"/>
      <c r="AO308" s="1418"/>
      <c r="AP308" s="1409"/>
      <c r="AQ308" s="1409"/>
      <c r="AR308" s="1409"/>
      <c r="AS308" s="1409"/>
      <c r="AT308" s="1409"/>
      <c r="AU308" s="1409"/>
      <c r="AV308" s="1409"/>
      <c r="AW308" s="1409"/>
      <c r="AX308" s="1409"/>
      <c r="AY308" s="1409"/>
      <c r="AZ308" s="1409"/>
    </row>
    <row r="309" s="2061" customFormat="1">
      <c r="A309" s="2057" t="s">
        <v>603</v>
      </c>
      <c r="B309" s="2056">
        <v>150</v>
      </c>
      <c r="C309" s="2056">
        <v>154</v>
      </c>
      <c r="D309" s="2056"/>
      <c r="E309" s="2055">
        <f t="shared" si="2044"/>
        <v>304</v>
      </c>
      <c r="F309" s="2056"/>
      <c r="G309" s="2056"/>
      <c r="H309" s="2056"/>
      <c r="I309" s="2047">
        <f t="shared" si="2045"/>
        <v>0</v>
      </c>
      <c r="J309" s="2048">
        <f t="shared" si="2046"/>
        <v>304</v>
      </c>
      <c r="K309" s="2056"/>
      <c r="L309" s="2056"/>
      <c r="M309" s="2056"/>
      <c r="N309" s="1895">
        <f t="shared" si="2047"/>
        <v>0</v>
      </c>
      <c r="O309" s="1896">
        <f t="shared" si="2037"/>
        <v>304</v>
      </c>
      <c r="P309" s="2056"/>
      <c r="Q309" s="2056"/>
      <c r="R309" s="2056"/>
      <c r="S309" s="1895">
        <f t="shared" si="2038"/>
        <v>0</v>
      </c>
      <c r="T309" s="1897">
        <f t="shared" si="2031"/>
        <v>304</v>
      </c>
      <c r="U309" s="1515"/>
      <c r="V309" s="1515"/>
      <c r="W309" s="1515"/>
      <c r="X309" s="1515"/>
      <c r="Y309" s="1515"/>
      <c r="Z309" s="2062"/>
      <c r="AA309" s="1515"/>
      <c r="AB309" s="1515"/>
      <c r="AC309" s="1515"/>
      <c r="AD309" s="2062"/>
      <c r="AE309" s="2062"/>
      <c r="AF309" s="1515"/>
      <c r="AG309" s="1515"/>
      <c r="AH309" s="1515"/>
      <c r="AI309" s="2062"/>
      <c r="AJ309" s="2062"/>
      <c r="AK309" s="1515"/>
      <c r="AL309" s="1886"/>
      <c r="AM309" s="1515"/>
      <c r="AN309" s="2062"/>
      <c r="AO309" s="2062"/>
      <c r="AP309" s="1515"/>
      <c r="AQ309" s="1515"/>
      <c r="AR309" s="1515"/>
      <c r="AS309" s="1515"/>
      <c r="AT309" s="1515"/>
      <c r="AU309" s="1515"/>
      <c r="AV309" s="1515"/>
      <c r="AW309" s="1515"/>
      <c r="AX309" s="1515"/>
      <c r="AY309" s="1515"/>
      <c r="AZ309" s="1515"/>
    </row>
    <row r="310" s="2061" customFormat="1">
      <c r="A310" s="2057" t="s">
        <v>604</v>
      </c>
      <c r="B310" s="2056">
        <v>82</v>
      </c>
      <c r="C310" s="2056">
        <v>88</v>
      </c>
      <c r="D310" s="2056"/>
      <c r="E310" s="2055">
        <f t="shared" si="2044"/>
        <v>170</v>
      </c>
      <c r="F310" s="2056"/>
      <c r="G310" s="2056"/>
      <c r="H310" s="2056"/>
      <c r="I310" s="2031">
        <f t="shared" si="2045"/>
        <v>0</v>
      </c>
      <c r="J310" s="2032">
        <f t="shared" si="2046"/>
        <v>170</v>
      </c>
      <c r="K310" s="2056"/>
      <c r="L310" s="2056"/>
      <c r="M310" s="2056"/>
      <c r="N310" s="1895">
        <f t="shared" si="2047"/>
        <v>0</v>
      </c>
      <c r="O310" s="1896">
        <f t="shared" si="2037"/>
        <v>170</v>
      </c>
      <c r="P310" s="2056"/>
      <c r="Q310" s="2056"/>
      <c r="R310" s="2056"/>
      <c r="S310" s="1895">
        <f t="shared" si="2038"/>
        <v>0</v>
      </c>
      <c r="T310" s="1897">
        <f t="shared" si="2031"/>
        <v>170</v>
      </c>
      <c r="U310" s="1515"/>
      <c r="V310" s="1515"/>
      <c r="W310" s="1515"/>
      <c r="X310" s="1515"/>
      <c r="Y310" s="1515"/>
      <c r="Z310" s="2062"/>
      <c r="AA310" s="1515"/>
      <c r="AB310" s="1515"/>
      <c r="AC310" s="1515"/>
      <c r="AD310" s="2062"/>
      <c r="AE310" s="2062"/>
      <c r="AF310" s="1515"/>
      <c r="AG310" s="1515"/>
      <c r="AH310" s="1515"/>
      <c r="AI310" s="2062"/>
      <c r="AJ310" s="2062"/>
      <c r="AK310" s="1515"/>
      <c r="AL310" s="1886"/>
      <c r="AM310" s="1515"/>
      <c r="AN310" s="2062"/>
      <c r="AO310" s="2062"/>
      <c r="AP310" s="1515"/>
      <c r="AQ310" s="1515"/>
      <c r="AR310" s="1515"/>
      <c r="AS310" s="1515"/>
      <c r="AT310" s="1515"/>
      <c r="AU310" s="1515"/>
      <c r="AV310" s="1515"/>
      <c r="AW310" s="1515"/>
      <c r="AX310" s="1515"/>
      <c r="AY310" s="1515"/>
      <c r="AZ310" s="1515"/>
    </row>
    <row r="311" s="2063" customFormat="1">
      <c r="A311" s="1511" t="s">
        <v>22</v>
      </c>
      <c r="B311" s="2064">
        <f>SUM(B309:B310)</f>
        <v>232</v>
      </c>
      <c r="C311" s="2064">
        <f>SUM(C309:C310)</f>
        <v>242</v>
      </c>
      <c r="D311" s="2064">
        <f>SUM(D309:D310)</f>
        <v>0</v>
      </c>
      <c r="E311" s="1915">
        <f t="shared" si="2044"/>
        <v>474</v>
      </c>
      <c r="F311" s="2064">
        <f>SUM(F309:F310)</f>
        <v>0</v>
      </c>
      <c r="G311" s="2064">
        <f>SUM(G309:G310)</f>
        <v>0</v>
      </c>
      <c r="H311" s="2064">
        <f>SUM(H309:H310)</f>
        <v>0</v>
      </c>
      <c r="I311" s="2052">
        <f t="shared" si="2045"/>
        <v>0</v>
      </c>
      <c r="J311" s="2053">
        <f t="shared" si="2046"/>
        <v>474</v>
      </c>
      <c r="K311" s="2064">
        <f>SUM(K309:K310)</f>
        <v>0</v>
      </c>
      <c r="L311" s="2064">
        <f>SUM(L309:L310)</f>
        <v>0</v>
      </c>
      <c r="M311" s="2064">
        <f>SUM(M309:M310)</f>
        <v>0</v>
      </c>
      <c r="N311" s="1899">
        <f t="shared" si="2047"/>
        <v>0</v>
      </c>
      <c r="O311" s="1900">
        <f t="shared" si="2037"/>
        <v>474</v>
      </c>
      <c r="P311" s="2064">
        <f>SUM(P309:P310)</f>
        <v>0</v>
      </c>
      <c r="Q311" s="2064">
        <f>Q310+Q309</f>
        <v>0</v>
      </c>
      <c r="R311" s="2064">
        <f>R310+R309</f>
        <v>0</v>
      </c>
      <c r="S311" s="1899">
        <f t="shared" si="2038"/>
        <v>0</v>
      </c>
      <c r="T311" s="1901">
        <f t="shared" si="2031"/>
        <v>474</v>
      </c>
      <c r="U311" s="1409"/>
      <c r="V311" s="1409"/>
      <c r="W311" s="1409"/>
      <c r="X311" s="1409"/>
      <c r="Y311" s="1409"/>
      <c r="Z311" s="1418"/>
      <c r="AA311" s="1409"/>
      <c r="AB311" s="1409"/>
      <c r="AC311" s="1409"/>
      <c r="AD311" s="1418"/>
      <c r="AE311" s="1418"/>
      <c r="AF311" s="1409"/>
      <c r="AG311" s="1409"/>
      <c r="AH311" s="1409"/>
      <c r="AI311" s="1418"/>
      <c r="AJ311" s="1418"/>
      <c r="AK311" s="1409"/>
      <c r="AL311" s="1417"/>
      <c r="AM311" s="1409"/>
      <c r="AN311" s="1418"/>
      <c r="AO311" s="1418"/>
      <c r="AP311" s="1409"/>
      <c r="AQ311" s="1409"/>
      <c r="AR311" s="1409"/>
      <c r="AS311" s="1409"/>
      <c r="AT311" s="1409"/>
      <c r="AU311" s="1409"/>
      <c r="AV311" s="1409"/>
      <c r="AW311" s="1409"/>
      <c r="AX311" s="1409"/>
      <c r="AY311" s="1409"/>
      <c r="AZ311" s="1409"/>
    </row>
    <row r="312" s="2065" customFormat="1">
      <c r="A312" s="2066" t="s">
        <v>545</v>
      </c>
      <c r="B312" s="2067">
        <f>SUM(B298+B308)</f>
        <v>232</v>
      </c>
      <c r="C312" s="2068">
        <f>SUM(C298+C308)</f>
        <v>242</v>
      </c>
      <c r="D312" s="2069">
        <f>SUM(D298+D308)</f>
        <v>0</v>
      </c>
      <c r="E312" s="2070">
        <f t="shared" si="2044"/>
        <v>474</v>
      </c>
      <c r="F312" s="2071">
        <f>SUM(F298+F308)</f>
        <v>0</v>
      </c>
      <c r="G312" s="2068">
        <f>SUM(G298+G308)</f>
        <v>0</v>
      </c>
      <c r="H312" s="2068">
        <f>SUM(H298+H308)</f>
        <v>0</v>
      </c>
      <c r="I312" s="2068">
        <f t="shared" ref="I312:R312" si="2048">SUM(I298+I308)</f>
        <v>0</v>
      </c>
      <c r="J312" s="2068">
        <f t="shared" si="2048"/>
        <v>474</v>
      </c>
      <c r="K312" s="2068">
        <f t="shared" si="2048"/>
        <v>0</v>
      </c>
      <c r="L312" s="2068">
        <f t="shared" si="2048"/>
        <v>0</v>
      </c>
      <c r="M312" s="2068">
        <f t="shared" si="2048"/>
        <v>0</v>
      </c>
      <c r="N312" s="2072">
        <f t="shared" si="2048"/>
        <v>0</v>
      </c>
      <c r="O312" s="2072">
        <f t="shared" si="2048"/>
        <v>474</v>
      </c>
      <c r="P312" s="2068">
        <f t="shared" si="2048"/>
        <v>0</v>
      </c>
      <c r="Q312" s="2068">
        <f t="shared" si="2048"/>
        <v>0</v>
      </c>
      <c r="R312" s="2068">
        <f t="shared" si="2048"/>
        <v>0</v>
      </c>
      <c r="S312" s="2073"/>
      <c r="T312" s="2074"/>
      <c r="U312" s="2075"/>
      <c r="V312" s="2075"/>
      <c r="W312" s="2075"/>
      <c r="X312" s="1409"/>
      <c r="Y312" s="1409"/>
      <c r="Z312" s="1418"/>
      <c r="AA312" s="1409"/>
      <c r="AB312" s="1409"/>
      <c r="AC312" s="1409"/>
      <c r="AD312" s="1418"/>
      <c r="AE312" s="1418"/>
      <c r="AF312" s="1409"/>
      <c r="AG312" s="1409"/>
      <c r="AH312" s="1409"/>
      <c r="AI312" s="1418"/>
      <c r="AJ312" s="1418"/>
      <c r="AK312" s="1409"/>
      <c r="AL312" s="1417"/>
      <c r="AM312" s="1409"/>
      <c r="AN312" s="1418"/>
      <c r="AO312" s="1418"/>
      <c r="AP312" s="2075"/>
      <c r="AQ312" s="2075"/>
      <c r="AR312" s="2075"/>
      <c r="AS312" s="2075"/>
      <c r="AT312" s="2075"/>
      <c r="AU312" s="2075"/>
      <c r="AV312" s="2075"/>
      <c r="AW312" s="2075"/>
      <c r="AX312" s="2075"/>
      <c r="AY312" s="2075"/>
      <c r="AZ312" s="2075"/>
    </row>
    <row r="313" s="2076" customFormat="1">
      <c r="A313" s="2077" t="s">
        <v>605</v>
      </c>
      <c r="B313" s="1834">
        <v>14</v>
      </c>
      <c r="C313" s="1834"/>
      <c r="D313" s="1834"/>
      <c r="E313" s="1835">
        <f t="shared" si="2044"/>
        <v>14</v>
      </c>
      <c r="F313" s="1834"/>
      <c r="G313" s="1834"/>
      <c r="H313" s="1834"/>
      <c r="I313" s="1834">
        <f>F313+G313+H313</f>
        <v>0</v>
      </c>
      <c r="J313" s="1834">
        <f>E313+I313</f>
        <v>14</v>
      </c>
      <c r="K313" s="2078"/>
      <c r="L313" s="1834"/>
      <c r="M313" s="1834"/>
      <c r="N313" s="1834">
        <f>K313+L313+M313</f>
        <v>0</v>
      </c>
      <c r="O313" s="1834">
        <f>N313+J313</f>
        <v>14</v>
      </c>
      <c r="P313" s="1834"/>
      <c r="Q313" s="1834"/>
      <c r="R313" s="1834"/>
      <c r="S313" s="1835">
        <f t="shared" si="2038"/>
        <v>0</v>
      </c>
      <c r="T313" s="1835">
        <f>S313+O313</f>
        <v>14</v>
      </c>
      <c r="U313" s="1413"/>
      <c r="V313" s="1413"/>
      <c r="W313" s="1413"/>
      <c r="X313" s="1413"/>
      <c r="Y313" s="1413"/>
      <c r="Z313" s="1620"/>
      <c r="AA313" s="1413"/>
      <c r="AB313" s="1413"/>
      <c r="AC313" s="1413"/>
      <c r="AD313" s="1620"/>
      <c r="AE313" s="1620"/>
      <c r="AF313" s="1413"/>
      <c r="AG313" s="1413"/>
      <c r="AH313" s="1413"/>
      <c r="AI313" s="1620"/>
      <c r="AJ313" s="1620"/>
      <c r="AK313" s="1413"/>
      <c r="AL313" s="1663"/>
      <c r="AM313" s="1413"/>
      <c r="AN313" s="1620"/>
      <c r="AO313" s="1620"/>
      <c r="AP313" s="1413"/>
      <c r="AQ313" s="1413"/>
      <c r="AR313" s="1515"/>
      <c r="AS313" s="1515"/>
      <c r="AT313" s="1515"/>
      <c r="AU313" s="1515"/>
      <c r="AV313" s="1515"/>
      <c r="AW313" s="1515"/>
      <c r="AX313" s="1515"/>
      <c r="AY313" s="1515"/>
      <c r="AZ313" s="1515"/>
    </row>
    <row r="314" s="2076" customFormat="1">
      <c r="A314" s="2079"/>
      <c r="B314" s="1834"/>
      <c r="C314" s="1834"/>
      <c r="D314" s="1834"/>
      <c r="E314" s="1835"/>
      <c r="F314" s="1834"/>
      <c r="G314" s="1834"/>
      <c r="H314" s="1834"/>
      <c r="I314" s="1834"/>
      <c r="J314" s="1834"/>
      <c r="K314" s="2078"/>
      <c r="L314" s="1834"/>
      <c r="M314" s="1834"/>
      <c r="N314" s="1834"/>
      <c r="O314" s="1834"/>
      <c r="P314" s="1834"/>
      <c r="Q314" s="1834"/>
      <c r="R314" s="1834"/>
      <c r="S314" s="1835"/>
      <c r="T314" s="1835"/>
      <c r="U314" s="1413"/>
      <c r="V314" s="1413"/>
      <c r="W314" s="1413"/>
      <c r="X314" s="1413"/>
      <c r="Y314" s="1413"/>
      <c r="Z314" s="1620"/>
      <c r="AA314" s="1413"/>
      <c r="AB314" s="1413"/>
      <c r="AC314" s="1413"/>
      <c r="AD314" s="1620"/>
      <c r="AE314" s="1620"/>
      <c r="AF314" s="1413"/>
      <c r="AG314" s="1413"/>
      <c r="AH314" s="1413"/>
      <c r="AI314" s="1620"/>
      <c r="AJ314" s="1620"/>
      <c r="AK314" s="1413"/>
      <c r="AL314" s="1663"/>
      <c r="AM314" s="1413"/>
      <c r="AN314" s="1620"/>
      <c r="AO314" s="1620"/>
      <c r="AP314" s="1413"/>
      <c r="AQ314" s="1413"/>
      <c r="AR314" s="1515"/>
      <c r="AS314" s="1515"/>
      <c r="AT314" s="1515"/>
      <c r="AU314" s="1515"/>
      <c r="AV314" s="1515"/>
      <c r="AW314" s="1515"/>
      <c r="AX314" s="1515"/>
      <c r="AY314" s="1515"/>
      <c r="AZ314" s="1515"/>
    </row>
    <row r="315" s="2076" customFormat="1">
      <c r="A315" s="2079"/>
      <c r="B315" s="1834"/>
      <c r="C315" s="1834"/>
      <c r="D315" s="1834"/>
      <c r="E315" s="1835"/>
      <c r="F315" s="1834"/>
      <c r="G315" s="1834"/>
      <c r="H315" s="1834"/>
      <c r="I315" s="1834"/>
      <c r="J315" s="1834"/>
      <c r="K315" s="2078"/>
      <c r="L315" s="1834"/>
      <c r="M315" s="1834"/>
      <c r="N315" s="1834"/>
      <c r="O315" s="1834"/>
      <c r="P315" s="1834"/>
      <c r="Q315" s="1834"/>
      <c r="R315" s="1834"/>
      <c r="S315" s="1835"/>
      <c r="T315" s="1835"/>
      <c r="U315" s="1413"/>
      <c r="V315" s="1413"/>
      <c r="W315" s="1413"/>
      <c r="X315" s="1413"/>
      <c r="Y315" s="1413"/>
      <c r="Z315" s="1620"/>
      <c r="AA315" s="1413"/>
      <c r="AB315" s="1413"/>
      <c r="AC315" s="1413"/>
      <c r="AD315" s="1620"/>
      <c r="AE315" s="1620"/>
      <c r="AF315" s="1413"/>
      <c r="AG315" s="1413"/>
      <c r="AH315" s="1413"/>
      <c r="AI315" s="1620"/>
      <c r="AJ315" s="1620"/>
      <c r="AK315" s="1413"/>
      <c r="AL315" s="1663"/>
      <c r="AM315" s="1413"/>
      <c r="AN315" s="1620"/>
      <c r="AO315" s="1620"/>
      <c r="AP315" s="1413"/>
      <c r="AQ315" s="1413"/>
      <c r="AR315" s="1515"/>
      <c r="AS315" s="1515"/>
      <c r="AT315" s="1515"/>
      <c r="AU315" s="1515"/>
      <c r="AV315" s="1515"/>
      <c r="AW315" s="1515"/>
      <c r="AX315" s="1515"/>
      <c r="AY315" s="1515"/>
      <c r="AZ315" s="1515"/>
    </row>
    <row r="316" s="1434" customFormat="1" ht="23.25" customHeight="1">
      <c r="A316" s="1842" t="s">
        <v>606</v>
      </c>
      <c r="B316" s="1887" t="s">
        <v>607</v>
      </c>
      <c r="C316" s="1888"/>
      <c r="D316" s="1888"/>
      <c r="E316" s="1888"/>
      <c r="F316" s="1888"/>
      <c r="G316" s="1888"/>
      <c r="H316" s="1888"/>
      <c r="I316" s="1888"/>
      <c r="J316" s="1888"/>
      <c r="K316" s="1888"/>
      <c r="L316" s="1888"/>
      <c r="M316" s="1888"/>
      <c r="N316" s="1888"/>
      <c r="O316" s="1888"/>
      <c r="P316" s="1888"/>
      <c r="Q316" s="1888"/>
      <c r="R316" s="1888"/>
      <c r="S316" s="1888"/>
      <c r="T316" s="1889"/>
      <c r="U316" s="1409"/>
      <c r="V316" s="1409"/>
      <c r="W316" s="1409"/>
      <c r="X316" s="1409"/>
      <c r="Y316" s="1409"/>
      <c r="Z316" s="1418"/>
      <c r="AA316" s="1409"/>
      <c r="AB316" s="1409"/>
      <c r="AC316" s="1409"/>
      <c r="AD316" s="1418"/>
      <c r="AE316" s="1418"/>
      <c r="AF316" s="1409"/>
      <c r="AG316" s="1409"/>
      <c r="AH316" s="1409"/>
      <c r="AI316" s="1418"/>
      <c r="AJ316" s="1418"/>
      <c r="AK316" s="1409"/>
      <c r="AL316" s="1417"/>
      <c r="AM316" s="1409"/>
      <c r="AN316" s="1418"/>
      <c r="AO316" s="1418"/>
      <c r="AP316" s="1409"/>
      <c r="AQ316" s="1409"/>
      <c r="AR316" s="1409"/>
      <c r="AS316" s="1409"/>
      <c r="AT316" s="1409"/>
      <c r="AU316" s="1409"/>
      <c r="AV316" s="1409"/>
      <c r="AW316" s="1409"/>
      <c r="AX316" s="1409"/>
      <c r="AY316" s="1409"/>
      <c r="AZ316" s="1409"/>
    </row>
    <row r="317">
      <c r="A317" s="1446" t="s">
        <v>173</v>
      </c>
      <c r="B317" s="1446" t="s">
        <v>6</v>
      </c>
      <c r="C317" s="1446" t="s">
        <v>7</v>
      </c>
      <c r="D317" s="1913" t="s">
        <v>8</v>
      </c>
      <c r="E317" s="2080" t="s">
        <v>9</v>
      </c>
      <c r="F317" s="1447" t="s">
        <v>10</v>
      </c>
      <c r="G317" s="1447" t="s">
        <v>11</v>
      </c>
      <c r="H317" s="1447" t="s">
        <v>12</v>
      </c>
      <c r="I317" s="1448" t="s">
        <v>174</v>
      </c>
      <c r="J317" s="1449" t="s">
        <v>175</v>
      </c>
      <c r="K317" s="1447" t="s">
        <v>14</v>
      </c>
      <c r="L317" s="1447" t="s">
        <v>15</v>
      </c>
      <c r="M317" s="1447" t="s">
        <v>16</v>
      </c>
      <c r="N317" s="1448" t="s">
        <v>17</v>
      </c>
      <c r="O317" s="1449" t="s">
        <v>176</v>
      </c>
      <c r="P317" s="1447" t="s">
        <v>18</v>
      </c>
      <c r="Q317" s="1447" t="s">
        <v>19</v>
      </c>
      <c r="R317" s="1447" t="s">
        <v>20</v>
      </c>
      <c r="S317" s="1448" t="s">
        <v>177</v>
      </c>
      <c r="T317" s="1450" t="s">
        <v>22</v>
      </c>
      <c r="Z317" s="1418"/>
      <c r="AD317" s="1418"/>
      <c r="AE317" s="1418"/>
      <c r="AI317" s="1418"/>
      <c r="AJ317" s="1418"/>
      <c r="AN317" s="1418"/>
    </row>
    <row r="318" ht="23.25" customHeight="1">
      <c r="A318" s="1179" t="s">
        <v>178</v>
      </c>
      <c r="B318" s="1868">
        <f>23+2</f>
        <v>25</v>
      </c>
      <c r="C318" s="1868">
        <f>30+3</f>
        <v>33</v>
      </c>
      <c r="D318" s="1868"/>
      <c r="E318" s="1895">
        <f t="shared" si="2044"/>
        <v>58</v>
      </c>
      <c r="F318" s="1868"/>
      <c r="G318" s="1868"/>
      <c r="H318" s="1868"/>
      <c r="I318" s="1895">
        <f t="shared" ref="I318:I373" si="2049">F318+G318+H318</f>
        <v>0</v>
      </c>
      <c r="J318" s="1896">
        <f t="shared" ref="J318:J373" si="2050">E318+I318</f>
        <v>58</v>
      </c>
      <c r="K318" s="1868"/>
      <c r="L318" s="1868"/>
      <c r="M318" s="1868"/>
      <c r="N318" s="1895">
        <f t="shared" ref="N318:N381" si="2051">K318+L318+M318</f>
        <v>0</v>
      </c>
      <c r="O318" s="1896">
        <f t="shared" ref="O318:O381" si="2052">J318+N318</f>
        <v>58</v>
      </c>
      <c r="P318" s="1868"/>
      <c r="Q318" s="1868"/>
      <c r="R318" s="1868"/>
      <c r="S318" s="1895">
        <f t="shared" si="2038"/>
        <v>0</v>
      </c>
      <c r="T318" s="1897">
        <f t="shared" ref="T318:T373" si="2053">O318+S318</f>
        <v>58</v>
      </c>
      <c r="Z318" s="1418"/>
      <c r="AD318" s="1418"/>
      <c r="AE318" s="1418"/>
      <c r="AI318" s="1418"/>
      <c r="AJ318" s="1418"/>
      <c r="AN318" s="1418"/>
    </row>
    <row r="319">
      <c r="A319" s="1179" t="s">
        <v>354</v>
      </c>
      <c r="B319" s="1868">
        <f>66+42+3</f>
        <v>111</v>
      </c>
      <c r="C319" s="1868">
        <f>37+9</f>
        <v>46</v>
      </c>
      <c r="D319" s="1868"/>
      <c r="E319" s="1895">
        <f t="shared" si="2044"/>
        <v>157</v>
      </c>
      <c r="F319" s="1868"/>
      <c r="G319" s="1868"/>
      <c r="H319" s="1868"/>
      <c r="I319" s="1895">
        <f t="shared" si="2049"/>
        <v>0</v>
      </c>
      <c r="J319" s="1896">
        <f t="shared" si="2050"/>
        <v>157</v>
      </c>
      <c r="K319" s="1868"/>
      <c r="L319" s="1868"/>
      <c r="M319" s="1868"/>
      <c r="N319" s="1895">
        <f t="shared" si="2051"/>
        <v>0</v>
      </c>
      <c r="O319" s="1896">
        <f t="shared" si="2052"/>
        <v>157</v>
      </c>
      <c r="P319" s="1868"/>
      <c r="Q319" s="1868"/>
      <c r="R319" s="1868"/>
      <c r="S319" s="1895">
        <f t="shared" si="2038"/>
        <v>0</v>
      </c>
      <c r="T319" s="1897">
        <f t="shared" si="2053"/>
        <v>157</v>
      </c>
      <c r="W319" s="1410"/>
      <c r="Z319" s="1418"/>
      <c r="AD319" s="1418"/>
      <c r="AE319" s="1418"/>
      <c r="AI319" s="1418"/>
      <c r="AJ319" s="1418"/>
      <c r="AN319" s="1418"/>
    </row>
    <row r="320">
      <c r="A320" s="1179" t="s">
        <v>181</v>
      </c>
      <c r="B320" s="1868">
        <v>37</v>
      </c>
      <c r="C320" s="1868">
        <f>2+567+56+32</f>
        <v>657</v>
      </c>
      <c r="D320" s="1868"/>
      <c r="E320" s="1895">
        <f t="shared" si="2044"/>
        <v>694</v>
      </c>
      <c r="F320" s="1868"/>
      <c r="G320" s="1868"/>
      <c r="H320" s="1868"/>
      <c r="I320" s="1895">
        <f t="shared" si="2049"/>
        <v>0</v>
      </c>
      <c r="J320" s="1896">
        <f t="shared" si="2050"/>
        <v>694</v>
      </c>
      <c r="K320" s="1868"/>
      <c r="L320" s="1868"/>
      <c r="M320" s="1868"/>
      <c r="N320" s="1895">
        <f t="shared" si="2051"/>
        <v>0</v>
      </c>
      <c r="O320" s="1896">
        <f t="shared" si="2052"/>
        <v>694</v>
      </c>
      <c r="P320" s="1868"/>
      <c r="Q320" s="1868"/>
      <c r="R320" s="1868"/>
      <c r="S320" s="1895">
        <f t="shared" si="2038"/>
        <v>0</v>
      </c>
      <c r="T320" s="1897">
        <f t="shared" si="2053"/>
        <v>694</v>
      </c>
      <c r="W320" s="1410"/>
      <c r="Z320" s="1418"/>
      <c r="AD320" s="1418"/>
      <c r="AE320" s="1418"/>
      <c r="AI320" s="1418"/>
      <c r="AJ320" s="1418"/>
      <c r="AN320" s="1418"/>
    </row>
    <row r="321">
      <c r="A321" s="1179" t="s">
        <v>182</v>
      </c>
      <c r="B321" s="1868">
        <f>57+1</f>
        <v>58</v>
      </c>
      <c r="C321" s="1868">
        <f>2+77+1</f>
        <v>80</v>
      </c>
      <c r="D321" s="1868"/>
      <c r="E321" s="1895">
        <f t="shared" si="2044"/>
        <v>138</v>
      </c>
      <c r="F321" s="1868"/>
      <c r="G321" s="1868"/>
      <c r="H321" s="1868"/>
      <c r="I321" s="1895">
        <f t="shared" si="2049"/>
        <v>0</v>
      </c>
      <c r="J321" s="1896">
        <f t="shared" si="2050"/>
        <v>138</v>
      </c>
      <c r="K321" s="1868"/>
      <c r="L321" s="1868"/>
      <c r="M321" s="1868"/>
      <c r="N321" s="1895">
        <f t="shared" si="2051"/>
        <v>0</v>
      </c>
      <c r="O321" s="1896">
        <f t="shared" si="2052"/>
        <v>138</v>
      </c>
      <c r="P321" s="1868"/>
      <c r="Q321" s="1868"/>
      <c r="R321" s="1868"/>
      <c r="S321" s="1895">
        <f t="shared" si="2038"/>
        <v>0</v>
      </c>
      <c r="T321" s="1897">
        <f t="shared" si="2053"/>
        <v>138</v>
      </c>
      <c r="W321" s="1410"/>
      <c r="Z321" s="1418"/>
      <c r="AD321" s="1418"/>
      <c r="AE321" s="1418"/>
      <c r="AI321" s="1418"/>
      <c r="AJ321" s="1418"/>
      <c r="AN321" s="1418"/>
    </row>
    <row r="322">
      <c r="A322" s="1179" t="s">
        <v>183</v>
      </c>
      <c r="B322" s="1868">
        <f>56+5+10</f>
        <v>71</v>
      </c>
      <c r="C322" s="1868">
        <f>36+33+9</f>
        <v>78</v>
      </c>
      <c r="D322" s="1868"/>
      <c r="E322" s="1895">
        <f t="shared" si="2044"/>
        <v>149</v>
      </c>
      <c r="F322" s="1868"/>
      <c r="G322" s="1868"/>
      <c r="H322" s="1868"/>
      <c r="I322" s="1895">
        <f t="shared" si="2049"/>
        <v>0</v>
      </c>
      <c r="J322" s="1896">
        <f t="shared" si="2050"/>
        <v>149</v>
      </c>
      <c r="K322" s="1868"/>
      <c r="L322" s="1868"/>
      <c r="M322" s="1868"/>
      <c r="N322" s="1895">
        <f t="shared" si="2051"/>
        <v>0</v>
      </c>
      <c r="O322" s="1896">
        <f t="shared" si="2052"/>
        <v>149</v>
      </c>
      <c r="P322" s="1868"/>
      <c r="Q322" s="1868"/>
      <c r="R322" s="1868"/>
      <c r="S322" s="1895">
        <f t="shared" si="2038"/>
        <v>0</v>
      </c>
      <c r="T322" s="1897">
        <f t="shared" si="2053"/>
        <v>149</v>
      </c>
      <c r="W322" s="1410"/>
      <c r="Z322" s="1418"/>
      <c r="AD322" s="1418"/>
      <c r="AE322" s="1418"/>
      <c r="AI322" s="1418"/>
      <c r="AJ322" s="1418"/>
      <c r="AN322" s="1418"/>
    </row>
    <row r="323">
      <c r="A323" s="1179" t="s">
        <v>184</v>
      </c>
      <c r="B323" s="1868">
        <f>26+8</f>
        <v>34</v>
      </c>
      <c r="C323" s="1868">
        <v>34</v>
      </c>
      <c r="D323" s="1868"/>
      <c r="E323" s="1895">
        <f t="shared" si="2044"/>
        <v>68</v>
      </c>
      <c r="F323" s="1868"/>
      <c r="G323" s="1868"/>
      <c r="H323" s="1868"/>
      <c r="I323" s="1895">
        <f t="shared" si="2049"/>
        <v>0</v>
      </c>
      <c r="J323" s="1896">
        <f t="shared" si="2050"/>
        <v>68</v>
      </c>
      <c r="K323" s="1868"/>
      <c r="L323" s="1868"/>
      <c r="M323" s="1868"/>
      <c r="N323" s="1895">
        <f t="shared" si="2051"/>
        <v>0</v>
      </c>
      <c r="O323" s="1896">
        <f t="shared" si="2052"/>
        <v>68</v>
      </c>
      <c r="P323" s="1868"/>
      <c r="Q323" s="1868"/>
      <c r="R323" s="1868"/>
      <c r="S323" s="1895">
        <f t="shared" si="2038"/>
        <v>0</v>
      </c>
      <c r="T323" s="1897">
        <f t="shared" si="2053"/>
        <v>68</v>
      </c>
      <c r="W323" s="1410"/>
      <c r="Z323" s="1418"/>
      <c r="AD323" s="1418"/>
      <c r="AE323" s="1418"/>
      <c r="AI323" s="1418"/>
      <c r="AJ323" s="1418"/>
      <c r="AN323" s="1418"/>
    </row>
    <row r="324">
      <c r="A324" s="2081" t="s">
        <v>198</v>
      </c>
      <c r="B324" s="1868">
        <f>14+7</f>
        <v>21</v>
      </c>
      <c r="C324" s="1868">
        <f>16+49+1</f>
        <v>66</v>
      </c>
      <c r="D324" s="1868"/>
      <c r="E324" s="1895">
        <f t="shared" si="2044"/>
        <v>87</v>
      </c>
      <c r="F324" s="1868"/>
      <c r="G324" s="1868"/>
      <c r="H324" s="1868"/>
      <c r="I324" s="1895">
        <f t="shared" si="2049"/>
        <v>0</v>
      </c>
      <c r="J324" s="1896">
        <f t="shared" si="2050"/>
        <v>87</v>
      </c>
      <c r="K324" s="1868"/>
      <c r="L324" s="1868"/>
      <c r="M324" s="1868"/>
      <c r="N324" s="1895">
        <f t="shared" si="2051"/>
        <v>0</v>
      </c>
      <c r="O324" s="1896">
        <f t="shared" si="2052"/>
        <v>87</v>
      </c>
      <c r="P324" s="1868"/>
      <c r="Q324" s="1868"/>
      <c r="R324" s="1868"/>
      <c r="S324" s="1895">
        <f t="shared" si="2038"/>
        <v>0</v>
      </c>
      <c r="T324" s="1897">
        <f t="shared" si="2053"/>
        <v>87</v>
      </c>
      <c r="W324" s="1410"/>
      <c r="Z324" s="1418"/>
      <c r="AD324" s="1418"/>
      <c r="AE324" s="1418"/>
      <c r="AI324" s="1418"/>
      <c r="AJ324" s="1418"/>
      <c r="AN324" s="1418"/>
    </row>
    <row r="325">
      <c r="A325" s="1179" t="s">
        <v>185</v>
      </c>
      <c r="B325" s="1868">
        <f>12+7</f>
        <v>19</v>
      </c>
      <c r="C325" s="1868">
        <f>1+13</f>
        <v>14</v>
      </c>
      <c r="D325" s="1868"/>
      <c r="E325" s="1895">
        <f t="shared" si="2044"/>
        <v>33</v>
      </c>
      <c r="F325" s="1868"/>
      <c r="G325" s="1868"/>
      <c r="H325" s="1868"/>
      <c r="I325" s="1895">
        <f t="shared" si="2049"/>
        <v>0</v>
      </c>
      <c r="J325" s="1896">
        <f t="shared" si="2050"/>
        <v>33</v>
      </c>
      <c r="K325" s="1868"/>
      <c r="L325" s="1868"/>
      <c r="M325" s="1868"/>
      <c r="N325" s="1895">
        <f t="shared" si="2051"/>
        <v>0</v>
      </c>
      <c r="O325" s="1896">
        <f t="shared" si="2052"/>
        <v>33</v>
      </c>
      <c r="P325" s="1868"/>
      <c r="Q325" s="1868"/>
      <c r="R325" s="1868"/>
      <c r="S325" s="1895">
        <f t="shared" si="2038"/>
        <v>0</v>
      </c>
      <c r="T325" s="1897">
        <f t="shared" si="2053"/>
        <v>33</v>
      </c>
      <c r="W325" s="1410"/>
      <c r="Z325" s="1418"/>
      <c r="AD325" s="1418"/>
      <c r="AE325" s="1418"/>
      <c r="AI325" s="1418"/>
      <c r="AJ325" s="1418"/>
      <c r="AN325" s="1418"/>
    </row>
    <row r="326" s="1510" customFormat="1">
      <c r="A326" s="1511" t="s">
        <v>363</v>
      </c>
      <c r="B326" s="1871">
        <f>SUM(B318:B325)</f>
        <v>376</v>
      </c>
      <c r="C326" s="1871">
        <f>SUM(C318:C325)</f>
        <v>1008</v>
      </c>
      <c r="D326" s="1871">
        <f>SUM(D318:D325)</f>
        <v>0</v>
      </c>
      <c r="E326" s="1899">
        <f t="shared" si="2044"/>
        <v>1384</v>
      </c>
      <c r="F326" s="1871">
        <f>SUM(F318:F325)</f>
        <v>0</v>
      </c>
      <c r="G326" s="1871">
        <f>SUM(G318:G325)</f>
        <v>0</v>
      </c>
      <c r="H326" s="1871">
        <f>SUM(H318:H325)</f>
        <v>0</v>
      </c>
      <c r="I326" s="1899">
        <f t="shared" si="2049"/>
        <v>0</v>
      </c>
      <c r="J326" s="1900">
        <f t="shared" si="2050"/>
        <v>1384</v>
      </c>
      <c r="K326" s="1871">
        <f>SUM(K318:K325)</f>
        <v>0</v>
      </c>
      <c r="L326" s="1871">
        <f>SUM(L318:L325)</f>
        <v>0</v>
      </c>
      <c r="M326" s="1871">
        <f>SUM(M318:M325)</f>
        <v>0</v>
      </c>
      <c r="N326" s="1899">
        <f t="shared" si="2051"/>
        <v>0</v>
      </c>
      <c r="O326" s="1900">
        <f t="shared" si="2052"/>
        <v>1384</v>
      </c>
      <c r="P326" s="1871">
        <f>SUM(P318:P325)</f>
        <v>0</v>
      </c>
      <c r="Q326" s="1871">
        <f>SUM(Q318:Q325)</f>
        <v>0</v>
      </c>
      <c r="R326" s="1871">
        <f>SUM(R318:R325)</f>
        <v>0</v>
      </c>
      <c r="S326" s="1899">
        <f t="shared" si="2038"/>
        <v>0</v>
      </c>
      <c r="T326" s="1901">
        <f>SUM(T318:T325)</f>
        <v>1384</v>
      </c>
      <c r="U326" s="1515"/>
      <c r="V326" s="1515"/>
      <c r="W326" s="1838"/>
      <c r="X326" s="1515"/>
      <c r="Y326" s="1515"/>
      <c r="Z326" s="2062"/>
      <c r="AA326" s="1515"/>
      <c r="AB326" s="1515"/>
      <c r="AC326" s="1515"/>
      <c r="AD326" s="2062"/>
      <c r="AE326" s="2062"/>
      <c r="AF326" s="1515"/>
      <c r="AG326" s="1515"/>
      <c r="AH326" s="1515"/>
      <c r="AI326" s="2062"/>
      <c r="AJ326" s="2062"/>
      <c r="AK326" s="1515"/>
      <c r="AL326" s="1886"/>
      <c r="AM326" s="1515"/>
      <c r="AN326" s="2062"/>
      <c r="AO326" s="2062"/>
      <c r="AP326" s="1515"/>
      <c r="AQ326" s="1515"/>
      <c r="AR326" s="1515"/>
      <c r="AS326" s="1515"/>
      <c r="AT326" s="1515"/>
      <c r="AU326" s="1515"/>
      <c r="AV326" s="1515"/>
      <c r="AW326" s="1515"/>
      <c r="AX326" s="1515"/>
      <c r="AY326" s="1515"/>
      <c r="AZ326" s="1515"/>
    </row>
    <row r="327">
      <c r="A327" s="1179" t="s">
        <v>608</v>
      </c>
      <c r="B327" s="1868"/>
      <c r="C327" s="1868"/>
      <c r="D327" s="1868"/>
      <c r="E327" s="1895">
        <f t="shared" si="2044"/>
        <v>0</v>
      </c>
      <c r="F327" s="1868"/>
      <c r="G327" s="1868"/>
      <c r="H327" s="1868"/>
      <c r="I327" s="1895">
        <f t="shared" si="2049"/>
        <v>0</v>
      </c>
      <c r="J327" s="1896">
        <f t="shared" si="2050"/>
        <v>0</v>
      </c>
      <c r="K327" s="1868"/>
      <c r="L327" s="1868"/>
      <c r="M327" s="1868"/>
      <c r="N327" s="1895">
        <f t="shared" si="2051"/>
        <v>0</v>
      </c>
      <c r="O327" s="1896">
        <f t="shared" si="2052"/>
        <v>0</v>
      </c>
      <c r="P327" s="1868"/>
      <c r="Q327" s="1868"/>
      <c r="R327" s="1868"/>
      <c r="S327" s="1895">
        <f t="shared" si="2038"/>
        <v>0</v>
      </c>
      <c r="T327" s="1897">
        <f t="shared" si="2053"/>
        <v>0</v>
      </c>
      <c r="W327" s="1838"/>
      <c r="Z327" s="1418"/>
      <c r="AD327" s="1418"/>
      <c r="AE327" s="1418"/>
      <c r="AI327" s="1418"/>
      <c r="AJ327" s="1418"/>
      <c r="AN327" s="1418"/>
    </row>
    <row r="328">
      <c r="A328" s="1179" t="s">
        <v>609</v>
      </c>
      <c r="B328" s="1868">
        <f>23+2+24</f>
        <v>49</v>
      </c>
      <c r="C328" s="1868">
        <f>22+8</f>
        <v>30</v>
      </c>
      <c r="D328" s="1868"/>
      <c r="E328" s="1895">
        <f t="shared" si="2044"/>
        <v>79</v>
      </c>
      <c r="F328" s="1868"/>
      <c r="G328" s="1868"/>
      <c r="H328" s="1868"/>
      <c r="I328" s="1895">
        <f t="shared" si="2049"/>
        <v>0</v>
      </c>
      <c r="J328" s="1896">
        <f t="shared" si="2050"/>
        <v>79</v>
      </c>
      <c r="K328" s="1868"/>
      <c r="L328" s="1868"/>
      <c r="M328" s="1868"/>
      <c r="N328" s="1895">
        <f t="shared" si="2051"/>
        <v>0</v>
      </c>
      <c r="O328" s="1896">
        <f t="shared" si="2052"/>
        <v>79</v>
      </c>
      <c r="P328" s="1868"/>
      <c r="Q328" s="1868"/>
      <c r="R328" s="1868"/>
      <c r="S328" s="1895">
        <f t="shared" si="2038"/>
        <v>0</v>
      </c>
      <c r="T328" s="1897">
        <f t="shared" si="2053"/>
        <v>79</v>
      </c>
      <c r="W328" s="1410"/>
      <c r="Z328" s="1418"/>
      <c r="AD328" s="1418"/>
      <c r="AE328" s="1418"/>
      <c r="AI328" s="1418"/>
      <c r="AJ328" s="1418"/>
      <c r="AN328" s="1418"/>
    </row>
    <row r="329">
      <c r="A329" s="1179" t="s">
        <v>196</v>
      </c>
      <c r="B329" s="1868">
        <f>32+3</f>
        <v>35</v>
      </c>
      <c r="C329" s="1868">
        <f>36+11</f>
        <v>47</v>
      </c>
      <c r="D329" s="1868"/>
      <c r="E329" s="1895">
        <f t="shared" si="2044"/>
        <v>82</v>
      </c>
      <c r="F329" s="1868"/>
      <c r="G329" s="1868"/>
      <c r="H329" s="1868"/>
      <c r="I329" s="1895">
        <f t="shared" si="2049"/>
        <v>0</v>
      </c>
      <c r="J329" s="1896">
        <f t="shared" si="2050"/>
        <v>82</v>
      </c>
      <c r="K329" s="1868"/>
      <c r="L329" s="1868"/>
      <c r="M329" s="1868"/>
      <c r="N329" s="1895">
        <f t="shared" si="2051"/>
        <v>0</v>
      </c>
      <c r="O329" s="1896">
        <f t="shared" si="2052"/>
        <v>82</v>
      </c>
      <c r="P329" s="1868"/>
      <c r="Q329" s="1868"/>
      <c r="R329" s="1868"/>
      <c r="S329" s="1895">
        <f t="shared" si="2038"/>
        <v>0</v>
      </c>
      <c r="T329" s="1897">
        <f t="shared" si="2053"/>
        <v>82</v>
      </c>
      <c r="W329" s="1410"/>
      <c r="Z329" s="1418"/>
      <c r="AD329" s="1418"/>
      <c r="AE329" s="1418"/>
      <c r="AI329" s="1418"/>
      <c r="AJ329" s="1418"/>
      <c r="AN329" s="1418"/>
    </row>
    <row r="330">
      <c r="A330" s="1179" t="s">
        <v>367</v>
      </c>
      <c r="B330" s="1868"/>
      <c r="C330" s="1868"/>
      <c r="D330" s="1868"/>
      <c r="E330" s="1895">
        <f t="shared" si="2044"/>
        <v>0</v>
      </c>
      <c r="F330" s="1868"/>
      <c r="G330" s="1868"/>
      <c r="H330" s="1868"/>
      <c r="I330" s="1895">
        <f t="shared" si="2049"/>
        <v>0</v>
      </c>
      <c r="J330" s="1896">
        <f t="shared" si="2050"/>
        <v>0</v>
      </c>
      <c r="K330" s="1868"/>
      <c r="L330" s="1868"/>
      <c r="M330" s="1868"/>
      <c r="N330" s="1895">
        <f t="shared" si="2051"/>
        <v>0</v>
      </c>
      <c r="O330" s="1896">
        <f t="shared" si="2052"/>
        <v>0</v>
      </c>
      <c r="P330" s="1868"/>
      <c r="Q330" s="1868"/>
      <c r="R330" s="1868"/>
      <c r="S330" s="1895">
        <f t="shared" si="2038"/>
        <v>0</v>
      </c>
      <c r="T330" s="1897">
        <f t="shared" si="2053"/>
        <v>0</v>
      </c>
      <c r="W330" s="1410"/>
      <c r="Z330" s="1418"/>
      <c r="AD330" s="1418"/>
      <c r="AE330" s="1418"/>
      <c r="AI330" s="1418"/>
      <c r="AJ330" s="1418"/>
      <c r="AN330" s="1418"/>
    </row>
    <row r="331">
      <c r="A331" s="1179" t="s">
        <v>201</v>
      </c>
      <c r="B331" s="1868">
        <f>49+31</f>
        <v>80</v>
      </c>
      <c r="C331" s="1868">
        <f>68+27</f>
        <v>95</v>
      </c>
      <c r="D331" s="1868"/>
      <c r="E331" s="1895">
        <f t="shared" si="2044"/>
        <v>175</v>
      </c>
      <c r="F331" s="1868"/>
      <c r="G331" s="1868"/>
      <c r="H331" s="1868"/>
      <c r="I331" s="1895">
        <f t="shared" si="2049"/>
        <v>0</v>
      </c>
      <c r="J331" s="1896">
        <f t="shared" si="2050"/>
        <v>175</v>
      </c>
      <c r="K331" s="1868"/>
      <c r="L331" s="1868"/>
      <c r="M331" s="1868"/>
      <c r="N331" s="1895">
        <f t="shared" si="2051"/>
        <v>0</v>
      </c>
      <c r="O331" s="1896">
        <f t="shared" si="2052"/>
        <v>175</v>
      </c>
      <c r="P331" s="1868"/>
      <c r="Q331" s="1868"/>
      <c r="R331" s="1868"/>
      <c r="S331" s="1895">
        <f t="shared" si="2038"/>
        <v>0</v>
      </c>
      <c r="T331" s="1897">
        <f t="shared" si="2053"/>
        <v>175</v>
      </c>
      <c r="W331" s="1410"/>
      <c r="Z331" s="1418"/>
      <c r="AD331" s="1418"/>
      <c r="AE331" s="1418"/>
      <c r="AI331" s="1418"/>
      <c r="AJ331" s="1418"/>
      <c r="AN331" s="1418"/>
    </row>
    <row r="332">
      <c r="A332" s="1179" t="s">
        <v>203</v>
      </c>
      <c r="B332" s="1868">
        <v>6</v>
      </c>
      <c r="C332" s="1868">
        <v>7</v>
      </c>
      <c r="D332" s="1868"/>
      <c r="E332" s="1895">
        <f t="shared" si="2044"/>
        <v>13</v>
      </c>
      <c r="F332" s="1868"/>
      <c r="G332" s="1868"/>
      <c r="H332" s="1868"/>
      <c r="I332" s="1895">
        <f t="shared" si="2049"/>
        <v>0</v>
      </c>
      <c r="J332" s="1896">
        <f t="shared" si="2050"/>
        <v>13</v>
      </c>
      <c r="K332" s="1868"/>
      <c r="L332" s="1868"/>
      <c r="M332" s="1868"/>
      <c r="N332" s="1895">
        <f t="shared" si="2051"/>
        <v>0</v>
      </c>
      <c r="O332" s="1896">
        <f t="shared" si="2052"/>
        <v>13</v>
      </c>
      <c r="P332" s="1868"/>
      <c r="Q332" s="1868"/>
      <c r="R332" s="1868"/>
      <c r="S332" s="1895">
        <f t="shared" ref="S332:S395" si="2054">P332+Q332+R332</f>
        <v>0</v>
      </c>
      <c r="T332" s="1897">
        <f t="shared" si="2053"/>
        <v>13</v>
      </c>
      <c r="W332" s="1410"/>
      <c r="Z332" s="1418"/>
      <c r="AD332" s="1418"/>
      <c r="AE332" s="1418"/>
      <c r="AI332" s="1418"/>
      <c r="AJ332" s="1418"/>
      <c r="AN332" s="1418"/>
    </row>
    <row r="333">
      <c r="A333" s="1179" t="s">
        <v>204</v>
      </c>
      <c r="B333" s="1868">
        <v>2</v>
      </c>
      <c r="C333" s="1868">
        <f>3</f>
        <v>3</v>
      </c>
      <c r="D333" s="1868"/>
      <c r="E333" s="1895">
        <f t="shared" si="2044"/>
        <v>5</v>
      </c>
      <c r="F333" s="1868"/>
      <c r="G333" s="1868"/>
      <c r="H333" s="1868"/>
      <c r="I333" s="1895">
        <f t="shared" si="2049"/>
        <v>0</v>
      </c>
      <c r="J333" s="1896">
        <f t="shared" si="2050"/>
        <v>5</v>
      </c>
      <c r="K333" s="1868"/>
      <c r="L333" s="1868"/>
      <c r="M333" s="1868"/>
      <c r="N333" s="1895">
        <f t="shared" si="2051"/>
        <v>0</v>
      </c>
      <c r="O333" s="1896">
        <f t="shared" si="2052"/>
        <v>5</v>
      </c>
      <c r="P333" s="1868"/>
      <c r="Q333" s="1868"/>
      <c r="R333" s="1868"/>
      <c r="S333" s="1895">
        <f t="shared" si="2054"/>
        <v>0</v>
      </c>
      <c r="T333" s="1897">
        <f t="shared" si="2053"/>
        <v>5</v>
      </c>
      <c r="W333" s="1410"/>
      <c r="Z333" s="1418"/>
      <c r="AD333" s="1418"/>
      <c r="AE333" s="1418"/>
      <c r="AI333" s="1418"/>
      <c r="AJ333" s="1418"/>
      <c r="AN333" s="1418"/>
    </row>
    <row r="334">
      <c r="A334" s="1179" t="s">
        <v>205</v>
      </c>
      <c r="B334" s="1868">
        <f>27+2+10</f>
        <v>39</v>
      </c>
      <c r="C334" s="1868">
        <f>1+12+2</f>
        <v>15</v>
      </c>
      <c r="D334" s="1868"/>
      <c r="E334" s="1895">
        <f t="shared" si="2044"/>
        <v>54</v>
      </c>
      <c r="F334" s="1868"/>
      <c r="G334" s="1868"/>
      <c r="H334" s="1868"/>
      <c r="I334" s="1895">
        <f t="shared" si="2049"/>
        <v>0</v>
      </c>
      <c r="J334" s="1896">
        <f t="shared" si="2050"/>
        <v>54</v>
      </c>
      <c r="K334" s="1868"/>
      <c r="L334" s="1868"/>
      <c r="M334" s="1868"/>
      <c r="N334" s="1895">
        <f t="shared" si="2051"/>
        <v>0</v>
      </c>
      <c r="O334" s="1896">
        <f t="shared" si="2052"/>
        <v>54</v>
      </c>
      <c r="P334" s="1868"/>
      <c r="Q334" s="1868"/>
      <c r="R334" s="1868"/>
      <c r="S334" s="1895">
        <f t="shared" si="2054"/>
        <v>0</v>
      </c>
      <c r="T334" s="1897">
        <f t="shared" si="2053"/>
        <v>54</v>
      </c>
      <c r="W334" s="1410"/>
      <c r="Z334" s="1418"/>
      <c r="AD334" s="1418"/>
      <c r="AE334" s="1418"/>
      <c r="AI334" s="1418"/>
      <c r="AJ334" s="1418"/>
      <c r="AN334" s="1418"/>
    </row>
    <row r="335">
      <c r="A335" s="1179" t="s">
        <v>206</v>
      </c>
      <c r="B335" s="1868">
        <f>49+21</f>
        <v>70</v>
      </c>
      <c r="C335" s="1868">
        <f>57+8</f>
        <v>65</v>
      </c>
      <c r="D335" s="1868"/>
      <c r="E335" s="1895">
        <f t="shared" si="2044"/>
        <v>135</v>
      </c>
      <c r="F335" s="1868"/>
      <c r="G335" s="1868"/>
      <c r="H335" s="1868"/>
      <c r="I335" s="1895">
        <f t="shared" si="2049"/>
        <v>0</v>
      </c>
      <c r="J335" s="1896">
        <f t="shared" si="2050"/>
        <v>135</v>
      </c>
      <c r="K335" s="1868"/>
      <c r="L335" s="1868"/>
      <c r="M335" s="1868"/>
      <c r="N335" s="1895">
        <f t="shared" si="2051"/>
        <v>0</v>
      </c>
      <c r="O335" s="1896">
        <f t="shared" si="2052"/>
        <v>135</v>
      </c>
      <c r="P335" s="1868"/>
      <c r="Q335" s="1868"/>
      <c r="R335" s="1868"/>
      <c r="S335" s="1895">
        <f t="shared" si="2054"/>
        <v>0</v>
      </c>
      <c r="T335" s="1897">
        <f t="shared" si="2053"/>
        <v>135</v>
      </c>
      <c r="W335" s="1410"/>
      <c r="Z335" s="1418"/>
      <c r="AD335" s="1418"/>
      <c r="AE335" s="1418"/>
      <c r="AI335" s="1418"/>
      <c r="AJ335" s="1418"/>
      <c r="AN335" s="1418"/>
    </row>
    <row r="336">
      <c r="A336" s="1179" t="s">
        <v>207</v>
      </c>
      <c r="B336" s="1868">
        <f>66+8+4</f>
        <v>78</v>
      </c>
      <c r="C336" s="1868">
        <f>4+48+4</f>
        <v>56</v>
      </c>
      <c r="D336" s="1868"/>
      <c r="E336" s="1895">
        <f t="shared" si="2044"/>
        <v>134</v>
      </c>
      <c r="F336" s="1868"/>
      <c r="G336" s="1868"/>
      <c r="H336" s="1868"/>
      <c r="I336" s="1895"/>
      <c r="J336" s="1896">
        <f t="shared" si="2050"/>
        <v>134</v>
      </c>
      <c r="K336" s="1868"/>
      <c r="L336" s="1868"/>
      <c r="M336" s="1868"/>
      <c r="N336" s="1895">
        <f t="shared" si="2051"/>
        <v>0</v>
      </c>
      <c r="O336" s="1896">
        <f t="shared" si="2052"/>
        <v>134</v>
      </c>
      <c r="P336" s="1868"/>
      <c r="Q336" s="1868"/>
      <c r="R336" s="1868"/>
      <c r="S336" s="1895">
        <f t="shared" si="2054"/>
        <v>0</v>
      </c>
      <c r="T336" s="1897">
        <f t="shared" si="2053"/>
        <v>134</v>
      </c>
      <c r="W336" s="1410"/>
      <c r="Z336" s="1418"/>
      <c r="AD336" s="1418"/>
      <c r="AE336" s="1418"/>
      <c r="AI336" s="1418"/>
      <c r="AJ336" s="1418"/>
      <c r="AN336" s="1418"/>
    </row>
    <row r="337">
      <c r="A337" s="1179" t="s">
        <v>209</v>
      </c>
      <c r="B337" s="1868">
        <f>5+1</f>
        <v>6</v>
      </c>
      <c r="C337" s="1868">
        <f>12+1</f>
        <v>13</v>
      </c>
      <c r="D337" s="1868"/>
      <c r="E337" s="1895">
        <f t="shared" si="2044"/>
        <v>19</v>
      </c>
      <c r="F337" s="1868"/>
      <c r="G337" s="1868"/>
      <c r="H337" s="1868"/>
      <c r="I337" s="1895">
        <f t="shared" si="2049"/>
        <v>0</v>
      </c>
      <c r="J337" s="1896">
        <f t="shared" si="2050"/>
        <v>19</v>
      </c>
      <c r="K337" s="1868"/>
      <c r="L337" s="1868"/>
      <c r="M337" s="1868"/>
      <c r="N337" s="1895">
        <f t="shared" si="2051"/>
        <v>0</v>
      </c>
      <c r="O337" s="1896">
        <f t="shared" si="2052"/>
        <v>19</v>
      </c>
      <c r="P337" s="1868"/>
      <c r="Q337" s="1868"/>
      <c r="R337" s="1868"/>
      <c r="S337" s="1895">
        <f t="shared" si="2054"/>
        <v>0</v>
      </c>
      <c r="T337" s="1897">
        <f t="shared" si="2053"/>
        <v>19</v>
      </c>
      <c r="W337" s="1410"/>
      <c r="Z337" s="1418"/>
      <c r="AD337" s="1418"/>
      <c r="AE337" s="1418"/>
      <c r="AI337" s="1418"/>
      <c r="AJ337" s="1418"/>
      <c r="AN337" s="1418"/>
    </row>
    <row r="338">
      <c r="A338" s="1179" t="s">
        <v>210</v>
      </c>
      <c r="B338" s="1868">
        <f>24+3</f>
        <v>27</v>
      </c>
      <c r="C338" s="1868">
        <f>25+4</f>
        <v>29</v>
      </c>
      <c r="D338" s="1868"/>
      <c r="E338" s="1895">
        <f t="shared" si="2044"/>
        <v>56</v>
      </c>
      <c r="F338" s="1868"/>
      <c r="G338" s="1868"/>
      <c r="H338" s="1868"/>
      <c r="I338" s="1895">
        <f t="shared" si="2049"/>
        <v>0</v>
      </c>
      <c r="J338" s="1896">
        <f t="shared" si="2050"/>
        <v>56</v>
      </c>
      <c r="K338" s="1868"/>
      <c r="L338" s="1868"/>
      <c r="M338" s="1868"/>
      <c r="N338" s="1895">
        <f t="shared" si="2051"/>
        <v>0</v>
      </c>
      <c r="O338" s="1896">
        <f t="shared" si="2052"/>
        <v>56</v>
      </c>
      <c r="P338" s="1868"/>
      <c r="Q338" s="1868"/>
      <c r="R338" s="1868"/>
      <c r="S338" s="1895">
        <f t="shared" si="2054"/>
        <v>0</v>
      </c>
      <c r="T338" s="1897">
        <f t="shared" si="2053"/>
        <v>56</v>
      </c>
      <c r="W338" s="1410"/>
      <c r="Z338" s="1418"/>
      <c r="AD338" s="1418"/>
      <c r="AE338" s="1418"/>
      <c r="AI338" s="1418"/>
      <c r="AJ338" s="1418"/>
      <c r="AN338" s="1418"/>
    </row>
    <row r="339">
      <c r="A339" s="1179" t="s">
        <v>211</v>
      </c>
      <c r="B339" s="1868">
        <f>10+1</f>
        <v>11</v>
      </c>
      <c r="C339" s="1868">
        <f>2+12+2</f>
        <v>16</v>
      </c>
      <c r="D339" s="1868"/>
      <c r="E339" s="1895">
        <f t="shared" si="2044"/>
        <v>27</v>
      </c>
      <c r="F339" s="1868"/>
      <c r="G339" s="1868"/>
      <c r="H339" s="1868"/>
      <c r="I339" s="1895">
        <f t="shared" si="2049"/>
        <v>0</v>
      </c>
      <c r="J339" s="1896">
        <f t="shared" si="2050"/>
        <v>27</v>
      </c>
      <c r="K339" s="1868"/>
      <c r="L339" s="1868"/>
      <c r="M339" s="1868"/>
      <c r="N339" s="1895">
        <f t="shared" si="2051"/>
        <v>0</v>
      </c>
      <c r="O339" s="1896">
        <f t="shared" si="2052"/>
        <v>27</v>
      </c>
      <c r="P339" s="1868"/>
      <c r="Q339" s="1868"/>
      <c r="R339" s="1868"/>
      <c r="S339" s="1895">
        <f t="shared" si="2054"/>
        <v>0</v>
      </c>
      <c r="T339" s="1897">
        <f t="shared" si="2053"/>
        <v>27</v>
      </c>
      <c r="W339" s="1410"/>
      <c r="Z339" s="1418"/>
      <c r="AD339" s="1418"/>
      <c r="AE339" s="1418"/>
      <c r="AI339" s="1418"/>
      <c r="AJ339" s="1418"/>
      <c r="AN339" s="1418"/>
    </row>
    <row r="340" s="1510" customFormat="1">
      <c r="A340" s="1511" t="s">
        <v>363</v>
      </c>
      <c r="B340" s="1871">
        <f>SUM(B327:B339)</f>
        <v>403</v>
      </c>
      <c r="C340" s="1871">
        <f>SUM(C327:C339)</f>
        <v>376</v>
      </c>
      <c r="D340" s="1871">
        <f>SUM(D327:D339)</f>
        <v>0</v>
      </c>
      <c r="E340" s="1899">
        <f t="shared" si="2044"/>
        <v>779</v>
      </c>
      <c r="F340" s="1871">
        <f>SUM(F327:F339)</f>
        <v>0</v>
      </c>
      <c r="G340" s="1871">
        <f>SUM(G327:G339)</f>
        <v>0</v>
      </c>
      <c r="H340" s="1871">
        <f>SUM(H327:H339)</f>
        <v>0</v>
      </c>
      <c r="I340" s="1899">
        <f t="shared" si="2049"/>
        <v>0</v>
      </c>
      <c r="J340" s="1900">
        <f t="shared" si="2050"/>
        <v>779</v>
      </c>
      <c r="K340" s="1871">
        <f>SUM(K327:K339)</f>
        <v>0</v>
      </c>
      <c r="L340" s="1871">
        <f>SUM(L327:L339)</f>
        <v>0</v>
      </c>
      <c r="M340" s="1871">
        <f>SUM(M327:M339)</f>
        <v>0</v>
      </c>
      <c r="N340" s="1899">
        <f t="shared" si="2051"/>
        <v>0</v>
      </c>
      <c r="O340" s="1900">
        <f t="shared" si="2052"/>
        <v>779</v>
      </c>
      <c r="P340" s="1871">
        <f>SUM(P327:P339)</f>
        <v>0</v>
      </c>
      <c r="Q340" s="1871">
        <f>SUM(Q327:Q339)</f>
        <v>0</v>
      </c>
      <c r="R340" s="1871">
        <f>SUM(R327:R339)</f>
        <v>0</v>
      </c>
      <c r="S340" s="1899">
        <f t="shared" si="2054"/>
        <v>0</v>
      </c>
      <c r="T340" s="1901">
        <f>SUM(T327:T339)</f>
        <v>779</v>
      </c>
      <c r="U340" s="1515"/>
      <c r="V340" s="1515"/>
      <c r="W340" s="1838"/>
      <c r="X340" s="1515"/>
      <c r="Y340" s="1515"/>
      <c r="Z340" s="2062"/>
      <c r="AA340" s="1515"/>
      <c r="AB340" s="1515"/>
      <c r="AC340" s="1515"/>
      <c r="AD340" s="2062"/>
      <c r="AE340" s="2062"/>
      <c r="AF340" s="1515"/>
      <c r="AG340" s="1515"/>
      <c r="AH340" s="1515"/>
      <c r="AI340" s="2062"/>
      <c r="AJ340" s="2062"/>
      <c r="AK340" s="1515"/>
      <c r="AL340" s="1886"/>
      <c r="AM340" s="1515"/>
      <c r="AN340" s="2062"/>
      <c r="AO340" s="2062"/>
      <c r="AP340" s="1515"/>
      <c r="AQ340" s="1515"/>
      <c r="AR340" s="1515"/>
      <c r="AS340" s="1515"/>
      <c r="AT340" s="1515"/>
      <c r="AU340" s="1515"/>
      <c r="AV340" s="1515"/>
      <c r="AW340" s="1515"/>
      <c r="AX340" s="1515"/>
      <c r="AY340" s="1515"/>
      <c r="AZ340" s="1515"/>
    </row>
    <row r="341">
      <c r="A341" s="1179" t="s">
        <v>379</v>
      </c>
      <c r="B341" s="1868"/>
      <c r="C341" s="1868"/>
      <c r="D341" s="1868"/>
      <c r="E341" s="1895">
        <f t="shared" si="2044"/>
        <v>0</v>
      </c>
      <c r="F341" s="1868"/>
      <c r="G341" s="1868"/>
      <c r="H341" s="1868"/>
      <c r="I341" s="1895">
        <f t="shared" si="2049"/>
        <v>0</v>
      </c>
      <c r="J341" s="1896">
        <f t="shared" si="2050"/>
        <v>0</v>
      </c>
      <c r="K341" s="1868"/>
      <c r="L341" s="1868"/>
      <c r="M341" s="1868"/>
      <c r="N341" s="1895">
        <f t="shared" si="2051"/>
        <v>0</v>
      </c>
      <c r="O341" s="1896">
        <f t="shared" si="2052"/>
        <v>0</v>
      </c>
      <c r="P341" s="1868"/>
      <c r="Q341" s="1868"/>
      <c r="R341" s="1868"/>
      <c r="S341" s="1895">
        <f t="shared" si="2054"/>
        <v>0</v>
      </c>
      <c r="T341" s="1897">
        <f t="shared" si="2053"/>
        <v>0</v>
      </c>
      <c r="W341" s="1838"/>
      <c r="Z341" s="1418"/>
      <c r="AD341" s="1418"/>
      <c r="AE341" s="1418"/>
      <c r="AI341" s="1418"/>
      <c r="AJ341" s="1418"/>
      <c r="AN341" s="1418"/>
    </row>
    <row r="342">
      <c r="A342" s="1551" t="s">
        <v>525</v>
      </c>
      <c r="B342" s="1868">
        <v>1242</v>
      </c>
      <c r="C342" s="1868">
        <v>1774</v>
      </c>
      <c r="D342" s="1868"/>
      <c r="E342" s="1895">
        <f t="shared" si="2044"/>
        <v>3016</v>
      </c>
      <c r="F342" s="1868"/>
      <c r="G342" s="1868"/>
      <c r="H342" s="1868"/>
      <c r="I342" s="1895">
        <f t="shared" si="2049"/>
        <v>0</v>
      </c>
      <c r="J342" s="1896">
        <f t="shared" si="2050"/>
        <v>3016</v>
      </c>
      <c r="K342" s="1868"/>
      <c r="L342" s="1868"/>
      <c r="M342" s="1868"/>
      <c r="N342" s="1895">
        <f t="shared" si="2051"/>
        <v>0</v>
      </c>
      <c r="O342" s="1896">
        <f t="shared" si="2052"/>
        <v>3016</v>
      </c>
      <c r="P342" s="1868"/>
      <c r="Q342" s="1868"/>
      <c r="R342" s="1868"/>
      <c r="S342" s="1895">
        <f t="shared" si="2054"/>
        <v>0</v>
      </c>
      <c r="T342" s="1897">
        <f t="shared" si="2053"/>
        <v>3016</v>
      </c>
      <c r="W342" s="1838"/>
      <c r="Z342" s="1418"/>
      <c r="AD342" s="1418"/>
      <c r="AE342" s="1418"/>
      <c r="AI342" s="1418"/>
      <c r="AJ342" s="1418"/>
      <c r="AN342" s="1418"/>
    </row>
    <row r="343">
      <c r="A343" s="1551" t="s">
        <v>610</v>
      </c>
      <c r="B343" s="1868">
        <v>134</v>
      </c>
      <c r="C343" s="1868">
        <f>5+164</f>
        <v>169</v>
      </c>
      <c r="D343" s="1868"/>
      <c r="E343" s="1895">
        <f t="shared" si="2044"/>
        <v>303</v>
      </c>
      <c r="F343" s="1868"/>
      <c r="G343" s="1868"/>
      <c r="H343" s="1868"/>
      <c r="I343" s="1895">
        <f t="shared" si="2049"/>
        <v>0</v>
      </c>
      <c r="J343" s="1896">
        <f t="shared" si="2050"/>
        <v>303</v>
      </c>
      <c r="K343" s="1868"/>
      <c r="L343" s="1868"/>
      <c r="M343" s="1868"/>
      <c r="N343" s="1895">
        <f t="shared" si="2051"/>
        <v>0</v>
      </c>
      <c r="O343" s="1896">
        <f t="shared" si="2052"/>
        <v>303</v>
      </c>
      <c r="P343" s="1868"/>
      <c r="Q343" s="1868"/>
      <c r="R343" s="1868"/>
      <c r="S343" s="1895">
        <f t="shared" si="2054"/>
        <v>0</v>
      </c>
      <c r="T343" s="1897">
        <f t="shared" si="2053"/>
        <v>303</v>
      </c>
      <c r="W343" s="1838"/>
      <c r="Z343" s="1418"/>
      <c r="AD343" s="1418"/>
      <c r="AE343" s="1418"/>
      <c r="AI343" s="1418"/>
      <c r="AJ343" s="1418"/>
      <c r="AN343" s="1418"/>
    </row>
    <row r="344">
      <c r="A344" s="1551" t="s">
        <v>611</v>
      </c>
      <c r="B344" s="1868">
        <v>31</v>
      </c>
      <c r="C344" s="1868">
        <v>23</v>
      </c>
      <c r="D344" s="1868"/>
      <c r="E344" s="1895">
        <f t="shared" si="2044"/>
        <v>54</v>
      </c>
      <c r="F344" s="1868"/>
      <c r="G344" s="1868"/>
      <c r="H344" s="1868"/>
      <c r="I344" s="1895">
        <f t="shared" si="2049"/>
        <v>0</v>
      </c>
      <c r="J344" s="1896">
        <f t="shared" si="2050"/>
        <v>54</v>
      </c>
      <c r="K344" s="1868"/>
      <c r="L344" s="1868"/>
      <c r="M344" s="1868"/>
      <c r="N344" s="1895">
        <f t="shared" si="2051"/>
        <v>0</v>
      </c>
      <c r="O344" s="1896">
        <f t="shared" si="2052"/>
        <v>54</v>
      </c>
      <c r="P344" s="1868"/>
      <c r="Q344" s="1868"/>
      <c r="R344" s="1868"/>
      <c r="S344" s="1895">
        <f t="shared" si="2054"/>
        <v>0</v>
      </c>
      <c r="T344" s="1897">
        <f t="shared" si="2053"/>
        <v>54</v>
      </c>
      <c r="W344" s="1410"/>
      <c r="Z344" s="1418"/>
      <c r="AD344" s="1418"/>
      <c r="AE344" s="1418"/>
      <c r="AI344" s="1418"/>
      <c r="AJ344" s="1418"/>
      <c r="AN344" s="1418"/>
    </row>
    <row r="345" s="1510" customFormat="1">
      <c r="A345" s="1511" t="s">
        <v>544</v>
      </c>
      <c r="B345" s="1871">
        <f>SUM(B341:B344)</f>
        <v>1407</v>
      </c>
      <c r="C345" s="1871">
        <f>SUM(C341:C344)</f>
        <v>1966</v>
      </c>
      <c r="D345" s="1871">
        <f>SUM(D341:D344)</f>
        <v>0</v>
      </c>
      <c r="E345" s="1899">
        <f t="shared" si="2044"/>
        <v>3373</v>
      </c>
      <c r="F345" s="1871">
        <f>SUM(F341:F344)</f>
        <v>0</v>
      </c>
      <c r="G345" s="1871">
        <f>SUM(G341:G344)</f>
        <v>0</v>
      </c>
      <c r="H345" s="1871">
        <f>SUM(H341:H344)</f>
        <v>0</v>
      </c>
      <c r="I345" s="1899">
        <f t="shared" si="2049"/>
        <v>0</v>
      </c>
      <c r="J345" s="1900">
        <f t="shared" si="2050"/>
        <v>3373</v>
      </c>
      <c r="K345" s="1871">
        <f>SUM(K341:K344)</f>
        <v>0</v>
      </c>
      <c r="L345" s="1871">
        <f>SUM(L341:L344)</f>
        <v>0</v>
      </c>
      <c r="M345" s="1871">
        <f>SUM(M341:M344)</f>
        <v>0</v>
      </c>
      <c r="N345" s="1899">
        <f t="shared" si="2051"/>
        <v>0</v>
      </c>
      <c r="O345" s="1900">
        <f t="shared" si="2052"/>
        <v>3373</v>
      </c>
      <c r="P345" s="1871">
        <f>SUM(P341:P344)</f>
        <v>0</v>
      </c>
      <c r="Q345" s="1871">
        <f>SUM(Q341:Q344)</f>
        <v>0</v>
      </c>
      <c r="R345" s="1871">
        <f>SUM(R341:R344)</f>
        <v>0</v>
      </c>
      <c r="S345" s="1899">
        <f t="shared" si="2054"/>
        <v>0</v>
      </c>
      <c r="T345" s="1901">
        <f>SUM(T341:T344)</f>
        <v>3373</v>
      </c>
      <c r="U345" s="1515"/>
      <c r="V345" s="1515"/>
      <c r="W345" s="1838"/>
      <c r="X345" s="1515"/>
      <c r="Y345" s="1515"/>
      <c r="Z345" s="2062"/>
      <c r="AA345" s="1515"/>
      <c r="AB345" s="1515"/>
      <c r="AC345" s="1515"/>
      <c r="AD345" s="2062"/>
      <c r="AE345" s="2062"/>
      <c r="AF345" s="1515"/>
      <c r="AG345" s="1515"/>
      <c r="AH345" s="1515"/>
      <c r="AI345" s="2062"/>
      <c r="AJ345" s="2062"/>
      <c r="AK345" s="1515"/>
      <c r="AL345" s="1886"/>
      <c r="AM345" s="1515"/>
      <c r="AN345" s="2062"/>
      <c r="AO345" s="2062"/>
      <c r="AP345" s="1515"/>
      <c r="AQ345" s="1515"/>
      <c r="AR345" s="1515"/>
      <c r="AS345" s="1515"/>
      <c r="AT345" s="1515"/>
      <c r="AU345" s="1515"/>
      <c r="AV345" s="1515"/>
      <c r="AW345" s="1515"/>
      <c r="AX345" s="1515"/>
      <c r="AY345" s="1515"/>
      <c r="AZ345" s="1515"/>
    </row>
    <row r="346">
      <c r="A346" s="1179" t="s">
        <v>390</v>
      </c>
      <c r="B346" s="1868">
        <f>464+3+4+1007+1</f>
        <v>1479</v>
      </c>
      <c r="C346" s="1868">
        <f>2+10+1006</f>
        <v>1018</v>
      </c>
      <c r="D346" s="1868"/>
      <c r="E346" s="1895">
        <f t="shared" si="2044"/>
        <v>2497</v>
      </c>
      <c r="F346" s="1868"/>
      <c r="G346" s="1868"/>
      <c r="H346" s="1868"/>
      <c r="I346" s="1895">
        <f t="shared" si="2049"/>
        <v>0</v>
      </c>
      <c r="J346" s="1896">
        <f t="shared" si="2050"/>
        <v>2497</v>
      </c>
      <c r="K346" s="1868"/>
      <c r="L346" s="1868"/>
      <c r="M346" s="1868"/>
      <c r="N346" s="1895">
        <f t="shared" si="2051"/>
        <v>0</v>
      </c>
      <c r="O346" s="1896">
        <f t="shared" si="2052"/>
        <v>2497</v>
      </c>
      <c r="P346" s="1868"/>
      <c r="Q346" s="1868"/>
      <c r="R346" s="1868"/>
      <c r="S346" s="1895">
        <f t="shared" si="2054"/>
        <v>0</v>
      </c>
      <c r="T346" s="1897">
        <f t="shared" si="2053"/>
        <v>2497</v>
      </c>
      <c r="W346" s="1410"/>
      <c r="Z346" s="1418"/>
      <c r="AD346" s="1418"/>
      <c r="AE346" s="1418"/>
      <c r="AI346" s="1418"/>
      <c r="AJ346" s="1418"/>
      <c r="AN346" s="1418"/>
    </row>
    <row r="347">
      <c r="A347" s="1179" t="s">
        <v>392</v>
      </c>
      <c r="B347" s="1868">
        <f>335+210+32</f>
        <v>577</v>
      </c>
      <c r="C347" s="1868">
        <f>389+195+39</f>
        <v>623</v>
      </c>
      <c r="D347" s="1868"/>
      <c r="E347" s="1895">
        <f t="shared" si="2044"/>
        <v>1200</v>
      </c>
      <c r="F347" s="1868"/>
      <c r="G347" s="1868"/>
      <c r="H347" s="1868"/>
      <c r="I347" s="1895">
        <f t="shared" si="2049"/>
        <v>0</v>
      </c>
      <c r="J347" s="1896">
        <f t="shared" si="2050"/>
        <v>1200</v>
      </c>
      <c r="K347" s="1868"/>
      <c r="L347" s="1868"/>
      <c r="M347" s="1868"/>
      <c r="N347" s="1895">
        <f t="shared" si="2051"/>
        <v>0</v>
      </c>
      <c r="O347" s="1896">
        <f t="shared" si="2052"/>
        <v>1200</v>
      </c>
      <c r="P347" s="1868"/>
      <c r="Q347" s="1868"/>
      <c r="R347" s="1868"/>
      <c r="S347" s="1895">
        <f t="shared" si="2054"/>
        <v>0</v>
      </c>
      <c r="T347" s="1897">
        <f t="shared" si="2053"/>
        <v>1200</v>
      </c>
      <c r="W347" s="1410"/>
      <c r="Z347" s="1418"/>
      <c r="AD347" s="1418"/>
      <c r="AE347" s="1418"/>
      <c r="AI347" s="1418"/>
      <c r="AJ347" s="1418"/>
      <c r="AN347" s="1418"/>
    </row>
    <row r="348">
      <c r="A348" s="1179" t="s">
        <v>265</v>
      </c>
      <c r="B348" s="1868">
        <f>91+71</f>
        <v>162</v>
      </c>
      <c r="C348" s="1868">
        <f>2+63+44</f>
        <v>109</v>
      </c>
      <c r="D348" s="1868"/>
      <c r="E348" s="1895">
        <f t="shared" si="2044"/>
        <v>271</v>
      </c>
      <c r="F348" s="1868"/>
      <c r="G348" s="1868"/>
      <c r="H348" s="1868"/>
      <c r="I348" s="1895">
        <f t="shared" si="2049"/>
        <v>0</v>
      </c>
      <c r="J348" s="1896">
        <f t="shared" si="2050"/>
        <v>271</v>
      </c>
      <c r="K348" s="1868"/>
      <c r="L348" s="1868"/>
      <c r="M348" s="1868"/>
      <c r="N348" s="1895">
        <f t="shared" si="2051"/>
        <v>0</v>
      </c>
      <c r="O348" s="1896">
        <f t="shared" si="2052"/>
        <v>271</v>
      </c>
      <c r="P348" s="1868"/>
      <c r="Q348" s="1868"/>
      <c r="R348" s="1868"/>
      <c r="S348" s="1895">
        <f t="shared" si="2054"/>
        <v>0</v>
      </c>
      <c r="T348" s="1897">
        <f t="shared" si="2053"/>
        <v>271</v>
      </c>
      <c r="W348" s="1410"/>
      <c r="Z348" s="1418"/>
      <c r="AD348" s="1418"/>
      <c r="AE348" s="1418"/>
      <c r="AI348" s="1418"/>
      <c r="AJ348" s="1418"/>
      <c r="AN348" s="1418"/>
    </row>
    <row r="349">
      <c r="A349" s="1179" t="s">
        <v>612</v>
      </c>
      <c r="B349" s="1868">
        <v>523</v>
      </c>
      <c r="C349" s="1868">
        <f>461</f>
        <v>461</v>
      </c>
      <c r="D349" s="1868"/>
      <c r="E349" s="1895">
        <f t="shared" si="2044"/>
        <v>984</v>
      </c>
      <c r="F349" s="1868"/>
      <c r="G349" s="1868"/>
      <c r="H349" s="1868"/>
      <c r="I349" s="1895">
        <f t="shared" si="2049"/>
        <v>0</v>
      </c>
      <c r="J349" s="1896">
        <f t="shared" si="2050"/>
        <v>984</v>
      </c>
      <c r="K349" s="1868"/>
      <c r="L349" s="1868"/>
      <c r="M349" s="1868"/>
      <c r="N349" s="1895">
        <f t="shared" si="2051"/>
        <v>0</v>
      </c>
      <c r="O349" s="1896">
        <f t="shared" si="2052"/>
        <v>984</v>
      </c>
      <c r="P349" s="1868"/>
      <c r="Q349" s="1868"/>
      <c r="R349" s="1868"/>
      <c r="S349" s="1895">
        <f t="shared" si="2054"/>
        <v>0</v>
      </c>
      <c r="T349" s="1897">
        <f t="shared" si="2053"/>
        <v>984</v>
      </c>
      <c r="U349" s="2075"/>
      <c r="W349" s="1410"/>
      <c r="Z349" s="1418"/>
      <c r="AD349" s="1418"/>
      <c r="AE349" s="1418"/>
      <c r="AI349" s="1418"/>
      <c r="AJ349" s="1418"/>
      <c r="AN349" s="1418"/>
    </row>
    <row r="350" s="1510" customFormat="1">
      <c r="A350" s="1511" t="s">
        <v>394</v>
      </c>
      <c r="B350" s="1871">
        <f>SUM(B346:B349)</f>
        <v>2741</v>
      </c>
      <c r="C350" s="1871">
        <f>SUM(C346:C349)</f>
        <v>2211</v>
      </c>
      <c r="D350" s="1871">
        <f>SUM(D346:D349)</f>
        <v>0</v>
      </c>
      <c r="E350" s="1899">
        <f t="shared" si="2044"/>
        <v>4952</v>
      </c>
      <c r="F350" s="1871">
        <f>SUM(F346:F349)</f>
        <v>0</v>
      </c>
      <c r="G350" s="1871">
        <f>SUM(G346:G349)</f>
        <v>0</v>
      </c>
      <c r="H350" s="1871">
        <f>SUM(H346:H349)</f>
        <v>0</v>
      </c>
      <c r="I350" s="1899">
        <f t="shared" si="2049"/>
        <v>0</v>
      </c>
      <c r="J350" s="1900">
        <f t="shared" si="2050"/>
        <v>4952</v>
      </c>
      <c r="K350" s="1871">
        <f>SUM(K346:K349)</f>
        <v>0</v>
      </c>
      <c r="L350" s="1871">
        <f>SUM(L346:L349)</f>
        <v>0</v>
      </c>
      <c r="M350" s="1871">
        <f>SUM(M346:M349)</f>
        <v>0</v>
      </c>
      <c r="N350" s="1899">
        <f t="shared" si="2051"/>
        <v>0</v>
      </c>
      <c r="O350" s="1900">
        <f t="shared" si="2052"/>
        <v>4952</v>
      </c>
      <c r="P350" s="1871">
        <f>SUM(P346:P349)</f>
        <v>0</v>
      </c>
      <c r="Q350" s="1871">
        <f>SUM(Q346:Q349)</f>
        <v>0</v>
      </c>
      <c r="R350" s="1871">
        <f>SUM(R346:R349)</f>
        <v>0</v>
      </c>
      <c r="S350" s="1899">
        <f t="shared" si="2054"/>
        <v>0</v>
      </c>
      <c r="T350" s="1901">
        <f>SUM(T346:T349)</f>
        <v>4952</v>
      </c>
      <c r="U350" s="1515"/>
      <c r="V350" s="1515"/>
      <c r="W350" s="1838"/>
      <c r="X350" s="1515"/>
      <c r="Y350" s="1515"/>
      <c r="Z350" s="2062"/>
      <c r="AA350" s="1515"/>
      <c r="AB350" s="1515"/>
      <c r="AC350" s="1515"/>
      <c r="AD350" s="2062"/>
      <c r="AE350" s="2062"/>
      <c r="AF350" s="1515"/>
      <c r="AG350" s="1515"/>
      <c r="AH350" s="1515"/>
      <c r="AI350" s="2062"/>
      <c r="AJ350" s="2062"/>
      <c r="AK350" s="1515"/>
      <c r="AL350" s="1886"/>
      <c r="AM350" s="1515"/>
      <c r="AN350" s="2062"/>
      <c r="AO350" s="2062"/>
      <c r="AP350" s="1515"/>
      <c r="AQ350" s="1515"/>
      <c r="AR350" s="1515"/>
      <c r="AS350" s="1515"/>
      <c r="AT350" s="1515"/>
      <c r="AU350" s="1515"/>
      <c r="AV350" s="1515"/>
      <c r="AW350" s="1515"/>
      <c r="AX350" s="1515"/>
      <c r="AY350" s="1515"/>
      <c r="AZ350" s="1515"/>
    </row>
    <row r="351" s="1510" customFormat="1">
      <c r="A351" s="1904" t="s">
        <v>545</v>
      </c>
      <c r="B351" s="1905">
        <f>B326+B340+B345+B350</f>
        <v>4927</v>
      </c>
      <c r="C351" s="1905">
        <f>C326+C340+C345+C350</f>
        <v>5561</v>
      </c>
      <c r="D351" s="1905">
        <f>D326+D340+D345+D350</f>
        <v>0</v>
      </c>
      <c r="E351" s="1899">
        <f t="shared" si="2044"/>
        <v>10488</v>
      </c>
      <c r="F351" s="1905">
        <f>F326+F340+F345+F350</f>
        <v>0</v>
      </c>
      <c r="G351" s="1905">
        <f>G326+G340+G345+G350</f>
        <v>0</v>
      </c>
      <c r="H351" s="1905">
        <f>H326+H340+H345+H350</f>
        <v>0</v>
      </c>
      <c r="I351" s="1899">
        <f t="shared" si="2049"/>
        <v>0</v>
      </c>
      <c r="J351" s="1899">
        <f t="shared" si="2050"/>
        <v>10488</v>
      </c>
      <c r="K351" s="1905">
        <f>K326+K340+K345+K350</f>
        <v>0</v>
      </c>
      <c r="L351" s="1905">
        <f>L326+L340+L345+L350</f>
        <v>0</v>
      </c>
      <c r="M351" s="1905">
        <f>M326+M340+M345+M350</f>
        <v>0</v>
      </c>
      <c r="N351" s="1899">
        <f t="shared" si="2051"/>
        <v>0</v>
      </c>
      <c r="O351" s="1899">
        <f t="shared" si="2052"/>
        <v>10488</v>
      </c>
      <c r="P351" s="1905">
        <f>P326+P340+P345+P350</f>
        <v>0</v>
      </c>
      <c r="Q351" s="1905">
        <f>Q326+Q340+Q345+Q350</f>
        <v>0</v>
      </c>
      <c r="R351" s="1905">
        <f>R326+R340+R345+R350</f>
        <v>0</v>
      </c>
      <c r="S351" s="1899">
        <f t="shared" si="2054"/>
        <v>0</v>
      </c>
      <c r="T351" s="1905">
        <f>T326+T340+T345+T350</f>
        <v>10488</v>
      </c>
      <c r="U351" s="1515"/>
      <c r="V351" s="1515"/>
      <c r="W351" s="1838"/>
      <c r="X351" s="1515"/>
      <c r="Y351" s="1515"/>
      <c r="Z351" s="2062"/>
      <c r="AA351" s="1515"/>
      <c r="AB351" s="1515"/>
      <c r="AC351" s="1515"/>
      <c r="AD351" s="2062"/>
      <c r="AE351" s="2062"/>
      <c r="AF351" s="1515"/>
      <c r="AG351" s="1515"/>
      <c r="AH351" s="1515"/>
      <c r="AI351" s="2062"/>
      <c r="AJ351" s="2062"/>
      <c r="AK351" s="1515"/>
      <c r="AL351" s="1886"/>
      <c r="AM351" s="1515"/>
      <c r="AN351" s="2062"/>
      <c r="AO351" s="2062"/>
      <c r="AP351" s="1515"/>
      <c r="AQ351" s="1515"/>
      <c r="AR351" s="1515"/>
      <c r="AS351" s="1515"/>
      <c r="AT351" s="1515"/>
      <c r="AU351" s="1515"/>
      <c r="AV351" s="1515"/>
      <c r="AW351" s="1515"/>
      <c r="AX351" s="1515"/>
      <c r="AY351" s="1515"/>
      <c r="AZ351" s="1515"/>
    </row>
    <row r="352">
      <c r="A352" s="1179" t="s">
        <v>613</v>
      </c>
      <c r="B352" s="1868">
        <f>16+25</f>
        <v>41</v>
      </c>
      <c r="C352" s="1868">
        <f>47+25</f>
        <v>72</v>
      </c>
      <c r="D352" s="1868"/>
      <c r="E352" s="1895">
        <f t="shared" si="2044"/>
        <v>113</v>
      </c>
      <c r="F352" s="1868"/>
      <c r="G352" s="1868"/>
      <c r="H352" s="1868"/>
      <c r="I352" s="1895">
        <f t="shared" si="2049"/>
        <v>0</v>
      </c>
      <c r="J352" s="1896">
        <f t="shared" si="2050"/>
        <v>113</v>
      </c>
      <c r="K352" s="1868"/>
      <c r="L352" s="1868"/>
      <c r="M352" s="1868"/>
      <c r="N352" s="1895">
        <f t="shared" si="2051"/>
        <v>0</v>
      </c>
      <c r="O352" s="1896">
        <f t="shared" si="2052"/>
        <v>113</v>
      </c>
      <c r="P352" s="1868"/>
      <c r="Q352" s="1868"/>
      <c r="R352" s="1868"/>
      <c r="S352" s="1899">
        <f t="shared" si="2054"/>
        <v>0</v>
      </c>
      <c r="T352" s="1897">
        <f t="shared" si="2053"/>
        <v>113</v>
      </c>
      <c r="Z352" s="1418"/>
      <c r="AD352" s="1418"/>
      <c r="AE352" s="1418"/>
      <c r="AI352" s="1418"/>
      <c r="AJ352" s="1418"/>
      <c r="AN352" s="1418"/>
    </row>
    <row r="353" s="2082" customFormat="1">
      <c r="A353" s="1179" t="s">
        <v>397</v>
      </c>
      <c r="B353" s="1868">
        <v>14</v>
      </c>
      <c r="C353" s="1868">
        <v>21</v>
      </c>
      <c r="D353" s="1868"/>
      <c r="E353" s="1895">
        <f t="shared" si="2044"/>
        <v>35</v>
      </c>
      <c r="F353" s="1868"/>
      <c r="G353" s="1868"/>
      <c r="H353" s="1868"/>
      <c r="I353" s="1895">
        <f t="shared" si="2049"/>
        <v>0</v>
      </c>
      <c r="J353" s="1896">
        <f t="shared" si="2050"/>
        <v>35</v>
      </c>
      <c r="K353" s="1868"/>
      <c r="L353" s="1868"/>
      <c r="M353" s="1868"/>
      <c r="N353" s="1895">
        <f t="shared" si="2051"/>
        <v>0</v>
      </c>
      <c r="O353" s="1896">
        <f t="shared" si="2052"/>
        <v>35</v>
      </c>
      <c r="P353" s="1868"/>
      <c r="Q353" s="1868"/>
      <c r="R353" s="1868"/>
      <c r="S353" s="1895">
        <f t="shared" si="2054"/>
        <v>0</v>
      </c>
      <c r="T353" s="1897">
        <f t="shared" si="2053"/>
        <v>35</v>
      </c>
      <c r="U353" s="1409"/>
      <c r="V353" s="1409"/>
      <c r="W353" s="1409"/>
      <c r="X353" s="1409"/>
      <c r="Y353" s="1409"/>
      <c r="Z353" s="1418"/>
      <c r="AA353" s="1409"/>
      <c r="AB353" s="1409"/>
      <c r="AC353" s="1409"/>
      <c r="AD353" s="1418"/>
      <c r="AE353" s="1418"/>
      <c r="AF353" s="1409"/>
      <c r="AG353" s="1409"/>
      <c r="AH353" s="1409"/>
      <c r="AI353" s="1418"/>
      <c r="AJ353" s="1418"/>
      <c r="AK353" s="1409"/>
      <c r="AL353" s="1417"/>
      <c r="AM353" s="1409"/>
      <c r="AN353" s="1418"/>
      <c r="AO353" s="1418"/>
      <c r="AP353" s="1409"/>
      <c r="AQ353" s="1409"/>
      <c r="AR353" s="1409"/>
      <c r="AS353" s="1409"/>
      <c r="AT353" s="1409"/>
      <c r="AU353" s="1409"/>
      <c r="AV353" s="1409"/>
      <c r="AW353" s="1409"/>
      <c r="AX353" s="1409"/>
      <c r="AY353" s="1409"/>
      <c r="AZ353" s="1409"/>
    </row>
    <row r="354" s="2082" customFormat="1">
      <c r="A354" s="1179" t="s">
        <v>546</v>
      </c>
      <c r="B354" s="1868">
        <v>4</v>
      </c>
      <c r="C354" s="1868">
        <v>7</v>
      </c>
      <c r="D354" s="1868"/>
      <c r="E354" s="1895">
        <f t="shared" si="2044"/>
        <v>11</v>
      </c>
      <c r="F354" s="1868"/>
      <c r="G354" s="1868"/>
      <c r="H354" s="1868"/>
      <c r="I354" s="1895">
        <f t="shared" si="2049"/>
        <v>0</v>
      </c>
      <c r="J354" s="1896">
        <f t="shared" si="2050"/>
        <v>11</v>
      </c>
      <c r="K354" s="1868"/>
      <c r="L354" s="1868"/>
      <c r="M354" s="1868"/>
      <c r="N354" s="1895">
        <f t="shared" si="2051"/>
        <v>0</v>
      </c>
      <c r="O354" s="1896">
        <f t="shared" si="2052"/>
        <v>11</v>
      </c>
      <c r="P354" s="1868"/>
      <c r="Q354" s="1868"/>
      <c r="R354" s="1868"/>
      <c r="S354" s="1895">
        <f t="shared" si="2054"/>
        <v>0</v>
      </c>
      <c r="T354" s="1897">
        <f t="shared" si="2053"/>
        <v>11</v>
      </c>
      <c r="U354" s="1409"/>
      <c r="V354" s="1409"/>
      <c r="W354" s="1409"/>
      <c r="X354" s="1409"/>
      <c r="Y354" s="1409"/>
      <c r="Z354" s="1418"/>
      <c r="AA354" s="1409"/>
      <c r="AB354" s="1409"/>
      <c r="AC354" s="1409"/>
      <c r="AD354" s="1418"/>
      <c r="AE354" s="1418"/>
      <c r="AF354" s="1409"/>
      <c r="AG354" s="1409"/>
      <c r="AH354" s="1409"/>
      <c r="AI354" s="1418"/>
      <c r="AJ354" s="1418"/>
      <c r="AK354" s="1409"/>
      <c r="AL354" s="1417"/>
      <c r="AM354" s="1409"/>
      <c r="AN354" s="1418"/>
      <c r="AO354" s="1418"/>
      <c r="AP354" s="1409"/>
      <c r="AQ354" s="1409"/>
      <c r="AR354" s="1409"/>
      <c r="AS354" s="1409"/>
      <c r="AT354" s="1409"/>
      <c r="AU354" s="1409"/>
      <c r="AV354" s="1409"/>
      <c r="AW354" s="1409"/>
      <c r="AX354" s="1409"/>
      <c r="AY354" s="1409"/>
      <c r="AZ354" s="1409"/>
    </row>
    <row r="355" s="2083" customFormat="1">
      <c r="A355" s="1511" t="s">
        <v>614</v>
      </c>
      <c r="B355" s="1871">
        <f>SUM(B352:B354)</f>
        <v>59</v>
      </c>
      <c r="C355" s="1871">
        <f>C352+C353+C354</f>
        <v>100</v>
      </c>
      <c r="D355" s="1871">
        <f>D352+D353+D354</f>
        <v>0</v>
      </c>
      <c r="E355" s="1899">
        <f t="shared" si="2044"/>
        <v>159</v>
      </c>
      <c r="F355" s="1871">
        <f>F352+F353+F354</f>
        <v>0</v>
      </c>
      <c r="G355" s="1871">
        <f>G352+G353+G354</f>
        <v>0</v>
      </c>
      <c r="H355" s="1871">
        <f>H352+H353+H354</f>
        <v>0</v>
      </c>
      <c r="I355" s="1899">
        <f t="shared" si="2049"/>
        <v>0</v>
      </c>
      <c r="J355" s="1900">
        <f t="shared" si="2050"/>
        <v>159</v>
      </c>
      <c r="K355" s="1871">
        <f>K352+K353+K354</f>
        <v>0</v>
      </c>
      <c r="L355" s="1871">
        <f>L352+L353+L354</f>
        <v>0</v>
      </c>
      <c r="M355" s="1871">
        <f>M352+M353+M354</f>
        <v>0</v>
      </c>
      <c r="N355" s="1899">
        <f t="shared" si="2051"/>
        <v>0</v>
      </c>
      <c r="O355" s="1900">
        <f t="shared" si="2052"/>
        <v>159</v>
      </c>
      <c r="P355" s="1871">
        <f>P352+P353+P354</f>
        <v>0</v>
      </c>
      <c r="Q355" s="1871">
        <f>Q352+Q353+Q354</f>
        <v>0</v>
      </c>
      <c r="R355" s="1871">
        <f>R352+R353+R354</f>
        <v>0</v>
      </c>
      <c r="S355" s="1899">
        <f t="shared" si="2054"/>
        <v>0</v>
      </c>
      <c r="T355" s="1901">
        <f>SUM(T352:T354)</f>
        <v>159</v>
      </c>
      <c r="U355" s="1515"/>
      <c r="V355" s="1515"/>
      <c r="W355" s="1515"/>
      <c r="X355" s="1515"/>
      <c r="Y355" s="1515"/>
      <c r="Z355" s="2062"/>
      <c r="AA355" s="1515"/>
      <c r="AB355" s="1515"/>
      <c r="AC355" s="1515"/>
      <c r="AD355" s="2062"/>
      <c r="AE355" s="2062"/>
      <c r="AF355" s="1515"/>
      <c r="AG355" s="1515"/>
      <c r="AH355" s="1515"/>
      <c r="AI355" s="2062"/>
      <c r="AJ355" s="2062"/>
      <c r="AK355" s="1515"/>
      <c r="AL355" s="1886"/>
      <c r="AM355" s="1515"/>
      <c r="AN355" s="2062"/>
      <c r="AO355" s="2062"/>
      <c r="AP355" s="1515"/>
      <c r="AQ355" s="1515"/>
      <c r="AR355" s="1515"/>
      <c r="AS355" s="1515"/>
      <c r="AT355" s="1515"/>
      <c r="AU355" s="1515"/>
      <c r="AV355" s="1515"/>
      <c r="AW355" s="1515"/>
      <c r="AX355" s="1515"/>
      <c r="AY355" s="1515"/>
      <c r="AZ355" s="1515"/>
    </row>
    <row r="356">
      <c r="A356" s="1179" t="s">
        <v>548</v>
      </c>
      <c r="B356" s="1868">
        <f>190+377</f>
        <v>567</v>
      </c>
      <c r="C356" s="1868">
        <f>280+598</f>
        <v>878</v>
      </c>
      <c r="D356" s="1868"/>
      <c r="E356" s="1895">
        <f t="shared" si="2044"/>
        <v>1445</v>
      </c>
      <c r="F356" s="1868"/>
      <c r="G356" s="1868"/>
      <c r="H356" s="1868"/>
      <c r="I356" s="1895">
        <f t="shared" si="2049"/>
        <v>0</v>
      </c>
      <c r="J356" s="1896">
        <f t="shared" si="2050"/>
        <v>1445</v>
      </c>
      <c r="K356" s="1868"/>
      <c r="L356" s="1868"/>
      <c r="M356" s="1868"/>
      <c r="N356" s="1895">
        <f t="shared" si="2051"/>
        <v>0</v>
      </c>
      <c r="O356" s="1896">
        <f t="shared" si="2052"/>
        <v>1445</v>
      </c>
      <c r="P356" s="1868"/>
      <c r="Q356" s="1868"/>
      <c r="R356" s="1868"/>
      <c r="S356" s="1895">
        <f t="shared" si="2054"/>
        <v>0</v>
      </c>
      <c r="T356" s="1897">
        <f t="shared" si="2053"/>
        <v>1445</v>
      </c>
      <c r="Z356" s="1418"/>
      <c r="AD356" s="1418"/>
      <c r="AE356" s="1418"/>
      <c r="AI356" s="1418"/>
      <c r="AJ356" s="1418"/>
      <c r="AN356" s="1418"/>
    </row>
    <row r="357">
      <c r="A357" s="1179" t="s">
        <v>549</v>
      </c>
      <c r="B357" s="1868">
        <f>4+39+85</f>
        <v>128</v>
      </c>
      <c r="C357" s="1868">
        <f>40+2+81</f>
        <v>123</v>
      </c>
      <c r="D357" s="1868"/>
      <c r="E357" s="1895">
        <f t="shared" si="2044"/>
        <v>251</v>
      </c>
      <c r="F357" s="1868"/>
      <c r="G357" s="1868"/>
      <c r="H357" s="1868"/>
      <c r="I357" s="1895">
        <f t="shared" si="2049"/>
        <v>0</v>
      </c>
      <c r="J357" s="1896">
        <f t="shared" si="2050"/>
        <v>251</v>
      </c>
      <c r="K357" s="1868"/>
      <c r="L357" s="1868"/>
      <c r="M357" s="1868"/>
      <c r="N357" s="1895">
        <f t="shared" si="2051"/>
        <v>0</v>
      </c>
      <c r="O357" s="1896">
        <f t="shared" si="2052"/>
        <v>251</v>
      </c>
      <c r="P357" s="1868"/>
      <c r="Q357" s="1868"/>
      <c r="R357" s="1868"/>
      <c r="S357" s="1895">
        <f t="shared" si="2054"/>
        <v>0</v>
      </c>
      <c r="T357" s="1897">
        <f t="shared" si="2053"/>
        <v>251</v>
      </c>
      <c r="Z357" s="1418"/>
      <c r="AD357" s="1418"/>
      <c r="AE357" s="1418"/>
      <c r="AI357" s="1418"/>
      <c r="AJ357" s="1418"/>
      <c r="AN357" s="1418"/>
    </row>
    <row r="358" s="1510" customFormat="1">
      <c r="A358" s="1511" t="s">
        <v>615</v>
      </c>
      <c r="B358" s="1871">
        <f>SUM(B356:B357)</f>
        <v>695</v>
      </c>
      <c r="C358" s="1871">
        <f>SUM(C356:C357)</f>
        <v>1001</v>
      </c>
      <c r="D358" s="1871">
        <f>SUM(D356:D357)</f>
        <v>0</v>
      </c>
      <c r="E358" s="1899">
        <f t="shared" ref="E358:E421" si="2055">B358+C358+D358</f>
        <v>1696</v>
      </c>
      <c r="F358" s="1871">
        <f>SUM(F356:F357)</f>
        <v>0</v>
      </c>
      <c r="G358" s="1871">
        <f>SUM(G356:G357)</f>
        <v>0</v>
      </c>
      <c r="H358" s="1871">
        <f>SUM(H356:H357)</f>
        <v>0</v>
      </c>
      <c r="I358" s="1899">
        <f t="shared" si="2049"/>
        <v>0</v>
      </c>
      <c r="J358" s="1900">
        <f t="shared" si="2050"/>
        <v>1696</v>
      </c>
      <c r="K358" s="1871">
        <f>SUM(K356:K357)</f>
        <v>0</v>
      </c>
      <c r="L358" s="1871">
        <f>SUM(L356:L357)</f>
        <v>0</v>
      </c>
      <c r="M358" s="1871">
        <f>SUM(M356:M357)</f>
        <v>0</v>
      </c>
      <c r="N358" s="1899">
        <f t="shared" si="2051"/>
        <v>0</v>
      </c>
      <c r="O358" s="1900">
        <f t="shared" si="2052"/>
        <v>1696</v>
      </c>
      <c r="P358" s="1871">
        <f>SUM(P356:P357)</f>
        <v>0</v>
      </c>
      <c r="Q358" s="1871">
        <f>SUM(Q356:Q357)</f>
        <v>0</v>
      </c>
      <c r="R358" s="1871">
        <f>SUM(R356:R357)</f>
        <v>0</v>
      </c>
      <c r="S358" s="1899">
        <f t="shared" si="2054"/>
        <v>0</v>
      </c>
      <c r="T358" s="1901">
        <f>SUM(T356:T357)</f>
        <v>1696</v>
      </c>
      <c r="U358" s="1515"/>
      <c r="V358" s="1515"/>
      <c r="W358" s="1515"/>
      <c r="X358" s="1515"/>
      <c r="Y358" s="1515"/>
      <c r="Z358" s="2062"/>
      <c r="AA358" s="1515"/>
      <c r="AB358" s="1515"/>
      <c r="AC358" s="1515"/>
      <c r="AD358" s="2062"/>
      <c r="AE358" s="2062"/>
      <c r="AF358" s="1515"/>
      <c r="AG358" s="1515"/>
      <c r="AH358" s="1515"/>
      <c r="AI358" s="2062"/>
      <c r="AJ358" s="2062"/>
      <c r="AK358" s="1515"/>
      <c r="AL358" s="1886"/>
      <c r="AM358" s="1515"/>
      <c r="AN358" s="2062"/>
      <c r="AO358" s="2062"/>
      <c r="AP358" s="1515"/>
      <c r="AQ358" s="1515"/>
      <c r="AR358" s="1515"/>
      <c r="AS358" s="1515"/>
      <c r="AT358" s="1515"/>
      <c r="AU358" s="1515"/>
      <c r="AV358" s="1515"/>
      <c r="AW358" s="1515"/>
      <c r="AX358" s="1515"/>
      <c r="AY358" s="1515"/>
      <c r="AZ358" s="1515"/>
    </row>
    <row r="359" ht="15" customHeight="1">
      <c r="A359" s="1179" t="s">
        <v>241</v>
      </c>
      <c r="B359" s="1868">
        <f>1346+1170+91</f>
        <v>2607</v>
      </c>
      <c r="C359" s="1868">
        <f>1066+919+94</f>
        <v>2079</v>
      </c>
      <c r="D359" s="1868"/>
      <c r="E359" s="1895">
        <f t="shared" si="2055"/>
        <v>4686</v>
      </c>
      <c r="F359" s="1868"/>
      <c r="G359" s="1868"/>
      <c r="H359" s="1868"/>
      <c r="I359" s="1895">
        <f t="shared" si="2049"/>
        <v>0</v>
      </c>
      <c r="J359" s="1896">
        <f t="shared" si="2050"/>
        <v>4686</v>
      </c>
      <c r="K359" s="1868"/>
      <c r="L359" s="1868"/>
      <c r="M359" s="1868"/>
      <c r="N359" s="1895">
        <f t="shared" si="2051"/>
        <v>0</v>
      </c>
      <c r="O359" s="1896">
        <f t="shared" si="2052"/>
        <v>4686</v>
      </c>
      <c r="P359" s="1868"/>
      <c r="Q359" s="1868"/>
      <c r="R359" s="1868"/>
      <c r="S359" s="1895">
        <f t="shared" si="2054"/>
        <v>0</v>
      </c>
      <c r="T359" s="1897">
        <f t="shared" si="2053"/>
        <v>4686</v>
      </c>
      <c r="Z359" s="1418"/>
      <c r="AD359" s="1418"/>
      <c r="AE359" s="1418"/>
      <c r="AI359" s="1418"/>
      <c r="AJ359" s="1418"/>
      <c r="AN359" s="1418"/>
    </row>
    <row r="360" s="1434" customFormat="1">
      <c r="A360" s="2084" t="s">
        <v>616</v>
      </c>
      <c r="B360" s="1868">
        <v>100</v>
      </c>
      <c r="C360" s="1868">
        <v>161</v>
      </c>
      <c r="D360" s="1868"/>
      <c r="E360" s="1895">
        <f t="shared" si="2055"/>
        <v>261</v>
      </c>
      <c r="F360" s="1868"/>
      <c r="G360" s="1868"/>
      <c r="H360" s="1868"/>
      <c r="I360" s="1895">
        <f t="shared" si="2049"/>
        <v>0</v>
      </c>
      <c r="J360" s="1896">
        <f t="shared" si="2050"/>
        <v>261</v>
      </c>
      <c r="K360" s="1868"/>
      <c r="L360" s="1868"/>
      <c r="M360" s="1868"/>
      <c r="N360" s="1895">
        <f t="shared" si="2051"/>
        <v>0</v>
      </c>
      <c r="O360" s="1896">
        <f t="shared" si="2052"/>
        <v>261</v>
      </c>
      <c r="P360" s="1868"/>
      <c r="Q360" s="1868"/>
      <c r="R360" s="1868"/>
      <c r="S360" s="1895">
        <f t="shared" si="2054"/>
        <v>0</v>
      </c>
      <c r="T360" s="1897">
        <f t="shared" si="2053"/>
        <v>261</v>
      </c>
      <c r="U360" s="1409"/>
      <c r="V360" s="1409"/>
      <c r="W360" s="1409"/>
      <c r="X360" s="1409"/>
      <c r="Y360" s="1409"/>
      <c r="Z360" s="1418"/>
      <c r="AA360" s="1409"/>
      <c r="AB360" s="1409"/>
      <c r="AC360" s="1409"/>
      <c r="AD360" s="1418"/>
      <c r="AE360" s="1418"/>
      <c r="AF360" s="1409"/>
      <c r="AG360" s="1409"/>
      <c r="AH360" s="1409"/>
      <c r="AI360" s="1418"/>
      <c r="AJ360" s="1418"/>
      <c r="AK360" s="1409"/>
      <c r="AL360" s="1417"/>
      <c r="AM360" s="1409"/>
      <c r="AN360" s="1418"/>
      <c r="AO360" s="1418"/>
      <c r="AP360" s="1409"/>
      <c r="AQ360" s="1409"/>
      <c r="AR360" s="1409"/>
      <c r="AS360" s="1409"/>
      <c r="AT360" s="1409"/>
      <c r="AU360" s="1409"/>
      <c r="AV360" s="1409"/>
      <c r="AW360" s="1409"/>
      <c r="AX360" s="1409"/>
      <c r="AY360" s="1409"/>
      <c r="AZ360" s="1409"/>
    </row>
    <row r="361" s="1434" customFormat="1">
      <c r="A361" s="2084" t="s">
        <v>316</v>
      </c>
      <c r="B361" s="1868"/>
      <c r="C361" s="1868"/>
      <c r="D361" s="1868"/>
      <c r="E361" s="1895">
        <f t="shared" si="2055"/>
        <v>0</v>
      </c>
      <c r="F361" s="1868"/>
      <c r="G361" s="1868"/>
      <c r="H361" s="1868"/>
      <c r="I361" s="1895">
        <f t="shared" si="2049"/>
        <v>0</v>
      </c>
      <c r="J361" s="1896">
        <f t="shared" si="2050"/>
        <v>0</v>
      </c>
      <c r="K361" s="1868"/>
      <c r="L361" s="1868"/>
      <c r="M361" s="1868"/>
      <c r="N361" s="1895">
        <f t="shared" si="2051"/>
        <v>0</v>
      </c>
      <c r="O361" s="1896">
        <f t="shared" si="2052"/>
        <v>0</v>
      </c>
      <c r="P361" s="1868"/>
      <c r="Q361" s="1868"/>
      <c r="R361" s="1868"/>
      <c r="S361" s="1895">
        <f t="shared" si="2054"/>
        <v>0</v>
      </c>
      <c r="T361" s="1897">
        <f t="shared" si="2053"/>
        <v>0</v>
      </c>
      <c r="U361" s="1409"/>
      <c r="V361" s="1409"/>
      <c r="W361" s="1409"/>
      <c r="X361" s="1409"/>
      <c r="Y361" s="1409"/>
      <c r="Z361" s="1418"/>
      <c r="AA361" s="1409"/>
      <c r="AB361" s="1409"/>
      <c r="AC361" s="1409"/>
      <c r="AD361" s="1418"/>
      <c r="AE361" s="1418"/>
      <c r="AF361" s="1409"/>
      <c r="AG361" s="1409"/>
      <c r="AH361" s="1409"/>
      <c r="AI361" s="1418"/>
      <c r="AJ361" s="1418"/>
      <c r="AK361" s="1409"/>
      <c r="AL361" s="1417"/>
      <c r="AM361" s="1409"/>
      <c r="AN361" s="1418"/>
      <c r="AO361" s="1418"/>
      <c r="AP361" s="1409"/>
      <c r="AQ361" s="1409"/>
      <c r="AR361" s="1409"/>
      <c r="AS361" s="1409"/>
      <c r="AT361" s="1409"/>
      <c r="AU361" s="1409"/>
      <c r="AV361" s="1409"/>
      <c r="AW361" s="1409"/>
      <c r="AX361" s="1409"/>
      <c r="AY361" s="1409"/>
      <c r="AZ361" s="1409"/>
    </row>
    <row r="362" s="1434" customFormat="1">
      <c r="A362" s="2084" t="s">
        <v>568</v>
      </c>
      <c r="B362" s="1868"/>
      <c r="C362" s="1868"/>
      <c r="D362" s="1868"/>
      <c r="E362" s="1895">
        <f t="shared" si="2055"/>
        <v>0</v>
      </c>
      <c r="F362" s="1868"/>
      <c r="G362" s="1868"/>
      <c r="H362" s="1868"/>
      <c r="I362" s="1895">
        <f t="shared" si="2049"/>
        <v>0</v>
      </c>
      <c r="J362" s="1896">
        <f t="shared" si="2050"/>
        <v>0</v>
      </c>
      <c r="K362" s="1868"/>
      <c r="L362" s="1868"/>
      <c r="M362" s="1868"/>
      <c r="N362" s="1895">
        <f t="shared" si="2051"/>
        <v>0</v>
      </c>
      <c r="O362" s="1896">
        <f t="shared" si="2052"/>
        <v>0</v>
      </c>
      <c r="P362" s="1868"/>
      <c r="Q362" s="1868"/>
      <c r="R362" s="1868"/>
      <c r="S362" s="1895">
        <f t="shared" si="2054"/>
        <v>0</v>
      </c>
      <c r="T362" s="1897">
        <f t="shared" si="2053"/>
        <v>0</v>
      </c>
      <c r="U362" s="1409"/>
      <c r="V362" s="1409"/>
      <c r="W362" s="1409"/>
      <c r="X362" s="1409"/>
      <c r="Y362" s="1409"/>
      <c r="Z362" s="1418"/>
      <c r="AA362" s="1409"/>
      <c r="AB362" s="1409"/>
      <c r="AC362" s="1409"/>
      <c r="AD362" s="1418"/>
      <c r="AE362" s="1418"/>
      <c r="AF362" s="1409"/>
      <c r="AG362" s="1409"/>
      <c r="AH362" s="1409"/>
      <c r="AI362" s="1418"/>
      <c r="AJ362" s="1418"/>
      <c r="AK362" s="1409"/>
      <c r="AL362" s="1417"/>
      <c r="AM362" s="1409"/>
      <c r="AN362" s="1418"/>
      <c r="AO362" s="1418"/>
      <c r="AP362" s="1409"/>
      <c r="AQ362" s="1409"/>
      <c r="AR362" s="1409"/>
      <c r="AS362" s="1409"/>
      <c r="AT362" s="1409"/>
      <c r="AU362" s="1409"/>
      <c r="AV362" s="1409"/>
      <c r="AW362" s="1409"/>
      <c r="AX362" s="1409"/>
      <c r="AY362" s="1409"/>
      <c r="AZ362" s="1409"/>
    </row>
    <row r="363" s="1434" customFormat="1">
      <c r="A363" s="2084" t="s">
        <v>230</v>
      </c>
      <c r="B363" s="1868">
        <f>46+135+135</f>
        <v>316</v>
      </c>
      <c r="C363" s="1868"/>
      <c r="D363" s="1868"/>
      <c r="E363" s="1895">
        <f t="shared" si="2055"/>
        <v>316</v>
      </c>
      <c r="F363" s="1868"/>
      <c r="G363" s="1868"/>
      <c r="H363" s="1868"/>
      <c r="I363" s="1895">
        <f t="shared" si="2049"/>
        <v>0</v>
      </c>
      <c r="J363" s="1896">
        <f t="shared" si="2050"/>
        <v>316</v>
      </c>
      <c r="K363" s="1868"/>
      <c r="L363" s="1868"/>
      <c r="M363" s="1868"/>
      <c r="N363" s="1895">
        <f t="shared" si="2051"/>
        <v>0</v>
      </c>
      <c r="O363" s="1896">
        <f t="shared" si="2052"/>
        <v>316</v>
      </c>
      <c r="P363" s="1868"/>
      <c r="Q363" s="1868"/>
      <c r="R363" s="1868"/>
      <c r="S363" s="1895">
        <f t="shared" si="2054"/>
        <v>0</v>
      </c>
      <c r="T363" s="1897">
        <f t="shared" si="2053"/>
        <v>316</v>
      </c>
      <c r="U363" s="1409"/>
      <c r="V363" s="1409"/>
      <c r="W363" s="1409"/>
      <c r="X363" s="1409"/>
      <c r="Y363" s="1409"/>
      <c r="Z363" s="1418"/>
      <c r="AA363" s="1409"/>
      <c r="AB363" s="1409"/>
      <c r="AC363" s="1409"/>
      <c r="AD363" s="1418"/>
      <c r="AE363" s="1418"/>
      <c r="AF363" s="1409"/>
      <c r="AG363" s="1409"/>
      <c r="AH363" s="1409"/>
      <c r="AI363" s="1418"/>
      <c r="AJ363" s="1418"/>
      <c r="AK363" s="1409"/>
      <c r="AL363" s="1417"/>
      <c r="AM363" s="1409"/>
      <c r="AN363" s="1418"/>
      <c r="AO363" s="1418"/>
      <c r="AP363" s="1409"/>
      <c r="AQ363" s="1409"/>
      <c r="AR363" s="1409"/>
      <c r="AS363" s="1409"/>
      <c r="AT363" s="1409"/>
      <c r="AU363" s="1409"/>
      <c r="AV363" s="1409"/>
      <c r="AW363" s="1409"/>
      <c r="AX363" s="1409"/>
      <c r="AY363" s="1409"/>
      <c r="AZ363" s="1409"/>
    </row>
    <row r="364" s="1434" customFormat="1">
      <c r="A364" s="2084" t="s">
        <v>303</v>
      </c>
      <c r="B364" s="1868"/>
      <c r="C364" s="1868"/>
      <c r="D364" s="1868"/>
      <c r="E364" s="1895">
        <f t="shared" si="2055"/>
        <v>0</v>
      </c>
      <c r="F364" s="1868"/>
      <c r="G364" s="1868"/>
      <c r="H364" s="1868"/>
      <c r="I364" s="1895">
        <f t="shared" si="2049"/>
        <v>0</v>
      </c>
      <c r="J364" s="1896">
        <f t="shared" si="2050"/>
        <v>0</v>
      </c>
      <c r="K364" s="1868"/>
      <c r="L364" s="1868"/>
      <c r="M364" s="1868"/>
      <c r="N364" s="1895">
        <f t="shared" si="2051"/>
        <v>0</v>
      </c>
      <c r="O364" s="1896">
        <f t="shared" si="2052"/>
        <v>0</v>
      </c>
      <c r="P364" s="1868"/>
      <c r="Q364" s="1868"/>
      <c r="R364" s="1868"/>
      <c r="S364" s="1895">
        <f t="shared" si="2054"/>
        <v>0</v>
      </c>
      <c r="T364" s="1897">
        <f t="shared" si="2053"/>
        <v>0</v>
      </c>
      <c r="U364" s="1409"/>
      <c r="V364" s="1409"/>
      <c r="W364" s="1409"/>
      <c r="X364" s="1409"/>
      <c r="Y364" s="1409"/>
      <c r="Z364" s="1418"/>
      <c r="AA364" s="1409"/>
      <c r="AB364" s="1409"/>
      <c r="AC364" s="1409"/>
      <c r="AD364" s="1418"/>
      <c r="AE364" s="1418"/>
      <c r="AF364" s="1409"/>
      <c r="AG364" s="1409"/>
      <c r="AH364" s="1409"/>
      <c r="AI364" s="1418"/>
      <c r="AJ364" s="1418"/>
      <c r="AK364" s="1409"/>
      <c r="AL364" s="1417"/>
      <c r="AM364" s="1409"/>
      <c r="AN364" s="1418"/>
      <c r="AO364" s="1418"/>
      <c r="AP364" s="1409"/>
      <c r="AQ364" s="1409"/>
      <c r="AR364" s="1409"/>
      <c r="AS364" s="1409"/>
      <c r="AT364" s="1409"/>
      <c r="AU364" s="1409"/>
      <c r="AV364" s="1409"/>
      <c r="AW364" s="1409"/>
      <c r="AX364" s="1409"/>
      <c r="AY364" s="1409"/>
      <c r="AZ364" s="1409"/>
    </row>
    <row r="365" s="1434" customFormat="1">
      <c r="A365" s="2084" t="s">
        <v>304</v>
      </c>
      <c r="B365" s="1868"/>
      <c r="C365" s="1868"/>
      <c r="D365" s="1868"/>
      <c r="E365" s="1895">
        <f t="shared" si="2055"/>
        <v>0</v>
      </c>
      <c r="F365" s="1868"/>
      <c r="G365" s="1868"/>
      <c r="H365" s="1868"/>
      <c r="I365" s="1895">
        <f t="shared" si="2049"/>
        <v>0</v>
      </c>
      <c r="J365" s="1896">
        <f t="shared" si="2050"/>
        <v>0</v>
      </c>
      <c r="K365" s="1868"/>
      <c r="L365" s="1868"/>
      <c r="M365" s="1868"/>
      <c r="N365" s="1895">
        <f t="shared" si="2051"/>
        <v>0</v>
      </c>
      <c r="O365" s="1896">
        <f t="shared" si="2052"/>
        <v>0</v>
      </c>
      <c r="P365" s="1868"/>
      <c r="Q365" s="1868"/>
      <c r="R365" s="1868"/>
      <c r="S365" s="1895">
        <f t="shared" si="2054"/>
        <v>0</v>
      </c>
      <c r="T365" s="1897">
        <f t="shared" si="2053"/>
        <v>0</v>
      </c>
      <c r="U365" s="1409"/>
      <c r="V365" s="1409"/>
      <c r="W365" s="1409"/>
      <c r="X365" s="1409"/>
      <c r="Y365" s="1409"/>
      <c r="Z365" s="1418"/>
      <c r="AA365" s="1409"/>
      <c r="AB365" s="1409"/>
      <c r="AC365" s="1409"/>
      <c r="AD365" s="1418"/>
      <c r="AE365" s="1418"/>
      <c r="AF365" s="1409"/>
      <c r="AG365" s="1409"/>
      <c r="AH365" s="1409"/>
      <c r="AI365" s="1418"/>
      <c r="AJ365" s="1418"/>
      <c r="AK365" s="1409"/>
      <c r="AL365" s="1417"/>
      <c r="AM365" s="1409"/>
      <c r="AN365" s="1418"/>
      <c r="AO365" s="1418"/>
      <c r="AP365" s="1409"/>
      <c r="AQ365" s="1409"/>
      <c r="AR365" s="1409"/>
      <c r="AS365" s="1409"/>
      <c r="AT365" s="1409"/>
      <c r="AU365" s="1409"/>
      <c r="AV365" s="1409"/>
      <c r="AW365" s="1409"/>
      <c r="AX365" s="1409"/>
      <c r="AY365" s="1409"/>
      <c r="AZ365" s="1409"/>
    </row>
    <row r="366" s="1434" customFormat="1">
      <c r="A366" s="2084" t="s">
        <v>281</v>
      </c>
      <c r="B366" s="1868">
        <v>37</v>
      </c>
      <c r="C366" s="1868">
        <v>46</v>
      </c>
      <c r="D366" s="1868"/>
      <c r="E366" s="1895">
        <f t="shared" si="2055"/>
        <v>83</v>
      </c>
      <c r="F366" s="1868"/>
      <c r="G366" s="1868"/>
      <c r="H366" s="1868"/>
      <c r="I366" s="1895">
        <f t="shared" si="2049"/>
        <v>0</v>
      </c>
      <c r="J366" s="1896">
        <f t="shared" si="2050"/>
        <v>83</v>
      </c>
      <c r="K366" s="1868"/>
      <c r="L366" s="1868"/>
      <c r="M366" s="1868"/>
      <c r="N366" s="1895">
        <f t="shared" si="2051"/>
        <v>0</v>
      </c>
      <c r="O366" s="1896">
        <f t="shared" si="2052"/>
        <v>83</v>
      </c>
      <c r="P366" s="1868"/>
      <c r="Q366" s="1868"/>
      <c r="R366" s="1868"/>
      <c r="S366" s="1895">
        <f t="shared" si="2054"/>
        <v>0</v>
      </c>
      <c r="T366" s="1897">
        <f t="shared" si="2053"/>
        <v>83</v>
      </c>
      <c r="U366" s="1409"/>
      <c r="V366" s="1409"/>
      <c r="W366" s="1409"/>
      <c r="X366" s="1409"/>
      <c r="Y366" s="1409"/>
      <c r="Z366" s="1418"/>
      <c r="AA366" s="1409"/>
      <c r="AB366" s="1409"/>
      <c r="AC366" s="1409"/>
      <c r="AD366" s="1418"/>
      <c r="AE366" s="1418"/>
      <c r="AF366" s="1409"/>
      <c r="AG366" s="1409"/>
      <c r="AH366" s="1409"/>
      <c r="AI366" s="1418"/>
      <c r="AJ366" s="1418"/>
      <c r="AK366" s="1409"/>
      <c r="AL366" s="1417"/>
      <c r="AM366" s="1409"/>
      <c r="AN366" s="1418"/>
      <c r="AO366" s="1418"/>
      <c r="AP366" s="1409"/>
      <c r="AQ366" s="1409"/>
      <c r="AR366" s="1409"/>
      <c r="AS366" s="1409"/>
      <c r="AT366" s="1409"/>
      <c r="AU366" s="1409"/>
      <c r="AV366" s="1409"/>
      <c r="AW366" s="1409"/>
      <c r="AX366" s="1409"/>
      <c r="AY366" s="1409"/>
      <c r="AZ366" s="1409"/>
    </row>
    <row r="367" s="1510" customFormat="1">
      <c r="A367" s="1904" t="s">
        <v>617</v>
      </c>
      <c r="B367" s="1905">
        <f>B358+B359+B360+B361+B362+B363+B366+B351+B355+B364+B365</f>
        <v>8741</v>
      </c>
      <c r="C367" s="1905">
        <f>C358+C359+C360+C361+C362+C363+C366+C351+C355+C364+C365</f>
        <v>8948</v>
      </c>
      <c r="D367" s="1905">
        <f>D358+D359+D360+D361+D362+D363+D366+D351+D355+D364+D365</f>
        <v>0</v>
      </c>
      <c r="E367" s="1899">
        <f t="shared" si="2055"/>
        <v>17689</v>
      </c>
      <c r="F367" s="1905">
        <f>F358+F359+F360+F361+F362+F363+F366+F351+F355+F364+F365</f>
        <v>0</v>
      </c>
      <c r="G367" s="1905">
        <f>G358+G359+G360+G361+G362+G363+G366+G351+G355+G364+G365</f>
        <v>0</v>
      </c>
      <c r="H367" s="1905">
        <f>H358+H359+H360+H361+H362+H363+H366+H351+H355+H364+H365</f>
        <v>0</v>
      </c>
      <c r="I367" s="1899">
        <f t="shared" si="2049"/>
        <v>0</v>
      </c>
      <c r="J367" s="1899">
        <f t="shared" si="2050"/>
        <v>17689</v>
      </c>
      <c r="K367" s="1905">
        <f>K358+K359+K360+K361+K362+K363+K366+K351+K355+K364+K365</f>
        <v>0</v>
      </c>
      <c r="L367" s="1905">
        <f>L358+L359+L360+L361+L362+L363+L366+L351+L355+L364+L365</f>
        <v>0</v>
      </c>
      <c r="M367" s="1905">
        <f>M358+M359+M360+M361+M362+M363+M366+M351+M355+M364+M365</f>
        <v>0</v>
      </c>
      <c r="N367" s="1899">
        <f t="shared" si="2051"/>
        <v>0</v>
      </c>
      <c r="O367" s="1899">
        <f t="shared" si="2052"/>
        <v>17689</v>
      </c>
      <c r="P367" s="1905">
        <f>P358+P359+P360+P361+P362+P363+P366+P351+P355+P364+P365</f>
        <v>0</v>
      </c>
      <c r="Q367" s="1905">
        <f>Q358+Q359+Q360+Q361+Q362+Q363+Q366+Q351+Q355+Q364+Q365</f>
        <v>0</v>
      </c>
      <c r="R367" s="1905">
        <f>R358+R359+R360+R361+R362+R363+R366+R351+R355+R364+R365</f>
        <v>0</v>
      </c>
      <c r="S367" s="1905">
        <f>S358+S359+S360+S361+S362+S363+S366+S351+S355+S364+S365</f>
        <v>0</v>
      </c>
      <c r="T367" s="1905">
        <f>T358+T359+T360+T361+T362+T363+T366+T351+T355+T364+T365</f>
        <v>17689</v>
      </c>
      <c r="U367" s="2085"/>
      <c r="V367" s="2085"/>
      <c r="W367" s="1515"/>
      <c r="X367" s="2085"/>
      <c r="Y367" s="1515"/>
      <c r="Z367" s="2062"/>
      <c r="AA367" s="1515"/>
      <c r="AB367" s="1515"/>
      <c r="AC367" s="1515"/>
      <c r="AD367" s="2062"/>
      <c r="AE367" s="2062"/>
      <c r="AF367" s="1515"/>
      <c r="AG367" s="1515"/>
      <c r="AH367" s="1515"/>
      <c r="AI367" s="2062"/>
      <c r="AJ367" s="2062"/>
      <c r="AK367" s="1515"/>
      <c r="AL367" s="1886"/>
      <c r="AM367" s="1515"/>
      <c r="AN367" s="2062"/>
      <c r="AO367" s="2062"/>
      <c r="AP367" s="1515"/>
      <c r="AQ367" s="1515"/>
      <c r="AR367" s="1515"/>
      <c r="AS367" s="1515"/>
      <c r="AT367" s="1515"/>
      <c r="AU367" s="1515"/>
      <c r="AV367" s="1515"/>
      <c r="AW367" s="1515"/>
      <c r="AX367" s="1515"/>
      <c r="AY367" s="1515"/>
      <c r="AZ367" s="1515"/>
    </row>
    <row r="368" s="1510" customFormat="1">
      <c r="A368" s="1511" t="s">
        <v>618</v>
      </c>
      <c r="B368" s="1868"/>
      <c r="C368" s="1868"/>
      <c r="D368" s="1868"/>
      <c r="E368" s="1895">
        <f t="shared" si="2055"/>
        <v>0</v>
      </c>
      <c r="F368" s="1868"/>
      <c r="G368" s="1868"/>
      <c r="H368" s="1868"/>
      <c r="I368" s="1895">
        <f t="shared" si="2049"/>
        <v>0</v>
      </c>
      <c r="J368" s="1896">
        <f t="shared" si="2050"/>
        <v>0</v>
      </c>
      <c r="K368" s="1868"/>
      <c r="L368" s="1868"/>
      <c r="M368" s="1868"/>
      <c r="N368" s="1895">
        <f t="shared" si="2051"/>
        <v>0</v>
      </c>
      <c r="O368" s="1896">
        <f t="shared" si="2052"/>
        <v>0</v>
      </c>
      <c r="P368" s="1868"/>
      <c r="Q368" s="1868"/>
      <c r="R368" s="1868"/>
      <c r="S368" s="1895">
        <f t="shared" si="2054"/>
        <v>0</v>
      </c>
      <c r="T368" s="1897">
        <f t="shared" si="2053"/>
        <v>0</v>
      </c>
      <c r="U368" s="2085"/>
      <c r="V368" s="2085"/>
      <c r="W368" s="1515"/>
      <c r="X368" s="2085"/>
      <c r="Y368" s="1515"/>
      <c r="Z368" s="2062"/>
      <c r="AA368" s="1515"/>
      <c r="AB368" s="1515"/>
      <c r="AC368" s="1515"/>
      <c r="AD368" s="2062"/>
      <c r="AE368" s="2062"/>
      <c r="AF368" s="1515"/>
      <c r="AG368" s="1515"/>
      <c r="AH368" s="1515"/>
      <c r="AI368" s="2062"/>
      <c r="AJ368" s="2062"/>
      <c r="AK368" s="1515"/>
      <c r="AL368" s="1886"/>
      <c r="AM368" s="1515"/>
      <c r="AN368" s="2062"/>
      <c r="AO368" s="2062"/>
      <c r="AP368" s="1515"/>
      <c r="AQ368" s="1515"/>
      <c r="AR368" s="1515"/>
      <c r="AS368" s="1515"/>
      <c r="AT368" s="1515"/>
      <c r="AU368" s="1515"/>
      <c r="AV368" s="1515"/>
      <c r="AW368" s="1515"/>
      <c r="AX368" s="1515"/>
      <c r="AY368" s="1515"/>
      <c r="AZ368" s="1515"/>
    </row>
    <row r="369" s="1510" customFormat="1">
      <c r="A369" s="1511" t="s">
        <v>619</v>
      </c>
      <c r="B369" s="1868"/>
      <c r="C369" s="1868"/>
      <c r="D369" s="1868"/>
      <c r="E369" s="1895">
        <f t="shared" si="2055"/>
        <v>0</v>
      </c>
      <c r="F369" s="1868"/>
      <c r="G369" s="1868"/>
      <c r="H369" s="1868"/>
      <c r="I369" s="1895">
        <f t="shared" si="2049"/>
        <v>0</v>
      </c>
      <c r="J369" s="1896">
        <f t="shared" si="2050"/>
        <v>0</v>
      </c>
      <c r="K369" s="1868"/>
      <c r="L369" s="1868"/>
      <c r="M369" s="1868"/>
      <c r="N369" s="1895">
        <f t="shared" si="2051"/>
        <v>0</v>
      </c>
      <c r="O369" s="1896">
        <f t="shared" si="2052"/>
        <v>0</v>
      </c>
      <c r="P369" s="1868"/>
      <c r="Q369" s="1868"/>
      <c r="R369" s="1868"/>
      <c r="S369" s="1895">
        <f t="shared" si="2054"/>
        <v>0</v>
      </c>
      <c r="T369" s="1897">
        <f t="shared" si="2053"/>
        <v>0</v>
      </c>
      <c r="U369" s="2085"/>
      <c r="V369" s="2085"/>
      <c r="W369" s="1515"/>
      <c r="X369" s="2085"/>
      <c r="Y369" s="1515"/>
      <c r="Z369" s="2062"/>
      <c r="AA369" s="1515"/>
      <c r="AB369" s="1515"/>
      <c r="AC369" s="1515"/>
      <c r="AD369" s="2062"/>
      <c r="AE369" s="2062"/>
      <c r="AF369" s="1515"/>
      <c r="AG369" s="1515"/>
      <c r="AH369" s="1515"/>
      <c r="AI369" s="2062"/>
      <c r="AJ369" s="2062"/>
      <c r="AK369" s="1515"/>
      <c r="AL369" s="1886"/>
      <c r="AM369" s="1515"/>
      <c r="AN369" s="2062"/>
      <c r="AO369" s="2062"/>
      <c r="AP369" s="1515"/>
      <c r="AQ369" s="1515"/>
      <c r="AR369" s="1515"/>
      <c r="AS369" s="1515"/>
      <c r="AT369" s="1515"/>
      <c r="AU369" s="1515"/>
      <c r="AV369" s="1515"/>
      <c r="AW369" s="1515"/>
      <c r="AX369" s="1515"/>
      <c r="AY369" s="1515"/>
      <c r="AZ369" s="1515"/>
    </row>
    <row r="370" s="1880" customFormat="1">
      <c r="A370" s="2086" t="s">
        <v>620</v>
      </c>
      <c r="B370" s="1868">
        <f>4310.9+4768.62+2053.8+701.2+194.8+2618</f>
        <v>14647.32</v>
      </c>
      <c r="C370" s="1868">
        <f>5807.46+5409.1+3021+1073.7+183.9+2113.1</f>
        <v>17608.260000000002</v>
      </c>
      <c r="D370" s="1868"/>
      <c r="E370" s="1895">
        <f t="shared" si="2055"/>
        <v>32255.580000000002</v>
      </c>
      <c r="F370" s="1868"/>
      <c r="G370" s="1868"/>
      <c r="H370" s="1868"/>
      <c r="I370" s="1895">
        <f t="shared" si="2049"/>
        <v>0</v>
      </c>
      <c r="J370" s="1896">
        <f t="shared" si="2050"/>
        <v>32255.580000000002</v>
      </c>
      <c r="K370" s="1868"/>
      <c r="L370" s="1868"/>
      <c r="M370" s="1868"/>
      <c r="N370" s="1895">
        <f t="shared" si="2051"/>
        <v>0</v>
      </c>
      <c r="O370" s="1896">
        <f t="shared" si="2052"/>
        <v>32255.580000000002</v>
      </c>
      <c r="P370" s="1302"/>
      <c r="Q370" s="1302"/>
      <c r="R370" s="1302"/>
      <c r="S370" s="1895">
        <f t="shared" si="2054"/>
        <v>0</v>
      </c>
      <c r="T370" s="1897">
        <f t="shared" si="2053"/>
        <v>32255.580000000002</v>
      </c>
      <c r="U370" s="1879"/>
      <c r="V370" s="1879"/>
      <c r="W370" s="1879"/>
      <c r="X370" s="1879"/>
      <c r="Y370" s="1879"/>
      <c r="Z370" s="1884"/>
      <c r="AA370" s="1879"/>
      <c r="AB370" s="1879"/>
      <c r="AC370" s="1879"/>
      <c r="AD370" s="1884"/>
      <c r="AE370" s="1884"/>
      <c r="AF370" s="1879"/>
      <c r="AG370" s="1879"/>
      <c r="AH370" s="1879"/>
      <c r="AI370" s="1884"/>
      <c r="AJ370" s="1884"/>
      <c r="AK370" s="1879"/>
      <c r="AL370" s="1886"/>
      <c r="AM370" s="1879"/>
      <c r="AN370" s="1884"/>
      <c r="AO370" s="1884"/>
      <c r="AP370" s="1879"/>
      <c r="AQ370" s="1879"/>
      <c r="AR370" s="1879"/>
      <c r="AS370" s="1879"/>
      <c r="AT370" s="1879"/>
      <c r="AU370" s="1879"/>
      <c r="AV370" s="1879"/>
      <c r="AW370" s="1879"/>
      <c r="AX370" s="1879"/>
      <c r="AY370" s="1879"/>
      <c r="AZ370" s="1879"/>
    </row>
    <row r="371" s="1880" customFormat="1">
      <c r="A371" s="2086" t="s">
        <v>621</v>
      </c>
      <c r="B371" s="1462">
        <f>2972.4+1774.7+6135.64+714+218.82+395.76</f>
        <v>12211.320000000002</v>
      </c>
      <c r="C371" s="1302">
        <f>1815.4+3615.02+7243.96+1112.9+213.12+361.08</f>
        <v>14361.480000000001</v>
      </c>
      <c r="D371" s="1302"/>
      <c r="E371" s="1895">
        <f t="shared" si="2055"/>
        <v>26572.800000000003</v>
      </c>
      <c r="F371" s="1462"/>
      <c r="G371" s="1462"/>
      <c r="H371" s="1302"/>
      <c r="I371" s="1895">
        <f t="shared" si="2049"/>
        <v>0</v>
      </c>
      <c r="J371" s="1896">
        <f t="shared" si="2050"/>
        <v>26572.800000000003</v>
      </c>
      <c r="K371" s="1302"/>
      <c r="L371" s="1462"/>
      <c r="M371" s="1302"/>
      <c r="N371" s="1895">
        <f t="shared" si="2051"/>
        <v>0</v>
      </c>
      <c r="O371" s="1896">
        <f t="shared" si="2052"/>
        <v>26572.800000000003</v>
      </c>
      <c r="P371" s="1302"/>
      <c r="Q371" s="1302"/>
      <c r="R371" s="1302"/>
      <c r="S371" s="1895">
        <f t="shared" si="2054"/>
        <v>0</v>
      </c>
      <c r="T371" s="1897">
        <f t="shared" si="2053"/>
        <v>26572.800000000003</v>
      </c>
      <c r="U371" s="1879"/>
      <c r="V371" s="1879"/>
      <c r="W371" s="1879"/>
      <c r="X371" s="1879"/>
      <c r="Y371" s="1879"/>
      <c r="Z371" s="1884"/>
      <c r="AA371" s="1879"/>
      <c r="AB371" s="1879"/>
      <c r="AC371" s="1879"/>
      <c r="AD371" s="1884"/>
      <c r="AE371" s="1884"/>
      <c r="AF371" s="1879"/>
      <c r="AG371" s="1879"/>
      <c r="AH371" s="1879"/>
      <c r="AI371" s="1884"/>
      <c r="AJ371" s="1884"/>
      <c r="AK371" s="1879"/>
      <c r="AL371" s="1886"/>
      <c r="AM371" s="1879"/>
      <c r="AN371" s="1884"/>
      <c r="AO371" s="1884"/>
      <c r="AP371" s="1879"/>
      <c r="AQ371" s="1879"/>
      <c r="AR371" s="1879"/>
      <c r="AS371" s="1879"/>
      <c r="AT371" s="1879"/>
      <c r="AU371" s="1879"/>
      <c r="AV371" s="1879"/>
      <c r="AW371" s="1879"/>
      <c r="AX371" s="1879"/>
      <c r="AY371" s="1879"/>
      <c r="AZ371" s="1879"/>
    </row>
    <row r="372" s="1880" customFormat="1">
      <c r="A372" s="2086" t="s">
        <v>622</v>
      </c>
      <c r="B372" s="1462">
        <f>3463.8+4421</f>
        <v>7884.8000000000002</v>
      </c>
      <c r="C372" s="1302">
        <f>3990.8+4227.5</f>
        <v>8218.2999999999993</v>
      </c>
      <c r="D372" s="1302"/>
      <c r="E372" s="1895">
        <f t="shared" si="2055"/>
        <v>16103.099999999999</v>
      </c>
      <c r="F372" s="2087"/>
      <c r="G372" s="2087"/>
      <c r="H372" s="1302"/>
      <c r="I372" s="1895">
        <f t="shared" si="2049"/>
        <v>0</v>
      </c>
      <c r="J372" s="1896">
        <f t="shared" si="2050"/>
        <v>16103.099999999999</v>
      </c>
      <c r="K372" s="1302"/>
      <c r="L372" s="1302"/>
      <c r="M372" s="1302"/>
      <c r="N372" s="1895">
        <f t="shared" si="2051"/>
        <v>0</v>
      </c>
      <c r="O372" s="1896">
        <f t="shared" si="2052"/>
        <v>16103.099999999999</v>
      </c>
      <c r="P372" s="1302"/>
      <c r="Q372" s="1302"/>
      <c r="R372" s="1302"/>
      <c r="S372" s="1895">
        <f t="shared" si="2054"/>
        <v>0</v>
      </c>
      <c r="T372" s="1897">
        <f t="shared" si="2053"/>
        <v>16103.099999999999</v>
      </c>
      <c r="U372" s="1879"/>
      <c r="V372" s="1879"/>
      <c r="W372" s="1879"/>
      <c r="X372" s="1879"/>
      <c r="Y372" s="1879"/>
      <c r="Z372" s="1884"/>
      <c r="AA372" s="1879"/>
      <c r="AB372" s="1879"/>
      <c r="AC372" s="1879"/>
      <c r="AD372" s="1884"/>
      <c r="AE372" s="1884"/>
      <c r="AF372" s="1879"/>
      <c r="AG372" s="1879"/>
      <c r="AH372" s="1879"/>
      <c r="AI372" s="1884"/>
      <c r="AJ372" s="1884"/>
      <c r="AK372" s="1879"/>
      <c r="AL372" s="1886"/>
      <c r="AM372" s="1879"/>
      <c r="AN372" s="1884"/>
      <c r="AO372" s="1884"/>
      <c r="AP372" s="1879"/>
      <c r="AQ372" s="1879"/>
      <c r="AR372" s="1879"/>
      <c r="AS372" s="1879"/>
      <c r="AT372" s="1879"/>
      <c r="AU372" s="1879"/>
      <c r="AV372" s="1879"/>
      <c r="AW372" s="1879"/>
      <c r="AX372" s="1879"/>
      <c r="AY372" s="1879"/>
      <c r="AZ372" s="1879"/>
    </row>
    <row r="373" s="1880" customFormat="1">
      <c r="A373" s="2086" t="s">
        <v>623</v>
      </c>
      <c r="B373" s="1462">
        <f>1497.1+4008.02</f>
        <v>5505.1199999999999</v>
      </c>
      <c r="C373" s="1302">
        <f>1739.1+3694.58</f>
        <v>5433.6800000000003</v>
      </c>
      <c r="D373" s="1302"/>
      <c r="E373" s="1895">
        <f t="shared" si="2055"/>
        <v>10938.799999999999</v>
      </c>
      <c r="F373" s="2087"/>
      <c r="G373" s="2087"/>
      <c r="H373" s="1302"/>
      <c r="I373" s="1895">
        <f t="shared" si="2049"/>
        <v>0</v>
      </c>
      <c r="J373" s="1896">
        <f t="shared" si="2050"/>
        <v>10938.799999999999</v>
      </c>
      <c r="K373" s="1302"/>
      <c r="L373" s="1302"/>
      <c r="M373" s="1302"/>
      <c r="N373" s="1895">
        <f t="shared" si="2051"/>
        <v>0</v>
      </c>
      <c r="O373" s="1896">
        <f t="shared" si="2052"/>
        <v>10938.799999999999</v>
      </c>
      <c r="P373" s="1302"/>
      <c r="Q373" s="1302"/>
      <c r="R373" s="1302"/>
      <c r="S373" s="1895">
        <f t="shared" si="2054"/>
        <v>0</v>
      </c>
      <c r="T373" s="1897">
        <f t="shared" si="2053"/>
        <v>10938.799999999999</v>
      </c>
      <c r="U373" s="1879"/>
      <c r="V373" s="1879"/>
      <c r="W373" s="1879"/>
      <c r="X373" s="1879"/>
      <c r="Y373" s="1879"/>
      <c r="Z373" s="1884"/>
      <c r="AA373" s="1879"/>
      <c r="AB373" s="1879"/>
      <c r="AC373" s="1879"/>
      <c r="AD373" s="1884"/>
      <c r="AE373" s="1884"/>
      <c r="AF373" s="1879"/>
      <c r="AG373" s="1879"/>
      <c r="AH373" s="1879"/>
      <c r="AI373" s="1884"/>
      <c r="AJ373" s="1884"/>
      <c r="AK373" s="1879"/>
      <c r="AL373" s="1886"/>
      <c r="AM373" s="1879"/>
      <c r="AN373" s="1884"/>
      <c r="AO373" s="1884"/>
      <c r="AP373" s="1879"/>
      <c r="AQ373" s="1879"/>
      <c r="AR373" s="1879"/>
      <c r="AS373" s="1879"/>
      <c r="AT373" s="1879"/>
      <c r="AU373" s="1879"/>
      <c r="AV373" s="1879"/>
      <c r="AW373" s="1879"/>
      <c r="AX373" s="1879"/>
      <c r="AY373" s="1879"/>
      <c r="AZ373" s="1879"/>
    </row>
    <row r="374" s="2088" customFormat="1">
      <c r="A374" s="2089"/>
      <c r="B374" s="1872">
        <f>SUM(B370:B373)</f>
        <v>40248.560000000005</v>
      </c>
      <c r="C374" s="1872">
        <f>SUM(C370:C373)</f>
        <v>45621.720000000008</v>
      </c>
      <c r="D374" s="1872">
        <f>SUM(D367:D373)</f>
        <v>0</v>
      </c>
      <c r="E374" s="1836"/>
      <c r="F374" s="1908">
        <f>F367+F368</f>
        <v>0</v>
      </c>
      <c r="G374" s="1872">
        <f>G367+G368</f>
        <v>0</v>
      </c>
      <c r="H374" s="1872">
        <f>H367+H368</f>
        <v>0</v>
      </c>
      <c r="I374" s="1872">
        <f t="shared" ref="I374:R374" si="2056">I367+I368</f>
        <v>0</v>
      </c>
      <c r="J374" s="1872">
        <f t="shared" si="2056"/>
        <v>17689</v>
      </c>
      <c r="K374" s="1872">
        <f t="shared" si="2056"/>
        <v>0</v>
      </c>
      <c r="L374" s="1872">
        <f t="shared" si="2056"/>
        <v>0</v>
      </c>
      <c r="M374" s="1872">
        <f>M367+M368</f>
        <v>0</v>
      </c>
      <c r="N374" s="1899">
        <f t="shared" si="2051"/>
        <v>0</v>
      </c>
      <c r="O374" s="1899">
        <f t="shared" si="2052"/>
        <v>17689</v>
      </c>
      <c r="P374" s="1872">
        <f>P367+P368+P369</f>
        <v>0</v>
      </c>
      <c r="Q374" s="1872">
        <f t="shared" si="2056"/>
        <v>0</v>
      </c>
      <c r="R374" s="1872">
        <f t="shared" si="2056"/>
        <v>0</v>
      </c>
      <c r="S374" s="1836"/>
      <c r="T374" s="1836"/>
      <c r="U374" s="1515"/>
      <c r="V374" s="1515"/>
      <c r="W374" s="1515"/>
      <c r="X374" s="1515"/>
      <c r="Y374" s="1515"/>
      <c r="Z374" s="2062"/>
      <c r="AA374" s="1515"/>
      <c r="AB374" s="1515"/>
      <c r="AC374" s="1515"/>
      <c r="AD374" s="2062"/>
      <c r="AE374" s="2062"/>
      <c r="AF374" s="1515"/>
      <c r="AG374" s="1515"/>
      <c r="AH374" s="1515"/>
      <c r="AI374" s="2062"/>
      <c r="AJ374" s="2062"/>
      <c r="AK374" s="1515"/>
      <c r="AL374" s="1886"/>
      <c r="AM374" s="1515"/>
      <c r="AN374" s="2062"/>
      <c r="AO374" s="2062"/>
      <c r="AP374" s="1515"/>
      <c r="AQ374" s="1515"/>
      <c r="AR374" s="1515"/>
      <c r="AS374" s="1515"/>
      <c r="AT374" s="1515"/>
      <c r="AU374" s="1515"/>
      <c r="AV374" s="1515"/>
      <c r="AW374" s="1515"/>
      <c r="AX374" s="1515"/>
      <c r="AY374" s="1515"/>
      <c r="AZ374" s="1515"/>
    </row>
    <row r="375" s="2088" customFormat="1">
      <c r="A375" s="2089"/>
      <c r="B375" s="1908"/>
      <c r="C375" s="1908"/>
      <c r="D375" s="1908"/>
      <c r="E375" s="1910"/>
      <c r="F375" s="1908"/>
      <c r="G375" s="1908"/>
      <c r="H375" s="1908"/>
      <c r="I375" s="1910"/>
      <c r="J375" s="1910"/>
      <c r="K375" s="1908"/>
      <c r="L375" s="1908"/>
      <c r="M375" s="1908"/>
      <c r="N375" s="1910"/>
      <c r="O375" s="1910"/>
      <c r="P375" s="1908"/>
      <c r="Q375" s="1908"/>
      <c r="R375" s="1872"/>
      <c r="S375" s="1836"/>
      <c r="T375" s="1836"/>
      <c r="U375" s="1515"/>
      <c r="V375" s="1515"/>
      <c r="W375" s="1515"/>
      <c r="X375" s="1515"/>
      <c r="Y375" s="1515"/>
      <c r="Z375" s="2062"/>
      <c r="AA375" s="1515"/>
      <c r="AB375" s="1515"/>
      <c r="AC375" s="1515"/>
      <c r="AD375" s="2062"/>
      <c r="AE375" s="2062"/>
      <c r="AF375" s="1515"/>
      <c r="AG375" s="1515"/>
      <c r="AH375" s="1515"/>
      <c r="AI375" s="2062"/>
      <c r="AJ375" s="2062"/>
      <c r="AK375" s="1515"/>
      <c r="AL375" s="1886"/>
      <c r="AM375" s="1515"/>
      <c r="AN375" s="2062"/>
      <c r="AO375" s="2062"/>
      <c r="AP375" s="1515"/>
      <c r="AQ375" s="1515"/>
      <c r="AR375" s="1515"/>
      <c r="AS375" s="1515"/>
      <c r="AT375" s="1515"/>
      <c r="AU375" s="1515"/>
      <c r="AV375" s="1515"/>
      <c r="AW375" s="1515"/>
      <c r="AX375" s="1515"/>
      <c r="AY375" s="1515"/>
      <c r="AZ375" s="1515"/>
    </row>
    <row r="376" s="1510" customFormat="1" ht="54.75" customHeight="1">
      <c r="A376" s="2090" t="s">
        <v>624</v>
      </c>
      <c r="B376" s="2091"/>
      <c r="C376" s="2092"/>
      <c r="D376" s="2092"/>
      <c r="E376" s="2092"/>
      <c r="F376" s="2092"/>
      <c r="G376" s="2092"/>
      <c r="H376" s="2092"/>
      <c r="I376" s="2092"/>
      <c r="J376" s="2092"/>
      <c r="K376" s="2092"/>
      <c r="L376" s="2092"/>
      <c r="M376" s="2092"/>
      <c r="N376" s="2092"/>
      <c r="O376" s="2092"/>
      <c r="P376" s="2092"/>
      <c r="Q376" s="2092"/>
      <c r="R376" s="2092"/>
      <c r="S376" s="2092"/>
      <c r="T376" s="2093"/>
      <c r="U376" s="1515"/>
      <c r="V376" s="1515"/>
      <c r="W376" s="1515"/>
      <c r="X376" s="1515"/>
      <c r="Y376" s="1515"/>
      <c r="Z376" s="2062"/>
      <c r="AA376" s="1515"/>
      <c r="AB376" s="1515"/>
      <c r="AC376" s="1515"/>
      <c r="AD376" s="2062"/>
      <c r="AE376" s="2062"/>
      <c r="AF376" s="1515"/>
      <c r="AG376" s="1515"/>
      <c r="AH376" s="1515"/>
      <c r="AI376" s="2062"/>
      <c r="AJ376" s="2062"/>
      <c r="AK376" s="1515"/>
      <c r="AL376" s="1886"/>
      <c r="AM376" s="1515"/>
      <c r="AN376" s="2062"/>
      <c r="AO376" s="2062"/>
      <c r="AP376" s="1515"/>
      <c r="AQ376" s="1515"/>
      <c r="AR376" s="1515"/>
      <c r="AS376" s="1515"/>
      <c r="AT376" s="1515"/>
      <c r="AU376" s="1515"/>
      <c r="AV376" s="1515"/>
      <c r="AW376" s="1515"/>
      <c r="AX376" s="1515"/>
      <c r="AY376" s="1515"/>
      <c r="AZ376" s="1515"/>
    </row>
    <row r="377">
      <c r="A377" s="1446" t="s">
        <v>173</v>
      </c>
      <c r="B377" s="1446" t="s">
        <v>6</v>
      </c>
      <c r="C377" s="1446" t="s">
        <v>7</v>
      </c>
      <c r="D377" s="1446" t="s">
        <v>8</v>
      </c>
      <c r="E377" s="1944" t="s">
        <v>9</v>
      </c>
      <c r="F377" s="1446" t="s">
        <v>10</v>
      </c>
      <c r="G377" s="1446" t="s">
        <v>11</v>
      </c>
      <c r="H377" s="1446" t="s">
        <v>12</v>
      </c>
      <c r="I377" s="1944" t="s">
        <v>174</v>
      </c>
      <c r="J377" s="2094" t="s">
        <v>175</v>
      </c>
      <c r="K377" s="1446" t="s">
        <v>14</v>
      </c>
      <c r="L377" s="1446" t="s">
        <v>15</v>
      </c>
      <c r="M377" s="1446" t="s">
        <v>16</v>
      </c>
      <c r="N377" s="1944" t="s">
        <v>17</v>
      </c>
      <c r="O377" s="2094" t="s">
        <v>176</v>
      </c>
      <c r="P377" s="1446" t="s">
        <v>18</v>
      </c>
      <c r="Q377" s="1446" t="s">
        <v>19</v>
      </c>
      <c r="R377" s="1446" t="s">
        <v>20</v>
      </c>
      <c r="S377" s="1944" t="s">
        <v>177</v>
      </c>
      <c r="T377" s="2095" t="s">
        <v>22</v>
      </c>
      <c r="Z377" s="1418"/>
      <c r="AD377" s="1418"/>
      <c r="AE377" s="1418"/>
      <c r="AI377" s="1418"/>
      <c r="AJ377" s="1418"/>
      <c r="AN377" s="1418"/>
    </row>
    <row r="378" hidden="1">
      <c r="A378" s="1179" t="s">
        <v>178</v>
      </c>
      <c r="B378" s="1868">
        <f t="shared" ref="B378:D383" si="2057">B446+B518+B589+B659</f>
        <v>3096</v>
      </c>
      <c r="C378" s="1868">
        <f t="shared" si="2057"/>
        <v>2800</v>
      </c>
      <c r="D378" s="1868">
        <f t="shared" si="2057"/>
        <v>0</v>
      </c>
      <c r="E378" s="1899">
        <f t="shared" si="2055"/>
        <v>5896</v>
      </c>
      <c r="F378" s="1868">
        <f t="shared" ref="F378:H383" si="2058">F446+F518+F589+F659</f>
        <v>0</v>
      </c>
      <c r="G378" s="1868">
        <f t="shared" si="2058"/>
        <v>0</v>
      </c>
      <c r="H378" s="1868">
        <f t="shared" si="2058"/>
        <v>0</v>
      </c>
      <c r="I378" s="1899">
        <f t="shared" ref="I378:I441" si="2059">F378+G378+H378</f>
        <v>0</v>
      </c>
      <c r="J378" s="1900">
        <f t="shared" ref="J378:J441" si="2060">E378+I378</f>
        <v>5896</v>
      </c>
      <c r="K378" s="1868">
        <f t="shared" ref="K378:M383" si="2061">K446+K518+K589+K659</f>
        <v>0</v>
      </c>
      <c r="L378" s="1868">
        <f t="shared" si="2061"/>
        <v>0</v>
      </c>
      <c r="M378" s="1868">
        <f t="shared" si="2061"/>
        <v>0</v>
      </c>
      <c r="N378" s="1899">
        <f t="shared" si="2051"/>
        <v>0</v>
      </c>
      <c r="O378" s="1900">
        <f t="shared" si="2052"/>
        <v>5896</v>
      </c>
      <c r="P378" s="1868">
        <f t="shared" ref="P378:R383" si="2062">P446+P518+P589+P659</f>
        <v>0</v>
      </c>
      <c r="Q378" s="1868">
        <f t="shared" si="2062"/>
        <v>0</v>
      </c>
      <c r="R378" s="1868">
        <f t="shared" si="2062"/>
        <v>0</v>
      </c>
      <c r="S378" s="1899">
        <f t="shared" si="2054"/>
        <v>0</v>
      </c>
      <c r="T378" s="1897">
        <f t="shared" ref="T378:T383" si="2063">T446+T518+T589+T659</f>
        <v>5896</v>
      </c>
      <c r="Z378" s="1418"/>
      <c r="AD378" s="1418"/>
      <c r="AE378" s="1418"/>
      <c r="AI378" s="1418"/>
      <c r="AJ378" s="1418"/>
      <c r="AN378" s="1418"/>
    </row>
    <row r="379" hidden="1">
      <c r="A379" s="1179" t="s">
        <v>354</v>
      </c>
      <c r="B379" s="1868">
        <f t="shared" si="2057"/>
        <v>7397</v>
      </c>
      <c r="C379" s="1868">
        <f t="shared" si="2057"/>
        <v>7692</v>
      </c>
      <c r="D379" s="1868">
        <f t="shared" si="2057"/>
        <v>0</v>
      </c>
      <c r="E379" s="1899">
        <f t="shared" si="2055"/>
        <v>15089</v>
      </c>
      <c r="F379" s="1868">
        <f t="shared" si="2058"/>
        <v>0</v>
      </c>
      <c r="G379" s="1868">
        <f t="shared" si="2058"/>
        <v>0</v>
      </c>
      <c r="H379" s="1868">
        <f t="shared" si="2058"/>
        <v>0</v>
      </c>
      <c r="I379" s="1899">
        <f t="shared" si="2059"/>
        <v>0</v>
      </c>
      <c r="J379" s="1900">
        <f t="shared" si="2060"/>
        <v>15089</v>
      </c>
      <c r="K379" s="1868">
        <f t="shared" si="2061"/>
        <v>0</v>
      </c>
      <c r="L379" s="1868">
        <f t="shared" si="2061"/>
        <v>0</v>
      </c>
      <c r="M379" s="1868">
        <f t="shared" si="2061"/>
        <v>0</v>
      </c>
      <c r="N379" s="1899">
        <f t="shared" si="2051"/>
        <v>0</v>
      </c>
      <c r="O379" s="1900">
        <f t="shared" si="2052"/>
        <v>15089</v>
      </c>
      <c r="P379" s="1868">
        <f t="shared" si="2062"/>
        <v>0</v>
      </c>
      <c r="Q379" s="1868">
        <f t="shared" si="2062"/>
        <v>0</v>
      </c>
      <c r="R379" s="1868">
        <f t="shared" si="2062"/>
        <v>0</v>
      </c>
      <c r="S379" s="1899">
        <f t="shared" si="2054"/>
        <v>0</v>
      </c>
      <c r="T379" s="1897">
        <f t="shared" si="2063"/>
        <v>15089</v>
      </c>
      <c r="Z379" s="1418"/>
      <c r="AD379" s="1418"/>
      <c r="AE379" s="1418"/>
      <c r="AI379" s="1418"/>
      <c r="AJ379" s="1418"/>
      <c r="AN379" s="1418"/>
    </row>
    <row r="380" hidden="1">
      <c r="A380" s="1179" t="s">
        <v>181</v>
      </c>
      <c r="B380" s="1868">
        <f t="shared" si="2057"/>
        <v>6573</v>
      </c>
      <c r="C380" s="1868">
        <f t="shared" si="2057"/>
        <v>6407</v>
      </c>
      <c r="D380" s="1868">
        <f t="shared" si="2057"/>
        <v>0</v>
      </c>
      <c r="E380" s="1899">
        <f t="shared" si="2055"/>
        <v>12980</v>
      </c>
      <c r="F380" s="1868">
        <f t="shared" si="2058"/>
        <v>0</v>
      </c>
      <c r="G380" s="1868">
        <f t="shared" si="2058"/>
        <v>0</v>
      </c>
      <c r="H380" s="1868">
        <f t="shared" si="2058"/>
        <v>0</v>
      </c>
      <c r="I380" s="1899">
        <f t="shared" si="2059"/>
        <v>0</v>
      </c>
      <c r="J380" s="1900">
        <f t="shared" si="2060"/>
        <v>12980</v>
      </c>
      <c r="K380" s="1868">
        <f t="shared" si="2061"/>
        <v>0</v>
      </c>
      <c r="L380" s="1868">
        <f t="shared" si="2061"/>
        <v>0</v>
      </c>
      <c r="M380" s="1868">
        <f t="shared" si="2061"/>
        <v>0</v>
      </c>
      <c r="N380" s="1899">
        <f t="shared" si="2051"/>
        <v>0</v>
      </c>
      <c r="O380" s="1900">
        <f t="shared" si="2052"/>
        <v>12980</v>
      </c>
      <c r="P380" s="1868">
        <f t="shared" si="2062"/>
        <v>0</v>
      </c>
      <c r="Q380" s="1868">
        <f t="shared" si="2062"/>
        <v>0</v>
      </c>
      <c r="R380" s="1868">
        <f t="shared" si="2062"/>
        <v>0</v>
      </c>
      <c r="S380" s="1899">
        <f t="shared" si="2054"/>
        <v>0</v>
      </c>
      <c r="T380" s="1897">
        <f t="shared" si="2063"/>
        <v>12980</v>
      </c>
      <c r="Z380" s="1418"/>
      <c r="AD380" s="1418"/>
      <c r="AE380" s="1418"/>
      <c r="AI380" s="1418"/>
      <c r="AJ380" s="1418"/>
      <c r="AN380" s="1418"/>
    </row>
    <row r="381" hidden="1">
      <c r="A381" s="1179" t="s">
        <v>182</v>
      </c>
      <c r="B381" s="1868">
        <f t="shared" si="2057"/>
        <v>3629</v>
      </c>
      <c r="C381" s="1868">
        <f t="shared" si="2057"/>
        <v>2828</v>
      </c>
      <c r="D381" s="1868">
        <f t="shared" si="2057"/>
        <v>0</v>
      </c>
      <c r="E381" s="1899">
        <f t="shared" si="2055"/>
        <v>6457</v>
      </c>
      <c r="F381" s="1868">
        <f t="shared" si="2058"/>
        <v>0</v>
      </c>
      <c r="G381" s="1868">
        <f t="shared" si="2058"/>
        <v>0</v>
      </c>
      <c r="H381" s="1868">
        <f t="shared" si="2058"/>
        <v>0</v>
      </c>
      <c r="I381" s="1899">
        <f t="shared" si="2059"/>
        <v>0</v>
      </c>
      <c r="J381" s="1900">
        <f t="shared" si="2060"/>
        <v>6457</v>
      </c>
      <c r="K381" s="1868">
        <f t="shared" si="2061"/>
        <v>0</v>
      </c>
      <c r="L381" s="1868">
        <f t="shared" si="2061"/>
        <v>0</v>
      </c>
      <c r="M381" s="1868">
        <f t="shared" si="2061"/>
        <v>0</v>
      </c>
      <c r="N381" s="1899">
        <f t="shared" si="2051"/>
        <v>0</v>
      </c>
      <c r="O381" s="1900">
        <f t="shared" si="2052"/>
        <v>6457</v>
      </c>
      <c r="P381" s="1868">
        <f t="shared" si="2062"/>
        <v>0</v>
      </c>
      <c r="Q381" s="1868">
        <f t="shared" si="2062"/>
        <v>0</v>
      </c>
      <c r="R381" s="1868">
        <f t="shared" si="2062"/>
        <v>0</v>
      </c>
      <c r="S381" s="1899">
        <f t="shared" si="2054"/>
        <v>0</v>
      </c>
      <c r="T381" s="1897">
        <f t="shared" si="2063"/>
        <v>6457</v>
      </c>
      <c r="Z381" s="1418"/>
      <c r="AD381" s="1418"/>
      <c r="AE381" s="1418"/>
      <c r="AI381" s="1418"/>
      <c r="AJ381" s="1418"/>
      <c r="AN381" s="1418"/>
    </row>
    <row r="382" hidden="1">
      <c r="A382" s="1179" t="s">
        <v>183</v>
      </c>
      <c r="B382" s="1868">
        <f t="shared" si="2057"/>
        <v>4124</v>
      </c>
      <c r="C382" s="1868">
        <f t="shared" si="2057"/>
        <v>3031</v>
      </c>
      <c r="D382" s="1868">
        <f t="shared" si="2057"/>
        <v>0</v>
      </c>
      <c r="E382" s="1899">
        <f t="shared" si="2055"/>
        <v>7155</v>
      </c>
      <c r="F382" s="1868">
        <f t="shared" si="2058"/>
        <v>0</v>
      </c>
      <c r="G382" s="1868">
        <f t="shared" si="2058"/>
        <v>0</v>
      </c>
      <c r="H382" s="1868">
        <f t="shared" si="2058"/>
        <v>0</v>
      </c>
      <c r="I382" s="1899">
        <f t="shared" si="2059"/>
        <v>0</v>
      </c>
      <c r="J382" s="1900">
        <f t="shared" si="2060"/>
        <v>7155</v>
      </c>
      <c r="K382" s="1868">
        <f t="shared" si="2061"/>
        <v>0</v>
      </c>
      <c r="L382" s="1868">
        <f t="shared" si="2061"/>
        <v>0</v>
      </c>
      <c r="M382" s="1868">
        <f t="shared" si="2061"/>
        <v>0</v>
      </c>
      <c r="N382" s="1899">
        <f t="shared" ref="N382:N445" si="2064">K382+L382+M382</f>
        <v>0</v>
      </c>
      <c r="O382" s="1900">
        <f t="shared" ref="O382:O445" si="2065">J382+N382</f>
        <v>7155</v>
      </c>
      <c r="P382" s="1868">
        <f t="shared" si="2062"/>
        <v>0</v>
      </c>
      <c r="Q382" s="1868">
        <f t="shared" si="2062"/>
        <v>0</v>
      </c>
      <c r="R382" s="1868">
        <f t="shared" si="2062"/>
        <v>0</v>
      </c>
      <c r="S382" s="1899">
        <f t="shared" si="2054"/>
        <v>0</v>
      </c>
      <c r="T382" s="1897">
        <f t="shared" si="2063"/>
        <v>7155</v>
      </c>
      <c r="Z382" s="1418"/>
      <c r="AD382" s="1418"/>
      <c r="AE382" s="1418"/>
      <c r="AI382" s="1418"/>
      <c r="AJ382" s="1418"/>
      <c r="AN382" s="1418"/>
    </row>
    <row r="383" hidden="1">
      <c r="A383" s="1179" t="s">
        <v>184</v>
      </c>
      <c r="B383" s="1868">
        <f t="shared" si="2057"/>
        <v>1076</v>
      </c>
      <c r="C383" s="1868">
        <f t="shared" si="2057"/>
        <v>1544</v>
      </c>
      <c r="D383" s="1868">
        <f t="shared" si="2057"/>
        <v>0</v>
      </c>
      <c r="E383" s="1899">
        <f t="shared" si="2055"/>
        <v>2620</v>
      </c>
      <c r="F383" s="1868">
        <f t="shared" si="2058"/>
        <v>0</v>
      </c>
      <c r="G383" s="1868">
        <f t="shared" si="2058"/>
        <v>0</v>
      </c>
      <c r="H383" s="1868">
        <f t="shared" si="2058"/>
        <v>0</v>
      </c>
      <c r="I383" s="1899">
        <f t="shared" si="2059"/>
        <v>0</v>
      </c>
      <c r="J383" s="1900">
        <f t="shared" si="2060"/>
        <v>2620</v>
      </c>
      <c r="K383" s="1868">
        <f t="shared" si="2061"/>
        <v>0</v>
      </c>
      <c r="L383" s="1868">
        <f t="shared" si="2061"/>
        <v>0</v>
      </c>
      <c r="M383" s="1868">
        <f t="shared" si="2061"/>
        <v>0</v>
      </c>
      <c r="N383" s="1899">
        <f t="shared" si="2064"/>
        <v>0</v>
      </c>
      <c r="O383" s="1900">
        <f t="shared" si="2065"/>
        <v>2620</v>
      </c>
      <c r="P383" s="1868">
        <f t="shared" si="2062"/>
        <v>0</v>
      </c>
      <c r="Q383" s="1868">
        <f t="shared" si="2062"/>
        <v>0</v>
      </c>
      <c r="R383" s="1868">
        <f t="shared" si="2062"/>
        <v>0</v>
      </c>
      <c r="S383" s="1899">
        <f t="shared" si="2054"/>
        <v>0</v>
      </c>
      <c r="T383" s="1897">
        <f t="shared" si="2063"/>
        <v>2620</v>
      </c>
      <c r="Z383" s="1418"/>
      <c r="AD383" s="1418"/>
      <c r="AE383" s="1418"/>
      <c r="AI383" s="1418"/>
      <c r="AJ383" s="1418"/>
      <c r="AN383" s="1418"/>
    </row>
    <row r="384" hidden="1">
      <c r="A384" s="1179" t="s">
        <v>185</v>
      </c>
      <c r="B384" s="1868">
        <f t="shared" ref="B384:D435" si="2066">B453+B525+B596+B666</f>
        <v>664</v>
      </c>
      <c r="C384" s="1868">
        <f t="shared" si="2066"/>
        <v>1238</v>
      </c>
      <c r="D384" s="1868">
        <f t="shared" si="2066"/>
        <v>0</v>
      </c>
      <c r="E384" s="1899">
        <f t="shared" si="2055"/>
        <v>1902</v>
      </c>
      <c r="F384" s="1868">
        <f t="shared" ref="F384:H420" si="2067">F453+F525+F596+F666</f>
        <v>0</v>
      </c>
      <c r="G384" s="1868">
        <f t="shared" si="2067"/>
        <v>0</v>
      </c>
      <c r="H384" s="1868">
        <f t="shared" si="2067"/>
        <v>0</v>
      </c>
      <c r="I384" s="1899">
        <f t="shared" si="2059"/>
        <v>0</v>
      </c>
      <c r="J384" s="1900">
        <f t="shared" si="2060"/>
        <v>1902</v>
      </c>
      <c r="K384" s="1868">
        <f t="shared" ref="K384:M435" si="2068">K453+K525+K596+K666</f>
        <v>0</v>
      </c>
      <c r="L384" s="1868">
        <f t="shared" si="2068"/>
        <v>0</v>
      </c>
      <c r="M384" s="1868">
        <f t="shared" si="2068"/>
        <v>0</v>
      </c>
      <c r="N384" s="1899">
        <f t="shared" si="2064"/>
        <v>0</v>
      </c>
      <c r="O384" s="1900">
        <f t="shared" si="2065"/>
        <v>1902</v>
      </c>
      <c r="P384" s="1868">
        <f t="shared" ref="P384:R435" si="2069">P453+P525+P596+P666</f>
        <v>0</v>
      </c>
      <c r="Q384" s="1868">
        <f t="shared" si="2069"/>
        <v>0</v>
      </c>
      <c r="R384" s="1868">
        <f t="shared" si="2069"/>
        <v>0</v>
      </c>
      <c r="S384" s="1899">
        <f t="shared" si="2054"/>
        <v>0</v>
      </c>
      <c r="T384" s="1897">
        <f t="shared" ref="T384:T436" si="2070">T453+T525+T596+T666</f>
        <v>1902</v>
      </c>
      <c r="Z384" s="1418"/>
      <c r="AD384" s="1418"/>
      <c r="AE384" s="1418"/>
      <c r="AI384" s="1418"/>
      <c r="AJ384" s="1418"/>
      <c r="AN384" s="1418"/>
    </row>
    <row r="385" s="1510" customFormat="1" hidden="1">
      <c r="A385" s="2096" t="s">
        <v>363</v>
      </c>
      <c r="B385" s="2097">
        <f t="shared" si="2066"/>
        <v>27375</v>
      </c>
      <c r="C385" s="2097">
        <f t="shared" si="2066"/>
        <v>26415</v>
      </c>
      <c r="D385" s="2097">
        <f t="shared" si="2066"/>
        <v>0</v>
      </c>
      <c r="E385" s="2098">
        <f t="shared" si="2055"/>
        <v>53790</v>
      </c>
      <c r="F385" s="2097">
        <f t="shared" si="2067"/>
        <v>0</v>
      </c>
      <c r="G385" s="2097">
        <f t="shared" si="2067"/>
        <v>0</v>
      </c>
      <c r="H385" s="2097">
        <f t="shared" si="2067"/>
        <v>0</v>
      </c>
      <c r="I385" s="2098">
        <f t="shared" si="2059"/>
        <v>0</v>
      </c>
      <c r="J385" s="2098">
        <f t="shared" si="2060"/>
        <v>53790</v>
      </c>
      <c r="K385" s="2097">
        <f t="shared" si="2068"/>
        <v>0</v>
      </c>
      <c r="L385" s="2097">
        <f t="shared" si="2068"/>
        <v>0</v>
      </c>
      <c r="M385" s="2097">
        <f t="shared" si="2068"/>
        <v>0</v>
      </c>
      <c r="N385" s="2098">
        <f t="shared" si="2064"/>
        <v>0</v>
      </c>
      <c r="O385" s="2098">
        <f t="shared" si="2065"/>
        <v>53790</v>
      </c>
      <c r="P385" s="2097">
        <f t="shared" si="2069"/>
        <v>0</v>
      </c>
      <c r="Q385" s="2097">
        <f t="shared" si="2069"/>
        <v>0</v>
      </c>
      <c r="R385" s="2097">
        <f t="shared" si="2069"/>
        <v>0</v>
      </c>
      <c r="S385" s="2098">
        <f t="shared" si="2054"/>
        <v>0</v>
      </c>
      <c r="T385" s="2098">
        <f t="shared" si="2070"/>
        <v>53790</v>
      </c>
      <c r="U385" s="1515"/>
      <c r="V385" s="1515"/>
      <c r="W385" s="1515"/>
      <c r="X385" s="1515"/>
      <c r="Y385" s="1515"/>
      <c r="Z385" s="2062"/>
      <c r="AA385" s="1515"/>
      <c r="AB385" s="1515"/>
      <c r="AC385" s="1515"/>
      <c r="AD385" s="2062"/>
      <c r="AE385" s="2062"/>
      <c r="AF385" s="1515"/>
      <c r="AG385" s="1515"/>
      <c r="AH385" s="1515"/>
      <c r="AI385" s="2062"/>
      <c r="AJ385" s="2062"/>
      <c r="AK385" s="1515"/>
      <c r="AL385" s="1886"/>
      <c r="AM385" s="1515"/>
      <c r="AN385" s="2062"/>
      <c r="AO385" s="2062"/>
      <c r="AP385" s="1515"/>
      <c r="AQ385" s="1515"/>
      <c r="AR385" s="1515"/>
      <c r="AS385" s="1515"/>
      <c r="AT385" s="1515"/>
      <c r="AU385" s="1515"/>
      <c r="AV385" s="1515"/>
      <c r="AW385" s="1515"/>
      <c r="AX385" s="1515"/>
      <c r="AY385" s="1515"/>
      <c r="AZ385" s="1515"/>
    </row>
    <row r="386" hidden="1">
      <c r="A386" s="1551" t="s">
        <v>194</v>
      </c>
      <c r="B386" s="1868">
        <f t="shared" si="2066"/>
        <v>0</v>
      </c>
      <c r="C386" s="1868">
        <f t="shared" si="2066"/>
        <v>0</v>
      </c>
      <c r="D386" s="1868">
        <f t="shared" si="2066"/>
        <v>0</v>
      </c>
      <c r="E386" s="1899">
        <f t="shared" si="2055"/>
        <v>0</v>
      </c>
      <c r="F386" s="1868">
        <f t="shared" si="2067"/>
        <v>0</v>
      </c>
      <c r="G386" s="1868">
        <f t="shared" si="2067"/>
        <v>0</v>
      </c>
      <c r="H386" s="1868">
        <f t="shared" si="2067"/>
        <v>0</v>
      </c>
      <c r="I386" s="1899">
        <f t="shared" si="2059"/>
        <v>0</v>
      </c>
      <c r="J386" s="1900">
        <f t="shared" si="2060"/>
        <v>0</v>
      </c>
      <c r="K386" s="1868">
        <f t="shared" si="2068"/>
        <v>0</v>
      </c>
      <c r="L386" s="1868">
        <f t="shared" si="2068"/>
        <v>0</v>
      </c>
      <c r="M386" s="1868">
        <f t="shared" si="2068"/>
        <v>0</v>
      </c>
      <c r="N386" s="1899">
        <f t="shared" si="2064"/>
        <v>0</v>
      </c>
      <c r="O386" s="1900">
        <f t="shared" si="2065"/>
        <v>0</v>
      </c>
      <c r="P386" s="1868">
        <f t="shared" si="2069"/>
        <v>0</v>
      </c>
      <c r="Q386" s="1868">
        <f t="shared" si="2069"/>
        <v>0</v>
      </c>
      <c r="R386" s="1868">
        <f t="shared" si="2069"/>
        <v>0</v>
      </c>
      <c r="S386" s="1899">
        <f t="shared" si="2054"/>
        <v>0</v>
      </c>
      <c r="T386" s="1897">
        <f t="shared" si="2070"/>
        <v>0</v>
      </c>
      <c r="Z386" s="1418"/>
      <c r="AD386" s="1418"/>
      <c r="AE386" s="1418"/>
      <c r="AI386" s="1418"/>
      <c r="AJ386" s="1418"/>
      <c r="AN386" s="1418"/>
    </row>
    <row r="387" hidden="1">
      <c r="A387" s="1179" t="s">
        <v>195</v>
      </c>
      <c r="B387" s="1868">
        <f t="shared" si="2066"/>
        <v>5976</v>
      </c>
      <c r="C387" s="1868">
        <f t="shared" si="2066"/>
        <v>4175</v>
      </c>
      <c r="D387" s="1868">
        <f t="shared" si="2066"/>
        <v>0</v>
      </c>
      <c r="E387" s="1899">
        <f t="shared" si="2055"/>
        <v>10151</v>
      </c>
      <c r="F387" s="1868">
        <f t="shared" si="2067"/>
        <v>0</v>
      </c>
      <c r="G387" s="1868">
        <f t="shared" si="2067"/>
        <v>0</v>
      </c>
      <c r="H387" s="1868">
        <f t="shared" si="2067"/>
        <v>0</v>
      </c>
      <c r="I387" s="1899">
        <f t="shared" si="2059"/>
        <v>0</v>
      </c>
      <c r="J387" s="1900">
        <f t="shared" si="2060"/>
        <v>10151</v>
      </c>
      <c r="K387" s="1868">
        <f t="shared" si="2068"/>
        <v>0</v>
      </c>
      <c r="L387" s="1868">
        <f t="shared" si="2068"/>
        <v>0</v>
      </c>
      <c r="M387" s="1868">
        <f t="shared" si="2068"/>
        <v>0</v>
      </c>
      <c r="N387" s="1899">
        <f t="shared" si="2064"/>
        <v>0</v>
      </c>
      <c r="O387" s="1900">
        <f t="shared" si="2065"/>
        <v>10151</v>
      </c>
      <c r="P387" s="1868">
        <f t="shared" si="2069"/>
        <v>0</v>
      </c>
      <c r="Q387" s="1868">
        <f t="shared" si="2069"/>
        <v>0</v>
      </c>
      <c r="R387" s="1868">
        <f t="shared" si="2069"/>
        <v>0</v>
      </c>
      <c r="S387" s="1899">
        <f t="shared" si="2054"/>
        <v>0</v>
      </c>
      <c r="T387" s="1897">
        <f t="shared" si="2070"/>
        <v>10151</v>
      </c>
      <c r="Z387" s="1418"/>
      <c r="AD387" s="1418"/>
      <c r="AE387" s="1418"/>
      <c r="AI387" s="1418"/>
      <c r="AJ387" s="1418"/>
      <c r="AN387" s="1418"/>
    </row>
    <row r="388" hidden="1">
      <c r="A388" s="1179" t="s">
        <v>196</v>
      </c>
      <c r="B388" s="1868">
        <f t="shared" si="2066"/>
        <v>2607</v>
      </c>
      <c r="C388" s="1868">
        <f t="shared" si="2066"/>
        <v>3208</v>
      </c>
      <c r="D388" s="1868">
        <f t="shared" si="2066"/>
        <v>0</v>
      </c>
      <c r="E388" s="1899">
        <f t="shared" si="2055"/>
        <v>5815</v>
      </c>
      <c r="F388" s="1868">
        <f t="shared" si="2067"/>
        <v>0</v>
      </c>
      <c r="G388" s="1868">
        <f t="shared" si="2067"/>
        <v>0</v>
      </c>
      <c r="H388" s="1868">
        <f t="shared" si="2067"/>
        <v>0</v>
      </c>
      <c r="I388" s="1899">
        <f t="shared" si="2059"/>
        <v>0</v>
      </c>
      <c r="J388" s="1900">
        <f t="shared" si="2060"/>
        <v>5815</v>
      </c>
      <c r="K388" s="1868">
        <f t="shared" si="2068"/>
        <v>0</v>
      </c>
      <c r="L388" s="1868">
        <f t="shared" si="2068"/>
        <v>0</v>
      </c>
      <c r="M388" s="1868">
        <f t="shared" si="2068"/>
        <v>0</v>
      </c>
      <c r="N388" s="1899">
        <f t="shared" si="2064"/>
        <v>0</v>
      </c>
      <c r="O388" s="1900">
        <f t="shared" si="2065"/>
        <v>5815</v>
      </c>
      <c r="P388" s="1868">
        <f t="shared" si="2069"/>
        <v>0</v>
      </c>
      <c r="Q388" s="1868">
        <f t="shared" si="2069"/>
        <v>0</v>
      </c>
      <c r="R388" s="1868">
        <f t="shared" si="2069"/>
        <v>0</v>
      </c>
      <c r="S388" s="1899">
        <f t="shared" si="2054"/>
        <v>0</v>
      </c>
      <c r="T388" s="1897">
        <f t="shared" si="2070"/>
        <v>5815</v>
      </c>
      <c r="Z388" s="1418"/>
      <c r="AD388" s="1418"/>
      <c r="AE388" s="1418"/>
      <c r="AI388" s="1418"/>
      <c r="AJ388" s="1418"/>
      <c r="AN388" s="1418"/>
    </row>
    <row r="389" hidden="1">
      <c r="A389" s="1179" t="s">
        <v>367</v>
      </c>
      <c r="B389" s="1868">
        <f t="shared" si="2066"/>
        <v>0</v>
      </c>
      <c r="C389" s="1868">
        <f t="shared" si="2066"/>
        <v>0</v>
      </c>
      <c r="D389" s="1868">
        <f t="shared" si="2066"/>
        <v>0</v>
      </c>
      <c r="E389" s="1899">
        <f t="shared" si="2055"/>
        <v>0</v>
      </c>
      <c r="F389" s="1868">
        <f t="shared" si="2067"/>
        <v>0</v>
      </c>
      <c r="G389" s="1868">
        <f t="shared" si="2067"/>
        <v>0</v>
      </c>
      <c r="H389" s="1868">
        <f t="shared" si="2067"/>
        <v>0</v>
      </c>
      <c r="I389" s="1899">
        <f t="shared" si="2059"/>
        <v>0</v>
      </c>
      <c r="J389" s="1900">
        <f t="shared" si="2060"/>
        <v>0</v>
      </c>
      <c r="K389" s="1868">
        <f t="shared" si="2068"/>
        <v>0</v>
      </c>
      <c r="L389" s="1868">
        <f t="shared" si="2068"/>
        <v>0</v>
      </c>
      <c r="M389" s="1868">
        <f t="shared" si="2068"/>
        <v>0</v>
      </c>
      <c r="N389" s="1899">
        <f t="shared" si="2064"/>
        <v>0</v>
      </c>
      <c r="O389" s="1900">
        <f t="shared" si="2065"/>
        <v>0</v>
      </c>
      <c r="P389" s="1868">
        <f t="shared" si="2069"/>
        <v>0</v>
      </c>
      <c r="Q389" s="1868">
        <f t="shared" si="2069"/>
        <v>0</v>
      </c>
      <c r="R389" s="1868">
        <f t="shared" si="2069"/>
        <v>0</v>
      </c>
      <c r="S389" s="1899">
        <f t="shared" si="2054"/>
        <v>0</v>
      </c>
      <c r="T389" s="1897">
        <f t="shared" si="2070"/>
        <v>0</v>
      </c>
      <c r="Z389" s="1418"/>
      <c r="AD389" s="1418"/>
      <c r="AE389" s="1418"/>
      <c r="AI389" s="1418"/>
      <c r="AJ389" s="1418"/>
      <c r="AN389" s="1418"/>
    </row>
    <row r="390" hidden="1">
      <c r="A390" s="1179" t="s">
        <v>201</v>
      </c>
      <c r="B390" s="1868">
        <f t="shared" si="2066"/>
        <v>1686</v>
      </c>
      <c r="C390" s="1868">
        <f t="shared" si="2066"/>
        <v>1827</v>
      </c>
      <c r="D390" s="1868">
        <f t="shared" si="2066"/>
        <v>0</v>
      </c>
      <c r="E390" s="1899">
        <f t="shared" si="2055"/>
        <v>3513</v>
      </c>
      <c r="F390" s="1868">
        <f t="shared" si="2067"/>
        <v>0</v>
      </c>
      <c r="G390" s="1868">
        <f t="shared" si="2067"/>
        <v>0</v>
      </c>
      <c r="H390" s="1868">
        <f t="shared" si="2067"/>
        <v>0</v>
      </c>
      <c r="I390" s="1899">
        <f t="shared" si="2059"/>
        <v>0</v>
      </c>
      <c r="J390" s="1900">
        <f t="shared" si="2060"/>
        <v>3513</v>
      </c>
      <c r="K390" s="1868">
        <f t="shared" si="2068"/>
        <v>0</v>
      </c>
      <c r="L390" s="1868">
        <f t="shared" si="2068"/>
        <v>0</v>
      </c>
      <c r="M390" s="1868">
        <f t="shared" si="2068"/>
        <v>0</v>
      </c>
      <c r="N390" s="1899">
        <f t="shared" si="2064"/>
        <v>0</v>
      </c>
      <c r="O390" s="1900">
        <f t="shared" si="2065"/>
        <v>3513</v>
      </c>
      <c r="P390" s="1868">
        <f t="shared" si="2069"/>
        <v>0</v>
      </c>
      <c r="Q390" s="1868">
        <f t="shared" si="2069"/>
        <v>0</v>
      </c>
      <c r="R390" s="1868">
        <f t="shared" si="2069"/>
        <v>0</v>
      </c>
      <c r="S390" s="1899">
        <f t="shared" si="2054"/>
        <v>0</v>
      </c>
      <c r="T390" s="1897">
        <f t="shared" si="2070"/>
        <v>3513</v>
      </c>
      <c r="Z390" s="1418"/>
      <c r="AD390" s="1418"/>
      <c r="AE390" s="1418"/>
      <c r="AI390" s="1418"/>
      <c r="AJ390" s="1418"/>
      <c r="AN390" s="1418"/>
    </row>
    <row r="391" hidden="1">
      <c r="A391" s="1179" t="s">
        <v>203</v>
      </c>
      <c r="B391" s="1868">
        <f t="shared" si="2066"/>
        <v>1573</v>
      </c>
      <c r="C391" s="1868">
        <f t="shared" si="2066"/>
        <v>1543</v>
      </c>
      <c r="D391" s="1868">
        <f t="shared" si="2066"/>
        <v>0</v>
      </c>
      <c r="E391" s="1899">
        <f t="shared" si="2055"/>
        <v>3116</v>
      </c>
      <c r="F391" s="1868">
        <f t="shared" si="2067"/>
        <v>0</v>
      </c>
      <c r="G391" s="1868">
        <f t="shared" si="2067"/>
        <v>0</v>
      </c>
      <c r="H391" s="1868">
        <f t="shared" si="2067"/>
        <v>0</v>
      </c>
      <c r="I391" s="1899">
        <f t="shared" si="2059"/>
        <v>0</v>
      </c>
      <c r="J391" s="1900">
        <f t="shared" si="2060"/>
        <v>3116</v>
      </c>
      <c r="K391" s="1868">
        <f t="shared" si="2068"/>
        <v>0</v>
      </c>
      <c r="L391" s="1868">
        <f t="shared" si="2068"/>
        <v>0</v>
      </c>
      <c r="M391" s="1868">
        <f t="shared" si="2068"/>
        <v>0</v>
      </c>
      <c r="N391" s="1899">
        <f t="shared" si="2064"/>
        <v>0</v>
      </c>
      <c r="O391" s="1900">
        <f t="shared" si="2065"/>
        <v>3116</v>
      </c>
      <c r="P391" s="1868">
        <f t="shared" si="2069"/>
        <v>0</v>
      </c>
      <c r="Q391" s="1868">
        <f t="shared" si="2069"/>
        <v>0</v>
      </c>
      <c r="R391" s="1868">
        <f t="shared" si="2069"/>
        <v>0</v>
      </c>
      <c r="S391" s="1899">
        <f t="shared" si="2054"/>
        <v>0</v>
      </c>
      <c r="T391" s="1897">
        <f t="shared" si="2070"/>
        <v>3116</v>
      </c>
      <c r="Z391" s="1418"/>
      <c r="AD391" s="1418"/>
      <c r="AE391" s="1418"/>
      <c r="AI391" s="1418"/>
      <c r="AJ391" s="1418"/>
      <c r="AN391" s="1418"/>
    </row>
    <row r="392" hidden="1">
      <c r="A392" s="1179" t="s">
        <v>204</v>
      </c>
      <c r="B392" s="1868">
        <f t="shared" si="2066"/>
        <v>875</v>
      </c>
      <c r="C392" s="1868">
        <f t="shared" si="2066"/>
        <v>741</v>
      </c>
      <c r="D392" s="1868">
        <f t="shared" si="2066"/>
        <v>0</v>
      </c>
      <c r="E392" s="1899">
        <f t="shared" si="2055"/>
        <v>1616</v>
      </c>
      <c r="F392" s="1868">
        <f t="shared" si="2067"/>
        <v>0</v>
      </c>
      <c r="G392" s="1868">
        <f t="shared" si="2067"/>
        <v>0</v>
      </c>
      <c r="H392" s="1868">
        <f t="shared" si="2067"/>
        <v>0</v>
      </c>
      <c r="I392" s="1899">
        <f t="shared" si="2059"/>
        <v>0</v>
      </c>
      <c r="J392" s="1900">
        <f t="shared" si="2060"/>
        <v>1616</v>
      </c>
      <c r="K392" s="1868">
        <f t="shared" si="2068"/>
        <v>0</v>
      </c>
      <c r="L392" s="1868">
        <f t="shared" si="2068"/>
        <v>0</v>
      </c>
      <c r="M392" s="1868">
        <f t="shared" si="2068"/>
        <v>0</v>
      </c>
      <c r="N392" s="1899">
        <f t="shared" si="2064"/>
        <v>0</v>
      </c>
      <c r="O392" s="1900">
        <f t="shared" si="2065"/>
        <v>1616</v>
      </c>
      <c r="P392" s="1868">
        <f t="shared" si="2069"/>
        <v>0</v>
      </c>
      <c r="Q392" s="1868">
        <f t="shared" si="2069"/>
        <v>0</v>
      </c>
      <c r="R392" s="1868">
        <f t="shared" si="2069"/>
        <v>0</v>
      </c>
      <c r="S392" s="1899">
        <f t="shared" si="2054"/>
        <v>0</v>
      </c>
      <c r="T392" s="1897">
        <f t="shared" si="2070"/>
        <v>1616</v>
      </c>
      <c r="Z392" s="1418"/>
      <c r="AD392" s="1418"/>
      <c r="AE392" s="1418"/>
      <c r="AI392" s="1418"/>
      <c r="AJ392" s="1418"/>
      <c r="AN392" s="1418"/>
    </row>
    <row r="393" hidden="1">
      <c r="A393" s="1179" t="s">
        <v>205</v>
      </c>
      <c r="B393" s="1868">
        <f t="shared" si="2066"/>
        <v>3650</v>
      </c>
      <c r="C393" s="1868">
        <f t="shared" si="2066"/>
        <v>2565</v>
      </c>
      <c r="D393" s="1868">
        <f t="shared" si="2066"/>
        <v>0</v>
      </c>
      <c r="E393" s="1899">
        <f t="shared" si="2055"/>
        <v>6215</v>
      </c>
      <c r="F393" s="1868">
        <f t="shared" si="2067"/>
        <v>0</v>
      </c>
      <c r="G393" s="1868">
        <f t="shared" si="2067"/>
        <v>0</v>
      </c>
      <c r="H393" s="1868">
        <f t="shared" si="2067"/>
        <v>0</v>
      </c>
      <c r="I393" s="1899">
        <f t="shared" si="2059"/>
        <v>0</v>
      </c>
      <c r="J393" s="1900">
        <f t="shared" si="2060"/>
        <v>6215</v>
      </c>
      <c r="K393" s="1868">
        <f t="shared" si="2068"/>
        <v>0</v>
      </c>
      <c r="L393" s="1868">
        <f t="shared" si="2068"/>
        <v>0</v>
      </c>
      <c r="M393" s="1868">
        <f t="shared" si="2068"/>
        <v>0</v>
      </c>
      <c r="N393" s="1899">
        <f t="shared" si="2064"/>
        <v>0</v>
      </c>
      <c r="O393" s="1900">
        <f t="shared" si="2065"/>
        <v>6215</v>
      </c>
      <c r="P393" s="1868">
        <f t="shared" si="2069"/>
        <v>0</v>
      </c>
      <c r="Q393" s="1868">
        <f t="shared" si="2069"/>
        <v>0</v>
      </c>
      <c r="R393" s="1868">
        <f t="shared" si="2069"/>
        <v>0</v>
      </c>
      <c r="S393" s="1899">
        <f t="shared" si="2054"/>
        <v>0</v>
      </c>
      <c r="T393" s="1897">
        <f t="shared" si="2070"/>
        <v>6215</v>
      </c>
      <c r="Z393" s="1418"/>
      <c r="AD393" s="1418"/>
      <c r="AE393" s="1418"/>
      <c r="AI393" s="1418"/>
      <c r="AJ393" s="1418"/>
      <c r="AN393" s="1418"/>
    </row>
    <row r="394" hidden="1">
      <c r="A394" s="1179" t="s">
        <v>206</v>
      </c>
      <c r="B394" s="1868">
        <f t="shared" si="2066"/>
        <v>3418</v>
      </c>
      <c r="C394" s="1868">
        <f t="shared" si="2066"/>
        <v>2664</v>
      </c>
      <c r="D394" s="1868">
        <f t="shared" si="2066"/>
        <v>0</v>
      </c>
      <c r="E394" s="1899">
        <f t="shared" si="2055"/>
        <v>6082</v>
      </c>
      <c r="F394" s="1868">
        <f t="shared" si="2067"/>
        <v>0</v>
      </c>
      <c r="G394" s="1868">
        <f t="shared" si="2067"/>
        <v>0</v>
      </c>
      <c r="H394" s="1868">
        <f t="shared" si="2067"/>
        <v>0</v>
      </c>
      <c r="I394" s="1899">
        <f t="shared" si="2059"/>
        <v>0</v>
      </c>
      <c r="J394" s="1900">
        <f t="shared" si="2060"/>
        <v>6082</v>
      </c>
      <c r="K394" s="1868">
        <f t="shared" si="2068"/>
        <v>0</v>
      </c>
      <c r="L394" s="1868">
        <f t="shared" si="2068"/>
        <v>0</v>
      </c>
      <c r="M394" s="1868">
        <f t="shared" si="2068"/>
        <v>0</v>
      </c>
      <c r="N394" s="1899">
        <f t="shared" si="2064"/>
        <v>0</v>
      </c>
      <c r="O394" s="1900">
        <f t="shared" si="2065"/>
        <v>6082</v>
      </c>
      <c r="P394" s="1868">
        <f t="shared" si="2069"/>
        <v>0</v>
      </c>
      <c r="Q394" s="1868">
        <f t="shared" si="2069"/>
        <v>0</v>
      </c>
      <c r="R394" s="1868">
        <f t="shared" si="2069"/>
        <v>0</v>
      </c>
      <c r="S394" s="1899">
        <f t="shared" si="2054"/>
        <v>0</v>
      </c>
      <c r="T394" s="1897">
        <f t="shared" si="2070"/>
        <v>6082</v>
      </c>
      <c r="Z394" s="1418"/>
      <c r="AD394" s="1418"/>
      <c r="AE394" s="1418"/>
      <c r="AI394" s="1418"/>
      <c r="AJ394" s="1418"/>
      <c r="AN394" s="1418"/>
    </row>
    <row r="395" hidden="1">
      <c r="A395" s="1179" t="s">
        <v>207</v>
      </c>
      <c r="B395" s="1868">
        <f t="shared" si="2066"/>
        <v>1685</v>
      </c>
      <c r="C395" s="1868">
        <f t="shared" si="2066"/>
        <v>1769</v>
      </c>
      <c r="D395" s="1868">
        <f t="shared" si="2066"/>
        <v>0</v>
      </c>
      <c r="E395" s="1899">
        <f t="shared" si="2055"/>
        <v>3454</v>
      </c>
      <c r="F395" s="1868">
        <f t="shared" si="2067"/>
        <v>0</v>
      </c>
      <c r="G395" s="1868">
        <f t="shared" si="2067"/>
        <v>0</v>
      </c>
      <c r="H395" s="1868">
        <f t="shared" si="2067"/>
        <v>0</v>
      </c>
      <c r="I395" s="1899">
        <f t="shared" si="2059"/>
        <v>0</v>
      </c>
      <c r="J395" s="1900">
        <f t="shared" si="2060"/>
        <v>3454</v>
      </c>
      <c r="K395" s="1868">
        <f t="shared" si="2068"/>
        <v>0</v>
      </c>
      <c r="L395" s="1868">
        <f t="shared" si="2068"/>
        <v>0</v>
      </c>
      <c r="M395" s="1868">
        <f t="shared" si="2068"/>
        <v>0</v>
      </c>
      <c r="N395" s="1899">
        <f t="shared" si="2064"/>
        <v>0</v>
      </c>
      <c r="O395" s="1900">
        <f t="shared" si="2065"/>
        <v>3454</v>
      </c>
      <c r="P395" s="1868">
        <f t="shared" si="2069"/>
        <v>0</v>
      </c>
      <c r="Q395" s="1868">
        <f t="shared" si="2069"/>
        <v>0</v>
      </c>
      <c r="R395" s="1868">
        <f t="shared" si="2069"/>
        <v>0</v>
      </c>
      <c r="S395" s="1899">
        <f t="shared" si="2054"/>
        <v>0</v>
      </c>
      <c r="T395" s="1897">
        <f t="shared" si="2070"/>
        <v>3454</v>
      </c>
      <c r="Z395" s="1418"/>
      <c r="AD395" s="1418"/>
      <c r="AE395" s="1418"/>
      <c r="AI395" s="1418"/>
      <c r="AJ395" s="1418"/>
      <c r="AN395" s="1418"/>
    </row>
    <row r="396" hidden="1">
      <c r="A396" s="1179" t="s">
        <v>209</v>
      </c>
      <c r="B396" s="1868">
        <f t="shared" si="2066"/>
        <v>1717</v>
      </c>
      <c r="C396" s="1868">
        <f t="shared" si="2066"/>
        <v>776</v>
      </c>
      <c r="D396" s="1868">
        <f t="shared" si="2066"/>
        <v>0</v>
      </c>
      <c r="E396" s="1899">
        <f t="shared" si="2055"/>
        <v>2493</v>
      </c>
      <c r="F396" s="1868">
        <f t="shared" si="2067"/>
        <v>0</v>
      </c>
      <c r="G396" s="1868">
        <f t="shared" si="2067"/>
        <v>0</v>
      </c>
      <c r="H396" s="1868">
        <f t="shared" si="2067"/>
        <v>0</v>
      </c>
      <c r="I396" s="1899">
        <f t="shared" si="2059"/>
        <v>0</v>
      </c>
      <c r="J396" s="1900">
        <f t="shared" si="2060"/>
        <v>2493</v>
      </c>
      <c r="K396" s="1868">
        <f t="shared" si="2068"/>
        <v>0</v>
      </c>
      <c r="L396" s="1868">
        <f t="shared" si="2068"/>
        <v>0</v>
      </c>
      <c r="M396" s="1868">
        <f t="shared" si="2068"/>
        <v>0</v>
      </c>
      <c r="N396" s="1899">
        <f t="shared" si="2064"/>
        <v>0</v>
      </c>
      <c r="O396" s="1900">
        <f t="shared" si="2065"/>
        <v>2493</v>
      </c>
      <c r="P396" s="1868">
        <f t="shared" si="2069"/>
        <v>0</v>
      </c>
      <c r="Q396" s="1868">
        <f t="shared" si="2069"/>
        <v>0</v>
      </c>
      <c r="R396" s="1868">
        <f t="shared" si="2069"/>
        <v>0</v>
      </c>
      <c r="S396" s="1899">
        <f t="shared" ref="S396:S459" si="2071">P396+Q396+R396</f>
        <v>0</v>
      </c>
      <c r="T396" s="1897">
        <f t="shared" si="2070"/>
        <v>2493</v>
      </c>
      <c r="Z396" s="1418"/>
      <c r="AD396" s="1418"/>
      <c r="AE396" s="1418"/>
      <c r="AI396" s="1418"/>
      <c r="AJ396" s="1418"/>
      <c r="AN396" s="1418"/>
    </row>
    <row r="397" hidden="1">
      <c r="A397" s="1179" t="s">
        <v>625</v>
      </c>
      <c r="B397" s="1868">
        <f t="shared" si="2066"/>
        <v>1641</v>
      </c>
      <c r="C397" s="1868">
        <f t="shared" si="2066"/>
        <v>1153</v>
      </c>
      <c r="D397" s="1868">
        <f t="shared" si="2066"/>
        <v>0</v>
      </c>
      <c r="E397" s="1899">
        <f t="shared" si="2055"/>
        <v>2794</v>
      </c>
      <c r="F397" s="1868">
        <f t="shared" si="2067"/>
        <v>0</v>
      </c>
      <c r="G397" s="1868">
        <f t="shared" si="2067"/>
        <v>0</v>
      </c>
      <c r="H397" s="1868">
        <f t="shared" si="2067"/>
        <v>0</v>
      </c>
      <c r="I397" s="1899">
        <f t="shared" si="2059"/>
        <v>0</v>
      </c>
      <c r="J397" s="1900">
        <f t="shared" si="2060"/>
        <v>2794</v>
      </c>
      <c r="K397" s="1868">
        <f t="shared" si="2068"/>
        <v>0</v>
      </c>
      <c r="L397" s="1868">
        <f t="shared" si="2068"/>
        <v>0</v>
      </c>
      <c r="M397" s="1868">
        <f t="shared" si="2068"/>
        <v>0</v>
      </c>
      <c r="N397" s="1899">
        <f t="shared" si="2064"/>
        <v>0</v>
      </c>
      <c r="O397" s="1900">
        <f t="shared" si="2065"/>
        <v>2794</v>
      </c>
      <c r="P397" s="1868">
        <f t="shared" si="2069"/>
        <v>0</v>
      </c>
      <c r="Q397" s="1868">
        <f t="shared" si="2069"/>
        <v>0</v>
      </c>
      <c r="R397" s="1868">
        <f t="shared" si="2069"/>
        <v>0</v>
      </c>
      <c r="S397" s="1899">
        <f t="shared" si="2071"/>
        <v>0</v>
      </c>
      <c r="T397" s="1897">
        <f t="shared" si="2070"/>
        <v>2794</v>
      </c>
      <c r="Z397" s="1418"/>
      <c r="AD397" s="1418"/>
      <c r="AE397" s="1418"/>
      <c r="AI397" s="1418"/>
      <c r="AJ397" s="1418"/>
      <c r="AN397" s="1418"/>
    </row>
    <row r="398" hidden="1">
      <c r="A398" s="1179" t="s">
        <v>211</v>
      </c>
      <c r="B398" s="1868">
        <f t="shared" si="2066"/>
        <v>7132</v>
      </c>
      <c r="C398" s="1868">
        <f t="shared" si="2066"/>
        <v>4639</v>
      </c>
      <c r="D398" s="1868">
        <f t="shared" si="2066"/>
        <v>0</v>
      </c>
      <c r="E398" s="1899">
        <f t="shared" si="2055"/>
        <v>11771</v>
      </c>
      <c r="F398" s="1868">
        <f t="shared" si="2067"/>
        <v>0</v>
      </c>
      <c r="G398" s="1868">
        <f t="shared" si="2067"/>
        <v>0</v>
      </c>
      <c r="H398" s="1868">
        <f t="shared" si="2067"/>
        <v>0</v>
      </c>
      <c r="I398" s="1899">
        <f t="shared" si="2059"/>
        <v>0</v>
      </c>
      <c r="J398" s="1900">
        <f t="shared" si="2060"/>
        <v>11771</v>
      </c>
      <c r="K398" s="1868">
        <f t="shared" si="2068"/>
        <v>0</v>
      </c>
      <c r="L398" s="1868">
        <f t="shared" si="2068"/>
        <v>0</v>
      </c>
      <c r="M398" s="1868">
        <f t="shared" si="2068"/>
        <v>0</v>
      </c>
      <c r="N398" s="1899">
        <f t="shared" si="2064"/>
        <v>0</v>
      </c>
      <c r="O398" s="1900">
        <f t="shared" si="2065"/>
        <v>11771</v>
      </c>
      <c r="P398" s="1868">
        <f t="shared" si="2069"/>
        <v>0</v>
      </c>
      <c r="Q398" s="1868">
        <f t="shared" si="2069"/>
        <v>0</v>
      </c>
      <c r="R398" s="1868">
        <f t="shared" si="2069"/>
        <v>0</v>
      </c>
      <c r="S398" s="1899">
        <f t="shared" si="2071"/>
        <v>0</v>
      </c>
      <c r="T398" s="1897">
        <f t="shared" si="2070"/>
        <v>11771</v>
      </c>
      <c r="Z398" s="1418"/>
      <c r="AD398" s="1418"/>
      <c r="AE398" s="1418"/>
      <c r="AI398" s="1418"/>
      <c r="AJ398" s="1418"/>
      <c r="AN398" s="1418"/>
    </row>
    <row r="399" s="1510" customFormat="1" hidden="1">
      <c r="A399" s="2096" t="s">
        <v>363</v>
      </c>
      <c r="B399" s="2097">
        <f t="shared" si="2066"/>
        <v>31960</v>
      </c>
      <c r="C399" s="2097">
        <f t="shared" si="2066"/>
        <v>25060</v>
      </c>
      <c r="D399" s="2097">
        <f t="shared" si="2066"/>
        <v>0</v>
      </c>
      <c r="E399" s="2098">
        <f t="shared" si="2055"/>
        <v>57020</v>
      </c>
      <c r="F399" s="2097">
        <f t="shared" si="2067"/>
        <v>0</v>
      </c>
      <c r="G399" s="2097">
        <f t="shared" si="2067"/>
        <v>0</v>
      </c>
      <c r="H399" s="2097">
        <f t="shared" si="2067"/>
        <v>0</v>
      </c>
      <c r="I399" s="2098">
        <f t="shared" si="2059"/>
        <v>0</v>
      </c>
      <c r="J399" s="2098">
        <f t="shared" si="2060"/>
        <v>57020</v>
      </c>
      <c r="K399" s="2097">
        <f t="shared" si="2068"/>
        <v>0</v>
      </c>
      <c r="L399" s="2097">
        <f t="shared" si="2068"/>
        <v>0</v>
      </c>
      <c r="M399" s="2097">
        <f t="shared" si="2068"/>
        <v>0</v>
      </c>
      <c r="N399" s="2098">
        <f t="shared" si="2064"/>
        <v>0</v>
      </c>
      <c r="O399" s="2098">
        <f t="shared" si="2065"/>
        <v>57020</v>
      </c>
      <c r="P399" s="2097">
        <f t="shared" si="2069"/>
        <v>0</v>
      </c>
      <c r="Q399" s="2097">
        <f t="shared" si="2069"/>
        <v>0</v>
      </c>
      <c r="R399" s="2097">
        <f t="shared" si="2069"/>
        <v>0</v>
      </c>
      <c r="S399" s="2098">
        <f t="shared" si="2071"/>
        <v>0</v>
      </c>
      <c r="T399" s="2098">
        <f t="shared" si="2070"/>
        <v>57020</v>
      </c>
      <c r="U399" s="1515"/>
      <c r="V399" s="1515"/>
      <c r="W399" s="1515"/>
      <c r="X399" s="1515"/>
      <c r="Y399" s="1515"/>
      <c r="Z399" s="2062"/>
      <c r="AA399" s="1515"/>
      <c r="AB399" s="1515"/>
      <c r="AC399" s="1515"/>
      <c r="AD399" s="2062"/>
      <c r="AE399" s="2062"/>
      <c r="AF399" s="1515"/>
      <c r="AG399" s="1515"/>
      <c r="AH399" s="1515"/>
      <c r="AI399" s="2062"/>
      <c r="AJ399" s="2062"/>
      <c r="AK399" s="1515"/>
      <c r="AL399" s="1886"/>
      <c r="AM399" s="1515"/>
      <c r="AN399" s="2062"/>
      <c r="AO399" s="2062"/>
      <c r="AP399" s="1515"/>
      <c r="AQ399" s="1515"/>
      <c r="AR399" s="1515"/>
      <c r="AS399" s="1515"/>
      <c r="AT399" s="1515"/>
      <c r="AU399" s="1515"/>
      <c r="AV399" s="1515"/>
      <c r="AW399" s="1515"/>
      <c r="AX399" s="1515"/>
      <c r="AY399" s="1515"/>
      <c r="AZ399" s="1515"/>
    </row>
    <row r="400" hidden="1">
      <c r="A400" s="1179" t="s">
        <v>626</v>
      </c>
      <c r="B400" s="1868">
        <f t="shared" si="2066"/>
        <v>2651</v>
      </c>
      <c r="C400" s="1868">
        <f t="shared" si="2066"/>
        <v>2874</v>
      </c>
      <c r="D400" s="1868">
        <f t="shared" si="2066"/>
        <v>0</v>
      </c>
      <c r="E400" s="1899">
        <f t="shared" si="2055"/>
        <v>5525</v>
      </c>
      <c r="F400" s="1868">
        <f t="shared" si="2067"/>
        <v>0</v>
      </c>
      <c r="G400" s="1868">
        <f t="shared" si="2067"/>
        <v>0</v>
      </c>
      <c r="H400" s="1868">
        <f t="shared" si="2067"/>
        <v>0</v>
      </c>
      <c r="I400" s="1899">
        <f t="shared" si="2059"/>
        <v>0</v>
      </c>
      <c r="J400" s="1900">
        <f t="shared" si="2060"/>
        <v>5525</v>
      </c>
      <c r="K400" s="1868">
        <f t="shared" si="2068"/>
        <v>0</v>
      </c>
      <c r="L400" s="1868">
        <f t="shared" si="2068"/>
        <v>0</v>
      </c>
      <c r="M400" s="1868">
        <f t="shared" si="2068"/>
        <v>0</v>
      </c>
      <c r="N400" s="1899">
        <f t="shared" si="2064"/>
        <v>0</v>
      </c>
      <c r="O400" s="1900">
        <f t="shared" si="2065"/>
        <v>5525</v>
      </c>
      <c r="P400" s="1868">
        <f t="shared" si="2069"/>
        <v>0</v>
      </c>
      <c r="Q400" s="1868">
        <f t="shared" si="2069"/>
        <v>0</v>
      </c>
      <c r="R400" s="1868">
        <f t="shared" si="2069"/>
        <v>0</v>
      </c>
      <c r="S400" s="1899">
        <f t="shared" si="2071"/>
        <v>0</v>
      </c>
      <c r="T400" s="1897">
        <f t="shared" si="2070"/>
        <v>5417</v>
      </c>
      <c r="U400" s="1838"/>
      <c r="Z400" s="1418"/>
      <c r="AD400" s="1418"/>
      <c r="AE400" s="1418"/>
      <c r="AI400" s="1418"/>
      <c r="AJ400" s="1418"/>
      <c r="AN400" s="1418"/>
    </row>
    <row r="401" hidden="1">
      <c r="A401" s="1551" t="s">
        <v>525</v>
      </c>
      <c r="B401" s="1868">
        <f t="shared" si="2066"/>
        <v>5101</v>
      </c>
      <c r="C401" s="1868">
        <f t="shared" si="2066"/>
        <v>5542</v>
      </c>
      <c r="D401" s="1868">
        <f t="shared" si="2066"/>
        <v>0</v>
      </c>
      <c r="E401" s="1899">
        <f t="shared" si="2055"/>
        <v>10643</v>
      </c>
      <c r="F401" s="1868">
        <f t="shared" si="2067"/>
        <v>0</v>
      </c>
      <c r="G401" s="1868">
        <f t="shared" si="2067"/>
        <v>0</v>
      </c>
      <c r="H401" s="1868">
        <f t="shared" si="2067"/>
        <v>0</v>
      </c>
      <c r="I401" s="1899">
        <f t="shared" si="2059"/>
        <v>0</v>
      </c>
      <c r="J401" s="1900">
        <f t="shared" si="2060"/>
        <v>10643</v>
      </c>
      <c r="K401" s="1868">
        <f t="shared" si="2068"/>
        <v>0</v>
      </c>
      <c r="L401" s="1868">
        <f t="shared" si="2068"/>
        <v>0</v>
      </c>
      <c r="M401" s="1868">
        <f t="shared" si="2068"/>
        <v>0</v>
      </c>
      <c r="N401" s="1899">
        <f t="shared" si="2064"/>
        <v>0</v>
      </c>
      <c r="O401" s="1900">
        <f t="shared" si="2065"/>
        <v>10643</v>
      </c>
      <c r="P401" s="1868">
        <f t="shared" si="2069"/>
        <v>0</v>
      </c>
      <c r="Q401" s="1868">
        <f t="shared" si="2069"/>
        <v>0</v>
      </c>
      <c r="R401" s="1868">
        <f t="shared" si="2069"/>
        <v>0</v>
      </c>
      <c r="S401" s="1899">
        <f t="shared" si="2071"/>
        <v>0</v>
      </c>
      <c r="T401" s="1897">
        <f t="shared" si="2070"/>
        <v>10643</v>
      </c>
      <c r="U401" s="1838"/>
      <c r="Z401" s="1418"/>
      <c r="AD401" s="1418"/>
      <c r="AE401" s="1418"/>
      <c r="AI401" s="1418"/>
      <c r="AJ401" s="1418"/>
      <c r="AN401" s="1418"/>
    </row>
    <row r="402" hidden="1">
      <c r="A402" s="1551" t="s">
        <v>627</v>
      </c>
      <c r="B402" s="1868">
        <f t="shared" si="2066"/>
        <v>4029</v>
      </c>
      <c r="C402" s="1868">
        <f t="shared" si="2066"/>
        <v>3951</v>
      </c>
      <c r="D402" s="1868">
        <f t="shared" si="2066"/>
        <v>0</v>
      </c>
      <c r="E402" s="1899">
        <f t="shared" si="2055"/>
        <v>7980</v>
      </c>
      <c r="F402" s="1868">
        <f t="shared" si="2067"/>
        <v>0</v>
      </c>
      <c r="G402" s="1868">
        <f t="shared" si="2067"/>
        <v>0</v>
      </c>
      <c r="H402" s="1868">
        <f t="shared" si="2067"/>
        <v>0</v>
      </c>
      <c r="I402" s="1899">
        <f t="shared" si="2059"/>
        <v>0</v>
      </c>
      <c r="J402" s="1900">
        <f t="shared" si="2060"/>
        <v>7980</v>
      </c>
      <c r="K402" s="1868">
        <f t="shared" si="2068"/>
        <v>0</v>
      </c>
      <c r="L402" s="1868">
        <f t="shared" si="2068"/>
        <v>0</v>
      </c>
      <c r="M402" s="1868">
        <f t="shared" si="2068"/>
        <v>0</v>
      </c>
      <c r="N402" s="1899">
        <f t="shared" si="2064"/>
        <v>0</v>
      </c>
      <c r="O402" s="1900">
        <f t="shared" si="2065"/>
        <v>7980</v>
      </c>
      <c r="P402" s="1868">
        <f t="shared" si="2069"/>
        <v>0</v>
      </c>
      <c r="Q402" s="1868">
        <f t="shared" si="2069"/>
        <v>0</v>
      </c>
      <c r="R402" s="1868">
        <f t="shared" si="2069"/>
        <v>0</v>
      </c>
      <c r="S402" s="1899">
        <f t="shared" si="2071"/>
        <v>0</v>
      </c>
      <c r="T402" s="1897">
        <f t="shared" si="2070"/>
        <v>7980</v>
      </c>
      <c r="Z402" s="1418"/>
      <c r="AD402" s="1418"/>
      <c r="AE402" s="1418"/>
      <c r="AI402" s="1418"/>
      <c r="AJ402" s="1418"/>
      <c r="AN402" s="1418"/>
    </row>
    <row r="403" s="1510" customFormat="1" hidden="1">
      <c r="A403" s="1551" t="s">
        <v>543</v>
      </c>
      <c r="B403" s="1868">
        <f t="shared" si="2066"/>
        <v>3670</v>
      </c>
      <c r="C403" s="1868">
        <f t="shared" si="2066"/>
        <v>2641</v>
      </c>
      <c r="D403" s="1868">
        <f t="shared" si="2066"/>
        <v>0</v>
      </c>
      <c r="E403" s="1899">
        <f t="shared" si="2055"/>
        <v>6311</v>
      </c>
      <c r="F403" s="1868">
        <f t="shared" si="2067"/>
        <v>0</v>
      </c>
      <c r="G403" s="1868">
        <f t="shared" si="2067"/>
        <v>0</v>
      </c>
      <c r="H403" s="1868">
        <f t="shared" si="2067"/>
        <v>0</v>
      </c>
      <c r="I403" s="1899">
        <f t="shared" si="2059"/>
        <v>0</v>
      </c>
      <c r="J403" s="1900">
        <f t="shared" si="2060"/>
        <v>6311</v>
      </c>
      <c r="K403" s="1868">
        <f t="shared" si="2068"/>
        <v>0</v>
      </c>
      <c r="L403" s="1868">
        <f t="shared" si="2068"/>
        <v>0</v>
      </c>
      <c r="M403" s="1868">
        <f t="shared" si="2068"/>
        <v>0</v>
      </c>
      <c r="N403" s="1899">
        <f t="shared" si="2064"/>
        <v>0</v>
      </c>
      <c r="O403" s="1900">
        <f t="shared" si="2065"/>
        <v>6311</v>
      </c>
      <c r="P403" s="1868">
        <f t="shared" si="2069"/>
        <v>0</v>
      </c>
      <c r="Q403" s="1868">
        <f t="shared" si="2069"/>
        <v>0</v>
      </c>
      <c r="R403" s="1868">
        <f t="shared" si="2069"/>
        <v>0</v>
      </c>
      <c r="S403" s="1899">
        <f t="shared" si="2071"/>
        <v>0</v>
      </c>
      <c r="T403" s="1897">
        <f t="shared" si="2070"/>
        <v>6311</v>
      </c>
      <c r="U403" s="1515"/>
      <c r="V403" s="1515"/>
      <c r="W403" s="1515"/>
      <c r="X403" s="1515"/>
      <c r="Y403" s="1515"/>
      <c r="Z403" s="2062"/>
      <c r="AA403" s="1515"/>
      <c r="AB403" s="1515"/>
      <c r="AC403" s="1515"/>
      <c r="AD403" s="2062"/>
      <c r="AE403" s="2062"/>
      <c r="AF403" s="1515"/>
      <c r="AG403" s="1515"/>
      <c r="AH403" s="1515"/>
      <c r="AI403" s="2062"/>
      <c r="AJ403" s="2062"/>
      <c r="AK403" s="1515"/>
      <c r="AL403" s="1886"/>
      <c r="AM403" s="1515"/>
      <c r="AN403" s="2062"/>
      <c r="AO403" s="2062"/>
      <c r="AP403" s="1515"/>
      <c r="AQ403" s="1515"/>
      <c r="AR403" s="1515"/>
      <c r="AS403" s="1515"/>
      <c r="AT403" s="1515"/>
      <c r="AU403" s="1515"/>
      <c r="AV403" s="1515"/>
      <c r="AW403" s="1515"/>
      <c r="AX403" s="1515"/>
      <c r="AY403" s="1515"/>
      <c r="AZ403" s="1515"/>
    </row>
    <row r="404" hidden="1">
      <c r="A404" s="2096" t="s">
        <v>544</v>
      </c>
      <c r="B404" s="2097">
        <f t="shared" si="2066"/>
        <v>15451</v>
      </c>
      <c r="C404" s="2097">
        <f t="shared" si="2066"/>
        <v>15008</v>
      </c>
      <c r="D404" s="2097">
        <f t="shared" si="2066"/>
        <v>0</v>
      </c>
      <c r="E404" s="2098">
        <f t="shared" si="2055"/>
        <v>30459</v>
      </c>
      <c r="F404" s="2097">
        <f t="shared" si="2067"/>
        <v>0</v>
      </c>
      <c r="G404" s="2097">
        <f t="shared" si="2067"/>
        <v>0</v>
      </c>
      <c r="H404" s="2097">
        <f t="shared" si="2067"/>
        <v>0</v>
      </c>
      <c r="I404" s="2098">
        <f t="shared" si="2059"/>
        <v>0</v>
      </c>
      <c r="J404" s="2098">
        <f t="shared" si="2060"/>
        <v>30459</v>
      </c>
      <c r="K404" s="2097">
        <f t="shared" si="2068"/>
        <v>0</v>
      </c>
      <c r="L404" s="2097">
        <f t="shared" si="2068"/>
        <v>0</v>
      </c>
      <c r="M404" s="2097">
        <f t="shared" si="2068"/>
        <v>0</v>
      </c>
      <c r="N404" s="2098">
        <f t="shared" si="2064"/>
        <v>0</v>
      </c>
      <c r="O404" s="2098">
        <f t="shared" si="2065"/>
        <v>30459</v>
      </c>
      <c r="P404" s="2097">
        <f t="shared" si="2069"/>
        <v>0</v>
      </c>
      <c r="Q404" s="2097">
        <f t="shared" si="2069"/>
        <v>0</v>
      </c>
      <c r="R404" s="2097">
        <f t="shared" si="2069"/>
        <v>0</v>
      </c>
      <c r="S404" s="2098">
        <f t="shared" si="2071"/>
        <v>0</v>
      </c>
      <c r="T404" s="2098">
        <f t="shared" si="2070"/>
        <v>30351</v>
      </c>
      <c r="Z404" s="1418"/>
      <c r="AD404" s="1418"/>
      <c r="AE404" s="1418"/>
      <c r="AI404" s="1418"/>
      <c r="AJ404" s="1418"/>
      <c r="AN404" s="1418"/>
    </row>
    <row r="405" hidden="1">
      <c r="A405" s="1179" t="s">
        <v>628</v>
      </c>
      <c r="B405" s="1868">
        <f t="shared" si="2066"/>
        <v>19031</v>
      </c>
      <c r="C405" s="1868">
        <f t="shared" si="2066"/>
        <v>14913</v>
      </c>
      <c r="D405" s="1868">
        <f t="shared" si="2066"/>
        <v>0</v>
      </c>
      <c r="E405" s="1899">
        <f t="shared" si="2055"/>
        <v>33944</v>
      </c>
      <c r="F405" s="1868">
        <f t="shared" si="2067"/>
        <v>0</v>
      </c>
      <c r="G405" s="1868">
        <f t="shared" si="2067"/>
        <v>0</v>
      </c>
      <c r="H405" s="1868">
        <f t="shared" si="2067"/>
        <v>0</v>
      </c>
      <c r="I405" s="1899">
        <f t="shared" si="2059"/>
        <v>0</v>
      </c>
      <c r="J405" s="1900">
        <f t="shared" si="2060"/>
        <v>33944</v>
      </c>
      <c r="K405" s="1868">
        <f t="shared" si="2068"/>
        <v>0</v>
      </c>
      <c r="L405" s="1868">
        <f t="shared" si="2068"/>
        <v>0</v>
      </c>
      <c r="M405" s="1868">
        <f t="shared" si="2068"/>
        <v>0</v>
      </c>
      <c r="N405" s="1899">
        <f t="shared" si="2064"/>
        <v>0</v>
      </c>
      <c r="O405" s="1900">
        <f t="shared" si="2065"/>
        <v>33944</v>
      </c>
      <c r="P405" s="1868">
        <f t="shared" si="2069"/>
        <v>0</v>
      </c>
      <c r="Q405" s="1868">
        <f t="shared" si="2069"/>
        <v>0</v>
      </c>
      <c r="R405" s="1868">
        <f t="shared" si="2069"/>
        <v>0</v>
      </c>
      <c r="S405" s="1899">
        <f t="shared" si="2071"/>
        <v>0</v>
      </c>
      <c r="T405" s="1897">
        <f t="shared" si="2070"/>
        <v>33944</v>
      </c>
      <c r="Z405" s="1418"/>
      <c r="AD405" s="1418"/>
      <c r="AE405" s="1418"/>
      <c r="AI405" s="1418"/>
      <c r="AJ405" s="1418"/>
      <c r="AN405" s="1418"/>
    </row>
    <row r="406" hidden="1">
      <c r="A406" s="1179" t="s">
        <v>629</v>
      </c>
      <c r="B406" s="1868">
        <f t="shared" si="2066"/>
        <v>6374</v>
      </c>
      <c r="C406" s="1868">
        <f t="shared" si="2066"/>
        <v>5397</v>
      </c>
      <c r="D406" s="1868">
        <f t="shared" si="2066"/>
        <v>0</v>
      </c>
      <c r="E406" s="1899">
        <f t="shared" si="2055"/>
        <v>11771</v>
      </c>
      <c r="F406" s="1868">
        <f t="shared" si="2067"/>
        <v>0</v>
      </c>
      <c r="G406" s="1868">
        <f t="shared" si="2067"/>
        <v>0</v>
      </c>
      <c r="H406" s="1868">
        <f t="shared" si="2067"/>
        <v>0</v>
      </c>
      <c r="I406" s="1899">
        <f t="shared" si="2059"/>
        <v>0</v>
      </c>
      <c r="J406" s="1900">
        <f t="shared" si="2060"/>
        <v>11771</v>
      </c>
      <c r="K406" s="1868">
        <f t="shared" si="2068"/>
        <v>0</v>
      </c>
      <c r="L406" s="1868">
        <f t="shared" si="2068"/>
        <v>0</v>
      </c>
      <c r="M406" s="1868">
        <f t="shared" si="2068"/>
        <v>0</v>
      </c>
      <c r="N406" s="1899">
        <f t="shared" si="2064"/>
        <v>0</v>
      </c>
      <c r="O406" s="1900">
        <f t="shared" si="2065"/>
        <v>11771</v>
      </c>
      <c r="P406" s="1868">
        <f t="shared" si="2069"/>
        <v>0</v>
      </c>
      <c r="Q406" s="1868">
        <f t="shared" si="2069"/>
        <v>0</v>
      </c>
      <c r="R406" s="1868">
        <f t="shared" si="2069"/>
        <v>0</v>
      </c>
      <c r="S406" s="1899">
        <f t="shared" si="2071"/>
        <v>0</v>
      </c>
      <c r="T406" s="1897">
        <f t="shared" si="2070"/>
        <v>11771</v>
      </c>
      <c r="Z406" s="1418"/>
      <c r="AD406" s="1418"/>
      <c r="AE406" s="1418"/>
      <c r="AI406" s="1418"/>
      <c r="AJ406" s="1418"/>
      <c r="AN406" s="1418"/>
    </row>
    <row r="407" s="1510" customFormat="1" hidden="1">
      <c r="A407" s="1179" t="s">
        <v>265</v>
      </c>
      <c r="B407" s="1868">
        <f t="shared" si="2066"/>
        <v>6788</v>
      </c>
      <c r="C407" s="1868">
        <f t="shared" si="2066"/>
        <v>4547</v>
      </c>
      <c r="D407" s="1868">
        <f t="shared" si="2066"/>
        <v>0</v>
      </c>
      <c r="E407" s="1899">
        <f t="shared" si="2055"/>
        <v>11335</v>
      </c>
      <c r="F407" s="1868">
        <f t="shared" si="2067"/>
        <v>0</v>
      </c>
      <c r="G407" s="1868">
        <f t="shared" si="2067"/>
        <v>0</v>
      </c>
      <c r="H407" s="1868">
        <f t="shared" si="2067"/>
        <v>0</v>
      </c>
      <c r="I407" s="1899">
        <f t="shared" si="2059"/>
        <v>0</v>
      </c>
      <c r="J407" s="1900">
        <f t="shared" si="2060"/>
        <v>11335</v>
      </c>
      <c r="K407" s="1868">
        <f t="shared" si="2068"/>
        <v>0</v>
      </c>
      <c r="L407" s="1868">
        <f t="shared" si="2068"/>
        <v>0</v>
      </c>
      <c r="M407" s="1868">
        <f t="shared" si="2068"/>
        <v>0</v>
      </c>
      <c r="N407" s="1899">
        <f t="shared" si="2064"/>
        <v>0</v>
      </c>
      <c r="O407" s="1900">
        <f t="shared" si="2065"/>
        <v>11335</v>
      </c>
      <c r="P407" s="1868">
        <f t="shared" si="2069"/>
        <v>0</v>
      </c>
      <c r="Q407" s="1868">
        <f t="shared" si="2069"/>
        <v>0</v>
      </c>
      <c r="R407" s="1868">
        <f t="shared" si="2069"/>
        <v>0</v>
      </c>
      <c r="S407" s="1899">
        <f t="shared" si="2071"/>
        <v>0</v>
      </c>
      <c r="T407" s="1897">
        <f t="shared" si="2070"/>
        <v>10817</v>
      </c>
      <c r="U407" s="1515"/>
      <c r="V407" s="1515"/>
      <c r="W407" s="1515"/>
      <c r="X407" s="1515"/>
      <c r="Y407" s="1515"/>
      <c r="Z407" s="2062"/>
      <c r="AA407" s="1515"/>
      <c r="AB407" s="1515"/>
      <c r="AC407" s="1515"/>
      <c r="AD407" s="2062"/>
      <c r="AE407" s="2062"/>
      <c r="AF407" s="1515"/>
      <c r="AG407" s="1515"/>
      <c r="AH407" s="1515"/>
      <c r="AI407" s="2062"/>
      <c r="AJ407" s="2062"/>
      <c r="AK407" s="1515"/>
      <c r="AL407" s="1886"/>
      <c r="AM407" s="1515"/>
      <c r="AN407" s="2062"/>
      <c r="AO407" s="2062"/>
      <c r="AP407" s="1515"/>
      <c r="AQ407" s="1515"/>
      <c r="AR407" s="1515"/>
      <c r="AS407" s="1515"/>
      <c r="AT407" s="1515"/>
      <c r="AU407" s="1515"/>
      <c r="AV407" s="1515"/>
      <c r="AW407" s="1515"/>
      <c r="AX407" s="1515"/>
      <c r="AY407" s="1515"/>
      <c r="AZ407" s="1515"/>
    </row>
    <row r="408" s="1510" customFormat="1" hidden="1">
      <c r="A408" s="2096" t="s">
        <v>394</v>
      </c>
      <c r="B408" s="2097">
        <f t="shared" si="2066"/>
        <v>32193</v>
      </c>
      <c r="C408" s="2097">
        <f t="shared" si="2066"/>
        <v>24857</v>
      </c>
      <c r="D408" s="2097">
        <f t="shared" si="2066"/>
        <v>0</v>
      </c>
      <c r="E408" s="2098">
        <f t="shared" si="2055"/>
        <v>57050</v>
      </c>
      <c r="F408" s="2097">
        <f t="shared" si="2067"/>
        <v>0</v>
      </c>
      <c r="G408" s="2097">
        <f t="shared" si="2067"/>
        <v>0</v>
      </c>
      <c r="H408" s="2097">
        <f t="shared" si="2067"/>
        <v>0</v>
      </c>
      <c r="I408" s="2098">
        <f t="shared" si="2059"/>
        <v>0</v>
      </c>
      <c r="J408" s="2098">
        <f t="shared" si="2060"/>
        <v>57050</v>
      </c>
      <c r="K408" s="2097">
        <f t="shared" si="2068"/>
        <v>0</v>
      </c>
      <c r="L408" s="2097">
        <f t="shared" si="2068"/>
        <v>0</v>
      </c>
      <c r="M408" s="2097">
        <f t="shared" si="2068"/>
        <v>0</v>
      </c>
      <c r="N408" s="2098">
        <f t="shared" si="2064"/>
        <v>0</v>
      </c>
      <c r="O408" s="2098">
        <f t="shared" si="2065"/>
        <v>57050</v>
      </c>
      <c r="P408" s="2097">
        <f t="shared" si="2069"/>
        <v>0</v>
      </c>
      <c r="Q408" s="2097">
        <f t="shared" si="2069"/>
        <v>0</v>
      </c>
      <c r="R408" s="2097">
        <f t="shared" si="2069"/>
        <v>0</v>
      </c>
      <c r="S408" s="2098">
        <f t="shared" si="2071"/>
        <v>0</v>
      </c>
      <c r="T408" s="2098">
        <f t="shared" si="2070"/>
        <v>56532</v>
      </c>
      <c r="U408" s="1838"/>
      <c r="V408" s="1515"/>
      <c r="W408" s="1515"/>
      <c r="X408" s="1515"/>
      <c r="Y408" s="1515"/>
      <c r="Z408" s="2062"/>
      <c r="AA408" s="1515"/>
      <c r="AB408" s="1515"/>
      <c r="AC408" s="1515"/>
      <c r="AD408" s="2062"/>
      <c r="AE408" s="2062"/>
      <c r="AF408" s="1515"/>
      <c r="AG408" s="1515"/>
      <c r="AH408" s="1515"/>
      <c r="AI408" s="2062"/>
      <c r="AJ408" s="2062"/>
      <c r="AK408" s="1515"/>
      <c r="AL408" s="1886"/>
      <c r="AM408" s="1515"/>
      <c r="AN408" s="2062"/>
      <c r="AO408" s="2062"/>
      <c r="AP408" s="1515"/>
      <c r="AQ408" s="1515"/>
      <c r="AR408" s="1515"/>
      <c r="AS408" s="1515"/>
      <c r="AT408" s="1515"/>
      <c r="AU408" s="1515"/>
      <c r="AV408" s="1515"/>
      <c r="AW408" s="1515"/>
      <c r="AX408" s="1515"/>
      <c r="AY408" s="1515"/>
      <c r="AZ408" s="1515"/>
    </row>
    <row r="409" hidden="1">
      <c r="A409" s="2096" t="s">
        <v>545</v>
      </c>
      <c r="B409" s="2097">
        <f t="shared" si="2066"/>
        <v>106979</v>
      </c>
      <c r="C409" s="2097">
        <f t="shared" si="2066"/>
        <v>91340</v>
      </c>
      <c r="D409" s="2097">
        <f t="shared" si="2066"/>
        <v>0</v>
      </c>
      <c r="E409" s="2098">
        <f t="shared" si="2055"/>
        <v>198319</v>
      </c>
      <c r="F409" s="2097">
        <f t="shared" si="2067"/>
        <v>0</v>
      </c>
      <c r="G409" s="2097">
        <f t="shared" si="2067"/>
        <v>0</v>
      </c>
      <c r="H409" s="2097">
        <f t="shared" si="2067"/>
        <v>0</v>
      </c>
      <c r="I409" s="2098">
        <f t="shared" si="2059"/>
        <v>0</v>
      </c>
      <c r="J409" s="2098">
        <f t="shared" si="2060"/>
        <v>198319</v>
      </c>
      <c r="K409" s="2097">
        <f t="shared" si="2068"/>
        <v>0</v>
      </c>
      <c r="L409" s="2097">
        <f t="shared" si="2068"/>
        <v>0</v>
      </c>
      <c r="M409" s="2097">
        <f t="shared" si="2068"/>
        <v>0</v>
      </c>
      <c r="N409" s="2098">
        <f t="shared" si="2064"/>
        <v>0</v>
      </c>
      <c r="O409" s="2098">
        <f t="shared" si="2065"/>
        <v>198319</v>
      </c>
      <c r="P409" s="2097">
        <f t="shared" si="2069"/>
        <v>0</v>
      </c>
      <c r="Q409" s="2097">
        <f t="shared" si="2069"/>
        <v>0</v>
      </c>
      <c r="R409" s="2097">
        <f t="shared" si="2069"/>
        <v>0</v>
      </c>
      <c r="S409" s="2098">
        <f t="shared" si="2071"/>
        <v>0</v>
      </c>
      <c r="T409" s="2098">
        <f t="shared" si="2070"/>
        <v>197693</v>
      </c>
      <c r="Z409" s="1418"/>
      <c r="AD409" s="1418"/>
      <c r="AE409" s="1418"/>
      <c r="AI409" s="1418"/>
      <c r="AJ409" s="1418"/>
      <c r="AN409" s="1418"/>
    </row>
    <row r="410" hidden="1">
      <c r="A410" s="1179" t="s">
        <v>50</v>
      </c>
      <c r="B410" s="1868">
        <f t="shared" si="2066"/>
        <v>10032</v>
      </c>
      <c r="C410" s="1868">
        <f t="shared" si="2066"/>
        <v>5906</v>
      </c>
      <c r="D410" s="1868">
        <f t="shared" si="2066"/>
        <v>0</v>
      </c>
      <c r="E410" s="1899">
        <f t="shared" si="2055"/>
        <v>15938</v>
      </c>
      <c r="F410" s="1868">
        <f t="shared" si="2067"/>
        <v>0</v>
      </c>
      <c r="G410" s="1868">
        <f t="shared" si="2067"/>
        <v>0</v>
      </c>
      <c r="H410" s="1868">
        <f t="shared" si="2067"/>
        <v>0</v>
      </c>
      <c r="I410" s="1899">
        <f t="shared" si="2059"/>
        <v>0</v>
      </c>
      <c r="J410" s="1900">
        <f t="shared" si="2060"/>
        <v>15938</v>
      </c>
      <c r="K410" s="1868">
        <f t="shared" si="2068"/>
        <v>0</v>
      </c>
      <c r="L410" s="1868">
        <f t="shared" si="2068"/>
        <v>0</v>
      </c>
      <c r="M410" s="1868">
        <f t="shared" si="2068"/>
        <v>0</v>
      </c>
      <c r="N410" s="1899">
        <f t="shared" si="2064"/>
        <v>0</v>
      </c>
      <c r="O410" s="1900">
        <f t="shared" si="2065"/>
        <v>15938</v>
      </c>
      <c r="P410" s="1868">
        <f t="shared" si="2069"/>
        <v>0</v>
      </c>
      <c r="Q410" s="1868">
        <f t="shared" si="2069"/>
        <v>0</v>
      </c>
      <c r="R410" s="1868">
        <f t="shared" si="2069"/>
        <v>0</v>
      </c>
      <c r="S410" s="1899">
        <f t="shared" si="2071"/>
        <v>0</v>
      </c>
      <c r="T410" s="1897">
        <f t="shared" si="2070"/>
        <v>15938</v>
      </c>
      <c r="Z410" s="1418"/>
      <c r="AD410" s="1418"/>
      <c r="AE410" s="1418"/>
      <c r="AI410" s="1418"/>
      <c r="AJ410" s="1418"/>
      <c r="AN410" s="1418"/>
    </row>
    <row r="411" hidden="1">
      <c r="A411" s="1179" t="s">
        <v>397</v>
      </c>
      <c r="B411" s="1868">
        <f t="shared" si="2066"/>
        <v>1027</v>
      </c>
      <c r="C411" s="1868">
        <f t="shared" si="2066"/>
        <v>1306</v>
      </c>
      <c r="D411" s="1868">
        <f t="shared" si="2066"/>
        <v>0</v>
      </c>
      <c r="E411" s="1899">
        <f t="shared" si="2055"/>
        <v>2333</v>
      </c>
      <c r="F411" s="1868">
        <f t="shared" si="2067"/>
        <v>0</v>
      </c>
      <c r="G411" s="1868">
        <f t="shared" si="2067"/>
        <v>0</v>
      </c>
      <c r="H411" s="1868">
        <f t="shared" si="2067"/>
        <v>0</v>
      </c>
      <c r="I411" s="1899">
        <f t="shared" si="2059"/>
        <v>0</v>
      </c>
      <c r="J411" s="1900">
        <f t="shared" si="2060"/>
        <v>2333</v>
      </c>
      <c r="K411" s="1868">
        <f t="shared" si="2068"/>
        <v>0</v>
      </c>
      <c r="L411" s="1868">
        <f t="shared" si="2068"/>
        <v>0</v>
      </c>
      <c r="M411" s="1868">
        <f t="shared" si="2068"/>
        <v>0</v>
      </c>
      <c r="N411" s="1899">
        <f t="shared" si="2064"/>
        <v>0</v>
      </c>
      <c r="O411" s="1900">
        <f t="shared" si="2065"/>
        <v>2333</v>
      </c>
      <c r="P411" s="1868">
        <f t="shared" si="2069"/>
        <v>0</v>
      </c>
      <c r="Q411" s="1868">
        <f t="shared" si="2069"/>
        <v>0</v>
      </c>
      <c r="R411" s="1868">
        <f t="shared" si="2069"/>
        <v>0</v>
      </c>
      <c r="S411" s="1899">
        <f t="shared" si="2071"/>
        <v>0</v>
      </c>
      <c r="T411" s="1897">
        <f t="shared" si="2070"/>
        <v>2333</v>
      </c>
      <c r="Z411" s="1418"/>
      <c r="AD411" s="1418"/>
      <c r="AE411" s="1418"/>
      <c r="AI411" s="1418"/>
      <c r="AJ411" s="1418"/>
      <c r="AN411" s="1418"/>
    </row>
    <row r="412" hidden="1">
      <c r="A412" s="1179" t="s">
        <v>546</v>
      </c>
      <c r="B412" s="1868">
        <f t="shared" si="2066"/>
        <v>3622</v>
      </c>
      <c r="C412" s="1868">
        <f t="shared" si="2066"/>
        <v>2866</v>
      </c>
      <c r="D412" s="1868">
        <f t="shared" si="2066"/>
        <v>0</v>
      </c>
      <c r="E412" s="1899">
        <f t="shared" si="2055"/>
        <v>6488</v>
      </c>
      <c r="F412" s="1868">
        <f t="shared" si="2067"/>
        <v>0</v>
      </c>
      <c r="G412" s="1868">
        <f t="shared" si="2067"/>
        <v>0</v>
      </c>
      <c r="H412" s="1868">
        <f t="shared" si="2067"/>
        <v>0</v>
      </c>
      <c r="I412" s="1899">
        <f t="shared" si="2059"/>
        <v>0</v>
      </c>
      <c r="J412" s="1900">
        <f t="shared" si="2060"/>
        <v>6488</v>
      </c>
      <c r="K412" s="1868">
        <f t="shared" si="2068"/>
        <v>0</v>
      </c>
      <c r="L412" s="1868">
        <f t="shared" si="2068"/>
        <v>0</v>
      </c>
      <c r="M412" s="1868">
        <f t="shared" si="2068"/>
        <v>0</v>
      </c>
      <c r="N412" s="1899">
        <f t="shared" si="2064"/>
        <v>0</v>
      </c>
      <c r="O412" s="1900">
        <f t="shared" si="2065"/>
        <v>6488</v>
      </c>
      <c r="P412" s="1868">
        <f t="shared" si="2069"/>
        <v>0</v>
      </c>
      <c r="Q412" s="1868">
        <f t="shared" si="2069"/>
        <v>0</v>
      </c>
      <c r="R412" s="1868">
        <f t="shared" si="2069"/>
        <v>0</v>
      </c>
      <c r="S412" s="1899">
        <f t="shared" si="2071"/>
        <v>0</v>
      </c>
      <c r="T412" s="1897">
        <f t="shared" si="2070"/>
        <v>6488</v>
      </c>
      <c r="Z412" s="1418"/>
      <c r="AD412" s="1418"/>
      <c r="AE412" s="1418"/>
      <c r="AI412" s="1418"/>
      <c r="AJ412" s="1418"/>
      <c r="AN412" s="1418"/>
    </row>
    <row r="413" hidden="1">
      <c r="A413" s="2096" t="s">
        <v>27</v>
      </c>
      <c r="B413" s="2097">
        <f t="shared" si="2066"/>
        <v>14681</v>
      </c>
      <c r="C413" s="2097">
        <f t="shared" si="2066"/>
        <v>10078</v>
      </c>
      <c r="D413" s="2097">
        <f t="shared" si="2066"/>
        <v>0</v>
      </c>
      <c r="E413" s="2098">
        <f t="shared" si="2055"/>
        <v>24759</v>
      </c>
      <c r="F413" s="2097">
        <f t="shared" si="2067"/>
        <v>0</v>
      </c>
      <c r="G413" s="2097">
        <f t="shared" si="2067"/>
        <v>0</v>
      </c>
      <c r="H413" s="2097">
        <f t="shared" si="2067"/>
        <v>0</v>
      </c>
      <c r="I413" s="2098">
        <f t="shared" si="2059"/>
        <v>0</v>
      </c>
      <c r="J413" s="2098">
        <f t="shared" si="2060"/>
        <v>24759</v>
      </c>
      <c r="K413" s="2097">
        <f t="shared" si="2068"/>
        <v>0</v>
      </c>
      <c r="L413" s="2097">
        <f t="shared" si="2068"/>
        <v>0</v>
      </c>
      <c r="M413" s="2097">
        <f t="shared" si="2068"/>
        <v>0</v>
      </c>
      <c r="N413" s="2098">
        <f t="shared" si="2064"/>
        <v>0</v>
      </c>
      <c r="O413" s="2098">
        <f t="shared" si="2065"/>
        <v>24759</v>
      </c>
      <c r="P413" s="2097">
        <f t="shared" si="2069"/>
        <v>0</v>
      </c>
      <c r="Q413" s="2097">
        <f t="shared" si="2069"/>
        <v>0</v>
      </c>
      <c r="R413" s="2097">
        <f t="shared" si="2069"/>
        <v>0</v>
      </c>
      <c r="S413" s="2098">
        <f t="shared" si="2071"/>
        <v>0</v>
      </c>
      <c r="T413" s="2098">
        <f t="shared" si="2070"/>
        <v>24759</v>
      </c>
      <c r="Z413" s="1418"/>
      <c r="AD413" s="1418"/>
      <c r="AE413" s="1418"/>
      <c r="AI413" s="1418"/>
      <c r="AJ413" s="1418"/>
      <c r="AN413" s="1418"/>
    </row>
    <row r="414" hidden="1">
      <c r="A414" s="1179" t="s">
        <v>548</v>
      </c>
      <c r="B414" s="1868">
        <f t="shared" si="2066"/>
        <v>6786</v>
      </c>
      <c r="C414" s="1868">
        <f t="shared" si="2066"/>
        <v>9147</v>
      </c>
      <c r="D414" s="1868">
        <f t="shared" si="2066"/>
        <v>0</v>
      </c>
      <c r="E414" s="1899">
        <f t="shared" si="2055"/>
        <v>15933</v>
      </c>
      <c r="F414" s="1868">
        <f t="shared" si="2067"/>
        <v>0</v>
      </c>
      <c r="G414" s="1868">
        <f t="shared" si="2067"/>
        <v>0</v>
      </c>
      <c r="H414" s="1868">
        <f t="shared" si="2067"/>
        <v>0</v>
      </c>
      <c r="I414" s="1899">
        <f t="shared" si="2059"/>
        <v>0</v>
      </c>
      <c r="J414" s="1900">
        <f t="shared" si="2060"/>
        <v>15933</v>
      </c>
      <c r="K414" s="1868">
        <f t="shared" si="2068"/>
        <v>0</v>
      </c>
      <c r="L414" s="1868">
        <f t="shared" si="2068"/>
        <v>0</v>
      </c>
      <c r="M414" s="1868">
        <f t="shared" si="2068"/>
        <v>0</v>
      </c>
      <c r="N414" s="1899">
        <f t="shared" si="2064"/>
        <v>0</v>
      </c>
      <c r="O414" s="1900">
        <f t="shared" si="2065"/>
        <v>15933</v>
      </c>
      <c r="P414" s="1868">
        <f t="shared" si="2069"/>
        <v>0</v>
      </c>
      <c r="Q414" s="1868">
        <f t="shared" si="2069"/>
        <v>0</v>
      </c>
      <c r="R414" s="1868">
        <f t="shared" si="2069"/>
        <v>0</v>
      </c>
      <c r="S414" s="1899">
        <f t="shared" si="2071"/>
        <v>0</v>
      </c>
      <c r="T414" s="1897">
        <f t="shared" si="2070"/>
        <v>15933</v>
      </c>
      <c r="Z414" s="1418"/>
      <c r="AD414" s="1418"/>
      <c r="AE414" s="1418"/>
      <c r="AI414" s="1418"/>
      <c r="AJ414" s="1418"/>
      <c r="AN414" s="1418"/>
    </row>
    <row r="415" hidden="1">
      <c r="A415" s="1179" t="s">
        <v>549</v>
      </c>
      <c r="B415" s="1868">
        <f t="shared" si="2066"/>
        <v>1645</v>
      </c>
      <c r="C415" s="1868">
        <f t="shared" si="2066"/>
        <v>2776</v>
      </c>
      <c r="D415" s="1868">
        <f t="shared" si="2066"/>
        <v>0</v>
      </c>
      <c r="E415" s="1899">
        <f t="shared" si="2055"/>
        <v>4421</v>
      </c>
      <c r="F415" s="1868">
        <f t="shared" si="2067"/>
        <v>0</v>
      </c>
      <c r="G415" s="1868">
        <f t="shared" si="2067"/>
        <v>0</v>
      </c>
      <c r="H415" s="1868">
        <f t="shared" si="2067"/>
        <v>0</v>
      </c>
      <c r="I415" s="1899">
        <f t="shared" si="2059"/>
        <v>0</v>
      </c>
      <c r="J415" s="1900">
        <f t="shared" si="2060"/>
        <v>4421</v>
      </c>
      <c r="K415" s="1868">
        <f t="shared" si="2068"/>
        <v>0</v>
      </c>
      <c r="L415" s="1868">
        <f t="shared" si="2068"/>
        <v>0</v>
      </c>
      <c r="M415" s="1868">
        <f t="shared" si="2068"/>
        <v>0</v>
      </c>
      <c r="N415" s="1899">
        <f t="shared" si="2064"/>
        <v>0</v>
      </c>
      <c r="O415" s="1900">
        <f t="shared" si="2065"/>
        <v>4421</v>
      </c>
      <c r="P415" s="1868">
        <f t="shared" si="2069"/>
        <v>0</v>
      </c>
      <c r="Q415" s="1868">
        <f t="shared" si="2069"/>
        <v>0</v>
      </c>
      <c r="R415" s="1868">
        <f t="shared" si="2069"/>
        <v>0</v>
      </c>
      <c r="S415" s="1899">
        <f t="shared" si="2071"/>
        <v>0</v>
      </c>
      <c r="T415" s="1897">
        <f t="shared" si="2070"/>
        <v>4421</v>
      </c>
      <c r="Z415" s="1418"/>
      <c r="AD415" s="1418"/>
      <c r="AE415" s="1418"/>
      <c r="AI415" s="1418"/>
      <c r="AJ415" s="1418"/>
      <c r="AN415" s="1418"/>
    </row>
    <row r="416" s="1510" customFormat="1" hidden="1">
      <c r="A416" s="2096" t="s">
        <v>27</v>
      </c>
      <c r="B416" s="2097">
        <f t="shared" si="2066"/>
        <v>8431</v>
      </c>
      <c r="C416" s="2097">
        <f t="shared" si="2066"/>
        <v>11923</v>
      </c>
      <c r="D416" s="2097">
        <f t="shared" si="2066"/>
        <v>0</v>
      </c>
      <c r="E416" s="2098">
        <f t="shared" si="2055"/>
        <v>20354</v>
      </c>
      <c r="F416" s="2097">
        <f t="shared" si="2067"/>
        <v>0</v>
      </c>
      <c r="G416" s="2097">
        <f t="shared" si="2067"/>
        <v>0</v>
      </c>
      <c r="H416" s="2097">
        <f t="shared" si="2067"/>
        <v>0</v>
      </c>
      <c r="I416" s="2098">
        <f t="shared" si="2059"/>
        <v>0</v>
      </c>
      <c r="J416" s="2098">
        <f t="shared" si="2060"/>
        <v>20354</v>
      </c>
      <c r="K416" s="2097">
        <f t="shared" si="2068"/>
        <v>0</v>
      </c>
      <c r="L416" s="2097">
        <f t="shared" si="2068"/>
        <v>0</v>
      </c>
      <c r="M416" s="2097">
        <f t="shared" si="2068"/>
        <v>0</v>
      </c>
      <c r="N416" s="2098">
        <f t="shared" si="2064"/>
        <v>0</v>
      </c>
      <c r="O416" s="2098">
        <f t="shared" si="2065"/>
        <v>20354</v>
      </c>
      <c r="P416" s="2097">
        <f t="shared" si="2069"/>
        <v>0</v>
      </c>
      <c r="Q416" s="2097">
        <f t="shared" si="2069"/>
        <v>0</v>
      </c>
      <c r="R416" s="2097">
        <f t="shared" si="2069"/>
        <v>0</v>
      </c>
      <c r="S416" s="2098">
        <f t="shared" si="2071"/>
        <v>0</v>
      </c>
      <c r="T416" s="2098">
        <f t="shared" si="2070"/>
        <v>20354</v>
      </c>
      <c r="U416" s="1515"/>
      <c r="V416" s="1515"/>
      <c r="W416" s="1515"/>
      <c r="X416" s="1515"/>
      <c r="Y416" s="1515"/>
      <c r="Z416" s="2062"/>
      <c r="AA416" s="1515"/>
      <c r="AB416" s="1515"/>
      <c r="AC416" s="1515"/>
      <c r="AD416" s="2062"/>
      <c r="AE416" s="2062"/>
      <c r="AF416" s="1515"/>
      <c r="AG416" s="1515"/>
      <c r="AH416" s="1515"/>
      <c r="AI416" s="2062"/>
      <c r="AJ416" s="2062"/>
      <c r="AK416" s="1515"/>
      <c r="AL416" s="1886"/>
      <c r="AM416" s="1515"/>
      <c r="AN416" s="2062"/>
      <c r="AO416" s="2062"/>
      <c r="AP416" s="1515"/>
      <c r="AQ416" s="1515"/>
      <c r="AR416" s="1515"/>
      <c r="AS416" s="1515"/>
      <c r="AT416" s="1515"/>
      <c r="AU416" s="1515"/>
      <c r="AV416" s="1515"/>
      <c r="AW416" s="1515"/>
      <c r="AX416" s="1515"/>
      <c r="AY416" s="1515"/>
      <c r="AZ416" s="1515"/>
    </row>
    <row r="417" s="1510" customFormat="1" hidden="1">
      <c r="A417" s="2096" t="s">
        <v>22</v>
      </c>
      <c r="B417" s="2097">
        <f t="shared" si="2066"/>
        <v>130091</v>
      </c>
      <c r="C417" s="2097">
        <f t="shared" si="2066"/>
        <v>113341</v>
      </c>
      <c r="D417" s="2097">
        <f t="shared" si="2066"/>
        <v>0</v>
      </c>
      <c r="E417" s="2098">
        <f t="shared" si="2055"/>
        <v>243432</v>
      </c>
      <c r="F417" s="2097">
        <f t="shared" si="2067"/>
        <v>0</v>
      </c>
      <c r="G417" s="2097">
        <f t="shared" si="2067"/>
        <v>0</v>
      </c>
      <c r="H417" s="2097">
        <f t="shared" si="2067"/>
        <v>0</v>
      </c>
      <c r="I417" s="2098">
        <f t="shared" si="2059"/>
        <v>0</v>
      </c>
      <c r="J417" s="2098">
        <f t="shared" si="2060"/>
        <v>243432</v>
      </c>
      <c r="K417" s="2097">
        <f t="shared" si="2068"/>
        <v>0</v>
      </c>
      <c r="L417" s="2097">
        <f t="shared" si="2068"/>
        <v>0</v>
      </c>
      <c r="M417" s="2097">
        <f t="shared" si="2068"/>
        <v>0</v>
      </c>
      <c r="N417" s="2098">
        <f t="shared" si="2064"/>
        <v>0</v>
      </c>
      <c r="O417" s="2098">
        <f t="shared" si="2065"/>
        <v>243432</v>
      </c>
      <c r="P417" s="2097">
        <f t="shared" si="2069"/>
        <v>0</v>
      </c>
      <c r="Q417" s="2097">
        <f t="shared" si="2069"/>
        <v>0</v>
      </c>
      <c r="R417" s="2097">
        <f t="shared" si="2069"/>
        <v>0</v>
      </c>
      <c r="S417" s="2098">
        <f t="shared" si="2071"/>
        <v>0</v>
      </c>
      <c r="T417" s="2098">
        <f t="shared" si="2070"/>
        <v>242806</v>
      </c>
      <c r="U417" s="1515"/>
      <c r="V417" s="1515"/>
      <c r="W417" s="1515"/>
      <c r="X417" s="1515"/>
      <c r="Y417" s="1515"/>
      <c r="Z417" s="2062"/>
      <c r="AA417" s="1515"/>
      <c r="AB417" s="1515"/>
      <c r="AC417" s="1515"/>
      <c r="AD417" s="2062"/>
      <c r="AE417" s="2062"/>
      <c r="AF417" s="1515"/>
      <c r="AG417" s="1515"/>
      <c r="AH417" s="1515"/>
      <c r="AI417" s="2062"/>
      <c r="AJ417" s="2062"/>
      <c r="AK417" s="1515"/>
      <c r="AL417" s="1886"/>
      <c r="AM417" s="1515"/>
      <c r="AN417" s="2062"/>
      <c r="AO417" s="2062"/>
      <c r="AP417" s="1515"/>
      <c r="AQ417" s="1515"/>
      <c r="AR417" s="1515"/>
      <c r="AS417" s="1515"/>
      <c r="AT417" s="1515"/>
      <c r="AU417" s="1515"/>
      <c r="AV417" s="1515"/>
      <c r="AW417" s="1515"/>
      <c r="AX417" s="1515"/>
      <c r="AY417" s="1515"/>
      <c r="AZ417" s="1515"/>
    </row>
    <row r="418" s="2083" customFormat="1" hidden="1">
      <c r="A418" s="1179" t="s">
        <v>630</v>
      </c>
      <c r="B418" s="1868">
        <f t="shared" si="2066"/>
        <v>22893</v>
      </c>
      <c r="C418" s="1868">
        <f t="shared" si="2066"/>
        <v>16869</v>
      </c>
      <c r="D418" s="1868">
        <f t="shared" si="2066"/>
        <v>0</v>
      </c>
      <c r="E418" s="1899">
        <f t="shared" si="2055"/>
        <v>39762</v>
      </c>
      <c r="F418" s="1868">
        <f t="shared" si="2067"/>
        <v>0</v>
      </c>
      <c r="G418" s="1868">
        <f t="shared" si="2067"/>
        <v>0</v>
      </c>
      <c r="H418" s="1868">
        <f t="shared" si="2067"/>
        <v>0</v>
      </c>
      <c r="I418" s="1899">
        <f t="shared" si="2059"/>
        <v>0</v>
      </c>
      <c r="J418" s="1900">
        <f t="shared" si="2060"/>
        <v>39762</v>
      </c>
      <c r="K418" s="1868">
        <f t="shared" si="2068"/>
        <v>0</v>
      </c>
      <c r="L418" s="1868">
        <f t="shared" si="2068"/>
        <v>0</v>
      </c>
      <c r="M418" s="1868">
        <f t="shared" si="2068"/>
        <v>0</v>
      </c>
      <c r="N418" s="1899">
        <f t="shared" si="2064"/>
        <v>0</v>
      </c>
      <c r="O418" s="1900">
        <f t="shared" si="2065"/>
        <v>39762</v>
      </c>
      <c r="P418" s="1868">
        <f t="shared" si="2069"/>
        <v>0</v>
      </c>
      <c r="Q418" s="1868">
        <f t="shared" si="2069"/>
        <v>0</v>
      </c>
      <c r="R418" s="1868">
        <f t="shared" si="2069"/>
        <v>0</v>
      </c>
      <c r="S418" s="1899">
        <f t="shared" si="2071"/>
        <v>0</v>
      </c>
      <c r="T418" s="1897">
        <f t="shared" si="2070"/>
        <v>39762</v>
      </c>
      <c r="U418" s="1515"/>
      <c r="V418" s="1515"/>
      <c r="W418" s="1515"/>
      <c r="X418" s="1515"/>
      <c r="Y418" s="1515"/>
      <c r="Z418" s="2062"/>
      <c r="AA418" s="1515"/>
      <c r="AB418" s="1515"/>
      <c r="AC418" s="1515"/>
      <c r="AD418" s="2062"/>
      <c r="AE418" s="2062"/>
      <c r="AF418" s="1515"/>
      <c r="AG418" s="1515"/>
      <c r="AH418" s="1515"/>
      <c r="AI418" s="2062"/>
      <c r="AJ418" s="2062"/>
      <c r="AK418" s="1515"/>
      <c r="AL418" s="1886"/>
      <c r="AM418" s="1515"/>
      <c r="AN418" s="2062"/>
      <c r="AO418" s="2062"/>
      <c r="AP418" s="1515"/>
      <c r="AQ418" s="1515"/>
      <c r="AR418" s="1515"/>
      <c r="AS418" s="1515"/>
      <c r="AT418" s="1515"/>
      <c r="AU418" s="1515"/>
      <c r="AV418" s="1515"/>
      <c r="AW418" s="1515"/>
      <c r="AX418" s="1515"/>
      <c r="AY418" s="1515"/>
      <c r="AZ418" s="1515"/>
    </row>
    <row r="419" s="2099" customFormat="1" hidden="1">
      <c r="A419" s="1179" t="s">
        <v>631</v>
      </c>
      <c r="B419" s="1868">
        <f t="shared" si="2066"/>
        <v>8412</v>
      </c>
      <c r="C419" s="1868">
        <f t="shared" si="2066"/>
        <v>10972</v>
      </c>
      <c r="D419" s="1868">
        <f t="shared" si="2066"/>
        <v>0</v>
      </c>
      <c r="E419" s="1899">
        <f t="shared" si="2055"/>
        <v>19384</v>
      </c>
      <c r="F419" s="1868">
        <f t="shared" si="2067"/>
        <v>0</v>
      </c>
      <c r="G419" s="1868">
        <f t="shared" si="2067"/>
        <v>0</v>
      </c>
      <c r="H419" s="1868">
        <f t="shared" si="2067"/>
        <v>0</v>
      </c>
      <c r="I419" s="1899">
        <f t="shared" si="2059"/>
        <v>0</v>
      </c>
      <c r="J419" s="1900">
        <f t="shared" si="2060"/>
        <v>19384</v>
      </c>
      <c r="K419" s="1868">
        <f t="shared" si="2068"/>
        <v>0</v>
      </c>
      <c r="L419" s="1868">
        <f t="shared" si="2068"/>
        <v>0</v>
      </c>
      <c r="M419" s="1868">
        <f t="shared" si="2068"/>
        <v>0</v>
      </c>
      <c r="N419" s="1899">
        <f t="shared" si="2064"/>
        <v>0</v>
      </c>
      <c r="O419" s="1900">
        <f t="shared" si="2065"/>
        <v>19384</v>
      </c>
      <c r="P419" s="1868">
        <f t="shared" si="2069"/>
        <v>0</v>
      </c>
      <c r="Q419" s="1868">
        <f t="shared" si="2069"/>
        <v>0</v>
      </c>
      <c r="R419" s="1868">
        <f t="shared" si="2069"/>
        <v>0</v>
      </c>
      <c r="S419" s="1899">
        <f t="shared" si="2071"/>
        <v>0</v>
      </c>
      <c r="T419" s="1897">
        <f t="shared" si="2070"/>
        <v>19384</v>
      </c>
      <c r="U419" s="1515"/>
      <c r="V419" s="1515"/>
      <c r="W419" s="1515"/>
      <c r="X419" s="1515"/>
      <c r="Y419" s="1515"/>
      <c r="Z419" s="2062"/>
      <c r="AA419" s="1515"/>
      <c r="AB419" s="1515"/>
      <c r="AC419" s="1515"/>
      <c r="AD419" s="2062"/>
      <c r="AE419" s="2062"/>
      <c r="AF419" s="1515"/>
      <c r="AG419" s="1515"/>
      <c r="AH419" s="1515"/>
      <c r="AI419" s="2062"/>
      <c r="AJ419" s="2062"/>
      <c r="AK419" s="1515"/>
      <c r="AL419" s="1886"/>
      <c r="AM419" s="1515"/>
      <c r="AN419" s="2062"/>
      <c r="AO419" s="2062"/>
      <c r="AP419" s="1515"/>
      <c r="AQ419" s="1515"/>
      <c r="AR419" s="1515"/>
      <c r="AS419" s="1515"/>
      <c r="AT419" s="1515"/>
      <c r="AU419" s="1515"/>
      <c r="AV419" s="1515"/>
      <c r="AW419" s="1515"/>
      <c r="AX419" s="1515"/>
      <c r="AY419" s="1515"/>
      <c r="AZ419" s="1515"/>
    </row>
    <row r="420" s="1510" customFormat="1" hidden="1">
      <c r="A420" s="1179" t="s">
        <v>632</v>
      </c>
      <c r="B420" s="1868">
        <f t="shared" si="2066"/>
        <v>170</v>
      </c>
      <c r="C420" s="1868">
        <f t="shared" si="2066"/>
        <v>13</v>
      </c>
      <c r="D420" s="1868">
        <f t="shared" si="2066"/>
        <v>0</v>
      </c>
      <c r="E420" s="1899">
        <f t="shared" si="2055"/>
        <v>183</v>
      </c>
      <c r="F420" s="1868">
        <f t="shared" si="2067"/>
        <v>0</v>
      </c>
      <c r="G420" s="1868">
        <f t="shared" si="2067"/>
        <v>0</v>
      </c>
      <c r="H420" s="1868">
        <f t="shared" si="2067"/>
        <v>0</v>
      </c>
      <c r="I420" s="1899">
        <f t="shared" si="2059"/>
        <v>0</v>
      </c>
      <c r="J420" s="1900">
        <f t="shared" si="2060"/>
        <v>183</v>
      </c>
      <c r="K420" s="1868">
        <f t="shared" si="2068"/>
        <v>0</v>
      </c>
      <c r="L420" s="1868">
        <f t="shared" si="2068"/>
        <v>0</v>
      </c>
      <c r="M420" s="1868">
        <f t="shared" si="2068"/>
        <v>0</v>
      </c>
      <c r="N420" s="1899">
        <f t="shared" si="2064"/>
        <v>0</v>
      </c>
      <c r="O420" s="1900">
        <f t="shared" si="2065"/>
        <v>183</v>
      </c>
      <c r="P420" s="1868">
        <f t="shared" si="2069"/>
        <v>0</v>
      </c>
      <c r="Q420" s="1868">
        <f t="shared" si="2069"/>
        <v>0</v>
      </c>
      <c r="R420" s="1868">
        <f t="shared" si="2069"/>
        <v>0</v>
      </c>
      <c r="S420" s="1899">
        <f t="shared" si="2071"/>
        <v>0</v>
      </c>
      <c r="T420" s="1897">
        <f t="shared" si="2070"/>
        <v>183</v>
      </c>
      <c r="U420" s="1515"/>
      <c r="V420" s="1515"/>
      <c r="W420" s="1515"/>
      <c r="X420" s="1515"/>
      <c r="Y420" s="1515"/>
      <c r="Z420" s="2062"/>
      <c r="AA420" s="1515"/>
      <c r="AB420" s="1515"/>
      <c r="AC420" s="1515"/>
      <c r="AD420" s="2062"/>
      <c r="AE420" s="2062"/>
      <c r="AF420" s="1515"/>
      <c r="AG420" s="1515"/>
      <c r="AH420" s="1515"/>
      <c r="AI420" s="2062"/>
      <c r="AJ420" s="2062"/>
      <c r="AK420" s="1515"/>
      <c r="AL420" s="1886"/>
      <c r="AM420" s="1515"/>
      <c r="AN420" s="2062"/>
      <c r="AO420" s="2062"/>
      <c r="AP420" s="1515"/>
      <c r="AQ420" s="1515"/>
      <c r="AR420" s="1515"/>
      <c r="AS420" s="1515"/>
      <c r="AT420" s="1515"/>
      <c r="AU420" s="1515"/>
      <c r="AV420" s="1515"/>
      <c r="AW420" s="1515"/>
      <c r="AX420" s="1515"/>
      <c r="AY420" s="1515"/>
      <c r="AZ420" s="1515"/>
    </row>
    <row r="421" s="2083" customFormat="1" hidden="1">
      <c r="A421" s="1179" t="s">
        <v>277</v>
      </c>
      <c r="B421" s="1868">
        <f t="shared" si="2066"/>
        <v>0</v>
      </c>
      <c r="C421" s="1868">
        <f t="shared" si="2066"/>
        <v>0</v>
      </c>
      <c r="D421" s="1868">
        <f>D491+D562+D633+D703</f>
        <v>0</v>
      </c>
      <c r="E421" s="1899">
        <f t="shared" si="2055"/>
        <v>0</v>
      </c>
      <c r="F421" s="1868">
        <f>F491+F562+F633+F703</f>
        <v>0</v>
      </c>
      <c r="G421" s="1868">
        <f>G491+G562+G633+G703</f>
        <v>0</v>
      </c>
      <c r="H421" s="1868">
        <f t="shared" ref="H421:H435" si="2072">H490+H562+H633+H703</f>
        <v>0</v>
      </c>
      <c r="I421" s="1899">
        <f t="shared" si="2059"/>
        <v>0</v>
      </c>
      <c r="J421" s="1900">
        <f t="shared" si="2060"/>
        <v>0</v>
      </c>
      <c r="K421" s="1868">
        <f t="shared" si="2068"/>
        <v>0</v>
      </c>
      <c r="L421" s="1868">
        <f t="shared" si="2068"/>
        <v>0</v>
      </c>
      <c r="M421" s="1868">
        <f t="shared" si="2068"/>
        <v>0</v>
      </c>
      <c r="N421" s="1899">
        <f t="shared" si="2064"/>
        <v>0</v>
      </c>
      <c r="O421" s="1900">
        <f t="shared" si="2065"/>
        <v>0</v>
      </c>
      <c r="P421" s="1868">
        <f t="shared" si="2069"/>
        <v>0</v>
      </c>
      <c r="Q421" s="1868">
        <f t="shared" si="2069"/>
        <v>0</v>
      </c>
      <c r="R421" s="1868">
        <f t="shared" si="2069"/>
        <v>0</v>
      </c>
      <c r="S421" s="1899">
        <f t="shared" si="2071"/>
        <v>0</v>
      </c>
      <c r="T421" s="1897">
        <f t="shared" si="2070"/>
        <v>0</v>
      </c>
      <c r="U421" s="1515"/>
      <c r="V421" s="1515"/>
      <c r="W421" s="1515"/>
      <c r="X421" s="1515"/>
      <c r="Y421" s="1515"/>
      <c r="Z421" s="2062"/>
      <c r="AA421" s="1515"/>
      <c r="AB421" s="1515"/>
      <c r="AC421" s="1515"/>
      <c r="AD421" s="2062"/>
      <c r="AE421" s="2062"/>
      <c r="AF421" s="1515"/>
      <c r="AG421" s="1515"/>
      <c r="AH421" s="1515"/>
      <c r="AI421" s="2062"/>
      <c r="AJ421" s="2062"/>
      <c r="AK421" s="1515"/>
      <c r="AL421" s="1886"/>
      <c r="AM421" s="1515"/>
      <c r="AN421" s="2062"/>
      <c r="AO421" s="2062"/>
      <c r="AP421" s="1515"/>
      <c r="AQ421" s="1515"/>
      <c r="AR421" s="1515"/>
      <c r="AS421" s="1515"/>
      <c r="AT421" s="1515"/>
      <c r="AU421" s="1515"/>
      <c r="AV421" s="1515"/>
      <c r="AW421" s="1515"/>
      <c r="AX421" s="1515"/>
      <c r="AY421" s="1515"/>
      <c r="AZ421" s="1515"/>
    </row>
    <row r="422" s="2100" customFormat="1" hidden="1">
      <c r="A422" s="1179" t="s">
        <v>633</v>
      </c>
      <c r="B422" s="1868">
        <f t="shared" si="2066"/>
        <v>2188</v>
      </c>
      <c r="C422" s="1868">
        <f t="shared" si="2066"/>
        <v>2258</v>
      </c>
      <c r="D422" s="1868">
        <f t="shared" ref="D422:D435" si="2073">D491+D563+D634+D704</f>
        <v>0</v>
      </c>
      <c r="E422" s="1899">
        <f t="shared" ref="E422:E485" si="2074">B422+C422+D422</f>
        <v>4446</v>
      </c>
      <c r="F422" s="1868">
        <f t="shared" ref="F422:G435" si="2075">F491+F563+F634+F704</f>
        <v>0</v>
      </c>
      <c r="G422" s="1868">
        <f t="shared" si="2075"/>
        <v>0</v>
      </c>
      <c r="H422" s="1868">
        <f t="shared" si="2072"/>
        <v>0</v>
      </c>
      <c r="I422" s="1899">
        <f t="shared" si="2059"/>
        <v>0</v>
      </c>
      <c r="J422" s="1900">
        <f t="shared" si="2060"/>
        <v>4446</v>
      </c>
      <c r="K422" s="1868">
        <f t="shared" si="2068"/>
        <v>0</v>
      </c>
      <c r="L422" s="1868">
        <f t="shared" si="2068"/>
        <v>0</v>
      </c>
      <c r="M422" s="1868">
        <f t="shared" si="2068"/>
        <v>0</v>
      </c>
      <c r="N422" s="1899">
        <f t="shared" si="2064"/>
        <v>0</v>
      </c>
      <c r="O422" s="1900">
        <f t="shared" si="2065"/>
        <v>4446</v>
      </c>
      <c r="P422" s="1868">
        <f t="shared" si="2069"/>
        <v>0</v>
      </c>
      <c r="Q422" s="1868">
        <f t="shared" si="2069"/>
        <v>0</v>
      </c>
      <c r="R422" s="1868">
        <f t="shared" si="2069"/>
        <v>0</v>
      </c>
      <c r="S422" s="1899">
        <f t="shared" si="2071"/>
        <v>0</v>
      </c>
      <c r="T422" s="1897">
        <f t="shared" si="2070"/>
        <v>4446</v>
      </c>
      <c r="U422" s="1515"/>
      <c r="V422" s="1515"/>
      <c r="W422" s="1515"/>
      <c r="X422" s="1515"/>
      <c r="Y422" s="1515"/>
      <c r="Z422" s="2062"/>
      <c r="AA422" s="1515"/>
      <c r="AB422" s="1515"/>
      <c r="AC422" s="1515"/>
      <c r="AD422" s="2062"/>
      <c r="AE422" s="2062"/>
      <c r="AF422" s="1515"/>
      <c r="AG422" s="1515"/>
      <c r="AH422" s="1515"/>
      <c r="AI422" s="2062"/>
      <c r="AJ422" s="2062"/>
      <c r="AK422" s="1515"/>
      <c r="AL422" s="1886"/>
      <c r="AM422" s="1515"/>
      <c r="AN422" s="2062"/>
      <c r="AO422" s="2062"/>
      <c r="AP422" s="1515"/>
      <c r="AQ422" s="1515"/>
      <c r="AR422" s="1515"/>
      <c r="AS422" s="1515"/>
      <c r="AT422" s="1515"/>
      <c r="AU422" s="1515"/>
      <c r="AV422" s="1515"/>
      <c r="AW422" s="1515"/>
      <c r="AX422" s="1515"/>
      <c r="AY422" s="1515"/>
      <c r="AZ422" s="1515"/>
    </row>
    <row r="423" s="1510" customFormat="1" hidden="1">
      <c r="A423" s="1179" t="s">
        <v>230</v>
      </c>
      <c r="B423" s="1868">
        <f t="shared" si="2066"/>
        <v>529</v>
      </c>
      <c r="C423" s="1868">
        <f t="shared" si="2066"/>
        <v>1377</v>
      </c>
      <c r="D423" s="1868">
        <f t="shared" si="2073"/>
        <v>0</v>
      </c>
      <c r="E423" s="1899">
        <f t="shared" si="2074"/>
        <v>1906</v>
      </c>
      <c r="F423" s="1868">
        <f t="shared" si="2075"/>
        <v>0</v>
      </c>
      <c r="G423" s="1868">
        <f t="shared" si="2075"/>
        <v>0</v>
      </c>
      <c r="H423" s="1868">
        <f t="shared" si="2072"/>
        <v>0</v>
      </c>
      <c r="I423" s="1899">
        <f t="shared" si="2059"/>
        <v>0</v>
      </c>
      <c r="J423" s="1900">
        <f t="shared" si="2060"/>
        <v>1906</v>
      </c>
      <c r="K423" s="1868">
        <f t="shared" si="2068"/>
        <v>0</v>
      </c>
      <c r="L423" s="1868">
        <f t="shared" si="2068"/>
        <v>0</v>
      </c>
      <c r="M423" s="1868">
        <f t="shared" si="2068"/>
        <v>0</v>
      </c>
      <c r="N423" s="1899">
        <f t="shared" si="2064"/>
        <v>0</v>
      </c>
      <c r="O423" s="1900">
        <f t="shared" si="2065"/>
        <v>1906</v>
      </c>
      <c r="P423" s="1868">
        <f t="shared" si="2069"/>
        <v>0</v>
      </c>
      <c r="Q423" s="1868">
        <f t="shared" si="2069"/>
        <v>0</v>
      </c>
      <c r="R423" s="1868">
        <f t="shared" si="2069"/>
        <v>0</v>
      </c>
      <c r="S423" s="1899">
        <f t="shared" si="2071"/>
        <v>0</v>
      </c>
      <c r="T423" s="1897">
        <f t="shared" si="2070"/>
        <v>1906</v>
      </c>
      <c r="U423" s="1515"/>
      <c r="V423" s="1515"/>
      <c r="W423" s="1515"/>
      <c r="X423" s="1515"/>
      <c r="Y423" s="1515"/>
      <c r="Z423" s="2062"/>
      <c r="AA423" s="1515"/>
      <c r="AB423" s="1515"/>
      <c r="AC423" s="1515"/>
      <c r="AD423" s="2062"/>
      <c r="AE423" s="2062"/>
      <c r="AF423" s="1515"/>
      <c r="AG423" s="1515"/>
      <c r="AH423" s="1515"/>
      <c r="AI423" s="2062"/>
      <c r="AJ423" s="2062"/>
      <c r="AK423" s="1515"/>
      <c r="AL423" s="1886"/>
      <c r="AM423" s="1515"/>
      <c r="AN423" s="2062"/>
      <c r="AO423" s="2062"/>
      <c r="AP423" s="1515"/>
      <c r="AQ423" s="1515"/>
      <c r="AR423" s="1515"/>
      <c r="AS423" s="1515"/>
      <c r="AT423" s="1515"/>
      <c r="AU423" s="1515"/>
      <c r="AV423" s="1515"/>
      <c r="AW423" s="1515"/>
      <c r="AX423" s="1515"/>
      <c r="AY423" s="1515"/>
      <c r="AZ423" s="1515"/>
    </row>
    <row r="424" s="1510" customFormat="1" hidden="1">
      <c r="A424" s="1179" t="s">
        <v>634</v>
      </c>
      <c r="B424" s="1868">
        <f t="shared" si="2066"/>
        <v>0</v>
      </c>
      <c r="C424" s="1868">
        <f t="shared" si="2066"/>
        <v>0</v>
      </c>
      <c r="D424" s="1868">
        <f t="shared" si="2073"/>
        <v>0</v>
      </c>
      <c r="E424" s="1899">
        <f t="shared" si="2074"/>
        <v>0</v>
      </c>
      <c r="F424" s="1868">
        <f t="shared" si="2075"/>
        <v>0</v>
      </c>
      <c r="G424" s="1868">
        <f t="shared" si="2075"/>
        <v>0</v>
      </c>
      <c r="H424" s="1868">
        <f t="shared" si="2072"/>
        <v>0</v>
      </c>
      <c r="I424" s="1899">
        <f t="shared" si="2059"/>
        <v>0</v>
      </c>
      <c r="J424" s="1900">
        <f t="shared" si="2060"/>
        <v>0</v>
      </c>
      <c r="K424" s="1868">
        <f t="shared" si="2068"/>
        <v>0</v>
      </c>
      <c r="L424" s="1868">
        <f t="shared" si="2068"/>
        <v>0</v>
      </c>
      <c r="M424" s="1868">
        <f t="shared" si="2068"/>
        <v>0</v>
      </c>
      <c r="N424" s="1899">
        <f t="shared" si="2064"/>
        <v>0</v>
      </c>
      <c r="O424" s="1900">
        <f t="shared" si="2065"/>
        <v>0</v>
      </c>
      <c r="P424" s="1868">
        <f t="shared" si="2069"/>
        <v>0</v>
      </c>
      <c r="Q424" s="1868">
        <f t="shared" si="2069"/>
        <v>0</v>
      </c>
      <c r="R424" s="1868">
        <f t="shared" si="2069"/>
        <v>0</v>
      </c>
      <c r="S424" s="1899">
        <f t="shared" si="2071"/>
        <v>0</v>
      </c>
      <c r="T424" s="1897">
        <f t="shared" si="2070"/>
        <v>0</v>
      </c>
      <c r="U424" s="1515"/>
      <c r="V424" s="1515"/>
      <c r="W424" s="1515"/>
      <c r="X424" s="1515"/>
      <c r="Y424" s="1515"/>
      <c r="Z424" s="2062"/>
      <c r="AA424" s="1515"/>
      <c r="AB424" s="1515"/>
      <c r="AC424" s="1515"/>
      <c r="AD424" s="2062"/>
      <c r="AE424" s="2062"/>
      <c r="AF424" s="1515"/>
      <c r="AG424" s="1515"/>
      <c r="AH424" s="1515"/>
      <c r="AI424" s="2062"/>
      <c r="AJ424" s="2062"/>
      <c r="AK424" s="1515"/>
      <c r="AL424" s="1886"/>
      <c r="AM424" s="1515"/>
      <c r="AN424" s="2062"/>
      <c r="AO424" s="2062"/>
      <c r="AP424" s="1515"/>
      <c r="AQ424" s="1515"/>
      <c r="AR424" s="1515"/>
      <c r="AS424" s="1515"/>
      <c r="AT424" s="1515"/>
      <c r="AU424" s="1515"/>
      <c r="AV424" s="1515"/>
      <c r="AW424" s="1515"/>
      <c r="AX424" s="1515"/>
      <c r="AY424" s="1515"/>
      <c r="AZ424" s="1515"/>
    </row>
    <row r="425" s="1510" customFormat="1" hidden="1">
      <c r="A425" s="1179" t="s">
        <v>635</v>
      </c>
      <c r="B425" s="1868">
        <f t="shared" si="2066"/>
        <v>13</v>
      </c>
      <c r="C425" s="1868">
        <f t="shared" si="2066"/>
        <v>0</v>
      </c>
      <c r="D425" s="1868">
        <f t="shared" si="2073"/>
        <v>0</v>
      </c>
      <c r="E425" s="1899">
        <f t="shared" si="2074"/>
        <v>13</v>
      </c>
      <c r="F425" s="1868">
        <f t="shared" si="2075"/>
        <v>0</v>
      </c>
      <c r="G425" s="1868">
        <f t="shared" si="2075"/>
        <v>0</v>
      </c>
      <c r="H425" s="1868">
        <f t="shared" si="2072"/>
        <v>0</v>
      </c>
      <c r="I425" s="1899">
        <f t="shared" si="2059"/>
        <v>0</v>
      </c>
      <c r="J425" s="1900">
        <f t="shared" si="2060"/>
        <v>13</v>
      </c>
      <c r="K425" s="1868">
        <f t="shared" si="2068"/>
        <v>0</v>
      </c>
      <c r="L425" s="1868">
        <f t="shared" si="2068"/>
        <v>0</v>
      </c>
      <c r="M425" s="1868">
        <f t="shared" si="2068"/>
        <v>0</v>
      </c>
      <c r="N425" s="1899">
        <f t="shared" si="2064"/>
        <v>0</v>
      </c>
      <c r="O425" s="1900">
        <f t="shared" si="2065"/>
        <v>13</v>
      </c>
      <c r="P425" s="1868">
        <f t="shared" si="2069"/>
        <v>0</v>
      </c>
      <c r="Q425" s="1868">
        <f t="shared" si="2069"/>
        <v>0</v>
      </c>
      <c r="R425" s="1868">
        <f t="shared" si="2069"/>
        <v>0</v>
      </c>
      <c r="S425" s="1899">
        <f t="shared" si="2071"/>
        <v>0</v>
      </c>
      <c r="T425" s="1897">
        <f t="shared" si="2070"/>
        <v>13</v>
      </c>
      <c r="U425" s="1515"/>
      <c r="V425" s="1515"/>
      <c r="W425" s="1515"/>
      <c r="X425" s="1515"/>
      <c r="Y425" s="1515"/>
      <c r="Z425" s="2062"/>
      <c r="AA425" s="1515"/>
      <c r="AB425" s="1515"/>
      <c r="AC425" s="1515"/>
      <c r="AD425" s="2062"/>
      <c r="AE425" s="2062"/>
      <c r="AF425" s="1515"/>
      <c r="AG425" s="1515"/>
      <c r="AH425" s="1515"/>
      <c r="AI425" s="2062"/>
      <c r="AJ425" s="2062"/>
      <c r="AK425" s="1515"/>
      <c r="AL425" s="1886"/>
      <c r="AM425" s="1515"/>
      <c r="AN425" s="2062"/>
      <c r="AO425" s="2062"/>
      <c r="AP425" s="1515"/>
      <c r="AQ425" s="1515"/>
      <c r="AR425" s="1515"/>
      <c r="AS425" s="1515"/>
      <c r="AT425" s="1515"/>
      <c r="AU425" s="1515"/>
      <c r="AV425" s="1515"/>
      <c r="AW425" s="1515"/>
      <c r="AX425" s="1515"/>
      <c r="AY425" s="1515"/>
      <c r="AZ425" s="1515"/>
    </row>
    <row r="426" s="1510" customFormat="1" hidden="1">
      <c r="A426" s="1179" t="s">
        <v>636</v>
      </c>
      <c r="B426" s="1868">
        <f t="shared" si="2066"/>
        <v>12017</v>
      </c>
      <c r="C426" s="1868">
        <f t="shared" si="2066"/>
        <v>16649</v>
      </c>
      <c r="D426" s="1868">
        <f t="shared" si="2073"/>
        <v>0</v>
      </c>
      <c r="E426" s="1899">
        <f t="shared" si="2074"/>
        <v>28666</v>
      </c>
      <c r="F426" s="1868">
        <f t="shared" si="2075"/>
        <v>0</v>
      </c>
      <c r="G426" s="1868">
        <f t="shared" si="2075"/>
        <v>0</v>
      </c>
      <c r="H426" s="1868">
        <f t="shared" si="2072"/>
        <v>0</v>
      </c>
      <c r="I426" s="1899">
        <f t="shared" si="2059"/>
        <v>0</v>
      </c>
      <c r="J426" s="1900">
        <f t="shared" si="2060"/>
        <v>28666</v>
      </c>
      <c r="K426" s="1868">
        <f t="shared" si="2068"/>
        <v>0</v>
      </c>
      <c r="L426" s="1868">
        <f t="shared" si="2068"/>
        <v>0</v>
      </c>
      <c r="M426" s="1868">
        <f t="shared" si="2068"/>
        <v>0</v>
      </c>
      <c r="N426" s="1899">
        <f t="shared" si="2064"/>
        <v>0</v>
      </c>
      <c r="O426" s="1900">
        <f t="shared" si="2065"/>
        <v>28666</v>
      </c>
      <c r="P426" s="1868">
        <f t="shared" si="2069"/>
        <v>0</v>
      </c>
      <c r="Q426" s="1868">
        <f t="shared" si="2069"/>
        <v>0</v>
      </c>
      <c r="R426" s="1868">
        <f t="shared" si="2069"/>
        <v>0</v>
      </c>
      <c r="S426" s="1899">
        <f t="shared" si="2071"/>
        <v>0</v>
      </c>
      <c r="T426" s="1897">
        <f t="shared" si="2070"/>
        <v>28666</v>
      </c>
      <c r="U426" s="1515"/>
      <c r="V426" s="1515"/>
      <c r="W426" s="1515"/>
      <c r="X426" s="1515"/>
      <c r="Y426" s="1515"/>
      <c r="Z426" s="2062"/>
      <c r="AA426" s="1515"/>
      <c r="AB426" s="1515"/>
      <c r="AC426" s="1515"/>
      <c r="AD426" s="2062"/>
      <c r="AE426" s="2062"/>
      <c r="AF426" s="1515"/>
      <c r="AG426" s="1515"/>
      <c r="AH426" s="1515"/>
      <c r="AI426" s="2062"/>
      <c r="AJ426" s="2062"/>
      <c r="AK426" s="1515"/>
      <c r="AL426" s="1886"/>
      <c r="AM426" s="1515"/>
      <c r="AN426" s="2062"/>
      <c r="AO426" s="2062"/>
      <c r="AP426" s="1515"/>
      <c r="AQ426" s="1515"/>
      <c r="AR426" s="1515"/>
      <c r="AS426" s="1515"/>
      <c r="AT426" s="1515"/>
      <c r="AU426" s="1515"/>
      <c r="AV426" s="1515"/>
      <c r="AW426" s="1515"/>
      <c r="AX426" s="1515"/>
      <c r="AY426" s="1515"/>
      <c r="AZ426" s="1515"/>
    </row>
    <row r="427" s="1510" customFormat="1" hidden="1">
      <c r="A427" s="1179" t="s">
        <v>637</v>
      </c>
      <c r="B427" s="1868">
        <f t="shared" si="2066"/>
        <v>1001</v>
      </c>
      <c r="C427" s="1868">
        <f t="shared" si="2066"/>
        <v>2720</v>
      </c>
      <c r="D427" s="1868">
        <f t="shared" si="2073"/>
        <v>0</v>
      </c>
      <c r="E427" s="1899">
        <f t="shared" si="2074"/>
        <v>3721</v>
      </c>
      <c r="F427" s="1868">
        <f t="shared" si="2075"/>
        <v>0</v>
      </c>
      <c r="G427" s="1868">
        <f t="shared" si="2075"/>
        <v>0</v>
      </c>
      <c r="H427" s="1868">
        <f t="shared" si="2072"/>
        <v>0</v>
      </c>
      <c r="I427" s="1899">
        <f t="shared" si="2059"/>
        <v>0</v>
      </c>
      <c r="J427" s="1900">
        <f t="shared" si="2060"/>
        <v>3721</v>
      </c>
      <c r="K427" s="1868">
        <f t="shared" si="2068"/>
        <v>0</v>
      </c>
      <c r="L427" s="1868">
        <f t="shared" si="2068"/>
        <v>0</v>
      </c>
      <c r="M427" s="1868">
        <f t="shared" si="2068"/>
        <v>0</v>
      </c>
      <c r="N427" s="1899">
        <f t="shared" si="2064"/>
        <v>0</v>
      </c>
      <c r="O427" s="1900">
        <f t="shared" si="2065"/>
        <v>3721</v>
      </c>
      <c r="P427" s="1868">
        <f t="shared" si="2069"/>
        <v>0</v>
      </c>
      <c r="Q427" s="1868">
        <f t="shared" si="2069"/>
        <v>0</v>
      </c>
      <c r="R427" s="1868">
        <f t="shared" si="2069"/>
        <v>0</v>
      </c>
      <c r="S427" s="1899">
        <f t="shared" si="2071"/>
        <v>0</v>
      </c>
      <c r="T427" s="1897">
        <f t="shared" si="2070"/>
        <v>3721</v>
      </c>
      <c r="U427" s="1515"/>
      <c r="V427" s="1515"/>
      <c r="W427" s="1515"/>
      <c r="X427" s="1515"/>
      <c r="Y427" s="1515"/>
      <c r="Z427" s="2062"/>
      <c r="AA427" s="1515"/>
      <c r="AB427" s="1515"/>
      <c r="AC427" s="1515"/>
      <c r="AD427" s="2062"/>
      <c r="AE427" s="2062"/>
      <c r="AF427" s="1515"/>
      <c r="AG427" s="1515"/>
      <c r="AH427" s="1515"/>
      <c r="AI427" s="2062"/>
      <c r="AJ427" s="2062"/>
      <c r="AK427" s="1515"/>
      <c r="AL427" s="1886"/>
      <c r="AM427" s="1515"/>
      <c r="AN427" s="2062"/>
      <c r="AO427" s="2062"/>
      <c r="AP427" s="1515"/>
      <c r="AQ427" s="1515"/>
      <c r="AR427" s="1515"/>
      <c r="AS427" s="1515"/>
      <c r="AT427" s="1515"/>
      <c r="AU427" s="1515"/>
      <c r="AV427" s="1515"/>
      <c r="AW427" s="1515"/>
      <c r="AX427" s="1515"/>
      <c r="AY427" s="1515"/>
      <c r="AZ427" s="1515"/>
    </row>
    <row r="428" s="1510" customFormat="1" hidden="1">
      <c r="A428" s="1179" t="s">
        <v>638</v>
      </c>
      <c r="B428" s="1868">
        <f t="shared" si="2066"/>
        <v>3942</v>
      </c>
      <c r="C428" s="1868">
        <f t="shared" si="2066"/>
        <v>6105</v>
      </c>
      <c r="D428" s="1868">
        <f t="shared" si="2073"/>
        <v>0</v>
      </c>
      <c r="E428" s="1899">
        <f t="shared" si="2074"/>
        <v>10047</v>
      </c>
      <c r="F428" s="1868">
        <f t="shared" si="2075"/>
        <v>0</v>
      </c>
      <c r="G428" s="1868">
        <f t="shared" si="2075"/>
        <v>0</v>
      </c>
      <c r="H428" s="1868">
        <f t="shared" si="2072"/>
        <v>0</v>
      </c>
      <c r="I428" s="1899">
        <f t="shared" si="2059"/>
        <v>0</v>
      </c>
      <c r="J428" s="1900">
        <f t="shared" si="2060"/>
        <v>10047</v>
      </c>
      <c r="K428" s="1868">
        <f t="shared" si="2068"/>
        <v>0</v>
      </c>
      <c r="L428" s="1868">
        <f t="shared" si="2068"/>
        <v>0</v>
      </c>
      <c r="M428" s="1868">
        <f t="shared" si="2068"/>
        <v>0</v>
      </c>
      <c r="N428" s="1899">
        <f t="shared" si="2064"/>
        <v>0</v>
      </c>
      <c r="O428" s="1900">
        <f t="shared" si="2065"/>
        <v>10047</v>
      </c>
      <c r="P428" s="1868">
        <f t="shared" si="2069"/>
        <v>0</v>
      </c>
      <c r="Q428" s="1868">
        <f t="shared" si="2069"/>
        <v>0</v>
      </c>
      <c r="R428" s="1868">
        <f t="shared" si="2069"/>
        <v>0</v>
      </c>
      <c r="S428" s="1899">
        <f t="shared" si="2071"/>
        <v>0</v>
      </c>
      <c r="T428" s="1897">
        <f t="shared" si="2070"/>
        <v>10047</v>
      </c>
      <c r="U428" s="1515"/>
      <c r="V428" s="1515"/>
      <c r="W428" s="1515"/>
      <c r="X428" s="1515"/>
      <c r="Y428" s="1515"/>
      <c r="Z428" s="2062"/>
      <c r="AA428" s="1515"/>
      <c r="AB428" s="1515"/>
      <c r="AC428" s="1515"/>
      <c r="AD428" s="2062"/>
      <c r="AE428" s="2062"/>
      <c r="AF428" s="1515"/>
      <c r="AG428" s="1515"/>
      <c r="AH428" s="1515"/>
      <c r="AI428" s="2062"/>
      <c r="AJ428" s="2062"/>
      <c r="AK428" s="1515"/>
      <c r="AL428" s="1886"/>
      <c r="AM428" s="1515"/>
      <c r="AN428" s="2062"/>
      <c r="AO428" s="2062"/>
      <c r="AP428" s="1515"/>
      <c r="AQ428" s="1515"/>
      <c r="AR428" s="1515"/>
      <c r="AS428" s="1515"/>
      <c r="AT428" s="1515"/>
      <c r="AU428" s="1515"/>
      <c r="AV428" s="1515"/>
      <c r="AW428" s="1515"/>
      <c r="AX428" s="1515"/>
      <c r="AY428" s="1515"/>
      <c r="AZ428" s="1515"/>
    </row>
    <row r="429" hidden="1">
      <c r="A429" s="1179" t="s">
        <v>639</v>
      </c>
      <c r="B429" s="1868">
        <f t="shared" si="2066"/>
        <v>822</v>
      </c>
      <c r="C429" s="1868">
        <f t="shared" si="2066"/>
        <v>1136</v>
      </c>
      <c r="D429" s="1868">
        <f t="shared" si="2073"/>
        <v>0</v>
      </c>
      <c r="E429" s="1899">
        <f t="shared" si="2074"/>
        <v>1958</v>
      </c>
      <c r="F429" s="1868">
        <f t="shared" si="2075"/>
        <v>0</v>
      </c>
      <c r="G429" s="1868">
        <f t="shared" si="2075"/>
        <v>0</v>
      </c>
      <c r="H429" s="1868">
        <f t="shared" si="2072"/>
        <v>0</v>
      </c>
      <c r="I429" s="1899">
        <f t="shared" si="2059"/>
        <v>0</v>
      </c>
      <c r="J429" s="1900">
        <f t="shared" si="2060"/>
        <v>1958</v>
      </c>
      <c r="K429" s="1868">
        <f t="shared" si="2068"/>
        <v>0</v>
      </c>
      <c r="L429" s="1868">
        <f t="shared" si="2068"/>
        <v>0</v>
      </c>
      <c r="M429" s="1868">
        <f t="shared" si="2068"/>
        <v>0</v>
      </c>
      <c r="N429" s="1899">
        <f t="shared" si="2064"/>
        <v>0</v>
      </c>
      <c r="O429" s="1900">
        <f t="shared" si="2065"/>
        <v>1958</v>
      </c>
      <c r="P429" s="1868">
        <f t="shared" si="2069"/>
        <v>0</v>
      </c>
      <c r="Q429" s="1868">
        <f t="shared" si="2069"/>
        <v>0</v>
      </c>
      <c r="R429" s="1868">
        <f t="shared" si="2069"/>
        <v>0</v>
      </c>
      <c r="S429" s="1899">
        <f t="shared" si="2071"/>
        <v>0</v>
      </c>
      <c r="T429" s="1897">
        <f t="shared" si="2070"/>
        <v>1958</v>
      </c>
      <c r="Z429" s="1418"/>
      <c r="AD429" s="1418"/>
      <c r="AE429" s="1418"/>
      <c r="AI429" s="1418"/>
      <c r="AJ429" s="1418"/>
      <c r="AN429" s="1418"/>
    </row>
    <row r="430" hidden="1">
      <c r="A430" s="2096" t="s">
        <v>640</v>
      </c>
      <c r="B430" s="2097">
        <f t="shared" si="2066"/>
        <v>17782</v>
      </c>
      <c r="C430" s="2097">
        <f t="shared" si="2066"/>
        <v>26610</v>
      </c>
      <c r="D430" s="2097">
        <f t="shared" si="2073"/>
        <v>0</v>
      </c>
      <c r="E430" s="2098">
        <f t="shared" si="2074"/>
        <v>44392</v>
      </c>
      <c r="F430" s="2097">
        <f t="shared" si="2075"/>
        <v>0</v>
      </c>
      <c r="G430" s="2097">
        <f t="shared" si="2075"/>
        <v>0</v>
      </c>
      <c r="H430" s="2097">
        <f t="shared" si="2072"/>
        <v>0</v>
      </c>
      <c r="I430" s="2098">
        <f t="shared" si="2059"/>
        <v>0</v>
      </c>
      <c r="J430" s="2098">
        <f t="shared" si="2060"/>
        <v>44392</v>
      </c>
      <c r="K430" s="2097">
        <f t="shared" si="2068"/>
        <v>0</v>
      </c>
      <c r="L430" s="2097">
        <f t="shared" si="2068"/>
        <v>0</v>
      </c>
      <c r="M430" s="2097">
        <f t="shared" si="2068"/>
        <v>0</v>
      </c>
      <c r="N430" s="2098">
        <f t="shared" si="2064"/>
        <v>0</v>
      </c>
      <c r="O430" s="2098">
        <f t="shared" si="2065"/>
        <v>44392</v>
      </c>
      <c r="P430" s="2097">
        <f t="shared" si="2069"/>
        <v>0</v>
      </c>
      <c r="Q430" s="2097">
        <f t="shared" si="2069"/>
        <v>0</v>
      </c>
      <c r="R430" s="2097">
        <f t="shared" si="2069"/>
        <v>0</v>
      </c>
      <c r="S430" s="2098">
        <f t="shared" si="2071"/>
        <v>0</v>
      </c>
      <c r="T430" s="2098">
        <f t="shared" si="2070"/>
        <v>44392</v>
      </c>
      <c r="Z430" s="1418"/>
      <c r="AD430" s="1418"/>
      <c r="AE430" s="1418"/>
      <c r="AI430" s="1418"/>
      <c r="AJ430" s="1418"/>
      <c r="AN430" s="1418"/>
    </row>
    <row r="431" hidden="1">
      <c r="A431" s="1179" t="s">
        <v>641</v>
      </c>
      <c r="B431" s="1868">
        <f t="shared" si="2066"/>
        <v>680</v>
      </c>
      <c r="C431" s="1868">
        <f t="shared" si="2066"/>
        <v>1244</v>
      </c>
      <c r="D431" s="1868">
        <f t="shared" si="2073"/>
        <v>0</v>
      </c>
      <c r="E431" s="1899">
        <f t="shared" si="2074"/>
        <v>1924</v>
      </c>
      <c r="F431" s="1868">
        <f t="shared" si="2075"/>
        <v>0</v>
      </c>
      <c r="G431" s="1868">
        <f t="shared" si="2075"/>
        <v>0</v>
      </c>
      <c r="H431" s="1868">
        <f t="shared" si="2072"/>
        <v>0</v>
      </c>
      <c r="I431" s="1899">
        <f t="shared" si="2059"/>
        <v>0</v>
      </c>
      <c r="J431" s="1900">
        <f t="shared" si="2060"/>
        <v>1924</v>
      </c>
      <c r="K431" s="1868">
        <f t="shared" si="2068"/>
        <v>0</v>
      </c>
      <c r="L431" s="1868">
        <f t="shared" si="2068"/>
        <v>0</v>
      </c>
      <c r="M431" s="1868">
        <f t="shared" si="2068"/>
        <v>0</v>
      </c>
      <c r="N431" s="1899">
        <f t="shared" si="2064"/>
        <v>0</v>
      </c>
      <c r="O431" s="1900">
        <f t="shared" si="2065"/>
        <v>1924</v>
      </c>
      <c r="P431" s="1868">
        <f t="shared" si="2069"/>
        <v>0</v>
      </c>
      <c r="Q431" s="1868">
        <f t="shared" si="2069"/>
        <v>0</v>
      </c>
      <c r="R431" s="1868">
        <f t="shared" si="2069"/>
        <v>0</v>
      </c>
      <c r="S431" s="1899">
        <f t="shared" si="2071"/>
        <v>0</v>
      </c>
      <c r="T431" s="1897">
        <f t="shared" si="2070"/>
        <v>1924</v>
      </c>
      <c r="Z431" s="1418"/>
      <c r="AD431" s="1418"/>
      <c r="AE431" s="1418"/>
      <c r="AI431" s="1418"/>
      <c r="AJ431" s="1418"/>
      <c r="AN431" s="1418"/>
    </row>
    <row r="432" hidden="1">
      <c r="A432" s="2084" t="s">
        <v>642</v>
      </c>
      <c r="B432" s="1868">
        <f t="shared" si="2066"/>
        <v>267</v>
      </c>
      <c r="C432" s="1868">
        <f t="shared" si="2066"/>
        <v>114</v>
      </c>
      <c r="D432" s="1868">
        <f t="shared" si="2073"/>
        <v>0</v>
      </c>
      <c r="E432" s="1899">
        <f t="shared" si="2074"/>
        <v>381</v>
      </c>
      <c r="F432" s="1868">
        <f t="shared" si="2075"/>
        <v>0</v>
      </c>
      <c r="G432" s="1868">
        <f t="shared" si="2075"/>
        <v>0</v>
      </c>
      <c r="H432" s="1868">
        <f t="shared" si="2072"/>
        <v>0</v>
      </c>
      <c r="I432" s="1899">
        <f t="shared" si="2059"/>
        <v>0</v>
      </c>
      <c r="J432" s="1900">
        <f t="shared" si="2060"/>
        <v>381</v>
      </c>
      <c r="K432" s="1868">
        <f t="shared" si="2068"/>
        <v>0</v>
      </c>
      <c r="L432" s="1868">
        <f t="shared" si="2068"/>
        <v>0</v>
      </c>
      <c r="M432" s="1868">
        <f t="shared" si="2068"/>
        <v>0</v>
      </c>
      <c r="N432" s="1899">
        <f t="shared" si="2064"/>
        <v>0</v>
      </c>
      <c r="O432" s="1900">
        <f t="shared" si="2065"/>
        <v>381</v>
      </c>
      <c r="P432" s="1868">
        <f t="shared" si="2069"/>
        <v>0</v>
      </c>
      <c r="Q432" s="1868">
        <f t="shared" si="2069"/>
        <v>0</v>
      </c>
      <c r="R432" s="1868">
        <f t="shared" si="2069"/>
        <v>0</v>
      </c>
      <c r="S432" s="1899">
        <f t="shared" si="2071"/>
        <v>0</v>
      </c>
      <c r="T432" s="1897">
        <f t="shared" si="2070"/>
        <v>381</v>
      </c>
      <c r="Z432" s="1418"/>
      <c r="AD432" s="1418"/>
      <c r="AE432" s="1418"/>
      <c r="AI432" s="1418"/>
      <c r="AJ432" s="1418"/>
      <c r="AN432" s="1418"/>
    </row>
    <row r="433" hidden="1">
      <c r="A433" s="2096" t="s">
        <v>22</v>
      </c>
      <c r="B433" s="2097">
        <f t="shared" si="2066"/>
        <v>183025</v>
      </c>
      <c r="C433" s="2097">
        <f t="shared" si="2066"/>
        <v>172798</v>
      </c>
      <c r="D433" s="2097">
        <f t="shared" si="2073"/>
        <v>0</v>
      </c>
      <c r="E433" s="2098">
        <f t="shared" si="2074"/>
        <v>355823</v>
      </c>
      <c r="F433" s="2097">
        <f t="shared" si="2075"/>
        <v>0</v>
      </c>
      <c r="G433" s="2097">
        <f t="shared" si="2075"/>
        <v>0</v>
      </c>
      <c r="H433" s="2097">
        <f t="shared" si="2072"/>
        <v>0</v>
      </c>
      <c r="I433" s="2098">
        <f t="shared" si="2059"/>
        <v>0</v>
      </c>
      <c r="J433" s="2098">
        <f t="shared" si="2060"/>
        <v>355823</v>
      </c>
      <c r="K433" s="2097">
        <f t="shared" si="2068"/>
        <v>0</v>
      </c>
      <c r="L433" s="2097">
        <f t="shared" si="2068"/>
        <v>0</v>
      </c>
      <c r="M433" s="2097">
        <f t="shared" si="2068"/>
        <v>0</v>
      </c>
      <c r="N433" s="2098">
        <f t="shared" si="2064"/>
        <v>0</v>
      </c>
      <c r="O433" s="2098">
        <f t="shared" si="2065"/>
        <v>355823</v>
      </c>
      <c r="P433" s="2097">
        <f t="shared" si="2069"/>
        <v>0</v>
      </c>
      <c r="Q433" s="2097">
        <f t="shared" si="2069"/>
        <v>0</v>
      </c>
      <c r="R433" s="2097">
        <f t="shared" si="2069"/>
        <v>0</v>
      </c>
      <c r="S433" s="2098">
        <f t="shared" si="2071"/>
        <v>0</v>
      </c>
      <c r="T433" s="2098">
        <f t="shared" si="2070"/>
        <v>355823</v>
      </c>
      <c r="Z433" s="1418"/>
      <c r="AD433" s="1418"/>
      <c r="AE433" s="1418"/>
      <c r="AI433" s="1418"/>
      <c r="AJ433" s="1418"/>
      <c r="AN433" s="1418"/>
    </row>
    <row r="434" hidden="1">
      <c r="A434" s="2084" t="s">
        <v>643</v>
      </c>
      <c r="B434" s="1868">
        <f t="shared" si="2066"/>
        <v>4089</v>
      </c>
      <c r="C434" s="1868">
        <f t="shared" si="2066"/>
        <v>2228</v>
      </c>
      <c r="D434" s="1868">
        <f t="shared" si="2073"/>
        <v>0</v>
      </c>
      <c r="E434" s="1899">
        <f t="shared" si="2074"/>
        <v>6317</v>
      </c>
      <c r="F434" s="1868">
        <f t="shared" si="2075"/>
        <v>0</v>
      </c>
      <c r="G434" s="1868">
        <f t="shared" si="2075"/>
        <v>0</v>
      </c>
      <c r="H434" s="1868">
        <f t="shared" si="2072"/>
        <v>0</v>
      </c>
      <c r="I434" s="1899">
        <f t="shared" si="2059"/>
        <v>0</v>
      </c>
      <c r="J434" s="1900">
        <f t="shared" si="2060"/>
        <v>6317</v>
      </c>
      <c r="K434" s="1868">
        <f t="shared" si="2068"/>
        <v>0</v>
      </c>
      <c r="L434" s="1868">
        <f t="shared" si="2068"/>
        <v>0</v>
      </c>
      <c r="M434" s="1868">
        <f t="shared" si="2068"/>
        <v>0</v>
      </c>
      <c r="N434" s="1899">
        <f t="shared" si="2064"/>
        <v>0</v>
      </c>
      <c r="O434" s="1900">
        <f t="shared" si="2065"/>
        <v>6317</v>
      </c>
      <c r="P434" s="1868">
        <f t="shared" si="2069"/>
        <v>0</v>
      </c>
      <c r="Q434" s="1868">
        <f t="shared" si="2069"/>
        <v>0</v>
      </c>
      <c r="R434" s="1868">
        <f t="shared" si="2069"/>
        <v>0</v>
      </c>
      <c r="S434" s="1899">
        <f t="shared" si="2071"/>
        <v>0</v>
      </c>
      <c r="T434" s="1897">
        <f t="shared" si="2070"/>
        <v>6317</v>
      </c>
      <c r="Z434" s="1418"/>
      <c r="AD434" s="1418"/>
      <c r="AE434" s="1418"/>
      <c r="AI434" s="1418"/>
      <c r="AJ434" s="1418"/>
      <c r="AN434" s="1418"/>
    </row>
    <row r="435" hidden="1">
      <c r="A435" s="2084" t="s">
        <v>644</v>
      </c>
      <c r="B435" s="1868">
        <f t="shared" si="2066"/>
        <v>335</v>
      </c>
      <c r="C435" s="1868">
        <f t="shared" si="2066"/>
        <v>195</v>
      </c>
      <c r="D435" s="1868">
        <f t="shared" si="2073"/>
        <v>0</v>
      </c>
      <c r="E435" s="1899">
        <f t="shared" si="2074"/>
        <v>530</v>
      </c>
      <c r="F435" s="1868">
        <f t="shared" si="2075"/>
        <v>0</v>
      </c>
      <c r="G435" s="1868">
        <f t="shared" si="2075"/>
        <v>0</v>
      </c>
      <c r="H435" s="1868">
        <f t="shared" si="2072"/>
        <v>0</v>
      </c>
      <c r="I435" s="1899">
        <f t="shared" si="2059"/>
        <v>0</v>
      </c>
      <c r="J435" s="1900">
        <f t="shared" si="2060"/>
        <v>530</v>
      </c>
      <c r="K435" s="1868">
        <f t="shared" si="2068"/>
        <v>0</v>
      </c>
      <c r="L435" s="1868">
        <f t="shared" si="2068"/>
        <v>0</v>
      </c>
      <c r="M435" s="1868">
        <f t="shared" si="2068"/>
        <v>0</v>
      </c>
      <c r="N435" s="1899">
        <f t="shared" si="2064"/>
        <v>0</v>
      </c>
      <c r="O435" s="1900">
        <f t="shared" si="2065"/>
        <v>530</v>
      </c>
      <c r="P435" s="1868">
        <f t="shared" si="2069"/>
        <v>0</v>
      </c>
      <c r="Q435" s="1868">
        <f t="shared" si="2069"/>
        <v>0</v>
      </c>
      <c r="R435" s="1868">
        <f t="shared" si="2069"/>
        <v>0</v>
      </c>
      <c r="S435" s="1899">
        <f t="shared" si="2071"/>
        <v>0</v>
      </c>
      <c r="T435" s="1897">
        <f t="shared" si="2070"/>
        <v>530</v>
      </c>
      <c r="Z435" s="1418"/>
      <c r="AD435" s="1418"/>
      <c r="AE435" s="1418"/>
      <c r="AI435" s="1418"/>
      <c r="AJ435" s="1418"/>
      <c r="AN435" s="1418"/>
    </row>
    <row r="436" hidden="1">
      <c r="A436" s="2084" t="s">
        <v>283</v>
      </c>
      <c r="B436" s="2101">
        <f t="shared" ref="B436:B441" si="2076">B507+B579+B649+B720</f>
        <v>1023</v>
      </c>
      <c r="C436" s="2101"/>
      <c r="D436" s="2101"/>
      <c r="E436" s="1899">
        <f t="shared" si="2074"/>
        <v>1023</v>
      </c>
      <c r="F436" s="1868"/>
      <c r="G436" s="1868"/>
      <c r="H436" s="1868"/>
      <c r="I436" s="1899">
        <f t="shared" si="2059"/>
        <v>0</v>
      </c>
      <c r="J436" s="1900">
        <f t="shared" si="2060"/>
        <v>1023</v>
      </c>
      <c r="K436" s="1868"/>
      <c r="L436" s="1868"/>
      <c r="M436" s="1868"/>
      <c r="N436" s="1899">
        <f t="shared" si="2064"/>
        <v>0</v>
      </c>
      <c r="O436" s="1900">
        <f t="shared" si="2065"/>
        <v>1023</v>
      </c>
      <c r="P436" s="1868"/>
      <c r="Q436" s="1868"/>
      <c r="R436" s="1868"/>
      <c r="S436" s="1899">
        <f t="shared" si="2071"/>
        <v>0</v>
      </c>
      <c r="T436" s="1897">
        <f t="shared" si="2070"/>
        <v>0</v>
      </c>
      <c r="Z436" s="1418"/>
      <c r="AD436" s="1418"/>
      <c r="AE436" s="1418"/>
      <c r="AI436" s="1418"/>
      <c r="AJ436" s="1418"/>
      <c r="AN436" s="1418"/>
    </row>
    <row r="437" hidden="1">
      <c r="A437" s="2084" t="s">
        <v>645</v>
      </c>
      <c r="B437" s="1868">
        <f t="shared" si="2076"/>
        <v>0</v>
      </c>
      <c r="C437" s="1868">
        <f t="shared" ref="C437:C441" si="2077">C508+C580+C650+C721</f>
        <v>0</v>
      </c>
      <c r="D437" s="1868">
        <f t="shared" ref="D437:D438" si="2078">D505+D577+D648+D718</f>
        <v>0</v>
      </c>
      <c r="E437" s="1899">
        <f t="shared" si="2074"/>
        <v>0</v>
      </c>
      <c r="F437" s="1868">
        <f t="shared" ref="F437:H441" si="2079">F508+F580+F650+F721</f>
        <v>0</v>
      </c>
      <c r="G437" s="1868">
        <f t="shared" si="2079"/>
        <v>0</v>
      </c>
      <c r="H437" s="1868">
        <f t="shared" si="2079"/>
        <v>0</v>
      </c>
      <c r="I437" s="1899">
        <f t="shared" si="2059"/>
        <v>0</v>
      </c>
      <c r="J437" s="1900">
        <f t="shared" si="2060"/>
        <v>0</v>
      </c>
      <c r="K437" s="1868">
        <f t="shared" ref="K437:M441" si="2080">K508+K580+K650+K721</f>
        <v>0</v>
      </c>
      <c r="L437" s="1868">
        <f t="shared" si="2080"/>
        <v>0</v>
      </c>
      <c r="M437" s="1868">
        <f t="shared" si="2080"/>
        <v>0</v>
      </c>
      <c r="N437" s="1899">
        <f t="shared" si="2064"/>
        <v>0</v>
      </c>
      <c r="O437" s="1900">
        <f t="shared" si="2065"/>
        <v>0</v>
      </c>
      <c r="P437" s="1868">
        <f t="shared" ref="P437:R441" si="2081">P508+P580+P650+P721</f>
        <v>0</v>
      </c>
      <c r="Q437" s="1868">
        <f t="shared" si="2081"/>
        <v>0</v>
      </c>
      <c r="R437" s="1868">
        <f t="shared" si="2081"/>
        <v>0</v>
      </c>
      <c r="S437" s="1899">
        <f t="shared" si="2071"/>
        <v>0</v>
      </c>
      <c r="T437" s="1897">
        <f t="shared" ref="T437:T441" si="2082">T508+T580+T650+T721</f>
        <v>0</v>
      </c>
      <c r="Z437" s="1418"/>
      <c r="AD437" s="1418"/>
      <c r="AE437" s="1418"/>
      <c r="AI437" s="1418"/>
      <c r="AJ437" s="1418"/>
      <c r="AN437" s="1418"/>
    </row>
    <row r="438" hidden="1">
      <c r="A438" s="2096" t="s">
        <v>545</v>
      </c>
      <c r="B438" s="2097">
        <f t="shared" si="2076"/>
        <v>188472</v>
      </c>
      <c r="C438" s="2097">
        <f t="shared" si="2077"/>
        <v>176818</v>
      </c>
      <c r="D438" s="2097">
        <f t="shared" si="2078"/>
        <v>0</v>
      </c>
      <c r="E438" s="2098">
        <f t="shared" si="2074"/>
        <v>365290</v>
      </c>
      <c r="F438" s="2097">
        <f t="shared" si="2079"/>
        <v>0</v>
      </c>
      <c r="G438" s="2097">
        <f t="shared" si="2079"/>
        <v>0</v>
      </c>
      <c r="H438" s="2097">
        <f t="shared" si="2079"/>
        <v>0</v>
      </c>
      <c r="I438" s="2098">
        <f t="shared" si="2059"/>
        <v>0</v>
      </c>
      <c r="J438" s="2098">
        <f t="shared" si="2060"/>
        <v>365290</v>
      </c>
      <c r="K438" s="2097">
        <f t="shared" si="2080"/>
        <v>0</v>
      </c>
      <c r="L438" s="2097">
        <f t="shared" si="2080"/>
        <v>0</v>
      </c>
      <c r="M438" s="2097">
        <f t="shared" si="2080"/>
        <v>0</v>
      </c>
      <c r="N438" s="2098">
        <f t="shared" si="2064"/>
        <v>0</v>
      </c>
      <c r="O438" s="2098">
        <f t="shared" si="2065"/>
        <v>365290</v>
      </c>
      <c r="P438" s="2097">
        <f t="shared" si="2081"/>
        <v>0</v>
      </c>
      <c r="Q438" s="2097">
        <f t="shared" si="2081"/>
        <v>0</v>
      </c>
      <c r="R438" s="2097">
        <f t="shared" si="2081"/>
        <v>0</v>
      </c>
      <c r="S438" s="2098">
        <f t="shared" si="2071"/>
        <v>0</v>
      </c>
      <c r="T438" s="2098">
        <f t="shared" si="2082"/>
        <v>364989</v>
      </c>
      <c r="Z438" s="1418"/>
      <c r="AD438" s="1418"/>
      <c r="AE438" s="1418"/>
      <c r="AI438" s="1418"/>
      <c r="AJ438" s="1418"/>
      <c r="AN438" s="1418"/>
    </row>
    <row r="439" hidden="1">
      <c r="A439" s="2102" t="s">
        <v>646</v>
      </c>
      <c r="B439" s="1868">
        <f t="shared" si="2076"/>
        <v>1375</v>
      </c>
      <c r="C439" s="1868">
        <f t="shared" si="2077"/>
        <v>1120</v>
      </c>
      <c r="D439" s="1868">
        <f t="shared" ref="D439:D441" si="2083">D510+D582+D652+D723</f>
        <v>0</v>
      </c>
      <c r="E439" s="1899">
        <f t="shared" si="2074"/>
        <v>2495</v>
      </c>
      <c r="F439" s="1868">
        <f t="shared" si="2079"/>
        <v>0</v>
      </c>
      <c r="G439" s="1868">
        <f t="shared" si="2079"/>
        <v>0</v>
      </c>
      <c r="H439" s="1868">
        <f t="shared" si="2079"/>
        <v>0</v>
      </c>
      <c r="I439" s="1899">
        <f t="shared" si="2059"/>
        <v>0</v>
      </c>
      <c r="J439" s="1900">
        <f t="shared" si="2060"/>
        <v>2495</v>
      </c>
      <c r="K439" s="1868">
        <f t="shared" si="2080"/>
        <v>0</v>
      </c>
      <c r="L439" s="1868">
        <f t="shared" si="2080"/>
        <v>0</v>
      </c>
      <c r="M439" s="1868">
        <f t="shared" si="2080"/>
        <v>0</v>
      </c>
      <c r="N439" s="1899">
        <f t="shared" si="2064"/>
        <v>0</v>
      </c>
      <c r="O439" s="1900">
        <f t="shared" si="2065"/>
        <v>2495</v>
      </c>
      <c r="P439" s="1868">
        <f t="shared" si="2081"/>
        <v>0</v>
      </c>
      <c r="Q439" s="1868">
        <f t="shared" si="2081"/>
        <v>0</v>
      </c>
      <c r="R439" s="1868">
        <f t="shared" si="2081"/>
        <v>0</v>
      </c>
      <c r="S439" s="1899">
        <f t="shared" si="2071"/>
        <v>0</v>
      </c>
      <c r="T439" s="1897">
        <f t="shared" si="2082"/>
        <v>2495</v>
      </c>
      <c r="Z439" s="1418"/>
      <c r="AD439" s="1418"/>
      <c r="AE439" s="1418"/>
      <c r="AI439" s="1418"/>
      <c r="AJ439" s="1418"/>
      <c r="AN439" s="1418"/>
    </row>
    <row r="440" hidden="1">
      <c r="A440" s="2102" t="s">
        <v>647</v>
      </c>
      <c r="B440" s="1868">
        <f t="shared" si="2076"/>
        <v>0</v>
      </c>
      <c r="C440" s="1868">
        <f t="shared" si="2077"/>
        <v>0</v>
      </c>
      <c r="D440" s="1868">
        <f t="shared" si="2083"/>
        <v>0</v>
      </c>
      <c r="E440" s="1899">
        <f t="shared" si="2074"/>
        <v>0</v>
      </c>
      <c r="F440" s="1868">
        <f t="shared" si="2079"/>
        <v>0</v>
      </c>
      <c r="G440" s="1868">
        <f t="shared" si="2079"/>
        <v>0</v>
      </c>
      <c r="H440" s="1868">
        <f t="shared" si="2079"/>
        <v>0</v>
      </c>
      <c r="I440" s="1899">
        <f t="shared" si="2059"/>
        <v>0</v>
      </c>
      <c r="J440" s="1900">
        <f t="shared" si="2060"/>
        <v>0</v>
      </c>
      <c r="K440" s="1868">
        <f t="shared" si="2080"/>
        <v>0</v>
      </c>
      <c r="L440" s="1868">
        <f t="shared" si="2080"/>
        <v>0</v>
      </c>
      <c r="M440" s="1868">
        <f t="shared" si="2080"/>
        <v>0</v>
      </c>
      <c r="N440" s="1899">
        <f t="shared" si="2064"/>
        <v>0</v>
      </c>
      <c r="O440" s="1900">
        <f t="shared" si="2065"/>
        <v>0</v>
      </c>
      <c r="P440" s="1868">
        <f t="shared" si="2081"/>
        <v>0</v>
      </c>
      <c r="Q440" s="1868">
        <f t="shared" si="2081"/>
        <v>0</v>
      </c>
      <c r="R440" s="1868">
        <f t="shared" si="2081"/>
        <v>0</v>
      </c>
      <c r="S440" s="1899">
        <f t="shared" si="2071"/>
        <v>0</v>
      </c>
      <c r="T440" s="1897">
        <f t="shared" si="2082"/>
        <v>0</v>
      </c>
      <c r="Z440" s="1418"/>
      <c r="AD440" s="1418"/>
      <c r="AE440" s="1418"/>
      <c r="AI440" s="1418"/>
      <c r="AJ440" s="1418"/>
      <c r="AN440" s="1418"/>
    </row>
    <row r="441">
      <c r="A441" s="2096" t="s">
        <v>648</v>
      </c>
      <c r="B441" s="2097">
        <f t="shared" si="2076"/>
        <v>189847</v>
      </c>
      <c r="C441" s="2097">
        <f t="shared" si="2077"/>
        <v>177938</v>
      </c>
      <c r="D441" s="2097">
        <f t="shared" si="2083"/>
        <v>0</v>
      </c>
      <c r="E441" s="2098">
        <f t="shared" si="2074"/>
        <v>367785</v>
      </c>
      <c r="F441" s="2097">
        <f t="shared" si="2079"/>
        <v>0</v>
      </c>
      <c r="G441" s="2097">
        <f t="shared" si="2079"/>
        <v>0</v>
      </c>
      <c r="H441" s="2097">
        <f t="shared" si="2079"/>
        <v>0</v>
      </c>
      <c r="I441" s="2098">
        <f t="shared" si="2059"/>
        <v>0</v>
      </c>
      <c r="J441" s="2098">
        <f t="shared" si="2060"/>
        <v>367785</v>
      </c>
      <c r="K441" s="2097">
        <f t="shared" si="2080"/>
        <v>0</v>
      </c>
      <c r="L441" s="2097">
        <f t="shared" si="2080"/>
        <v>0</v>
      </c>
      <c r="M441" s="2097">
        <f t="shared" si="2080"/>
        <v>0</v>
      </c>
      <c r="N441" s="2098">
        <f t="shared" si="2064"/>
        <v>0</v>
      </c>
      <c r="O441" s="2098">
        <f t="shared" si="2065"/>
        <v>367785</v>
      </c>
      <c r="P441" s="2097">
        <f t="shared" si="2081"/>
        <v>0</v>
      </c>
      <c r="Q441" s="2097">
        <f t="shared" si="2081"/>
        <v>0</v>
      </c>
      <c r="R441" s="2097">
        <f t="shared" si="2081"/>
        <v>0</v>
      </c>
      <c r="S441" s="2098">
        <f t="shared" si="2071"/>
        <v>0</v>
      </c>
      <c r="T441" s="2098">
        <f t="shared" si="2082"/>
        <v>367785</v>
      </c>
      <c r="Z441" s="1418"/>
      <c r="AD441" s="1418"/>
      <c r="AE441" s="1418"/>
      <c r="AI441" s="1418"/>
      <c r="AJ441" s="1418"/>
      <c r="AN441" s="1418"/>
    </row>
    <row r="442" s="2076" customFormat="1">
      <c r="A442" s="1515"/>
      <c r="B442" s="1908"/>
      <c r="C442" s="1872"/>
      <c r="D442" s="1908"/>
      <c r="E442" s="1910"/>
      <c r="F442" s="1908"/>
      <c r="G442" s="1908"/>
      <c r="H442" s="1908"/>
      <c r="I442" s="1910"/>
      <c r="J442" s="1910"/>
      <c r="K442" s="1908"/>
      <c r="L442" s="1872"/>
      <c r="M442" s="1872"/>
      <c r="N442" s="1836"/>
      <c r="O442" s="1836"/>
      <c r="P442" s="1872"/>
      <c r="Q442" s="1872"/>
      <c r="R442" s="1872"/>
      <c r="S442" s="1836"/>
      <c r="T442" s="1836"/>
      <c r="U442" s="1515"/>
      <c r="V442" s="1515"/>
      <c r="W442" s="1515"/>
      <c r="X442" s="1515"/>
      <c r="Y442" s="1515"/>
      <c r="Z442" s="2062"/>
      <c r="AA442" s="1515"/>
      <c r="AB442" s="1515"/>
      <c r="AC442" s="1515"/>
      <c r="AD442" s="2062"/>
      <c r="AE442" s="2062"/>
      <c r="AF442" s="1515"/>
      <c r="AG442" s="1515"/>
      <c r="AH442" s="1515"/>
      <c r="AI442" s="2062"/>
      <c r="AJ442" s="2062"/>
      <c r="AK442" s="1515"/>
      <c r="AL442" s="1886"/>
      <c r="AM442" s="1515"/>
      <c r="AN442" s="2062"/>
      <c r="AO442" s="2062"/>
      <c r="AP442" s="1515"/>
      <c r="AQ442" s="1515"/>
      <c r="AR442" s="1515"/>
      <c r="AS442" s="1515"/>
      <c r="AT442" s="1515"/>
      <c r="AU442" s="1515"/>
      <c r="AV442" s="1515"/>
      <c r="AW442" s="1515"/>
      <c r="AX442" s="1515"/>
      <c r="AY442" s="1515"/>
      <c r="AZ442" s="1515"/>
    </row>
    <row r="443" s="2076" customFormat="1" ht="15" customHeight="1">
      <c r="A443" s="1515"/>
      <c r="B443" s="1908"/>
      <c r="C443" s="1908"/>
      <c r="D443" s="1908"/>
      <c r="E443" s="1910"/>
      <c r="F443" s="1908"/>
      <c r="G443" s="1908"/>
      <c r="H443" s="1908"/>
      <c r="I443" s="1910"/>
      <c r="J443" s="1910"/>
      <c r="K443" s="1908"/>
      <c r="L443" s="1908"/>
      <c r="M443" s="1908"/>
      <c r="N443" s="1910"/>
      <c r="O443" s="1910"/>
      <c r="P443" s="1908"/>
      <c r="Q443" s="1908"/>
      <c r="R443" s="1872"/>
      <c r="S443" s="1836"/>
      <c r="T443" s="1836"/>
      <c r="U443" s="1515"/>
      <c r="V443" s="1515"/>
      <c r="W443" s="1515"/>
      <c r="X443" s="1515"/>
      <c r="Y443" s="1515"/>
      <c r="Z443" s="2062"/>
      <c r="AA443" s="1515"/>
      <c r="AB443" s="1515"/>
      <c r="AC443" s="1515"/>
      <c r="AD443" s="2062"/>
      <c r="AE443" s="2062"/>
      <c r="AF443" s="1515"/>
      <c r="AG443" s="1515"/>
      <c r="AH443" s="1515"/>
      <c r="AI443" s="2062"/>
      <c r="AJ443" s="2062"/>
      <c r="AK443" s="1515"/>
      <c r="AL443" s="1886"/>
      <c r="AM443" s="1515"/>
      <c r="AN443" s="2062"/>
      <c r="AO443" s="2062"/>
      <c r="AP443" s="1515"/>
      <c r="AQ443" s="1515"/>
      <c r="AR443" s="1515"/>
      <c r="AS443" s="1515"/>
      <c r="AT443" s="1515"/>
      <c r="AU443" s="1515"/>
      <c r="AV443" s="1515"/>
      <c r="AW443" s="1515"/>
      <c r="AX443" s="1515"/>
      <c r="AY443" s="1515"/>
      <c r="AZ443" s="1515"/>
    </row>
    <row r="444" s="1434" customFormat="1" ht="46.5" customHeight="1">
      <c r="A444" s="1842" t="s">
        <v>649</v>
      </c>
      <c r="B444" s="1887" t="s">
        <v>607</v>
      </c>
      <c r="C444" s="1888"/>
      <c r="D444" s="1888"/>
      <c r="E444" s="1888"/>
      <c r="F444" s="1888"/>
      <c r="G444" s="1888"/>
      <c r="H444" s="1888"/>
      <c r="I444" s="1888"/>
      <c r="J444" s="1888"/>
      <c r="K444" s="1888"/>
      <c r="L444" s="1888"/>
      <c r="M444" s="1888"/>
      <c r="N444" s="1888"/>
      <c r="O444" s="1888"/>
      <c r="P444" s="1888"/>
      <c r="Q444" s="1888"/>
      <c r="R444" s="1888"/>
      <c r="S444" s="1888"/>
      <c r="T444" s="1889"/>
      <c r="U444" s="1409"/>
      <c r="V444" s="1409"/>
      <c r="W444" s="1409"/>
      <c r="X444" s="1409"/>
      <c r="Y444" s="1409"/>
      <c r="Z444" s="1418"/>
      <c r="AA444" s="1409"/>
      <c r="AB444" s="1409"/>
      <c r="AC444" s="1409"/>
      <c r="AD444" s="1418"/>
      <c r="AE444" s="1418"/>
      <c r="AF444" s="1409"/>
      <c r="AG444" s="1409"/>
      <c r="AH444" s="1409"/>
      <c r="AI444" s="1418"/>
      <c r="AJ444" s="1418"/>
      <c r="AK444" s="1409"/>
      <c r="AL444" s="1417"/>
      <c r="AM444" s="1409"/>
      <c r="AN444" s="1418"/>
      <c r="AO444" s="1418"/>
      <c r="AP444" s="1409"/>
      <c r="AQ444" s="1409"/>
      <c r="AR444" s="1409"/>
      <c r="AS444" s="1409"/>
      <c r="AT444" s="1409"/>
      <c r="AU444" s="1409"/>
      <c r="AV444" s="1409"/>
      <c r="AW444" s="1409"/>
      <c r="AX444" s="1409"/>
      <c r="AY444" s="1409"/>
      <c r="AZ444" s="1409"/>
    </row>
    <row r="445" s="1848" customFormat="1">
      <c r="A445" s="1427" t="s">
        <v>173</v>
      </c>
      <c r="B445" s="1427" t="s">
        <v>6</v>
      </c>
      <c r="C445" s="1427" t="s">
        <v>7</v>
      </c>
      <c r="D445" s="1421" t="s">
        <v>8</v>
      </c>
      <c r="E445" s="1425" t="s">
        <v>9</v>
      </c>
      <c r="F445" s="1421" t="s">
        <v>10</v>
      </c>
      <c r="G445" s="1421" t="s">
        <v>11</v>
      </c>
      <c r="H445" s="1421" t="s">
        <v>12</v>
      </c>
      <c r="I445" s="1425" t="s">
        <v>174</v>
      </c>
      <c r="J445" s="1430" t="s">
        <v>175</v>
      </c>
      <c r="K445" s="1421" t="s">
        <v>14</v>
      </c>
      <c r="L445" s="1421" t="s">
        <v>15</v>
      </c>
      <c r="M445" s="1421" t="s">
        <v>16</v>
      </c>
      <c r="N445" s="1425" t="s">
        <v>17</v>
      </c>
      <c r="O445" s="1430" t="s">
        <v>176</v>
      </c>
      <c r="P445" s="1421" t="s">
        <v>18</v>
      </c>
      <c r="Q445" s="1421" t="s">
        <v>19</v>
      </c>
      <c r="R445" s="1421" t="s">
        <v>20</v>
      </c>
      <c r="S445" s="1448" t="s">
        <v>177</v>
      </c>
      <c r="T445" s="1426" t="s">
        <v>22</v>
      </c>
      <c r="U445" s="1621"/>
      <c r="V445" s="1621"/>
      <c r="W445" s="1621"/>
      <c r="X445" s="1621"/>
      <c r="Y445" s="1621"/>
      <c r="Z445" s="1623"/>
      <c r="AA445" s="1621"/>
      <c r="AB445" s="1621"/>
      <c r="AC445" s="1621"/>
      <c r="AD445" s="1623"/>
      <c r="AE445" s="1623"/>
      <c r="AF445" s="1621"/>
      <c r="AG445" s="1621"/>
      <c r="AH445" s="1621"/>
      <c r="AI445" s="1623"/>
      <c r="AJ445" s="1623"/>
      <c r="AK445" s="1621"/>
      <c r="AL445" s="1622"/>
      <c r="AM445" s="1621"/>
      <c r="AN445" s="1623"/>
      <c r="AO445" s="1623"/>
      <c r="AP445" s="1621"/>
      <c r="AQ445" s="1621"/>
      <c r="AR445" s="1621"/>
      <c r="AS445" s="1621"/>
      <c r="AT445" s="1621"/>
      <c r="AU445" s="1621"/>
      <c r="AV445" s="1621"/>
      <c r="AW445" s="1621"/>
      <c r="AX445" s="1621"/>
      <c r="AY445" s="1621"/>
      <c r="AZ445" s="1621"/>
    </row>
    <row r="446" ht="23.25" customHeight="1">
      <c r="A446" s="1179" t="s">
        <v>178</v>
      </c>
      <c r="B446" s="1868">
        <f>2255+3</f>
        <v>2258</v>
      </c>
      <c r="C446" s="1868">
        <f>2471+7</f>
        <v>2478</v>
      </c>
      <c r="D446" s="1868"/>
      <c r="E446" s="1895">
        <f t="shared" si="2074"/>
        <v>4736</v>
      </c>
      <c r="F446" s="1868"/>
      <c r="G446" s="1868"/>
      <c r="H446" s="1868"/>
      <c r="I446" s="1895">
        <f t="shared" ref="I442:I505" si="2084">F446+G446+H446</f>
        <v>0</v>
      </c>
      <c r="J446" s="1896">
        <f t="shared" ref="J442:J505" si="2085">E446+I446</f>
        <v>4736</v>
      </c>
      <c r="K446" s="1868"/>
      <c r="L446" s="1868"/>
      <c r="M446" s="1868"/>
      <c r="N446" s="1895">
        <f t="shared" ref="N446:N509" si="2086">K446+L446+M446</f>
        <v>0</v>
      </c>
      <c r="O446" s="1896">
        <f t="shared" ref="O446:O509" si="2087">J446+N446</f>
        <v>4736</v>
      </c>
      <c r="P446" s="1868"/>
      <c r="Q446" s="1868"/>
      <c r="R446" s="1868"/>
      <c r="S446" s="1895">
        <f t="shared" si="2071"/>
        <v>0</v>
      </c>
      <c r="T446" s="1897">
        <f t="shared" ref="T446:T509" si="2088">O446+S446</f>
        <v>4736</v>
      </c>
      <c r="V446" s="1832">
        <f t="shared" ref="V446:V509" si="2089">B446+C446+D446+F446+G446+H446</f>
        <v>4736</v>
      </c>
      <c r="W446" s="2103">
        <f t="shared" ref="W446:W509" si="2090">K446+L446+M446+P446</f>
        <v>0</v>
      </c>
      <c r="Z446" s="1418"/>
      <c r="AD446" s="1418"/>
      <c r="AE446" s="1418"/>
      <c r="AI446" s="1418"/>
      <c r="AJ446" s="1418"/>
      <c r="AN446" s="1418"/>
    </row>
    <row r="447">
      <c r="A447" s="1179" t="s">
        <v>650</v>
      </c>
      <c r="B447" s="1868">
        <f>3682+1</f>
        <v>3683</v>
      </c>
      <c r="C447" s="1868">
        <f>4664+4</f>
        <v>4668</v>
      </c>
      <c r="D447" s="1868"/>
      <c r="E447" s="1895">
        <f t="shared" si="2074"/>
        <v>8351</v>
      </c>
      <c r="F447" s="1868"/>
      <c r="G447" s="1868"/>
      <c r="H447" s="1868"/>
      <c r="I447" s="1895">
        <f t="shared" si="2084"/>
        <v>0</v>
      </c>
      <c r="J447" s="1896">
        <f t="shared" si="2085"/>
        <v>8351</v>
      </c>
      <c r="K447" s="1868"/>
      <c r="L447" s="1868"/>
      <c r="M447" s="1868"/>
      <c r="N447" s="1895">
        <f t="shared" si="2086"/>
        <v>0</v>
      </c>
      <c r="O447" s="1896">
        <f t="shared" si="2087"/>
        <v>8351</v>
      </c>
      <c r="P447" s="1868"/>
      <c r="Q447" s="1868"/>
      <c r="R447" s="1868"/>
      <c r="S447" s="1895">
        <f t="shared" si="2071"/>
        <v>0</v>
      </c>
      <c r="T447" s="1897">
        <f t="shared" si="2088"/>
        <v>8351</v>
      </c>
      <c r="V447" s="1832">
        <f t="shared" si="2089"/>
        <v>8351</v>
      </c>
      <c r="W447" s="2103">
        <f t="shared" si="2090"/>
        <v>0</v>
      </c>
      <c r="X447" s="1410"/>
      <c r="Z447" s="1418"/>
      <c r="AD447" s="1418"/>
      <c r="AE447" s="1418"/>
      <c r="AG447" s="1410"/>
      <c r="AH447" s="1410"/>
      <c r="AI447" s="1911"/>
      <c r="AJ447" s="1911"/>
      <c r="AN447" s="1418"/>
    </row>
    <row r="448">
      <c r="A448" s="1179" t="s">
        <v>181</v>
      </c>
      <c r="B448" s="1868">
        <f>4318+3</f>
        <v>4321</v>
      </c>
      <c r="C448" s="1868">
        <f>4671+7</f>
        <v>4678</v>
      </c>
      <c r="D448" s="1868"/>
      <c r="E448" s="1895">
        <f t="shared" si="2074"/>
        <v>8999</v>
      </c>
      <c r="F448" s="1868"/>
      <c r="G448" s="1868"/>
      <c r="H448" s="1868"/>
      <c r="I448" s="1895">
        <f t="shared" si="2084"/>
        <v>0</v>
      </c>
      <c r="J448" s="1896">
        <f t="shared" si="2085"/>
        <v>8999</v>
      </c>
      <c r="K448" s="1868"/>
      <c r="L448" s="1868"/>
      <c r="M448" s="1868"/>
      <c r="N448" s="1895">
        <f t="shared" si="2086"/>
        <v>0</v>
      </c>
      <c r="O448" s="1896">
        <f t="shared" si="2087"/>
        <v>8999</v>
      </c>
      <c r="P448" s="1868"/>
      <c r="Q448" s="1868"/>
      <c r="R448" s="1868"/>
      <c r="S448" s="1895">
        <f t="shared" si="2071"/>
        <v>0</v>
      </c>
      <c r="T448" s="1897">
        <f t="shared" si="2088"/>
        <v>8999</v>
      </c>
      <c r="V448" s="1832">
        <f t="shared" si="2089"/>
        <v>8999</v>
      </c>
      <c r="W448" s="2103">
        <f t="shared" si="2090"/>
        <v>0</v>
      </c>
      <c r="X448" s="1410"/>
      <c r="Z448" s="1418"/>
      <c r="AD448" s="1418"/>
      <c r="AE448" s="1418"/>
      <c r="AG448" s="1410"/>
      <c r="AH448" s="1410"/>
      <c r="AI448" s="1911"/>
      <c r="AJ448" s="1911"/>
      <c r="AN448" s="1418"/>
    </row>
    <row r="449">
      <c r="A449" s="1179" t="s">
        <v>182</v>
      </c>
      <c r="B449" s="1868">
        <f>1788+20</f>
        <v>1808</v>
      </c>
      <c r="C449" s="1868">
        <f>1702+15</f>
        <v>1717</v>
      </c>
      <c r="D449" s="1868"/>
      <c r="E449" s="1895">
        <f t="shared" si="2074"/>
        <v>3525</v>
      </c>
      <c r="F449" s="1868"/>
      <c r="G449" s="1868"/>
      <c r="H449" s="1868"/>
      <c r="I449" s="1895">
        <f t="shared" si="2084"/>
        <v>0</v>
      </c>
      <c r="J449" s="1896">
        <f t="shared" si="2085"/>
        <v>3525</v>
      </c>
      <c r="K449" s="1868"/>
      <c r="L449" s="1868"/>
      <c r="M449" s="1868"/>
      <c r="N449" s="1895">
        <f t="shared" si="2086"/>
        <v>0</v>
      </c>
      <c r="O449" s="1896">
        <f t="shared" si="2087"/>
        <v>3525</v>
      </c>
      <c r="P449" s="1868"/>
      <c r="Q449" s="1868"/>
      <c r="R449" s="1868"/>
      <c r="S449" s="1895">
        <f t="shared" si="2071"/>
        <v>0</v>
      </c>
      <c r="T449" s="1897">
        <f t="shared" si="2088"/>
        <v>3525</v>
      </c>
      <c r="V449" s="1832">
        <f t="shared" si="2089"/>
        <v>3525</v>
      </c>
      <c r="W449" s="2103">
        <f t="shared" si="2090"/>
        <v>0</v>
      </c>
      <c r="X449" s="1410"/>
      <c r="Z449" s="1418"/>
      <c r="AD449" s="1418"/>
      <c r="AE449" s="1418"/>
      <c r="AG449" s="1410"/>
      <c r="AH449" s="1410"/>
      <c r="AI449" s="1911"/>
      <c r="AJ449" s="1911"/>
      <c r="AN449" s="1418"/>
    </row>
    <row r="450">
      <c r="A450" s="1179" t="s">
        <v>183</v>
      </c>
      <c r="B450" s="1868">
        <f>1932+4</f>
        <v>1936</v>
      </c>
      <c r="C450" s="1868">
        <f>2271+3</f>
        <v>2274</v>
      </c>
      <c r="D450" s="1868"/>
      <c r="E450" s="1895">
        <f t="shared" si="2074"/>
        <v>4210</v>
      </c>
      <c r="F450" s="1868"/>
      <c r="G450" s="1868"/>
      <c r="H450" s="1868"/>
      <c r="I450" s="1895">
        <f t="shared" si="2084"/>
        <v>0</v>
      </c>
      <c r="J450" s="1896">
        <f t="shared" si="2085"/>
        <v>4210</v>
      </c>
      <c r="K450" s="1868"/>
      <c r="L450" s="1868"/>
      <c r="M450" s="1868"/>
      <c r="N450" s="1895">
        <f t="shared" si="2086"/>
        <v>0</v>
      </c>
      <c r="O450" s="1896">
        <f t="shared" si="2087"/>
        <v>4210</v>
      </c>
      <c r="P450" s="1868"/>
      <c r="Q450" s="1868"/>
      <c r="R450" s="1868"/>
      <c r="S450" s="1895">
        <f t="shared" si="2071"/>
        <v>0</v>
      </c>
      <c r="T450" s="1897">
        <f t="shared" si="2088"/>
        <v>4210</v>
      </c>
      <c r="V450" s="1832">
        <f t="shared" si="2089"/>
        <v>4210</v>
      </c>
      <c r="W450" s="2103">
        <f t="shared" si="2090"/>
        <v>0</v>
      </c>
      <c r="X450" s="1410"/>
      <c r="Z450" s="1418"/>
      <c r="AD450" s="1418"/>
      <c r="AE450" s="1418"/>
      <c r="AG450" s="1410"/>
      <c r="AH450" s="1410"/>
      <c r="AI450" s="1911"/>
      <c r="AJ450" s="1911"/>
      <c r="AN450" s="1418"/>
    </row>
    <row r="451">
      <c r="A451" s="1179" t="s">
        <v>651</v>
      </c>
      <c r="B451" s="1868">
        <v>599</v>
      </c>
      <c r="C451" s="1868">
        <f>678+2</f>
        <v>680</v>
      </c>
      <c r="D451" s="1868"/>
      <c r="E451" s="1895">
        <f t="shared" si="2074"/>
        <v>1279</v>
      </c>
      <c r="F451" s="1868"/>
      <c r="G451" s="1868"/>
      <c r="H451" s="1868"/>
      <c r="I451" s="1895">
        <f t="shared" si="2084"/>
        <v>0</v>
      </c>
      <c r="J451" s="1896">
        <f t="shared" si="2085"/>
        <v>1279</v>
      </c>
      <c r="K451" s="1868"/>
      <c r="L451" s="1868"/>
      <c r="M451" s="1868"/>
      <c r="N451" s="1895">
        <f t="shared" si="2086"/>
        <v>0</v>
      </c>
      <c r="O451" s="1896">
        <f t="shared" si="2087"/>
        <v>1279</v>
      </c>
      <c r="P451" s="1868"/>
      <c r="Q451" s="1868"/>
      <c r="R451" s="1868"/>
      <c r="S451" s="1895">
        <f t="shared" si="2071"/>
        <v>0</v>
      </c>
      <c r="T451" s="1897">
        <f t="shared" si="2088"/>
        <v>1279</v>
      </c>
      <c r="V451" s="1832">
        <f t="shared" si="2089"/>
        <v>1279</v>
      </c>
      <c r="W451" s="2103">
        <f t="shared" si="2090"/>
        <v>0</v>
      </c>
      <c r="X451" s="1410"/>
      <c r="Z451" s="1418"/>
      <c r="AD451" s="1418"/>
      <c r="AE451" s="1418"/>
      <c r="AG451" s="1410"/>
      <c r="AH451" s="1410"/>
      <c r="AI451" s="1911"/>
      <c r="AJ451" s="1911"/>
      <c r="AN451" s="1418"/>
    </row>
    <row r="452">
      <c r="A452" s="375" t="s">
        <v>652</v>
      </c>
      <c r="B452" s="1868">
        <v>396</v>
      </c>
      <c r="C452" s="1868">
        <f>774+3</f>
        <v>777</v>
      </c>
      <c r="D452" s="1868"/>
      <c r="E452" s="1895">
        <f t="shared" si="2074"/>
        <v>1173</v>
      </c>
      <c r="F452" s="1868"/>
      <c r="G452" s="1868"/>
      <c r="H452" s="1868"/>
      <c r="I452" s="1895">
        <f t="shared" si="2084"/>
        <v>0</v>
      </c>
      <c r="J452" s="1896">
        <f t="shared" si="2085"/>
        <v>1173</v>
      </c>
      <c r="K452" s="1868"/>
      <c r="L452" s="1868"/>
      <c r="M452" s="1868"/>
      <c r="N452" s="1895">
        <f t="shared" si="2086"/>
        <v>0</v>
      </c>
      <c r="O452" s="1896">
        <f t="shared" si="2087"/>
        <v>1173</v>
      </c>
      <c r="P452" s="1868"/>
      <c r="Q452" s="1868"/>
      <c r="R452" s="1868"/>
      <c r="S452" s="1895">
        <f t="shared" si="2071"/>
        <v>0</v>
      </c>
      <c r="T452" s="1897">
        <f t="shared" si="2088"/>
        <v>1173</v>
      </c>
      <c r="V452" s="1832">
        <f t="shared" si="2089"/>
        <v>1173</v>
      </c>
      <c r="W452" s="2103">
        <f t="shared" si="2090"/>
        <v>0</v>
      </c>
      <c r="X452" s="1410"/>
      <c r="Z452" s="1418"/>
      <c r="AD452" s="1418"/>
      <c r="AE452" s="1418"/>
      <c r="AG452" s="1410"/>
      <c r="AH452" s="1410"/>
      <c r="AI452" s="1911"/>
      <c r="AJ452" s="1911"/>
      <c r="AN452" s="1418"/>
    </row>
    <row r="453">
      <c r="A453" s="1179" t="s">
        <v>185</v>
      </c>
      <c r="B453" s="1868">
        <v>441</v>
      </c>
      <c r="C453" s="1868">
        <f>902+2</f>
        <v>904</v>
      </c>
      <c r="D453" s="1868"/>
      <c r="E453" s="1895">
        <f t="shared" si="2074"/>
        <v>1345</v>
      </c>
      <c r="F453" s="1868"/>
      <c r="G453" s="1868"/>
      <c r="H453" s="1868"/>
      <c r="I453" s="1895">
        <f t="shared" si="2084"/>
        <v>0</v>
      </c>
      <c r="J453" s="1896">
        <f t="shared" si="2085"/>
        <v>1345</v>
      </c>
      <c r="K453" s="1868"/>
      <c r="L453" s="1868"/>
      <c r="M453" s="1868"/>
      <c r="N453" s="1895">
        <f t="shared" si="2086"/>
        <v>0</v>
      </c>
      <c r="O453" s="1896">
        <f t="shared" si="2087"/>
        <v>1345</v>
      </c>
      <c r="P453" s="1868"/>
      <c r="Q453" s="1868"/>
      <c r="R453" s="1868"/>
      <c r="S453" s="1895">
        <f t="shared" si="2071"/>
        <v>0</v>
      </c>
      <c r="T453" s="1897">
        <f t="shared" si="2088"/>
        <v>1345</v>
      </c>
      <c r="V453" s="1832">
        <f t="shared" si="2089"/>
        <v>1345</v>
      </c>
      <c r="W453" s="2103">
        <f t="shared" si="2090"/>
        <v>0</v>
      </c>
      <c r="X453" s="1410"/>
      <c r="Z453" s="1418"/>
      <c r="AD453" s="1418"/>
      <c r="AE453" s="1418"/>
      <c r="AG453" s="1618"/>
      <c r="AH453" s="1618"/>
      <c r="AI453" s="1619"/>
      <c r="AJ453" s="1619"/>
      <c r="AN453" s="1418"/>
    </row>
    <row r="454" s="1510" customFormat="1">
      <c r="A454" s="2096" t="s">
        <v>363</v>
      </c>
      <c r="B454" s="2097">
        <f>SUM(B446:B453)</f>
        <v>15442</v>
      </c>
      <c r="C454" s="2097">
        <f t="shared" ref="C454:H454" si="2091">SUM(C446:C453)</f>
        <v>18176</v>
      </c>
      <c r="D454" s="2097">
        <f t="shared" si="2091"/>
        <v>0</v>
      </c>
      <c r="E454" s="2098">
        <f t="shared" si="2074"/>
        <v>33618</v>
      </c>
      <c r="F454" s="2097">
        <f>SUM(F446:F453)</f>
        <v>0</v>
      </c>
      <c r="G454" s="2097">
        <f>SUM(G446:G453)</f>
        <v>0</v>
      </c>
      <c r="H454" s="2097">
        <f t="shared" si="2091"/>
        <v>0</v>
      </c>
      <c r="I454" s="2098">
        <f t="shared" si="2084"/>
        <v>0</v>
      </c>
      <c r="J454" s="2098">
        <f t="shared" si="2085"/>
        <v>33618</v>
      </c>
      <c r="K454" s="2097">
        <f>SUM(K446:K453)</f>
        <v>0</v>
      </c>
      <c r="L454" s="2097">
        <f>SUM(L446:L453)</f>
        <v>0</v>
      </c>
      <c r="M454" s="2097">
        <f>SUM(M446:M453)</f>
        <v>0</v>
      </c>
      <c r="N454" s="2098">
        <f t="shared" si="2086"/>
        <v>0</v>
      </c>
      <c r="O454" s="2098">
        <f t="shared" si="2087"/>
        <v>33618</v>
      </c>
      <c r="P454" s="2097">
        <f>SUM(P446:P453)</f>
        <v>0</v>
      </c>
      <c r="Q454" s="2097">
        <f>SUM(Q446:Q453)</f>
        <v>0</v>
      </c>
      <c r="R454" s="2097">
        <f>SUM(R446:R453)</f>
        <v>0</v>
      </c>
      <c r="S454" s="1899">
        <f t="shared" si="2071"/>
        <v>0</v>
      </c>
      <c r="T454" s="1901">
        <f>SUM(T446:T453)</f>
        <v>33618</v>
      </c>
      <c r="U454" s="1515"/>
      <c r="V454" s="1832">
        <f t="shared" si="2089"/>
        <v>33618</v>
      </c>
      <c r="W454" s="2103">
        <f t="shared" si="2090"/>
        <v>0</v>
      </c>
      <c r="X454" s="1838"/>
      <c r="Y454" s="1515"/>
      <c r="Z454" s="2062"/>
      <c r="AA454" s="1515"/>
      <c r="AB454" s="1515"/>
      <c r="AC454" s="1515"/>
      <c r="AD454" s="2062"/>
      <c r="AE454" s="2062"/>
      <c r="AF454" s="1515"/>
      <c r="AG454" s="2104"/>
      <c r="AH454" s="2104"/>
      <c r="AI454" s="2105"/>
      <c r="AJ454" s="2105"/>
      <c r="AK454" s="1515"/>
      <c r="AL454" s="1886"/>
      <c r="AM454" s="1515"/>
      <c r="AN454" s="2062"/>
      <c r="AO454" s="2062"/>
      <c r="AP454" s="1515"/>
      <c r="AQ454" s="1515"/>
      <c r="AR454" s="1515"/>
      <c r="AS454" s="1515"/>
      <c r="AT454" s="1515"/>
      <c r="AU454" s="1515"/>
      <c r="AV454" s="1515"/>
      <c r="AW454" s="1515"/>
      <c r="AX454" s="1515"/>
      <c r="AY454" s="1515"/>
      <c r="AZ454" s="1515"/>
    </row>
    <row r="455">
      <c r="A455" s="1551" t="s">
        <v>653</v>
      </c>
      <c r="B455" s="1868"/>
      <c r="C455" s="1906"/>
      <c r="D455" s="1868"/>
      <c r="E455" s="1895">
        <f t="shared" si="2074"/>
        <v>0</v>
      </c>
      <c r="F455" s="1868"/>
      <c r="G455" s="1868"/>
      <c r="H455" s="1868"/>
      <c r="I455" s="1895">
        <f t="shared" si="2084"/>
        <v>0</v>
      </c>
      <c r="J455" s="1896">
        <f t="shared" si="2085"/>
        <v>0</v>
      </c>
      <c r="K455" s="1868"/>
      <c r="L455" s="1868"/>
      <c r="M455" s="1868"/>
      <c r="N455" s="1895">
        <f t="shared" si="2086"/>
        <v>0</v>
      </c>
      <c r="O455" s="1896">
        <f t="shared" si="2087"/>
        <v>0</v>
      </c>
      <c r="P455" s="1868"/>
      <c r="Q455" s="1868"/>
      <c r="R455" s="1868"/>
      <c r="S455" s="1895">
        <f t="shared" si="2071"/>
        <v>0</v>
      </c>
      <c r="T455" s="1897">
        <f t="shared" si="2088"/>
        <v>0</v>
      </c>
      <c r="V455" s="1832">
        <f t="shared" si="2089"/>
        <v>0</v>
      </c>
      <c r="W455" s="2103">
        <f t="shared" si="2090"/>
        <v>0</v>
      </c>
      <c r="X455" s="1838"/>
      <c r="Z455" s="1418"/>
      <c r="AD455" s="1418"/>
      <c r="AE455" s="1418"/>
      <c r="AF455" s="1515"/>
      <c r="AG455" s="1838"/>
      <c r="AH455" s="1838"/>
      <c r="AI455" s="1839"/>
      <c r="AJ455" s="1839"/>
      <c r="AK455" s="1838"/>
      <c r="AL455" s="1886"/>
      <c r="AN455" s="1418"/>
    </row>
    <row r="456">
      <c r="A456" s="1179" t="s">
        <v>654</v>
      </c>
      <c r="B456" s="1868">
        <v>3655</v>
      </c>
      <c r="C456" s="1868">
        <v>3014</v>
      </c>
      <c r="D456" s="1868"/>
      <c r="E456" s="1895">
        <f t="shared" si="2074"/>
        <v>6669</v>
      </c>
      <c r="F456" s="1868"/>
      <c r="G456" s="1868"/>
      <c r="H456" s="1868"/>
      <c r="I456" s="1895">
        <f t="shared" si="2084"/>
        <v>0</v>
      </c>
      <c r="J456" s="1896">
        <f t="shared" si="2085"/>
        <v>6669</v>
      </c>
      <c r="K456" s="1868"/>
      <c r="L456" s="1868"/>
      <c r="M456" s="1868"/>
      <c r="N456" s="1895">
        <f t="shared" si="2086"/>
        <v>0</v>
      </c>
      <c r="O456" s="1896">
        <f t="shared" si="2087"/>
        <v>6669</v>
      </c>
      <c r="P456" s="1868"/>
      <c r="Q456" s="1868"/>
      <c r="R456" s="1868"/>
      <c r="S456" s="1895">
        <f t="shared" si="2071"/>
        <v>0</v>
      </c>
      <c r="T456" s="1897">
        <f t="shared" si="2088"/>
        <v>6669</v>
      </c>
      <c r="V456" s="1832">
        <f t="shared" si="2089"/>
        <v>6669</v>
      </c>
      <c r="W456" s="2103">
        <f t="shared" si="2090"/>
        <v>0</v>
      </c>
      <c r="X456" s="1410"/>
      <c r="Z456" s="1418"/>
      <c r="AD456" s="1418"/>
      <c r="AE456" s="1418"/>
      <c r="AF456" s="2106"/>
      <c r="AG456" s="1410"/>
      <c r="AH456" s="1410"/>
      <c r="AI456" s="1911"/>
      <c r="AJ456" s="1911"/>
      <c r="AN456" s="1418"/>
    </row>
    <row r="457">
      <c r="A457" s="1179" t="s">
        <v>196</v>
      </c>
      <c r="B457" s="1868">
        <v>1590</v>
      </c>
      <c r="C457" s="1868">
        <v>1939</v>
      </c>
      <c r="D457" s="1868"/>
      <c r="E457" s="1895">
        <f t="shared" si="2074"/>
        <v>3529</v>
      </c>
      <c r="F457" s="1868"/>
      <c r="G457" s="1868"/>
      <c r="H457" s="1868"/>
      <c r="I457" s="1895">
        <f t="shared" si="2084"/>
        <v>0</v>
      </c>
      <c r="J457" s="1896">
        <f t="shared" si="2085"/>
        <v>3529</v>
      </c>
      <c r="K457" s="1868"/>
      <c r="L457" s="1868"/>
      <c r="M457" s="1868"/>
      <c r="N457" s="1895">
        <f t="shared" si="2086"/>
        <v>0</v>
      </c>
      <c r="O457" s="1896">
        <f t="shared" si="2087"/>
        <v>3529</v>
      </c>
      <c r="P457" s="1868"/>
      <c r="Q457" s="1868"/>
      <c r="R457" s="1868"/>
      <c r="S457" s="1895">
        <f t="shared" si="2071"/>
        <v>0</v>
      </c>
      <c r="T457" s="1897">
        <f t="shared" si="2088"/>
        <v>3529</v>
      </c>
      <c r="V457" s="1832">
        <f t="shared" si="2089"/>
        <v>3529</v>
      </c>
      <c r="W457" s="2103">
        <f t="shared" si="2090"/>
        <v>0</v>
      </c>
      <c r="X457" s="1410"/>
      <c r="Z457" s="1418"/>
      <c r="AD457" s="1418"/>
      <c r="AE457" s="1418"/>
      <c r="AG457" s="1410"/>
      <c r="AH457" s="1410"/>
      <c r="AI457" s="1911"/>
      <c r="AJ457" s="1911"/>
      <c r="AN457" s="1418"/>
    </row>
    <row r="458">
      <c r="A458" s="1179" t="s">
        <v>367</v>
      </c>
      <c r="B458" s="1868"/>
      <c r="C458" s="1906"/>
      <c r="D458" s="1868"/>
      <c r="E458" s="1895">
        <f t="shared" si="2074"/>
        <v>0</v>
      </c>
      <c r="F458" s="1868"/>
      <c r="G458" s="1868"/>
      <c r="H458" s="1868"/>
      <c r="I458" s="1895">
        <f t="shared" si="2084"/>
        <v>0</v>
      </c>
      <c r="J458" s="1896">
        <f t="shared" si="2085"/>
        <v>0</v>
      </c>
      <c r="K458" s="1868"/>
      <c r="L458" s="1868"/>
      <c r="M458" s="1868"/>
      <c r="N458" s="1895">
        <f t="shared" si="2086"/>
        <v>0</v>
      </c>
      <c r="O458" s="1896">
        <f t="shared" si="2087"/>
        <v>0</v>
      </c>
      <c r="P458" s="1868"/>
      <c r="Q458" s="1868"/>
      <c r="R458" s="1868"/>
      <c r="S458" s="1895">
        <f t="shared" si="2071"/>
        <v>0</v>
      </c>
      <c r="T458" s="1897">
        <f t="shared" si="2088"/>
        <v>0</v>
      </c>
      <c r="V458" s="1832">
        <f t="shared" si="2089"/>
        <v>0</v>
      </c>
      <c r="W458" s="2103">
        <f t="shared" si="2090"/>
        <v>0</v>
      </c>
      <c r="X458" s="1410"/>
      <c r="Z458" s="1418"/>
      <c r="AD458" s="1418"/>
      <c r="AE458" s="1418"/>
      <c r="AG458" s="1410"/>
      <c r="AH458" s="1410"/>
      <c r="AI458" s="1911"/>
      <c r="AJ458" s="1911"/>
      <c r="AN458" s="1418"/>
    </row>
    <row r="459">
      <c r="A459" s="1179" t="s">
        <v>201</v>
      </c>
      <c r="B459" s="1868">
        <v>910</v>
      </c>
      <c r="C459" s="1868">
        <f>1223+1</f>
        <v>1224</v>
      </c>
      <c r="D459" s="1868"/>
      <c r="E459" s="1895">
        <f t="shared" si="2074"/>
        <v>2134</v>
      </c>
      <c r="F459" s="1868"/>
      <c r="G459" s="1868"/>
      <c r="H459" s="1868"/>
      <c r="I459" s="1895">
        <f t="shared" si="2084"/>
        <v>0</v>
      </c>
      <c r="J459" s="1896">
        <f t="shared" si="2085"/>
        <v>2134</v>
      </c>
      <c r="K459" s="1868"/>
      <c r="L459" s="1868"/>
      <c r="M459" s="1868"/>
      <c r="N459" s="1895">
        <f t="shared" si="2086"/>
        <v>0</v>
      </c>
      <c r="O459" s="1896">
        <f t="shared" si="2087"/>
        <v>2134</v>
      </c>
      <c r="P459" s="1868"/>
      <c r="Q459" s="1868"/>
      <c r="R459" s="1868"/>
      <c r="S459" s="1895">
        <f t="shared" si="2071"/>
        <v>0</v>
      </c>
      <c r="T459" s="1897">
        <f t="shared" si="2088"/>
        <v>2134</v>
      </c>
      <c r="V459" s="1832">
        <f t="shared" si="2089"/>
        <v>2134</v>
      </c>
      <c r="W459" s="2103">
        <f t="shared" si="2090"/>
        <v>0</v>
      </c>
      <c r="X459" s="1410"/>
      <c r="Z459" s="1418"/>
      <c r="AD459" s="1418"/>
      <c r="AE459" s="1418"/>
      <c r="AG459" s="1410"/>
      <c r="AH459" s="1410"/>
      <c r="AI459" s="1911"/>
      <c r="AJ459" s="1911"/>
      <c r="AN459" s="1418"/>
    </row>
    <row r="460">
      <c r="A460" s="1179" t="s">
        <v>203</v>
      </c>
      <c r="B460" s="1868">
        <f>780+1</f>
        <v>781</v>
      </c>
      <c r="C460" s="1868">
        <v>1062</v>
      </c>
      <c r="D460" s="1868"/>
      <c r="E460" s="1895">
        <f t="shared" si="2074"/>
        <v>1843</v>
      </c>
      <c r="F460" s="1868"/>
      <c r="G460" s="1868"/>
      <c r="H460" s="1868"/>
      <c r="I460" s="1895">
        <f t="shared" si="2084"/>
        <v>0</v>
      </c>
      <c r="J460" s="1896">
        <f t="shared" si="2085"/>
        <v>1843</v>
      </c>
      <c r="K460" s="1868"/>
      <c r="L460" s="1868"/>
      <c r="M460" s="1868"/>
      <c r="N460" s="1895">
        <f t="shared" si="2086"/>
        <v>0</v>
      </c>
      <c r="O460" s="1896">
        <f t="shared" si="2087"/>
        <v>1843</v>
      </c>
      <c r="P460" s="1868"/>
      <c r="Q460" s="1868"/>
      <c r="R460" s="1868"/>
      <c r="S460" s="1895">
        <f t="shared" ref="S460:S523" si="2092">P460+Q460+R460</f>
        <v>0</v>
      </c>
      <c r="T460" s="1897">
        <f t="shared" si="2088"/>
        <v>1843</v>
      </c>
      <c r="V460" s="1832">
        <f t="shared" si="2089"/>
        <v>1843</v>
      </c>
      <c r="W460" s="2103">
        <f t="shared" si="2090"/>
        <v>0</v>
      </c>
      <c r="X460" s="1410"/>
      <c r="Z460" s="1418"/>
      <c r="AD460" s="1418"/>
      <c r="AE460" s="1418"/>
      <c r="AG460" s="1410"/>
      <c r="AH460" s="1410"/>
      <c r="AI460" s="1911"/>
      <c r="AJ460" s="1911"/>
      <c r="AN460" s="1418"/>
    </row>
    <row r="461">
      <c r="A461" s="1179" t="s">
        <v>204</v>
      </c>
      <c r="B461" s="1868">
        <v>175</v>
      </c>
      <c r="C461" s="1868">
        <v>287</v>
      </c>
      <c r="D461" s="1868"/>
      <c r="E461" s="1895">
        <f t="shared" si="2074"/>
        <v>462</v>
      </c>
      <c r="F461" s="1868"/>
      <c r="G461" s="1868"/>
      <c r="H461" s="1868"/>
      <c r="I461" s="1895">
        <f t="shared" si="2084"/>
        <v>0</v>
      </c>
      <c r="J461" s="1896">
        <f t="shared" si="2085"/>
        <v>462</v>
      </c>
      <c r="K461" s="1868"/>
      <c r="L461" s="1868"/>
      <c r="M461" s="1868"/>
      <c r="N461" s="1895">
        <f t="shared" si="2086"/>
        <v>0</v>
      </c>
      <c r="O461" s="1896">
        <f t="shared" si="2087"/>
        <v>462</v>
      </c>
      <c r="P461" s="1868"/>
      <c r="Q461" s="1868"/>
      <c r="R461" s="1868"/>
      <c r="S461" s="1895">
        <f t="shared" si="2092"/>
        <v>0</v>
      </c>
      <c r="T461" s="1897">
        <f t="shared" si="2088"/>
        <v>462</v>
      </c>
      <c r="V461" s="1832">
        <f t="shared" si="2089"/>
        <v>462</v>
      </c>
      <c r="W461" s="2103">
        <f t="shared" si="2090"/>
        <v>0</v>
      </c>
      <c r="X461" s="1410"/>
      <c r="Z461" s="1418"/>
      <c r="AD461" s="1418"/>
      <c r="AE461" s="1418"/>
      <c r="AG461" s="1410"/>
      <c r="AH461" s="1410"/>
      <c r="AI461" s="1911"/>
      <c r="AJ461" s="1911"/>
      <c r="AN461" s="1418"/>
    </row>
    <row r="462">
      <c r="A462" s="1179" t="s">
        <v>655</v>
      </c>
      <c r="B462" s="1868">
        <f>1182+3</f>
        <v>1185</v>
      </c>
      <c r="C462" s="1868">
        <f>1056+4</f>
        <v>1060</v>
      </c>
      <c r="D462" s="1868"/>
      <c r="E462" s="1895">
        <f t="shared" si="2074"/>
        <v>2245</v>
      </c>
      <c r="F462" s="1868"/>
      <c r="G462" s="1868"/>
      <c r="H462" s="1868"/>
      <c r="I462" s="1895">
        <f t="shared" si="2084"/>
        <v>0</v>
      </c>
      <c r="J462" s="1896">
        <f t="shared" si="2085"/>
        <v>2245</v>
      </c>
      <c r="K462" s="1868"/>
      <c r="L462" s="1868"/>
      <c r="M462" s="1868"/>
      <c r="N462" s="1895">
        <f t="shared" si="2086"/>
        <v>0</v>
      </c>
      <c r="O462" s="1896">
        <f t="shared" si="2087"/>
        <v>2245</v>
      </c>
      <c r="P462" s="1868"/>
      <c r="Q462" s="1868"/>
      <c r="R462" s="1868"/>
      <c r="S462" s="1895">
        <f t="shared" si="2092"/>
        <v>0</v>
      </c>
      <c r="T462" s="1897">
        <f t="shared" si="2088"/>
        <v>2245</v>
      </c>
      <c r="V462" s="1832">
        <f t="shared" si="2089"/>
        <v>2245</v>
      </c>
      <c r="W462" s="2103">
        <f t="shared" si="2090"/>
        <v>0</v>
      </c>
      <c r="X462" s="1410"/>
      <c r="Z462" s="1418"/>
      <c r="AD462" s="1418"/>
      <c r="AE462" s="1418"/>
      <c r="AG462" s="1410"/>
      <c r="AH462" s="1410"/>
      <c r="AI462" s="1911"/>
      <c r="AJ462" s="1911"/>
      <c r="AN462" s="1418"/>
    </row>
    <row r="463">
      <c r="A463" s="1179" t="s">
        <v>206</v>
      </c>
      <c r="B463" s="1868">
        <f>1575+2</f>
        <v>1577</v>
      </c>
      <c r="C463" s="1868">
        <f>1734+8</f>
        <v>1742</v>
      </c>
      <c r="D463" s="1868"/>
      <c r="E463" s="1895">
        <f t="shared" si="2074"/>
        <v>3319</v>
      </c>
      <c r="F463" s="1868"/>
      <c r="G463" s="1868"/>
      <c r="H463" s="1868"/>
      <c r="I463" s="1895">
        <f t="shared" si="2084"/>
        <v>0</v>
      </c>
      <c r="J463" s="1896">
        <f t="shared" si="2085"/>
        <v>3319</v>
      </c>
      <c r="K463" s="1868"/>
      <c r="L463" s="1868"/>
      <c r="M463" s="1868"/>
      <c r="N463" s="1895">
        <f t="shared" si="2086"/>
        <v>0</v>
      </c>
      <c r="O463" s="1896">
        <f t="shared" si="2087"/>
        <v>3319</v>
      </c>
      <c r="P463" s="1868"/>
      <c r="Q463" s="1868"/>
      <c r="R463" s="1868"/>
      <c r="S463" s="1895">
        <f t="shared" si="2092"/>
        <v>0</v>
      </c>
      <c r="T463" s="1897">
        <f t="shared" si="2088"/>
        <v>3319</v>
      </c>
      <c r="V463" s="1832">
        <f t="shared" si="2089"/>
        <v>3319</v>
      </c>
      <c r="W463" s="2103">
        <f t="shared" si="2090"/>
        <v>0</v>
      </c>
      <c r="X463" s="1410"/>
      <c r="Z463" s="1418"/>
      <c r="AD463" s="1418"/>
      <c r="AE463" s="1418"/>
      <c r="AG463" s="1410"/>
      <c r="AH463" s="1410"/>
      <c r="AI463" s="1911"/>
      <c r="AJ463" s="1911"/>
      <c r="AN463" s="1418"/>
    </row>
    <row r="464">
      <c r="A464" s="1179" t="s">
        <v>207</v>
      </c>
      <c r="B464" s="1868">
        <v>887</v>
      </c>
      <c r="C464" s="1868">
        <f>989+3</f>
        <v>992</v>
      </c>
      <c r="D464" s="1868"/>
      <c r="E464" s="1895">
        <f t="shared" si="2074"/>
        <v>1879</v>
      </c>
      <c r="F464" s="1868"/>
      <c r="G464" s="1868"/>
      <c r="H464" s="1868"/>
      <c r="I464" s="1895">
        <f t="shared" si="2084"/>
        <v>0</v>
      </c>
      <c r="J464" s="1896">
        <f t="shared" si="2085"/>
        <v>1879</v>
      </c>
      <c r="K464" s="1868"/>
      <c r="L464" s="1868"/>
      <c r="M464" s="1868"/>
      <c r="N464" s="1895">
        <f t="shared" si="2086"/>
        <v>0</v>
      </c>
      <c r="O464" s="1896">
        <f t="shared" si="2087"/>
        <v>1879</v>
      </c>
      <c r="P464" s="1868"/>
      <c r="Q464" s="1868"/>
      <c r="R464" s="1868"/>
      <c r="S464" s="1895">
        <f t="shared" si="2092"/>
        <v>0</v>
      </c>
      <c r="T464" s="1897">
        <f t="shared" si="2088"/>
        <v>1879</v>
      </c>
      <c r="V464" s="1832">
        <f t="shared" si="2089"/>
        <v>1879</v>
      </c>
      <c r="W464" s="2103">
        <f t="shared" si="2090"/>
        <v>0</v>
      </c>
      <c r="X464" s="1410"/>
      <c r="Z464" s="1418"/>
      <c r="AD464" s="1418"/>
      <c r="AE464" s="1418"/>
      <c r="AG464" s="1410"/>
      <c r="AH464" s="1410"/>
      <c r="AI464" s="1911"/>
      <c r="AJ464" s="1911"/>
      <c r="AN464" s="1418"/>
    </row>
    <row r="465">
      <c r="A465" s="1179" t="s">
        <v>209</v>
      </c>
      <c r="B465" s="1868">
        <v>640</v>
      </c>
      <c r="C465" s="1868">
        <v>468</v>
      </c>
      <c r="D465" s="1868"/>
      <c r="E465" s="1895">
        <f t="shared" si="2074"/>
        <v>1108</v>
      </c>
      <c r="F465" s="1868"/>
      <c r="G465" s="1868"/>
      <c r="H465" s="1868"/>
      <c r="I465" s="1895">
        <f t="shared" si="2084"/>
        <v>0</v>
      </c>
      <c r="J465" s="1896">
        <f t="shared" si="2085"/>
        <v>1108</v>
      </c>
      <c r="K465" s="1868"/>
      <c r="L465" s="1868"/>
      <c r="M465" s="1868"/>
      <c r="N465" s="1895">
        <f t="shared" si="2086"/>
        <v>0</v>
      </c>
      <c r="O465" s="1896">
        <f t="shared" si="2087"/>
        <v>1108</v>
      </c>
      <c r="P465" s="1868"/>
      <c r="Q465" s="1868"/>
      <c r="R465" s="1868"/>
      <c r="S465" s="1895">
        <f t="shared" si="2092"/>
        <v>0</v>
      </c>
      <c r="T465" s="1897">
        <f t="shared" si="2088"/>
        <v>1108</v>
      </c>
      <c r="V465" s="1832">
        <f t="shared" si="2089"/>
        <v>1108</v>
      </c>
      <c r="W465" s="2103">
        <f t="shared" si="2090"/>
        <v>0</v>
      </c>
      <c r="X465" s="1410"/>
      <c r="Z465" s="1418"/>
      <c r="AD465" s="1418"/>
      <c r="AE465" s="1418"/>
      <c r="AG465" s="1410"/>
      <c r="AH465" s="1410"/>
      <c r="AI465" s="1911"/>
      <c r="AJ465" s="1911"/>
      <c r="AN465" s="1418"/>
    </row>
    <row r="466">
      <c r="A466" s="1179" t="s">
        <v>656</v>
      </c>
      <c r="B466" s="1868">
        <f>781+2</f>
        <v>783</v>
      </c>
      <c r="C466" s="1868">
        <f>3+730</f>
        <v>733</v>
      </c>
      <c r="D466" s="1868"/>
      <c r="E466" s="1895">
        <f t="shared" si="2074"/>
        <v>1516</v>
      </c>
      <c r="F466" s="1868"/>
      <c r="G466" s="1868"/>
      <c r="H466" s="1868"/>
      <c r="I466" s="1895">
        <f t="shared" si="2084"/>
        <v>0</v>
      </c>
      <c r="J466" s="1896">
        <f t="shared" si="2085"/>
        <v>1516</v>
      </c>
      <c r="K466" s="1868"/>
      <c r="L466" s="1868"/>
      <c r="M466" s="1868"/>
      <c r="N466" s="1895">
        <f t="shared" si="2086"/>
        <v>0</v>
      </c>
      <c r="O466" s="1896">
        <f t="shared" si="2087"/>
        <v>1516</v>
      </c>
      <c r="P466" s="1868"/>
      <c r="Q466" s="1868"/>
      <c r="R466" s="1868"/>
      <c r="S466" s="1895">
        <f t="shared" si="2092"/>
        <v>0</v>
      </c>
      <c r="T466" s="1897">
        <f t="shared" si="2088"/>
        <v>1516</v>
      </c>
      <c r="V466" s="1832">
        <f t="shared" si="2089"/>
        <v>1516</v>
      </c>
      <c r="W466" s="2103">
        <f t="shared" si="2090"/>
        <v>0</v>
      </c>
      <c r="X466" s="1410"/>
      <c r="Z466" s="1418"/>
      <c r="AD466" s="1418"/>
      <c r="AE466" s="1418"/>
      <c r="AG466" s="1410"/>
      <c r="AH466" s="1410"/>
      <c r="AI466" s="1911"/>
      <c r="AJ466" s="1911"/>
      <c r="AN466" s="1418"/>
    </row>
    <row r="467">
      <c r="A467" s="1179" t="s">
        <v>211</v>
      </c>
      <c r="B467" s="1868">
        <f>1919+8</f>
        <v>1927</v>
      </c>
      <c r="C467" s="1868">
        <f>1758+5</f>
        <v>1763</v>
      </c>
      <c r="D467" s="1868"/>
      <c r="E467" s="1895">
        <f t="shared" si="2074"/>
        <v>3690</v>
      </c>
      <c r="F467" s="1868"/>
      <c r="G467" s="1868"/>
      <c r="H467" s="1868"/>
      <c r="I467" s="1895">
        <f t="shared" si="2084"/>
        <v>0</v>
      </c>
      <c r="J467" s="1896">
        <f t="shared" si="2085"/>
        <v>3690</v>
      </c>
      <c r="K467" s="1868"/>
      <c r="L467" s="1868"/>
      <c r="M467" s="1868"/>
      <c r="N467" s="1895">
        <f t="shared" si="2086"/>
        <v>0</v>
      </c>
      <c r="O467" s="1896">
        <f t="shared" si="2087"/>
        <v>3690</v>
      </c>
      <c r="P467" s="1868"/>
      <c r="Q467" s="1868"/>
      <c r="R467" s="1868"/>
      <c r="S467" s="1895">
        <f t="shared" si="2092"/>
        <v>0</v>
      </c>
      <c r="T467" s="1897">
        <f t="shared" si="2088"/>
        <v>3690</v>
      </c>
      <c r="V467" s="1832">
        <f t="shared" si="2089"/>
        <v>3690</v>
      </c>
      <c r="W467" s="2103">
        <f t="shared" si="2090"/>
        <v>0</v>
      </c>
      <c r="X467" s="1410"/>
      <c r="Z467" s="1418"/>
      <c r="AD467" s="1418"/>
      <c r="AE467" s="1418"/>
      <c r="AG467" s="1410"/>
      <c r="AH467" s="1410"/>
      <c r="AI467" s="1911"/>
      <c r="AJ467" s="1911"/>
      <c r="AN467" s="1418"/>
    </row>
    <row r="468" s="1510" customFormat="1">
      <c r="A468" s="2096" t="s">
        <v>363</v>
      </c>
      <c r="B468" s="2097">
        <f>SUM(B455:B467)</f>
        <v>14110</v>
      </c>
      <c r="C468" s="2097">
        <f t="shared" ref="C468:H468" si="2093">SUM(C455:C467)</f>
        <v>14284</v>
      </c>
      <c r="D468" s="2097">
        <f t="shared" si="2093"/>
        <v>0</v>
      </c>
      <c r="E468" s="2098">
        <f t="shared" si="2074"/>
        <v>28394</v>
      </c>
      <c r="F468" s="2097">
        <f>SUM(F455:F467)</f>
        <v>0</v>
      </c>
      <c r="G468" s="2097">
        <f>SUM(G455:G467)</f>
        <v>0</v>
      </c>
      <c r="H468" s="2097">
        <f t="shared" si="2093"/>
        <v>0</v>
      </c>
      <c r="I468" s="2098">
        <f t="shared" si="2084"/>
        <v>0</v>
      </c>
      <c r="J468" s="2098">
        <f t="shared" si="2085"/>
        <v>28394</v>
      </c>
      <c r="K468" s="2097">
        <f>SUM(K455:K467)</f>
        <v>0</v>
      </c>
      <c r="L468" s="2097">
        <f>SUM(L455:L467)</f>
        <v>0</v>
      </c>
      <c r="M468" s="2097">
        <f>SUM(M455:M467)</f>
        <v>0</v>
      </c>
      <c r="N468" s="2098">
        <f t="shared" si="2086"/>
        <v>0</v>
      </c>
      <c r="O468" s="2098">
        <f t="shared" si="2087"/>
        <v>28394</v>
      </c>
      <c r="P468" s="2097">
        <f>SUM(P455:P467)</f>
        <v>0</v>
      </c>
      <c r="Q468" s="2097">
        <f>SUM(Q455:Q467)</f>
        <v>0</v>
      </c>
      <c r="R468" s="2097">
        <f>SUM(R455:R467)</f>
        <v>0</v>
      </c>
      <c r="S468" s="1899">
        <f t="shared" si="2092"/>
        <v>0</v>
      </c>
      <c r="T468" s="1901">
        <f>SUM(T455:T467)</f>
        <v>28394</v>
      </c>
      <c r="U468" s="1515"/>
      <c r="V468" s="1832">
        <f t="shared" si="2089"/>
        <v>28394</v>
      </c>
      <c r="W468" s="2103">
        <f t="shared" si="2090"/>
        <v>0</v>
      </c>
      <c r="X468" s="1838"/>
      <c r="Y468" s="1515"/>
      <c r="Z468" s="2062"/>
      <c r="AA468" s="1515"/>
      <c r="AB468" s="1515"/>
      <c r="AC468" s="1515"/>
      <c r="AD468" s="2062"/>
      <c r="AE468" s="2062"/>
      <c r="AF468" s="1515"/>
      <c r="AG468" s="1838"/>
      <c r="AH468" s="1838"/>
      <c r="AI468" s="1839"/>
      <c r="AJ468" s="1839"/>
      <c r="AK468" s="1515"/>
      <c r="AL468" s="1886"/>
      <c r="AM468" s="1515"/>
      <c r="AN468" s="2062"/>
      <c r="AO468" s="2062"/>
      <c r="AP468" s="1515"/>
      <c r="AQ468" s="1515"/>
      <c r="AR468" s="1515"/>
      <c r="AS468" s="1515"/>
      <c r="AT468" s="1515"/>
      <c r="AU468" s="1515"/>
      <c r="AV468" s="1515"/>
      <c r="AW468" s="1515"/>
      <c r="AX468" s="1515"/>
      <c r="AY468" s="1515"/>
      <c r="AZ468" s="1515"/>
    </row>
    <row r="469">
      <c r="A469" s="1179" t="s">
        <v>657</v>
      </c>
      <c r="B469" s="1868">
        <v>1730</v>
      </c>
      <c r="C469" s="1868">
        <v>2009</v>
      </c>
      <c r="D469" s="1868"/>
      <c r="E469" s="1895">
        <f t="shared" si="2074"/>
        <v>3739</v>
      </c>
      <c r="F469" s="1868"/>
      <c r="G469" s="1868"/>
      <c r="H469" s="1868"/>
      <c r="I469" s="1895">
        <f t="shared" si="2084"/>
        <v>0</v>
      </c>
      <c r="J469" s="1896">
        <f t="shared" si="2085"/>
        <v>3739</v>
      </c>
      <c r="K469" s="1868"/>
      <c r="L469" s="1868"/>
      <c r="M469" s="1868"/>
      <c r="N469" s="1895">
        <f t="shared" si="2086"/>
        <v>0</v>
      </c>
      <c r="O469" s="1896">
        <f t="shared" si="2087"/>
        <v>3739</v>
      </c>
      <c r="P469" s="1868"/>
      <c r="Q469" s="1868"/>
      <c r="R469" s="1868"/>
      <c r="S469" s="1895">
        <f t="shared" si="2092"/>
        <v>0</v>
      </c>
      <c r="T469" s="1897">
        <f t="shared" si="2088"/>
        <v>3739</v>
      </c>
      <c r="V469" s="1832">
        <f t="shared" si="2089"/>
        <v>3739</v>
      </c>
      <c r="W469" s="2103">
        <f t="shared" si="2090"/>
        <v>0</v>
      </c>
      <c r="X469" s="1838"/>
      <c r="Z469" s="1418"/>
      <c r="AD469" s="1418"/>
      <c r="AE469" s="1418"/>
      <c r="AF469" s="1515"/>
      <c r="AG469" s="1838"/>
      <c r="AH469" s="1838"/>
      <c r="AI469" s="1839"/>
      <c r="AJ469" s="1839"/>
      <c r="AK469" s="1838"/>
      <c r="AL469" s="1886"/>
      <c r="AN469" s="1418"/>
    </row>
    <row r="470">
      <c r="A470" s="1551" t="s">
        <v>658</v>
      </c>
      <c r="B470" s="1868">
        <v>3955</v>
      </c>
      <c r="C470" s="1868">
        <f>5365</f>
        <v>5365</v>
      </c>
      <c r="D470" s="1868"/>
      <c r="E470" s="1895">
        <f t="shared" si="2074"/>
        <v>9320</v>
      </c>
      <c r="F470" s="1868"/>
      <c r="G470" s="1868"/>
      <c r="H470" s="1868"/>
      <c r="I470" s="1895">
        <f t="shared" si="2084"/>
        <v>0</v>
      </c>
      <c r="J470" s="1896">
        <f t="shared" si="2085"/>
        <v>9320</v>
      </c>
      <c r="K470" s="1868"/>
      <c r="L470" s="1868"/>
      <c r="M470" s="1868"/>
      <c r="N470" s="1895">
        <f t="shared" si="2086"/>
        <v>0</v>
      </c>
      <c r="O470" s="1896">
        <f t="shared" si="2087"/>
        <v>9320</v>
      </c>
      <c r="P470" s="1868"/>
      <c r="Q470" s="1868"/>
      <c r="R470" s="1868"/>
      <c r="S470" s="1895">
        <f t="shared" si="2092"/>
        <v>0</v>
      </c>
      <c r="T470" s="1897">
        <f t="shared" si="2088"/>
        <v>9320</v>
      </c>
      <c r="V470" s="1832">
        <f t="shared" si="2089"/>
        <v>9320</v>
      </c>
      <c r="W470" s="2103">
        <f t="shared" si="2090"/>
        <v>0</v>
      </c>
      <c r="X470" s="1838"/>
      <c r="Z470" s="1418"/>
      <c r="AD470" s="1418"/>
      <c r="AE470" s="1418"/>
      <c r="AF470" s="1515"/>
      <c r="AG470" s="1838"/>
      <c r="AH470" s="1838"/>
      <c r="AI470" s="1839"/>
      <c r="AJ470" s="1839"/>
      <c r="AK470" s="1838"/>
      <c r="AL470" s="1886"/>
      <c r="AN470" s="1418"/>
    </row>
    <row r="471">
      <c r="A471" s="1551" t="s">
        <v>659</v>
      </c>
      <c r="B471" s="1868">
        <v>3843</v>
      </c>
      <c r="C471" s="1868">
        <v>3899</v>
      </c>
      <c r="D471" s="1868"/>
      <c r="E471" s="1895">
        <f t="shared" si="2074"/>
        <v>7742</v>
      </c>
      <c r="F471" s="1868"/>
      <c r="G471" s="1868"/>
      <c r="H471" s="1868"/>
      <c r="I471" s="1895">
        <f t="shared" si="2084"/>
        <v>0</v>
      </c>
      <c r="J471" s="1896">
        <f t="shared" si="2085"/>
        <v>7742</v>
      </c>
      <c r="K471" s="1868"/>
      <c r="L471" s="1868"/>
      <c r="M471" s="1868"/>
      <c r="N471" s="1895">
        <f t="shared" si="2086"/>
        <v>0</v>
      </c>
      <c r="O471" s="1896">
        <f t="shared" si="2087"/>
        <v>7742</v>
      </c>
      <c r="P471" s="1868"/>
      <c r="Q471" s="1868"/>
      <c r="R471" s="1868"/>
      <c r="S471" s="1895">
        <f t="shared" si="2092"/>
        <v>0</v>
      </c>
      <c r="T471" s="1897">
        <f t="shared" si="2088"/>
        <v>7742</v>
      </c>
      <c r="V471" s="1832">
        <f t="shared" si="2089"/>
        <v>7742</v>
      </c>
      <c r="W471" s="2103">
        <f t="shared" si="2090"/>
        <v>0</v>
      </c>
      <c r="X471" s="1838"/>
      <c r="Z471" s="1418"/>
      <c r="AD471" s="1418"/>
      <c r="AE471" s="1418"/>
      <c r="AF471" s="1515"/>
      <c r="AG471" s="1838"/>
      <c r="AH471" s="1838"/>
      <c r="AI471" s="1839"/>
      <c r="AJ471" s="1839"/>
      <c r="AK471" s="1838"/>
      <c r="AL471" s="1886"/>
      <c r="AN471" s="1418"/>
    </row>
    <row r="472">
      <c r="A472" s="1551" t="s">
        <v>660</v>
      </c>
      <c r="B472" s="1868">
        <v>1948</v>
      </c>
      <c r="C472" s="1868">
        <v>1992</v>
      </c>
      <c r="D472" s="1868"/>
      <c r="E472" s="1895">
        <f t="shared" si="2074"/>
        <v>3940</v>
      </c>
      <c r="F472" s="1868"/>
      <c r="G472" s="1868"/>
      <c r="H472" s="1868"/>
      <c r="I472" s="1895">
        <f t="shared" si="2084"/>
        <v>0</v>
      </c>
      <c r="J472" s="1896">
        <f t="shared" si="2085"/>
        <v>3940</v>
      </c>
      <c r="K472" s="1868"/>
      <c r="L472" s="1868"/>
      <c r="M472" s="1868"/>
      <c r="N472" s="1895">
        <f t="shared" si="2086"/>
        <v>0</v>
      </c>
      <c r="O472" s="1896">
        <f t="shared" si="2087"/>
        <v>3940</v>
      </c>
      <c r="P472" s="1868"/>
      <c r="Q472" s="1868"/>
      <c r="R472" s="1868"/>
      <c r="S472" s="1895">
        <f t="shared" si="2092"/>
        <v>0</v>
      </c>
      <c r="T472" s="1897">
        <f t="shared" si="2088"/>
        <v>3940</v>
      </c>
      <c r="V472" s="1832">
        <f t="shared" si="2089"/>
        <v>3940</v>
      </c>
      <c r="W472" s="2103">
        <f t="shared" si="2090"/>
        <v>0</v>
      </c>
      <c r="X472" s="1410"/>
      <c r="Z472" s="1418"/>
      <c r="AD472" s="1418"/>
      <c r="AE472" s="1418"/>
      <c r="AG472" s="1410"/>
      <c r="AH472" s="1410"/>
      <c r="AI472" s="1911"/>
      <c r="AJ472" s="1911"/>
      <c r="AN472" s="1418"/>
    </row>
    <row r="473" s="1510" customFormat="1">
      <c r="A473" s="1511" t="s">
        <v>544</v>
      </c>
      <c r="B473" s="1871">
        <f>SUM(B469:B472)</f>
        <v>11476</v>
      </c>
      <c r="C473" s="1871">
        <f>SUM(C469:C472)</f>
        <v>13265</v>
      </c>
      <c r="D473" s="1871">
        <f>SUM(D469:D472)</f>
        <v>0</v>
      </c>
      <c r="E473" s="1899">
        <f t="shared" si="2074"/>
        <v>24741</v>
      </c>
      <c r="F473" s="1901">
        <f>SUM(F469:F472)</f>
        <v>0</v>
      </c>
      <c r="G473" s="1901">
        <f>SUM(G469:G472)</f>
        <v>0</v>
      </c>
      <c r="H473" s="1871">
        <f>SUM(H469:H472)</f>
        <v>0</v>
      </c>
      <c r="I473" s="1899">
        <f t="shared" si="2084"/>
        <v>0</v>
      </c>
      <c r="J473" s="1900">
        <f t="shared" si="2085"/>
        <v>24741</v>
      </c>
      <c r="K473" s="1871">
        <f>SUM(K469:K472)</f>
        <v>0</v>
      </c>
      <c r="L473" s="1871">
        <f>SUM(L469:L472)</f>
        <v>0</v>
      </c>
      <c r="M473" s="1871">
        <f>SUM(M469:M472)</f>
        <v>0</v>
      </c>
      <c r="N473" s="1899">
        <f t="shared" si="2086"/>
        <v>0</v>
      </c>
      <c r="O473" s="1900">
        <f t="shared" si="2087"/>
        <v>24741</v>
      </c>
      <c r="P473" s="1871">
        <f>SUM(P469:P472)</f>
        <v>0</v>
      </c>
      <c r="Q473" s="1871">
        <f>SUM(Q469:Q472)</f>
        <v>0</v>
      </c>
      <c r="R473" s="1871">
        <f>SUM(R469:R472)</f>
        <v>0</v>
      </c>
      <c r="S473" s="1899">
        <f t="shared" si="2092"/>
        <v>0</v>
      </c>
      <c r="T473" s="1901">
        <f>SUM(T469:T472)</f>
        <v>24741</v>
      </c>
      <c r="U473" s="1515"/>
      <c r="V473" s="1832">
        <f t="shared" si="2089"/>
        <v>24741</v>
      </c>
      <c r="W473" s="2103">
        <f t="shared" si="2090"/>
        <v>0</v>
      </c>
      <c r="X473" s="1838"/>
      <c r="Y473" s="1515"/>
      <c r="Z473" s="2062"/>
      <c r="AA473" s="1515"/>
      <c r="AB473" s="1515"/>
      <c r="AC473" s="1515"/>
      <c r="AD473" s="2062"/>
      <c r="AE473" s="2062"/>
      <c r="AF473" s="1515"/>
      <c r="AG473" s="1838"/>
      <c r="AH473" s="1838"/>
      <c r="AI473" s="1839"/>
      <c r="AJ473" s="1839"/>
      <c r="AK473" s="1515"/>
      <c r="AL473" s="1886"/>
      <c r="AM473" s="1515"/>
      <c r="AN473" s="2062"/>
      <c r="AO473" s="2062"/>
      <c r="AP473" s="1515"/>
      <c r="AQ473" s="1515"/>
      <c r="AR473" s="1515"/>
      <c r="AS473" s="1515"/>
      <c r="AT473" s="1515"/>
      <c r="AU473" s="1515"/>
      <c r="AV473" s="1515"/>
      <c r="AW473" s="1515"/>
      <c r="AX473" s="1515"/>
      <c r="AY473" s="1515"/>
      <c r="AZ473" s="1515"/>
    </row>
    <row r="474">
      <c r="A474" s="1179" t="s">
        <v>628</v>
      </c>
      <c r="B474" s="1868">
        <f>4658+2</f>
        <v>4660</v>
      </c>
      <c r="C474" s="1868">
        <f>5068+7</f>
        <v>5075</v>
      </c>
      <c r="D474" s="1868"/>
      <c r="E474" s="1895">
        <f t="shared" si="2074"/>
        <v>9735</v>
      </c>
      <c r="F474" s="1868"/>
      <c r="G474" s="1868"/>
      <c r="H474" s="1868"/>
      <c r="I474" s="1895">
        <f t="shared" si="2084"/>
        <v>0</v>
      </c>
      <c r="J474" s="1896">
        <f t="shared" si="2085"/>
        <v>9735</v>
      </c>
      <c r="K474" s="1868"/>
      <c r="L474" s="1868"/>
      <c r="M474" s="1868"/>
      <c r="N474" s="1895">
        <f t="shared" si="2086"/>
        <v>0</v>
      </c>
      <c r="O474" s="1896">
        <f t="shared" si="2087"/>
        <v>9735</v>
      </c>
      <c r="P474" s="1868"/>
      <c r="Q474" s="1868"/>
      <c r="R474" s="1868"/>
      <c r="S474" s="1895">
        <f t="shared" si="2092"/>
        <v>0</v>
      </c>
      <c r="T474" s="1897">
        <f t="shared" si="2088"/>
        <v>9735</v>
      </c>
      <c r="V474" s="1832">
        <f t="shared" si="2089"/>
        <v>9735</v>
      </c>
      <c r="W474" s="2103">
        <f t="shared" si="2090"/>
        <v>0</v>
      </c>
      <c r="X474" s="1410"/>
      <c r="Z474" s="1418"/>
      <c r="AD474" s="1418"/>
      <c r="AE474" s="1418"/>
      <c r="AG474" s="1410"/>
      <c r="AH474" s="1410"/>
      <c r="AI474" s="1911"/>
      <c r="AJ474" s="1911"/>
      <c r="AN474" s="1418"/>
    </row>
    <row r="475">
      <c r="A475" s="1179" t="s">
        <v>629</v>
      </c>
      <c r="B475" s="1868">
        <f>2229+6</f>
        <v>2235</v>
      </c>
      <c r="C475" s="1868">
        <f>2926+27</f>
        <v>2953</v>
      </c>
      <c r="D475" s="1868"/>
      <c r="E475" s="1895">
        <f t="shared" si="2074"/>
        <v>5188</v>
      </c>
      <c r="F475" s="1868"/>
      <c r="G475" s="1868"/>
      <c r="H475" s="1868"/>
      <c r="I475" s="1895">
        <f t="shared" si="2084"/>
        <v>0</v>
      </c>
      <c r="J475" s="1896">
        <f t="shared" si="2085"/>
        <v>5188</v>
      </c>
      <c r="K475" s="1868"/>
      <c r="L475" s="1868"/>
      <c r="M475" s="1868"/>
      <c r="N475" s="1895">
        <f t="shared" si="2086"/>
        <v>0</v>
      </c>
      <c r="O475" s="1896">
        <f t="shared" si="2087"/>
        <v>5188</v>
      </c>
      <c r="P475" s="1868"/>
      <c r="Q475" s="1868"/>
      <c r="R475" s="1868"/>
      <c r="S475" s="1895">
        <f t="shared" si="2092"/>
        <v>0</v>
      </c>
      <c r="T475" s="1897">
        <f t="shared" si="2088"/>
        <v>5188</v>
      </c>
      <c r="V475" s="1832">
        <f t="shared" si="2089"/>
        <v>5188</v>
      </c>
      <c r="W475" s="2103">
        <f t="shared" si="2090"/>
        <v>0</v>
      </c>
      <c r="X475" s="1410"/>
      <c r="Z475" s="1418"/>
      <c r="AD475" s="1418"/>
      <c r="AE475" s="1418"/>
      <c r="AG475" s="1410"/>
      <c r="AH475" s="1410"/>
      <c r="AI475" s="1911"/>
      <c r="AJ475" s="1911"/>
      <c r="AN475" s="1418"/>
    </row>
    <row r="476">
      <c r="A476" s="1179" t="s">
        <v>265</v>
      </c>
      <c r="B476" s="1868">
        <v>261</v>
      </c>
      <c r="C476" s="1868">
        <v>237</v>
      </c>
      <c r="D476" s="1868"/>
      <c r="E476" s="1895">
        <f t="shared" si="2074"/>
        <v>498</v>
      </c>
      <c r="F476" s="1868"/>
      <c r="G476" s="1868"/>
      <c r="H476" s="1868"/>
      <c r="I476" s="1895">
        <f t="shared" si="2084"/>
        <v>0</v>
      </c>
      <c r="J476" s="1896">
        <f t="shared" si="2085"/>
        <v>498</v>
      </c>
      <c r="K476" s="1868"/>
      <c r="L476" s="1868"/>
      <c r="M476" s="1868"/>
      <c r="N476" s="1895">
        <f t="shared" si="2086"/>
        <v>0</v>
      </c>
      <c r="O476" s="1896">
        <f t="shared" si="2087"/>
        <v>498</v>
      </c>
      <c r="P476" s="1868"/>
      <c r="Q476" s="1868"/>
      <c r="R476" s="1868"/>
      <c r="S476" s="1895">
        <f t="shared" si="2092"/>
        <v>0</v>
      </c>
      <c r="T476" s="1897">
        <f t="shared" si="2088"/>
        <v>498</v>
      </c>
      <c r="V476" s="1832">
        <f t="shared" si="2089"/>
        <v>498</v>
      </c>
      <c r="W476" s="2103">
        <f t="shared" si="2090"/>
        <v>0</v>
      </c>
      <c r="X476" s="1410"/>
      <c r="Z476" s="1418"/>
      <c r="AD476" s="1418"/>
      <c r="AE476" s="1418"/>
      <c r="AG476" s="1410"/>
      <c r="AH476" s="1410"/>
      <c r="AI476" s="1911"/>
      <c r="AJ476" s="1911"/>
      <c r="AN476" s="1418"/>
    </row>
    <row r="477" s="1510" customFormat="1">
      <c r="A477" s="1511" t="s">
        <v>394</v>
      </c>
      <c r="B477" s="1871">
        <f>SUM(B474:B476)</f>
        <v>7156</v>
      </c>
      <c r="C477" s="1871">
        <f t="shared" ref="C477:H477" si="2094">SUM(C474:C476)</f>
        <v>8265</v>
      </c>
      <c r="D477" s="1871">
        <f t="shared" si="2094"/>
        <v>0</v>
      </c>
      <c r="E477" s="1899">
        <f t="shared" si="2074"/>
        <v>15421</v>
      </c>
      <c r="F477" s="1871">
        <f>SUM(F474:F476)</f>
        <v>0</v>
      </c>
      <c r="G477" s="1871">
        <f>SUM(G474:G476)</f>
        <v>0</v>
      </c>
      <c r="H477" s="1871">
        <f t="shared" si="2094"/>
        <v>0</v>
      </c>
      <c r="I477" s="1899">
        <f t="shared" si="2084"/>
        <v>0</v>
      </c>
      <c r="J477" s="1900">
        <f t="shared" si="2085"/>
        <v>15421</v>
      </c>
      <c r="K477" s="1871">
        <f>SUM(K474:K476)</f>
        <v>0</v>
      </c>
      <c r="L477" s="1871">
        <f>SUM(L474:L476)</f>
        <v>0</v>
      </c>
      <c r="M477" s="1871">
        <f t="shared" ref="M477:T477" si="2095">SUM(M474:M476)</f>
        <v>0</v>
      </c>
      <c r="N477" s="1899">
        <f t="shared" si="2086"/>
        <v>0</v>
      </c>
      <c r="O477" s="1900">
        <f t="shared" si="2087"/>
        <v>15421</v>
      </c>
      <c r="P477" s="1871">
        <f t="shared" si="2095"/>
        <v>0</v>
      </c>
      <c r="Q477" s="1871">
        <f t="shared" si="2095"/>
        <v>0</v>
      </c>
      <c r="R477" s="1871">
        <f>SUM(R474:R476)</f>
        <v>0</v>
      </c>
      <c r="S477" s="1905">
        <f t="shared" si="2095"/>
        <v>0</v>
      </c>
      <c r="T477" s="1871">
        <f t="shared" si="2095"/>
        <v>15421</v>
      </c>
      <c r="U477" s="1903"/>
      <c r="V477" s="1832">
        <f t="shared" si="2089"/>
        <v>15421</v>
      </c>
      <c r="W477" s="2103">
        <f t="shared" si="2090"/>
        <v>0</v>
      </c>
      <c r="X477" s="1838"/>
      <c r="Y477" s="1515"/>
      <c r="Z477" s="2062"/>
      <c r="AA477" s="1515"/>
      <c r="AB477" s="1515"/>
      <c r="AC477" s="1515"/>
      <c r="AD477" s="2062"/>
      <c r="AE477" s="2062"/>
      <c r="AF477" s="1515"/>
      <c r="AG477" s="1838"/>
      <c r="AH477" s="1838"/>
      <c r="AI477" s="1839"/>
      <c r="AJ477" s="1839"/>
      <c r="AK477" s="1515"/>
      <c r="AL477" s="1886"/>
      <c r="AM477" s="1515"/>
      <c r="AN477" s="2062"/>
      <c r="AO477" s="2062"/>
      <c r="AP477" s="1515"/>
      <c r="AQ477" s="1515"/>
      <c r="AR477" s="1515"/>
      <c r="AS477" s="1515"/>
      <c r="AT477" s="1515"/>
      <c r="AU477" s="1515"/>
      <c r="AV477" s="1515"/>
      <c r="AW477" s="1515"/>
      <c r="AX477" s="1515"/>
      <c r="AY477" s="1515"/>
      <c r="AZ477" s="1515"/>
    </row>
    <row r="478" s="1510" customFormat="1">
      <c r="A478" s="1904" t="s">
        <v>545</v>
      </c>
      <c r="B478" s="1905">
        <f t="shared" ref="B478:H478" si="2096">B454+B468+B473+B477</f>
        <v>48184</v>
      </c>
      <c r="C478" s="1905">
        <f t="shared" si="2096"/>
        <v>53990</v>
      </c>
      <c r="D478" s="1905">
        <f t="shared" si="2096"/>
        <v>0</v>
      </c>
      <c r="E478" s="1899">
        <f t="shared" si="2074"/>
        <v>102174</v>
      </c>
      <c r="F478" s="1905">
        <f>F454+F468+F473+F477</f>
        <v>0</v>
      </c>
      <c r="G478" s="1905">
        <f>G454+G468+G473+G477</f>
        <v>0</v>
      </c>
      <c r="H478" s="1905">
        <f t="shared" si="2096"/>
        <v>0</v>
      </c>
      <c r="I478" s="1899">
        <f t="shared" si="2084"/>
        <v>0</v>
      </c>
      <c r="J478" s="1899">
        <f t="shared" si="2085"/>
        <v>102174</v>
      </c>
      <c r="K478" s="1905">
        <f>K454+K468+K473+K477</f>
        <v>0</v>
      </c>
      <c r="L478" s="1905">
        <f>L454+L468+L473+L477</f>
        <v>0</v>
      </c>
      <c r="M478" s="1905">
        <f t="shared" ref="M478:T478" si="2097">M454+M468+M473+M477</f>
        <v>0</v>
      </c>
      <c r="N478" s="1899">
        <f t="shared" si="2086"/>
        <v>0</v>
      </c>
      <c r="O478" s="1899">
        <f t="shared" si="2087"/>
        <v>102174</v>
      </c>
      <c r="P478" s="1905">
        <f t="shared" si="2097"/>
        <v>0</v>
      </c>
      <c r="Q478" s="1905">
        <f t="shared" si="2097"/>
        <v>0</v>
      </c>
      <c r="R478" s="1905">
        <f t="shared" si="2097"/>
        <v>0</v>
      </c>
      <c r="S478" s="1905">
        <f t="shared" si="2097"/>
        <v>0</v>
      </c>
      <c r="T478" s="1905">
        <f t="shared" si="2097"/>
        <v>102174</v>
      </c>
      <c r="U478" s="1903"/>
      <c r="V478" s="1832">
        <f t="shared" si="2089"/>
        <v>102174</v>
      </c>
      <c r="W478" s="2103">
        <f t="shared" si="2090"/>
        <v>0</v>
      </c>
      <c r="X478" s="1838"/>
      <c r="Y478" s="1515"/>
      <c r="Z478" s="2062"/>
      <c r="AA478" s="1515"/>
      <c r="AB478" s="1515"/>
      <c r="AC478" s="1515"/>
      <c r="AD478" s="2062"/>
      <c r="AE478" s="2062"/>
      <c r="AF478" s="1515"/>
      <c r="AG478" s="1838"/>
      <c r="AH478" s="1838"/>
      <c r="AI478" s="1839"/>
      <c r="AJ478" s="1839"/>
      <c r="AK478" s="1838"/>
      <c r="AL478" s="1886"/>
      <c r="AM478" s="1515"/>
      <c r="AN478" s="2062"/>
      <c r="AO478" s="2062"/>
      <c r="AP478" s="1515"/>
      <c r="AQ478" s="1515"/>
      <c r="AR478" s="1515"/>
      <c r="AS478" s="1515"/>
      <c r="AT478" s="1515"/>
      <c r="AU478" s="1515"/>
      <c r="AV478" s="1515"/>
      <c r="AW478" s="1515"/>
      <c r="AX478" s="1515"/>
      <c r="AY478" s="1515"/>
      <c r="AZ478" s="1515"/>
    </row>
    <row r="479">
      <c r="A479" s="1179" t="s">
        <v>50</v>
      </c>
      <c r="B479" s="1868">
        <v>34</v>
      </c>
      <c r="C479" s="1868">
        <v>18</v>
      </c>
      <c r="D479" s="1868"/>
      <c r="E479" s="1895">
        <f t="shared" si="2074"/>
        <v>52</v>
      </c>
      <c r="F479" s="1868"/>
      <c r="G479" s="1868"/>
      <c r="H479" s="1868"/>
      <c r="I479" s="1895">
        <f t="shared" si="2084"/>
        <v>0</v>
      </c>
      <c r="J479" s="1896">
        <f t="shared" si="2085"/>
        <v>52</v>
      </c>
      <c r="K479" s="1868"/>
      <c r="L479" s="1868"/>
      <c r="M479" s="1868"/>
      <c r="N479" s="1895">
        <f t="shared" si="2086"/>
        <v>0</v>
      </c>
      <c r="O479" s="1896">
        <f t="shared" si="2087"/>
        <v>52</v>
      </c>
      <c r="P479" s="1868"/>
      <c r="Q479" s="1868"/>
      <c r="R479" s="1868"/>
      <c r="S479" s="1895">
        <f t="shared" si="2092"/>
        <v>0</v>
      </c>
      <c r="T479" s="1897">
        <f t="shared" si="2088"/>
        <v>52</v>
      </c>
      <c r="V479" s="1832">
        <f t="shared" si="2089"/>
        <v>52</v>
      </c>
      <c r="W479" s="2103">
        <f t="shared" si="2090"/>
        <v>0</v>
      </c>
      <c r="Z479" s="1418"/>
      <c r="AD479" s="1418"/>
      <c r="AE479" s="1418"/>
      <c r="AH479" s="1838"/>
      <c r="AI479" s="1839"/>
      <c r="AJ479" s="1839"/>
      <c r="AN479" s="1418"/>
    </row>
    <row r="480">
      <c r="A480" s="1179" t="s">
        <v>397</v>
      </c>
      <c r="B480" s="1868">
        <v>1027</v>
      </c>
      <c r="C480" s="1868">
        <v>1306</v>
      </c>
      <c r="D480" s="1868"/>
      <c r="E480" s="1895">
        <f t="shared" si="2074"/>
        <v>2333</v>
      </c>
      <c r="F480" s="1868"/>
      <c r="G480" s="1868"/>
      <c r="H480" s="1868"/>
      <c r="I480" s="1895">
        <f t="shared" si="2084"/>
        <v>0</v>
      </c>
      <c r="J480" s="1896">
        <f t="shared" si="2085"/>
        <v>2333</v>
      </c>
      <c r="K480" s="1868"/>
      <c r="L480" s="1868"/>
      <c r="M480" s="1868"/>
      <c r="N480" s="1895">
        <f t="shared" si="2086"/>
        <v>0</v>
      </c>
      <c r="O480" s="1896">
        <f t="shared" si="2087"/>
        <v>2333</v>
      </c>
      <c r="P480" s="1868"/>
      <c r="Q480" s="1868"/>
      <c r="R480" s="1868"/>
      <c r="S480" s="1895">
        <f t="shared" si="2092"/>
        <v>0</v>
      </c>
      <c r="T480" s="1897">
        <f t="shared" si="2088"/>
        <v>2333</v>
      </c>
      <c r="V480" s="1832">
        <f t="shared" si="2089"/>
        <v>2333</v>
      </c>
      <c r="W480" s="2103">
        <f t="shared" si="2090"/>
        <v>0</v>
      </c>
      <c r="Z480" s="1418"/>
      <c r="AD480" s="1418"/>
      <c r="AE480" s="1418"/>
      <c r="AH480" s="1410"/>
      <c r="AI480" s="1911"/>
      <c r="AJ480" s="1911"/>
      <c r="AN480" s="1418"/>
    </row>
    <row r="481">
      <c r="A481" s="1179" t="s">
        <v>546</v>
      </c>
      <c r="B481" s="1868">
        <v>2251</v>
      </c>
      <c r="C481" s="1868">
        <v>2465</v>
      </c>
      <c r="D481" s="1868"/>
      <c r="E481" s="1895">
        <f t="shared" si="2074"/>
        <v>4716</v>
      </c>
      <c r="F481" s="1868"/>
      <c r="G481" s="1868"/>
      <c r="H481" s="1868"/>
      <c r="I481" s="1895">
        <f t="shared" si="2084"/>
        <v>0</v>
      </c>
      <c r="J481" s="1896">
        <f t="shared" si="2085"/>
        <v>4716</v>
      </c>
      <c r="K481" s="1868"/>
      <c r="L481" s="1868"/>
      <c r="M481" s="1868"/>
      <c r="N481" s="1895">
        <f t="shared" si="2086"/>
        <v>0</v>
      </c>
      <c r="O481" s="1896">
        <f t="shared" si="2087"/>
        <v>4716</v>
      </c>
      <c r="P481" s="1868"/>
      <c r="Q481" s="1868"/>
      <c r="R481" s="1868"/>
      <c r="S481" s="1895">
        <f t="shared" si="2092"/>
        <v>0</v>
      </c>
      <c r="T481" s="1897">
        <f t="shared" si="2088"/>
        <v>4716</v>
      </c>
      <c r="V481" s="1832">
        <f t="shared" si="2089"/>
        <v>4716</v>
      </c>
      <c r="W481" s="2103">
        <f t="shared" si="2090"/>
        <v>0</v>
      </c>
      <c r="Z481" s="1418"/>
      <c r="AD481" s="1418"/>
      <c r="AE481" s="1418"/>
      <c r="AH481" s="1410"/>
      <c r="AI481" s="1911"/>
      <c r="AJ481" s="1911"/>
      <c r="AN481" s="1418"/>
    </row>
    <row r="482" s="1510" customFormat="1">
      <c r="A482" s="2096" t="s">
        <v>27</v>
      </c>
      <c r="B482" s="2097">
        <f>SUM(B479:B481)</f>
        <v>3312</v>
      </c>
      <c r="C482" s="2097">
        <f t="shared" ref="C482:H482" si="2098">SUM(C479:C481)</f>
        <v>3789</v>
      </c>
      <c r="D482" s="2097">
        <f t="shared" si="2098"/>
        <v>0</v>
      </c>
      <c r="E482" s="2098">
        <f t="shared" si="2074"/>
        <v>7101</v>
      </c>
      <c r="F482" s="2097">
        <f>SUM(F479:F481)</f>
        <v>0</v>
      </c>
      <c r="G482" s="2097">
        <f>SUM(G479:G481)</f>
        <v>0</v>
      </c>
      <c r="H482" s="2097">
        <f t="shared" si="2098"/>
        <v>0</v>
      </c>
      <c r="I482" s="2098">
        <f t="shared" si="2084"/>
        <v>0</v>
      </c>
      <c r="J482" s="2098">
        <f t="shared" si="2085"/>
        <v>7101</v>
      </c>
      <c r="K482" s="2097">
        <f>SUM(K479:K481)</f>
        <v>0</v>
      </c>
      <c r="L482" s="2097">
        <f>SUM(L479:L481)</f>
        <v>0</v>
      </c>
      <c r="M482" s="2097">
        <f>SUM(M479:M481)</f>
        <v>0</v>
      </c>
      <c r="N482" s="2098">
        <f t="shared" si="2086"/>
        <v>0</v>
      </c>
      <c r="O482" s="2098">
        <f t="shared" si="2087"/>
        <v>7101</v>
      </c>
      <c r="P482" s="2097">
        <f>SUM(P479:P481)</f>
        <v>0</v>
      </c>
      <c r="Q482" s="2097">
        <f>SUM(Q479:Q481)</f>
        <v>0</v>
      </c>
      <c r="R482" s="2097">
        <f>SUM(R479:R481)</f>
        <v>0</v>
      </c>
      <c r="S482" s="1899">
        <f t="shared" si="2092"/>
        <v>0</v>
      </c>
      <c r="T482" s="1901">
        <f>SUM(T479:T481)</f>
        <v>7101</v>
      </c>
      <c r="U482" s="1515"/>
      <c r="V482" s="1832">
        <f t="shared" si="2089"/>
        <v>7101</v>
      </c>
      <c r="W482" s="2103">
        <f t="shared" si="2090"/>
        <v>0</v>
      </c>
      <c r="X482" s="1515"/>
      <c r="Y482" s="1515"/>
      <c r="Z482" s="2062"/>
      <c r="AA482" s="1515"/>
      <c r="AB482" s="1515"/>
      <c r="AC482" s="1515"/>
      <c r="AD482" s="2062"/>
      <c r="AE482" s="2062"/>
      <c r="AF482" s="1515"/>
      <c r="AG482" s="1515"/>
      <c r="AH482" s="1515"/>
      <c r="AI482" s="2062"/>
      <c r="AJ482" s="2062"/>
      <c r="AK482" s="1515"/>
      <c r="AL482" s="1886"/>
      <c r="AM482" s="1515"/>
      <c r="AN482" s="2062"/>
      <c r="AO482" s="2062"/>
      <c r="AP482" s="1515"/>
      <c r="AQ482" s="1515"/>
      <c r="AR482" s="1515"/>
      <c r="AS482" s="1515"/>
      <c r="AT482" s="1515"/>
      <c r="AU482" s="1515"/>
      <c r="AV482" s="1515"/>
      <c r="AW482" s="1515"/>
      <c r="AX482" s="1515"/>
      <c r="AY482" s="1515"/>
      <c r="AZ482" s="1515"/>
    </row>
    <row r="483">
      <c r="A483" s="1179" t="s">
        <v>661</v>
      </c>
      <c r="B483" s="1868">
        <v>3931</v>
      </c>
      <c r="C483" s="1868">
        <f>6117+12+1</f>
        <v>6130</v>
      </c>
      <c r="D483" s="1868"/>
      <c r="E483" s="1895">
        <f t="shared" si="2074"/>
        <v>10061</v>
      </c>
      <c r="F483" s="1868"/>
      <c r="G483" s="1868"/>
      <c r="H483" s="1868"/>
      <c r="I483" s="1895">
        <f t="shared" si="2084"/>
        <v>0</v>
      </c>
      <c r="J483" s="1896">
        <f t="shared" si="2085"/>
        <v>10061</v>
      </c>
      <c r="K483" s="1868"/>
      <c r="L483" s="1868"/>
      <c r="M483" s="1868"/>
      <c r="N483" s="1895">
        <f t="shared" si="2086"/>
        <v>0</v>
      </c>
      <c r="O483" s="1896">
        <f t="shared" si="2087"/>
        <v>10061</v>
      </c>
      <c r="P483" s="1868"/>
      <c r="Q483" s="1868"/>
      <c r="R483" s="1868"/>
      <c r="S483" s="1895">
        <f t="shared" si="2092"/>
        <v>0</v>
      </c>
      <c r="T483" s="1897">
        <f t="shared" si="2088"/>
        <v>10061</v>
      </c>
      <c r="V483" s="1832">
        <f t="shared" si="2089"/>
        <v>10061</v>
      </c>
      <c r="W483" s="2103">
        <f t="shared" si="2090"/>
        <v>0</v>
      </c>
      <c r="Z483" s="1418"/>
      <c r="AD483" s="1418"/>
      <c r="AE483" s="1418"/>
      <c r="AI483" s="1418"/>
      <c r="AJ483" s="1418"/>
      <c r="AN483" s="1418"/>
    </row>
    <row r="484">
      <c r="A484" s="1179" t="s">
        <v>662</v>
      </c>
      <c r="B484" s="1868">
        <v>1103</v>
      </c>
      <c r="C484" s="1868">
        <v>1839</v>
      </c>
      <c r="D484" s="1868"/>
      <c r="E484" s="1895">
        <f t="shared" si="2074"/>
        <v>2942</v>
      </c>
      <c r="F484" s="1868"/>
      <c r="G484" s="1868"/>
      <c r="H484" s="1868"/>
      <c r="I484" s="1895">
        <f t="shared" si="2084"/>
        <v>0</v>
      </c>
      <c r="J484" s="1896">
        <f t="shared" si="2085"/>
        <v>2942</v>
      </c>
      <c r="K484" s="1868"/>
      <c r="L484" s="1868"/>
      <c r="M484" s="1868"/>
      <c r="N484" s="1895">
        <f t="shared" si="2086"/>
        <v>0</v>
      </c>
      <c r="O484" s="1896">
        <f t="shared" si="2087"/>
        <v>2942</v>
      </c>
      <c r="P484" s="1868"/>
      <c r="Q484" s="1868"/>
      <c r="R484" s="1868"/>
      <c r="S484" s="1895">
        <f t="shared" si="2092"/>
        <v>0</v>
      </c>
      <c r="T484" s="1897">
        <f t="shared" si="2088"/>
        <v>2942</v>
      </c>
      <c r="V484" s="1832">
        <f t="shared" si="2089"/>
        <v>2942</v>
      </c>
      <c r="W484" s="2103">
        <f t="shared" si="2090"/>
        <v>0</v>
      </c>
      <c r="Z484" s="1418"/>
      <c r="AD484" s="1418"/>
      <c r="AE484" s="1418"/>
      <c r="AI484" s="1418"/>
      <c r="AJ484" s="1418"/>
      <c r="AN484" s="1418"/>
    </row>
    <row r="485" s="1510" customFormat="1">
      <c r="A485" s="1511" t="s">
        <v>27</v>
      </c>
      <c r="B485" s="1871">
        <f>SUM(B483:B484)</f>
        <v>5034</v>
      </c>
      <c r="C485" s="1871">
        <f t="shared" ref="C485:H485" si="2099">SUM(C483:C484)</f>
        <v>7969</v>
      </c>
      <c r="D485" s="1871">
        <f t="shared" si="2099"/>
        <v>0</v>
      </c>
      <c r="E485" s="1899">
        <f t="shared" si="2074"/>
        <v>13003</v>
      </c>
      <c r="F485" s="1871">
        <f>SUM(F483:F484)</f>
        <v>0</v>
      </c>
      <c r="G485" s="1871">
        <f>SUM(G483:G484)</f>
        <v>0</v>
      </c>
      <c r="H485" s="1871">
        <f t="shared" si="2099"/>
        <v>0</v>
      </c>
      <c r="I485" s="1899">
        <f t="shared" si="2084"/>
        <v>0</v>
      </c>
      <c r="J485" s="1900">
        <f t="shared" si="2085"/>
        <v>13003</v>
      </c>
      <c r="K485" s="1871">
        <f>SUM(K483:K484)</f>
        <v>0</v>
      </c>
      <c r="L485" s="1871">
        <f>SUM(L483:L484)</f>
        <v>0</v>
      </c>
      <c r="M485" s="1871">
        <f t="shared" ref="M485:R485" si="2100">SUM(M483:M484)</f>
        <v>0</v>
      </c>
      <c r="N485" s="1899">
        <f t="shared" si="2086"/>
        <v>0</v>
      </c>
      <c r="O485" s="1900">
        <f t="shared" si="2087"/>
        <v>13003</v>
      </c>
      <c r="P485" s="1871">
        <f t="shared" si="2100"/>
        <v>0</v>
      </c>
      <c r="Q485" s="1871">
        <f t="shared" si="2100"/>
        <v>0</v>
      </c>
      <c r="R485" s="1871">
        <f t="shared" si="2100"/>
        <v>0</v>
      </c>
      <c r="S485" s="1899">
        <f t="shared" si="2092"/>
        <v>0</v>
      </c>
      <c r="T485" s="1901">
        <f>SUM(T483:T484)</f>
        <v>13003</v>
      </c>
      <c r="U485" s="1515"/>
      <c r="V485" s="1832">
        <f t="shared" si="2089"/>
        <v>13003</v>
      </c>
      <c r="W485" s="2103">
        <f t="shared" si="2090"/>
        <v>0</v>
      </c>
      <c r="X485" s="1515"/>
      <c r="Y485" s="1515"/>
      <c r="Z485" s="2062"/>
      <c r="AA485" s="1515"/>
      <c r="AB485" s="1515"/>
      <c r="AC485" s="1515"/>
      <c r="AD485" s="2062"/>
      <c r="AE485" s="2062"/>
      <c r="AF485" s="1515"/>
      <c r="AG485" s="1515"/>
      <c r="AH485" s="1515"/>
      <c r="AI485" s="2062"/>
      <c r="AJ485" s="2062"/>
      <c r="AK485" s="1515"/>
      <c r="AL485" s="1886"/>
      <c r="AM485" s="1515"/>
      <c r="AN485" s="2062"/>
      <c r="AO485" s="2062"/>
      <c r="AP485" s="1515"/>
      <c r="AQ485" s="1515"/>
      <c r="AR485" s="1515"/>
      <c r="AS485" s="1515"/>
      <c r="AT485" s="1515"/>
      <c r="AU485" s="1515"/>
      <c r="AV485" s="1515"/>
      <c r="AW485" s="1515"/>
      <c r="AX485" s="1515"/>
      <c r="AY485" s="1515"/>
      <c r="AZ485" s="1515"/>
    </row>
    <row r="486" s="1510" customFormat="1">
      <c r="A486" s="1904" t="s">
        <v>22</v>
      </c>
      <c r="B486" s="1905">
        <f>B478+B482+B485</f>
        <v>56530</v>
      </c>
      <c r="C486" s="1905">
        <f t="shared" ref="C486:H486" si="2101">C478+C482+C485</f>
        <v>65748</v>
      </c>
      <c r="D486" s="1905">
        <f t="shared" si="2101"/>
        <v>0</v>
      </c>
      <c r="E486" s="1899">
        <f t="shared" ref="E486:E549" si="2102">B486+C486+D486</f>
        <v>122278</v>
      </c>
      <c r="F486" s="1905">
        <f>F478+F482+F485</f>
        <v>0</v>
      </c>
      <c r="G486" s="1905">
        <f>G478+G482+G485</f>
        <v>0</v>
      </c>
      <c r="H486" s="1905">
        <f t="shared" si="2101"/>
        <v>0</v>
      </c>
      <c r="I486" s="1899">
        <f t="shared" si="2084"/>
        <v>0</v>
      </c>
      <c r="J486" s="1899">
        <f t="shared" si="2085"/>
        <v>122278</v>
      </c>
      <c r="K486" s="1905">
        <f>K478+K482+K485</f>
        <v>0</v>
      </c>
      <c r="L486" s="1905">
        <f>L478+L482+L485</f>
        <v>0</v>
      </c>
      <c r="M486" s="1905">
        <f>M478+M482+M485</f>
        <v>0</v>
      </c>
      <c r="N486" s="1899">
        <f t="shared" si="2086"/>
        <v>0</v>
      </c>
      <c r="O486" s="1899">
        <f t="shared" si="2087"/>
        <v>122278</v>
      </c>
      <c r="P486" s="1905">
        <f>P478+P482+P485</f>
        <v>0</v>
      </c>
      <c r="Q486" s="1905">
        <f>Q478+Q482+Q485</f>
        <v>0</v>
      </c>
      <c r="R486" s="1905">
        <f>R478+R482+R485</f>
        <v>0</v>
      </c>
      <c r="S486" s="1905">
        <f>S478+S482+S485</f>
        <v>0</v>
      </c>
      <c r="T486" s="1905">
        <f>T478+T482+T485</f>
        <v>122278</v>
      </c>
      <c r="U486" s="1515"/>
      <c r="V486" s="1832">
        <f t="shared" si="2089"/>
        <v>122278</v>
      </c>
      <c r="W486" s="2103">
        <f t="shared" si="2090"/>
        <v>0</v>
      </c>
      <c r="X486" s="1515"/>
      <c r="Y486" s="1515"/>
      <c r="Z486" s="2062"/>
      <c r="AA486" s="1515"/>
      <c r="AB486" s="1515"/>
      <c r="AC486" s="1515"/>
      <c r="AD486" s="2062"/>
      <c r="AE486" s="2062"/>
      <c r="AF486" s="1515"/>
      <c r="AG486" s="1515"/>
      <c r="AH486" s="1515"/>
      <c r="AI486" s="2062"/>
      <c r="AJ486" s="2062"/>
      <c r="AK486" s="1515"/>
      <c r="AL486" s="1886"/>
      <c r="AM486" s="1515"/>
      <c r="AN486" s="2062"/>
      <c r="AO486" s="2062"/>
      <c r="AP486" s="1515"/>
      <c r="AQ486" s="1515"/>
      <c r="AR486" s="1515"/>
      <c r="AS486" s="1515"/>
      <c r="AT486" s="1515"/>
      <c r="AU486" s="1515"/>
      <c r="AV486" s="1515"/>
      <c r="AW486" s="1515"/>
      <c r="AX486" s="1515"/>
      <c r="AY486" s="1515"/>
      <c r="AZ486" s="1515"/>
    </row>
    <row r="487">
      <c r="A487" s="1179" t="s">
        <v>663</v>
      </c>
      <c r="B487" s="1868"/>
      <c r="C487" s="1868">
        <v>4</v>
      </c>
      <c r="D487" s="1868"/>
      <c r="E487" s="1895">
        <f t="shared" si="2102"/>
        <v>4</v>
      </c>
      <c r="F487" s="1868"/>
      <c r="G487" s="1868"/>
      <c r="H487" s="1868"/>
      <c r="I487" s="1895">
        <f t="shared" si="2084"/>
        <v>0</v>
      </c>
      <c r="J487" s="1896">
        <f t="shared" si="2085"/>
        <v>4</v>
      </c>
      <c r="K487" s="1868"/>
      <c r="L487" s="1868"/>
      <c r="M487" s="1868"/>
      <c r="N487" s="1895">
        <f t="shared" si="2086"/>
        <v>0</v>
      </c>
      <c r="O487" s="1896">
        <f t="shared" si="2087"/>
        <v>4</v>
      </c>
      <c r="P487" s="1868"/>
      <c r="Q487" s="1868"/>
      <c r="R487" s="1868"/>
      <c r="S487" s="1895">
        <f t="shared" si="2092"/>
        <v>0</v>
      </c>
      <c r="T487" s="1897">
        <f t="shared" si="2088"/>
        <v>4</v>
      </c>
      <c r="V487" s="1832">
        <f t="shared" si="2089"/>
        <v>4</v>
      </c>
      <c r="W487" s="2103">
        <f t="shared" si="2090"/>
        <v>0</v>
      </c>
      <c r="Z487" s="1418"/>
      <c r="AD487" s="1418"/>
      <c r="AE487" s="1418"/>
      <c r="AH487" s="1410"/>
      <c r="AI487" s="1911"/>
      <c r="AJ487" s="1911"/>
      <c r="AN487" s="1418"/>
    </row>
    <row r="488">
      <c r="A488" s="1179" t="s">
        <v>664</v>
      </c>
      <c r="B488" s="1868">
        <f>700+6348+1364</f>
        <v>8412</v>
      </c>
      <c r="C488" s="1868">
        <f>594+7567+2811</f>
        <v>10972</v>
      </c>
      <c r="D488" s="1868"/>
      <c r="E488" s="1895">
        <f t="shared" si="2102"/>
        <v>19384</v>
      </c>
      <c r="F488" s="1868"/>
      <c r="G488" s="1868"/>
      <c r="H488" s="1868"/>
      <c r="I488" s="1895">
        <f t="shared" si="2084"/>
        <v>0</v>
      </c>
      <c r="J488" s="1896">
        <f t="shared" si="2085"/>
        <v>19384</v>
      </c>
      <c r="K488" s="1868"/>
      <c r="L488" s="1868"/>
      <c r="M488" s="1868"/>
      <c r="N488" s="1895">
        <f t="shared" si="2086"/>
        <v>0</v>
      </c>
      <c r="O488" s="1896">
        <f t="shared" si="2087"/>
        <v>19384</v>
      </c>
      <c r="P488" s="1868"/>
      <c r="Q488" s="1868"/>
      <c r="R488" s="1868"/>
      <c r="S488" s="1895">
        <f t="shared" si="2092"/>
        <v>0</v>
      </c>
      <c r="T488" s="1897">
        <f t="shared" si="2088"/>
        <v>19384</v>
      </c>
      <c r="V488" s="1832">
        <f t="shared" si="2089"/>
        <v>19384</v>
      </c>
      <c r="W488" s="2103">
        <f t="shared" si="2090"/>
        <v>0</v>
      </c>
      <c r="Z488" s="1418"/>
      <c r="AD488" s="1418"/>
      <c r="AE488" s="1418"/>
      <c r="AH488" s="1410"/>
      <c r="AI488" s="1911"/>
      <c r="AJ488" s="1911"/>
      <c r="AN488" s="1418"/>
    </row>
    <row r="489">
      <c r="A489" s="1179" t="s">
        <v>665</v>
      </c>
      <c r="B489" s="1868">
        <v>170</v>
      </c>
      <c r="C489" s="1868"/>
      <c r="D489" s="1868"/>
      <c r="E489" s="1895">
        <f t="shared" si="2102"/>
        <v>170</v>
      </c>
      <c r="F489" s="1868"/>
      <c r="G489" s="1868"/>
      <c r="H489" s="1868"/>
      <c r="I489" s="1895">
        <f t="shared" si="2084"/>
        <v>0</v>
      </c>
      <c r="J489" s="1896">
        <f t="shared" si="2085"/>
        <v>170</v>
      </c>
      <c r="K489" s="1868"/>
      <c r="L489" s="1868"/>
      <c r="M489" s="1868"/>
      <c r="N489" s="1895">
        <f t="shared" si="2086"/>
        <v>0</v>
      </c>
      <c r="O489" s="1896">
        <f t="shared" si="2087"/>
        <v>170</v>
      </c>
      <c r="P489" s="1868"/>
      <c r="Q489" s="1868"/>
      <c r="R489" s="1868"/>
      <c r="S489" s="1895">
        <f t="shared" si="2092"/>
        <v>0</v>
      </c>
      <c r="T489" s="1897">
        <f t="shared" si="2088"/>
        <v>170</v>
      </c>
      <c r="V489" s="1832">
        <f t="shared" si="2089"/>
        <v>170</v>
      </c>
      <c r="W489" s="2103">
        <f t="shared" si="2090"/>
        <v>0</v>
      </c>
      <c r="Z489" s="1418"/>
      <c r="AD489" s="1418"/>
      <c r="AE489" s="1418"/>
      <c r="AH489" s="1410"/>
      <c r="AI489" s="1911"/>
      <c r="AJ489" s="1911"/>
      <c r="AN489" s="1418"/>
    </row>
    <row r="490">
      <c r="A490" s="1179" t="s">
        <v>277</v>
      </c>
      <c r="B490" s="1868"/>
      <c r="C490" s="1868"/>
      <c r="D490" s="1179"/>
      <c r="E490" s="1895">
        <f t="shared" si="2102"/>
        <v>0</v>
      </c>
      <c r="F490" s="1179"/>
      <c r="G490" s="1179"/>
      <c r="H490" s="1868"/>
      <c r="I490" s="1895">
        <f t="shared" si="2084"/>
        <v>0</v>
      </c>
      <c r="J490" s="1896">
        <f t="shared" si="2085"/>
        <v>0</v>
      </c>
      <c r="K490" s="1868"/>
      <c r="L490" s="1868"/>
      <c r="M490" s="1868"/>
      <c r="N490" s="1895">
        <f t="shared" si="2086"/>
        <v>0</v>
      </c>
      <c r="O490" s="1896">
        <f t="shared" si="2087"/>
        <v>0</v>
      </c>
      <c r="P490" s="1868"/>
      <c r="Q490" s="1868"/>
      <c r="R490" s="1868"/>
      <c r="S490" s="1895">
        <f t="shared" si="2092"/>
        <v>0</v>
      </c>
      <c r="T490" s="1897">
        <f t="shared" si="2088"/>
        <v>0</v>
      </c>
      <c r="V490" s="1832">
        <f t="shared" si="2089"/>
        <v>0</v>
      </c>
      <c r="W490" s="2103">
        <f t="shared" si="2090"/>
        <v>0</v>
      </c>
      <c r="Z490" s="1418"/>
      <c r="AD490" s="1418"/>
      <c r="AE490" s="1418"/>
      <c r="AH490" s="1410"/>
      <c r="AI490" s="1911"/>
      <c r="AJ490" s="1911"/>
      <c r="AN490" s="1418"/>
    </row>
    <row r="491">
      <c r="A491" s="1179" t="s">
        <v>666</v>
      </c>
      <c r="B491" s="1868">
        <v>2188</v>
      </c>
      <c r="C491" s="1868">
        <v>2258</v>
      </c>
      <c r="D491" s="1868"/>
      <c r="E491" s="1895">
        <f t="shared" si="2102"/>
        <v>4446</v>
      </c>
      <c r="F491" s="1868"/>
      <c r="G491" s="1868"/>
      <c r="H491" s="1868"/>
      <c r="I491" s="1895">
        <f t="shared" si="2084"/>
        <v>0</v>
      </c>
      <c r="J491" s="1896">
        <f t="shared" si="2085"/>
        <v>4446</v>
      </c>
      <c r="K491" s="1868"/>
      <c r="L491" s="1868"/>
      <c r="M491" s="1868"/>
      <c r="N491" s="1895">
        <f t="shared" si="2086"/>
        <v>0</v>
      </c>
      <c r="O491" s="1896">
        <f t="shared" si="2087"/>
        <v>4446</v>
      </c>
      <c r="P491" s="1868"/>
      <c r="Q491" s="1868"/>
      <c r="R491" s="1868"/>
      <c r="S491" s="1895">
        <f t="shared" si="2092"/>
        <v>0</v>
      </c>
      <c r="T491" s="1897">
        <f t="shared" si="2088"/>
        <v>4446</v>
      </c>
      <c r="V491" s="1832">
        <f t="shared" si="2089"/>
        <v>4446</v>
      </c>
      <c r="W491" s="2103">
        <f t="shared" si="2090"/>
        <v>0</v>
      </c>
      <c r="Z491" s="1418"/>
      <c r="AD491" s="1418"/>
      <c r="AE491" s="1418"/>
      <c r="AH491" s="1410"/>
      <c r="AI491" s="1911"/>
      <c r="AJ491" s="1911"/>
      <c r="AN491" s="1418"/>
    </row>
    <row r="492">
      <c r="A492" s="1179" t="s">
        <v>667</v>
      </c>
      <c r="B492" s="1868">
        <v>26</v>
      </c>
      <c r="C492" s="1868">
        <v>88</v>
      </c>
      <c r="D492" s="1868"/>
      <c r="E492" s="1895">
        <f t="shared" si="2102"/>
        <v>114</v>
      </c>
      <c r="F492" s="1868"/>
      <c r="G492" s="1868"/>
      <c r="H492" s="1868"/>
      <c r="I492" s="1895">
        <f t="shared" si="2084"/>
        <v>0</v>
      </c>
      <c r="J492" s="1896">
        <f t="shared" si="2085"/>
        <v>114</v>
      </c>
      <c r="K492" s="1868"/>
      <c r="L492" s="1868"/>
      <c r="M492" s="1868"/>
      <c r="N492" s="1895">
        <f t="shared" si="2086"/>
        <v>0</v>
      </c>
      <c r="O492" s="1896">
        <f t="shared" si="2087"/>
        <v>114</v>
      </c>
      <c r="P492" s="1868"/>
      <c r="Q492" s="1868"/>
      <c r="R492" s="1868"/>
      <c r="S492" s="1895">
        <f t="shared" si="2092"/>
        <v>0</v>
      </c>
      <c r="T492" s="1897">
        <f t="shared" si="2088"/>
        <v>114</v>
      </c>
      <c r="V492" s="1832">
        <f t="shared" si="2089"/>
        <v>114</v>
      </c>
      <c r="W492" s="2103">
        <f t="shared" si="2090"/>
        <v>0</v>
      </c>
      <c r="Z492" s="1418"/>
      <c r="AD492" s="1418"/>
      <c r="AE492" s="1418"/>
      <c r="AI492" s="1418"/>
      <c r="AJ492" s="1418"/>
      <c r="AN492" s="1418"/>
    </row>
    <row r="493" s="1434" customFormat="1">
      <c r="A493" s="1179" t="s">
        <v>634</v>
      </c>
      <c r="B493" s="1868"/>
      <c r="C493" s="1868"/>
      <c r="D493" s="1868"/>
      <c r="E493" s="1895">
        <f t="shared" si="2102"/>
        <v>0</v>
      </c>
      <c r="F493" s="1868"/>
      <c r="G493" s="1868"/>
      <c r="H493" s="1868"/>
      <c r="I493" s="1895">
        <f t="shared" si="2084"/>
        <v>0</v>
      </c>
      <c r="J493" s="1896">
        <f t="shared" si="2085"/>
        <v>0</v>
      </c>
      <c r="K493" s="1868"/>
      <c r="L493" s="1868"/>
      <c r="M493" s="1868"/>
      <c r="N493" s="1895">
        <f t="shared" si="2086"/>
        <v>0</v>
      </c>
      <c r="O493" s="1896">
        <f t="shared" si="2087"/>
        <v>0</v>
      </c>
      <c r="P493" s="1868"/>
      <c r="Q493" s="1868"/>
      <c r="R493" s="1868"/>
      <c r="S493" s="1895">
        <f t="shared" si="2092"/>
        <v>0</v>
      </c>
      <c r="T493" s="1897">
        <f t="shared" si="2088"/>
        <v>0</v>
      </c>
      <c r="U493" s="1409"/>
      <c r="V493" s="1832">
        <f t="shared" si="2089"/>
        <v>0</v>
      </c>
      <c r="W493" s="2103">
        <f t="shared" si="2090"/>
        <v>0</v>
      </c>
      <c r="X493" s="1409"/>
      <c r="Y493" s="1409"/>
      <c r="Z493" s="1418"/>
      <c r="AA493" s="1409"/>
      <c r="AB493" s="1409"/>
      <c r="AC493" s="1409"/>
      <c r="AD493" s="1418"/>
      <c r="AE493" s="1418"/>
      <c r="AF493" s="1409"/>
      <c r="AG493" s="1409"/>
      <c r="AH493" s="1409"/>
      <c r="AI493" s="1418"/>
      <c r="AJ493" s="1418"/>
      <c r="AK493" s="1409"/>
      <c r="AL493" s="1417"/>
      <c r="AM493" s="1409"/>
      <c r="AN493" s="1418"/>
      <c r="AO493" s="1418"/>
      <c r="AP493" s="1409"/>
      <c r="AQ493" s="1409"/>
      <c r="AR493" s="1409"/>
      <c r="AS493" s="1409"/>
      <c r="AT493" s="1409"/>
      <c r="AU493" s="1409"/>
      <c r="AV493" s="1409"/>
      <c r="AW493" s="1409"/>
      <c r="AX493" s="1409"/>
      <c r="AY493" s="1409"/>
      <c r="AZ493" s="1409"/>
    </row>
    <row r="494">
      <c r="A494" s="1179" t="s">
        <v>635</v>
      </c>
      <c r="B494" s="1868">
        <v>9</v>
      </c>
      <c r="C494" s="1906"/>
      <c r="D494" s="1868"/>
      <c r="E494" s="1895">
        <f t="shared" si="2102"/>
        <v>9</v>
      </c>
      <c r="F494" s="1868"/>
      <c r="G494" s="1868"/>
      <c r="H494" s="1868"/>
      <c r="I494" s="1895">
        <f t="shared" si="2084"/>
        <v>0</v>
      </c>
      <c r="J494" s="1896">
        <f t="shared" si="2085"/>
        <v>9</v>
      </c>
      <c r="K494" s="1868"/>
      <c r="L494" s="1868"/>
      <c r="M494" s="1868"/>
      <c r="N494" s="1895">
        <f t="shared" si="2086"/>
        <v>0</v>
      </c>
      <c r="O494" s="1896">
        <f t="shared" si="2087"/>
        <v>9</v>
      </c>
      <c r="P494" s="1868"/>
      <c r="Q494" s="1868"/>
      <c r="R494" s="1868"/>
      <c r="S494" s="1895">
        <f t="shared" si="2092"/>
        <v>0</v>
      </c>
      <c r="T494" s="1897">
        <f t="shared" si="2088"/>
        <v>9</v>
      </c>
      <c r="V494" s="1832">
        <f t="shared" si="2089"/>
        <v>9</v>
      </c>
      <c r="W494" s="2103">
        <f t="shared" si="2090"/>
        <v>0</v>
      </c>
      <c r="Z494" s="1418"/>
      <c r="AD494" s="1418"/>
      <c r="AE494" s="1418"/>
      <c r="AH494" s="1410"/>
      <c r="AI494" s="1911"/>
      <c r="AJ494" s="1911"/>
      <c r="AN494" s="1418"/>
    </row>
    <row r="495" ht="15.75" customHeight="1">
      <c r="A495" s="1179" t="s">
        <v>636</v>
      </c>
      <c r="B495" s="1868">
        <v>9274</v>
      </c>
      <c r="C495" s="1868">
        <v>13699</v>
      </c>
      <c r="D495" s="1868"/>
      <c r="E495" s="1895">
        <f t="shared" si="2102"/>
        <v>22973</v>
      </c>
      <c r="F495" s="1868"/>
      <c r="G495" s="1868"/>
      <c r="H495" s="1868"/>
      <c r="I495" s="1895">
        <f t="shared" si="2084"/>
        <v>0</v>
      </c>
      <c r="J495" s="1896">
        <f t="shared" si="2085"/>
        <v>22973</v>
      </c>
      <c r="K495" s="1868"/>
      <c r="L495" s="1868"/>
      <c r="M495" s="1868"/>
      <c r="N495" s="1895">
        <f t="shared" si="2086"/>
        <v>0</v>
      </c>
      <c r="O495" s="1896">
        <f t="shared" si="2087"/>
        <v>22973</v>
      </c>
      <c r="P495" s="1868"/>
      <c r="Q495" s="1868"/>
      <c r="R495" s="1868"/>
      <c r="S495" s="1895">
        <f t="shared" si="2092"/>
        <v>0</v>
      </c>
      <c r="T495" s="1897">
        <f t="shared" si="2088"/>
        <v>22973</v>
      </c>
      <c r="V495" s="1832">
        <f t="shared" si="2089"/>
        <v>22973</v>
      </c>
      <c r="W495" s="2103">
        <f t="shared" si="2090"/>
        <v>0</v>
      </c>
      <c r="Z495" s="1418"/>
      <c r="AD495" s="1418"/>
      <c r="AE495" s="1418"/>
      <c r="AH495" s="1410"/>
      <c r="AI495" s="1911"/>
      <c r="AJ495" s="1911"/>
      <c r="AN495" s="1418"/>
    </row>
    <row r="496">
      <c r="A496" s="1179" t="s">
        <v>668</v>
      </c>
      <c r="B496" s="1868">
        <f>688+1</f>
        <v>689</v>
      </c>
      <c r="C496" s="1868">
        <f>414+1753</f>
        <v>2167</v>
      </c>
      <c r="D496" s="1868"/>
      <c r="E496" s="1895">
        <f t="shared" si="2102"/>
        <v>2856</v>
      </c>
      <c r="F496" s="1868"/>
      <c r="G496" s="1868"/>
      <c r="H496" s="1868"/>
      <c r="I496" s="1895">
        <f t="shared" si="2084"/>
        <v>0</v>
      </c>
      <c r="J496" s="1896">
        <f t="shared" si="2085"/>
        <v>2856</v>
      </c>
      <c r="K496" s="1868"/>
      <c r="L496" s="1868"/>
      <c r="M496" s="1868"/>
      <c r="N496" s="1895">
        <f t="shared" si="2086"/>
        <v>0</v>
      </c>
      <c r="O496" s="1896">
        <f t="shared" si="2087"/>
        <v>2856</v>
      </c>
      <c r="P496" s="1868"/>
      <c r="Q496" s="1868"/>
      <c r="R496" s="1868"/>
      <c r="S496" s="1895">
        <f t="shared" si="2092"/>
        <v>0</v>
      </c>
      <c r="T496" s="1897">
        <f t="shared" si="2088"/>
        <v>2856</v>
      </c>
      <c r="V496" s="1832">
        <f t="shared" si="2089"/>
        <v>2856</v>
      </c>
      <c r="W496" s="2103">
        <f t="shared" si="2090"/>
        <v>0</v>
      </c>
      <c r="Z496" s="1418"/>
      <c r="AD496" s="1418"/>
      <c r="AE496" s="1418"/>
      <c r="AH496" s="1410"/>
      <c r="AI496" s="1911"/>
      <c r="AJ496" s="1911"/>
      <c r="AN496" s="1418"/>
    </row>
    <row r="497">
      <c r="A497" s="1179" t="s">
        <v>669</v>
      </c>
      <c r="B497" s="1868">
        <v>3214</v>
      </c>
      <c r="C497" s="1868">
        <v>4750</v>
      </c>
      <c r="D497" s="1868"/>
      <c r="E497" s="1895">
        <f t="shared" si="2102"/>
        <v>7964</v>
      </c>
      <c r="F497" s="1868"/>
      <c r="G497" s="1868"/>
      <c r="H497" s="1868"/>
      <c r="I497" s="1895">
        <f t="shared" si="2084"/>
        <v>0</v>
      </c>
      <c r="J497" s="1896">
        <f t="shared" si="2085"/>
        <v>7964</v>
      </c>
      <c r="K497" s="1868"/>
      <c r="L497" s="1868"/>
      <c r="M497" s="1868"/>
      <c r="N497" s="1895">
        <f t="shared" si="2086"/>
        <v>0</v>
      </c>
      <c r="O497" s="1896">
        <f t="shared" si="2087"/>
        <v>7964</v>
      </c>
      <c r="P497" s="1868"/>
      <c r="Q497" s="1868"/>
      <c r="R497" s="1868"/>
      <c r="S497" s="1895">
        <f t="shared" si="2092"/>
        <v>0</v>
      </c>
      <c r="T497" s="1897">
        <f t="shared" si="2088"/>
        <v>7964</v>
      </c>
      <c r="V497" s="1832">
        <f t="shared" si="2089"/>
        <v>7964</v>
      </c>
      <c r="W497" s="2103">
        <f t="shared" si="2090"/>
        <v>0</v>
      </c>
      <c r="Z497" s="1418"/>
      <c r="AD497" s="1418"/>
      <c r="AE497" s="1418"/>
      <c r="AH497" s="1410"/>
      <c r="AI497" s="1911"/>
      <c r="AJ497" s="1911"/>
      <c r="AN497" s="1418"/>
    </row>
    <row r="498">
      <c r="A498" s="1179" t="s">
        <v>670</v>
      </c>
      <c r="B498" s="1868">
        <v>606</v>
      </c>
      <c r="C498" s="1868">
        <v>949</v>
      </c>
      <c r="D498" s="1868"/>
      <c r="E498" s="1895">
        <f t="shared" si="2102"/>
        <v>1555</v>
      </c>
      <c r="F498" s="1868"/>
      <c r="G498" s="1868"/>
      <c r="H498" s="1868"/>
      <c r="I498" s="1895">
        <f t="shared" si="2084"/>
        <v>0</v>
      </c>
      <c r="J498" s="1896">
        <f t="shared" si="2085"/>
        <v>1555</v>
      </c>
      <c r="K498" s="1868"/>
      <c r="L498" s="1868"/>
      <c r="M498" s="1868"/>
      <c r="N498" s="1895">
        <f t="shared" si="2086"/>
        <v>0</v>
      </c>
      <c r="O498" s="1896">
        <f t="shared" si="2087"/>
        <v>1555</v>
      </c>
      <c r="P498" s="1868"/>
      <c r="Q498" s="1868"/>
      <c r="R498" s="1868"/>
      <c r="S498" s="1895">
        <f t="shared" si="2092"/>
        <v>0</v>
      </c>
      <c r="T498" s="1897">
        <f t="shared" si="2088"/>
        <v>1555</v>
      </c>
      <c r="V498" s="1832">
        <f t="shared" si="2089"/>
        <v>1555</v>
      </c>
      <c r="W498" s="2103">
        <f t="shared" si="2090"/>
        <v>0</v>
      </c>
      <c r="Z498" s="1418"/>
      <c r="AD498" s="1418"/>
      <c r="AE498" s="1418"/>
      <c r="AH498" s="1410"/>
      <c r="AI498" s="1911"/>
      <c r="AJ498" s="1911"/>
      <c r="AN498" s="1418"/>
    </row>
    <row r="499" s="1510" customFormat="1">
      <c r="A499" s="1511" t="s">
        <v>640</v>
      </c>
      <c r="B499" s="1871">
        <f>SUM(B495:B498)</f>
        <v>13783</v>
      </c>
      <c r="C499" s="1871">
        <f t="shared" ref="C499:H499" si="2103">SUM(C495:C498)</f>
        <v>21565</v>
      </c>
      <c r="D499" s="1871">
        <f t="shared" si="2103"/>
        <v>0</v>
      </c>
      <c r="E499" s="1899">
        <f t="shared" si="2102"/>
        <v>35348</v>
      </c>
      <c r="F499" s="1871">
        <f>SUM(F495:F498)</f>
        <v>0</v>
      </c>
      <c r="G499" s="1871">
        <f>SUM(G495:G498)</f>
        <v>0</v>
      </c>
      <c r="H499" s="1871">
        <f t="shared" si="2103"/>
        <v>0</v>
      </c>
      <c r="I499" s="1899">
        <f t="shared" si="2084"/>
        <v>0</v>
      </c>
      <c r="J499" s="1900">
        <f t="shared" si="2085"/>
        <v>35348</v>
      </c>
      <c r="K499" s="1871">
        <f>SUM(K495:K498)</f>
        <v>0</v>
      </c>
      <c r="L499" s="1871">
        <f>SUM(L495:L498)</f>
        <v>0</v>
      </c>
      <c r="M499" s="1871">
        <f>SUM(M495:M498)</f>
        <v>0</v>
      </c>
      <c r="N499" s="1899">
        <f t="shared" si="2086"/>
        <v>0</v>
      </c>
      <c r="O499" s="1900">
        <f t="shared" si="2087"/>
        <v>35348</v>
      </c>
      <c r="P499" s="1871">
        <f>SUM(P495:P498)</f>
        <v>0</v>
      </c>
      <c r="Q499" s="1871">
        <f>SUM(Q495:Q498)</f>
        <v>0</v>
      </c>
      <c r="R499" s="1871">
        <f>SUM(R495:R498)</f>
        <v>0</v>
      </c>
      <c r="S499" s="1905">
        <f>SUM(S495:S498)</f>
        <v>0</v>
      </c>
      <c r="T499" s="1871">
        <f>SUM(T495:T498)</f>
        <v>35348</v>
      </c>
      <c r="U499" s="1515"/>
      <c r="V499" s="1832">
        <f t="shared" si="2089"/>
        <v>35348</v>
      </c>
      <c r="W499" s="2103">
        <f t="shared" si="2090"/>
        <v>0</v>
      </c>
      <c r="X499" s="1515"/>
      <c r="Y499" s="1515"/>
      <c r="Z499" s="2062"/>
      <c r="AA499" s="1515"/>
      <c r="AB499" s="1515"/>
      <c r="AC499" s="1515"/>
      <c r="AD499" s="2062"/>
      <c r="AE499" s="2062"/>
      <c r="AF499" s="1515"/>
      <c r="AG499" s="1515"/>
      <c r="AH499" s="1838"/>
      <c r="AI499" s="1839"/>
      <c r="AJ499" s="1839"/>
      <c r="AK499" s="1515"/>
      <c r="AL499" s="1886"/>
      <c r="AM499" s="1515"/>
      <c r="AN499" s="2062"/>
      <c r="AO499" s="2062"/>
      <c r="AP499" s="1515"/>
      <c r="AQ499" s="1515"/>
      <c r="AR499" s="1515"/>
      <c r="AS499" s="1515"/>
      <c r="AT499" s="1515"/>
      <c r="AU499" s="1515"/>
      <c r="AV499" s="1515"/>
      <c r="AW499" s="1515"/>
      <c r="AX499" s="1515"/>
      <c r="AY499" s="1515"/>
      <c r="AZ499" s="1515"/>
    </row>
    <row r="500">
      <c r="A500" s="1179" t="s">
        <v>671</v>
      </c>
      <c r="B500" s="1446"/>
      <c r="C500" s="1906"/>
      <c r="D500" s="1446"/>
      <c r="E500" s="1895">
        <f t="shared" si="2102"/>
        <v>0</v>
      </c>
      <c r="F500" s="1446"/>
      <c r="G500" s="1446"/>
      <c r="H500" s="1446"/>
      <c r="I500" s="1895">
        <f t="shared" si="2084"/>
        <v>0</v>
      </c>
      <c r="J500" s="1896">
        <f t="shared" si="2085"/>
        <v>0</v>
      </c>
      <c r="K500" s="1446"/>
      <c r="L500" s="1446"/>
      <c r="M500" s="1446"/>
      <c r="N500" s="1895">
        <f t="shared" si="2086"/>
        <v>0</v>
      </c>
      <c r="O500" s="1896">
        <f t="shared" si="2087"/>
        <v>0</v>
      </c>
      <c r="P500" s="1446"/>
      <c r="Q500" s="1446"/>
      <c r="R500" s="1446"/>
      <c r="S500" s="1895">
        <f t="shared" si="2092"/>
        <v>0</v>
      </c>
      <c r="T500" s="1897">
        <f t="shared" si="2088"/>
        <v>0</v>
      </c>
      <c r="V500" s="1832">
        <f t="shared" si="2089"/>
        <v>0</v>
      </c>
      <c r="W500" s="2103">
        <f t="shared" si="2090"/>
        <v>0</v>
      </c>
      <c r="Z500" s="1418"/>
      <c r="AD500" s="1418"/>
      <c r="AE500" s="1418"/>
      <c r="AI500" s="1418"/>
      <c r="AJ500" s="1418"/>
      <c r="AN500" s="1418"/>
    </row>
    <row r="501">
      <c r="A501" s="2084" t="s">
        <v>642</v>
      </c>
      <c r="B501" s="1868"/>
      <c r="C501" s="1906"/>
      <c r="D501" s="1868"/>
      <c r="E501" s="1895">
        <f t="shared" si="2102"/>
        <v>0</v>
      </c>
      <c r="F501" s="1868"/>
      <c r="G501" s="1868"/>
      <c r="H501" s="1868"/>
      <c r="I501" s="1895">
        <f t="shared" si="2084"/>
        <v>0</v>
      </c>
      <c r="J501" s="1896">
        <f t="shared" si="2085"/>
        <v>0</v>
      </c>
      <c r="K501" s="1868"/>
      <c r="L501" s="1868"/>
      <c r="M501" s="1868"/>
      <c r="N501" s="1895">
        <f t="shared" si="2086"/>
        <v>0</v>
      </c>
      <c r="O501" s="1896">
        <f t="shared" si="2087"/>
        <v>0</v>
      </c>
      <c r="P501" s="1868"/>
      <c r="Q501" s="1868"/>
      <c r="R501" s="1868"/>
      <c r="S501" s="1895">
        <f t="shared" si="2092"/>
        <v>0</v>
      </c>
      <c r="T501" s="1897">
        <f t="shared" si="2088"/>
        <v>0</v>
      </c>
      <c r="V501" s="1832">
        <f t="shared" si="2089"/>
        <v>0</v>
      </c>
      <c r="W501" s="2103">
        <f t="shared" si="2090"/>
        <v>0</v>
      </c>
      <c r="Z501" s="1418"/>
      <c r="AD501" s="1418"/>
      <c r="AE501" s="1418"/>
      <c r="AH501" s="1410"/>
      <c r="AI501" s="1911"/>
      <c r="AJ501" s="1911"/>
      <c r="AN501" s="1418"/>
    </row>
    <row r="502" s="1510" customFormat="1">
      <c r="A502" s="2102" t="s">
        <v>22</v>
      </c>
      <c r="B502" s="1871">
        <f t="shared" ref="B502:H502" si="2104">B486+B487+B488+B489+B490+B491+B492+B493+B494+B499+B500+B501</f>
        <v>81118</v>
      </c>
      <c r="C502" s="1871">
        <f t="shared" si="2104"/>
        <v>100635</v>
      </c>
      <c r="D502" s="1871">
        <f t="shared" si="2104"/>
        <v>0</v>
      </c>
      <c r="E502" s="1899">
        <f t="shared" si="2102"/>
        <v>181753</v>
      </c>
      <c r="F502" s="1871">
        <f>F486+F487+F488+F489+F490+F491+F492+F493+F494+F499+F500+F501</f>
        <v>0</v>
      </c>
      <c r="G502" s="1871">
        <f>G486+G487+G488+G489+G490+G491+G492+G493+G494+G499+G500+G501</f>
        <v>0</v>
      </c>
      <c r="H502" s="1871">
        <f t="shared" si="2104"/>
        <v>0</v>
      </c>
      <c r="I502" s="1899">
        <f t="shared" si="2084"/>
        <v>0</v>
      </c>
      <c r="J502" s="1900">
        <f t="shared" si="2085"/>
        <v>181753</v>
      </c>
      <c r="K502" s="1871">
        <f>K486+K487+K488+K489+K490+K491+K492+K493+K494+K499+K500+K501</f>
        <v>0</v>
      </c>
      <c r="L502" s="1871">
        <f>L486+L487+L488+L489+L490+L491+L492+L493+L494+L499+L500+L501</f>
        <v>0</v>
      </c>
      <c r="M502" s="1871">
        <f>M486+M487+M488+M489+M490+M491+M492+M493+M494+M499+M500+M501</f>
        <v>0</v>
      </c>
      <c r="N502" s="1899">
        <f t="shared" si="2086"/>
        <v>0</v>
      </c>
      <c r="O502" s="1900">
        <f t="shared" si="2087"/>
        <v>181753</v>
      </c>
      <c r="P502" s="1871">
        <f>P486+P487+P488+P489+P490+P491+P492+P493+P494+P499+P500+P501</f>
        <v>0</v>
      </c>
      <c r="Q502" s="1871">
        <f>Q486+Q487+Q488+Q489+Q490+Q491+Q492+Q493+Q494+Q499+Q500+Q501</f>
        <v>0</v>
      </c>
      <c r="R502" s="1871">
        <f>R486+R487+R488+R489+R490+R491+R492+R493+R494+R499+R500+R501</f>
        <v>0</v>
      </c>
      <c r="S502" s="1905">
        <f>S486+S487+S488+S489+S490+S491+S492+S493+S494+S499+S500+S501</f>
        <v>0</v>
      </c>
      <c r="T502" s="1871">
        <f>T486+T487+T488+T489+T490+T491+T492+T493+T494+T499+T500+T501</f>
        <v>181753</v>
      </c>
      <c r="U502" s="1515"/>
      <c r="V502" s="1832">
        <f t="shared" si="2089"/>
        <v>181753</v>
      </c>
      <c r="W502" s="2103">
        <f t="shared" si="2090"/>
        <v>0</v>
      </c>
      <c r="X502" s="1515"/>
      <c r="Y502" s="1515"/>
      <c r="Z502" s="2062"/>
      <c r="AA502" s="1515"/>
      <c r="AB502" s="1515"/>
      <c r="AC502" s="1515"/>
      <c r="AD502" s="2062"/>
      <c r="AE502" s="2062"/>
      <c r="AF502" s="1515"/>
      <c r="AG502" s="1515"/>
      <c r="AH502" s="1838"/>
      <c r="AI502" s="1839"/>
      <c r="AJ502" s="1839"/>
      <c r="AK502" s="1515"/>
      <c r="AL502" s="1886"/>
      <c r="AM502" s="1515"/>
      <c r="AN502" s="2062"/>
      <c r="AO502" s="2062"/>
      <c r="AP502" s="1515"/>
      <c r="AQ502" s="1515"/>
      <c r="AR502" s="1515"/>
      <c r="AS502" s="1515"/>
      <c r="AT502" s="1515"/>
      <c r="AU502" s="1515"/>
      <c r="AV502" s="1515"/>
      <c r="AW502" s="1515"/>
      <c r="AX502" s="1515"/>
      <c r="AY502" s="1515"/>
      <c r="AZ502" s="1515"/>
    </row>
    <row r="503">
      <c r="A503" s="2084" t="s">
        <v>643</v>
      </c>
      <c r="B503" s="1868"/>
      <c r="C503" s="1906"/>
      <c r="D503" s="1868"/>
      <c r="E503" s="1895">
        <f t="shared" si="2102"/>
        <v>0</v>
      </c>
      <c r="F503" s="1868"/>
      <c r="G503" s="1868"/>
      <c r="H503" s="1868"/>
      <c r="I503" s="1895">
        <f t="shared" si="2084"/>
        <v>0</v>
      </c>
      <c r="J503" s="1896">
        <f t="shared" si="2085"/>
        <v>0</v>
      </c>
      <c r="K503" s="1868"/>
      <c r="L503" s="1868"/>
      <c r="M503" s="1868"/>
      <c r="N503" s="1895">
        <f t="shared" si="2086"/>
        <v>0</v>
      </c>
      <c r="O503" s="1896">
        <f t="shared" si="2087"/>
        <v>0</v>
      </c>
      <c r="P503" s="1868"/>
      <c r="Q503" s="1868"/>
      <c r="R503" s="1868"/>
      <c r="S503" s="1895">
        <f t="shared" si="2092"/>
        <v>0</v>
      </c>
      <c r="T503" s="1897">
        <f t="shared" si="2088"/>
        <v>0</v>
      </c>
      <c r="V503" s="1832">
        <f t="shared" si="2089"/>
        <v>0</v>
      </c>
      <c r="W503" s="2103">
        <f t="shared" si="2090"/>
        <v>0</v>
      </c>
      <c r="Z503" s="1418"/>
      <c r="AD503" s="1418"/>
      <c r="AE503" s="1418"/>
      <c r="AH503" s="1410"/>
      <c r="AI503" s="1911"/>
      <c r="AJ503" s="1911"/>
      <c r="AN503" s="1418"/>
    </row>
    <row r="504">
      <c r="A504" s="2084" t="s">
        <v>644</v>
      </c>
      <c r="B504" s="1868"/>
      <c r="C504" s="1906"/>
      <c r="D504" s="1868"/>
      <c r="E504" s="1895">
        <f t="shared" si="2102"/>
        <v>0</v>
      </c>
      <c r="F504" s="1868"/>
      <c r="G504" s="1868"/>
      <c r="H504" s="1868"/>
      <c r="I504" s="1895">
        <f t="shared" si="2084"/>
        <v>0</v>
      </c>
      <c r="J504" s="1896">
        <f t="shared" si="2085"/>
        <v>0</v>
      </c>
      <c r="K504" s="1868"/>
      <c r="L504" s="1868"/>
      <c r="M504" s="1868"/>
      <c r="N504" s="1895">
        <f t="shared" si="2086"/>
        <v>0</v>
      </c>
      <c r="O504" s="1896">
        <f t="shared" si="2087"/>
        <v>0</v>
      </c>
      <c r="P504" s="1868"/>
      <c r="Q504" s="1868"/>
      <c r="R504" s="1868"/>
      <c r="S504" s="1895">
        <f t="shared" si="2092"/>
        <v>0</v>
      </c>
      <c r="T504" s="1897">
        <f t="shared" si="2088"/>
        <v>0</v>
      </c>
      <c r="V504" s="1832">
        <f t="shared" si="2089"/>
        <v>0</v>
      </c>
      <c r="W504" s="2103">
        <f t="shared" si="2090"/>
        <v>0</v>
      </c>
      <c r="Z504" s="1418"/>
      <c r="AD504" s="1418"/>
      <c r="AE504" s="1418"/>
      <c r="AH504" s="1410"/>
      <c r="AI504" s="1911"/>
      <c r="AJ504" s="1911"/>
      <c r="AN504" s="1418"/>
    </row>
    <row r="505">
      <c r="A505" s="2084" t="s">
        <v>303</v>
      </c>
      <c r="B505" s="1868"/>
      <c r="C505" s="1906"/>
      <c r="D505" s="1868"/>
      <c r="E505" s="1895">
        <f t="shared" si="2102"/>
        <v>0</v>
      </c>
      <c r="F505" s="1868"/>
      <c r="G505" s="1868"/>
      <c r="H505" s="1868"/>
      <c r="I505" s="1895">
        <f t="shared" si="2084"/>
        <v>0</v>
      </c>
      <c r="J505" s="1896">
        <f t="shared" si="2085"/>
        <v>0</v>
      </c>
      <c r="K505" s="1868"/>
      <c r="L505" s="1868"/>
      <c r="M505" s="1868"/>
      <c r="N505" s="1895">
        <f t="shared" si="2086"/>
        <v>0</v>
      </c>
      <c r="O505" s="1896">
        <f t="shared" si="2087"/>
        <v>0</v>
      </c>
      <c r="P505" s="1868"/>
      <c r="Q505" s="1868"/>
      <c r="R505" s="1868"/>
      <c r="S505" s="1895">
        <f t="shared" si="2092"/>
        <v>0</v>
      </c>
      <c r="T505" s="1897">
        <f t="shared" si="2088"/>
        <v>0</v>
      </c>
      <c r="V505" s="1832">
        <f t="shared" si="2089"/>
        <v>0</v>
      </c>
      <c r="W505" s="2103">
        <f t="shared" si="2090"/>
        <v>0</v>
      </c>
      <c r="Z505" s="1418"/>
      <c r="AD505" s="1418"/>
      <c r="AE505" s="1418"/>
      <c r="AH505" s="1410"/>
      <c r="AI505" s="1911"/>
      <c r="AJ505" s="1911"/>
      <c r="AN505" s="1418"/>
    </row>
    <row r="506">
      <c r="A506" s="2084" t="s">
        <v>304</v>
      </c>
      <c r="B506" s="1868"/>
      <c r="C506" s="1906"/>
      <c r="D506" s="1868"/>
      <c r="E506" s="1895">
        <f t="shared" si="2102"/>
        <v>0</v>
      </c>
      <c r="F506" s="1868"/>
      <c r="G506" s="1868"/>
      <c r="H506" s="1868"/>
      <c r="I506" s="1895">
        <f t="shared" ref="I506:I569" si="2105">F506+G506+H506</f>
        <v>0</v>
      </c>
      <c r="J506" s="1896">
        <f t="shared" ref="J506:J569" si="2106">E506+I506</f>
        <v>0</v>
      </c>
      <c r="K506" s="1868"/>
      <c r="L506" s="1868"/>
      <c r="M506" s="1868"/>
      <c r="N506" s="1895">
        <f t="shared" si="2086"/>
        <v>0</v>
      </c>
      <c r="O506" s="1896">
        <f t="shared" si="2087"/>
        <v>0</v>
      </c>
      <c r="P506" s="1868"/>
      <c r="Q506" s="1868"/>
      <c r="R506" s="1868"/>
      <c r="S506" s="1895">
        <f t="shared" si="2092"/>
        <v>0</v>
      </c>
      <c r="T506" s="1897">
        <f t="shared" si="2088"/>
        <v>0</v>
      </c>
      <c r="V506" s="1832">
        <f t="shared" si="2089"/>
        <v>0</v>
      </c>
      <c r="W506" s="2103">
        <f t="shared" si="2090"/>
        <v>0</v>
      </c>
      <c r="Z506" s="1418"/>
      <c r="AD506" s="1418"/>
      <c r="AE506" s="1418"/>
      <c r="AH506" s="1410"/>
      <c r="AI506" s="1911"/>
      <c r="AJ506" s="1911"/>
      <c r="AN506" s="1418"/>
    </row>
    <row r="507">
      <c r="A507" s="2107" t="s">
        <v>283</v>
      </c>
      <c r="B507" s="1868">
        <v>876</v>
      </c>
      <c r="C507" s="1868">
        <f>71+1372</f>
        <v>1443</v>
      </c>
      <c r="D507" s="1868"/>
      <c r="E507" s="1895">
        <f t="shared" si="2102"/>
        <v>2319</v>
      </c>
      <c r="F507" s="1868"/>
      <c r="G507" s="1868"/>
      <c r="H507" s="1868"/>
      <c r="I507" s="1895">
        <f t="shared" si="2105"/>
        <v>0</v>
      </c>
      <c r="J507" s="1896">
        <f t="shared" si="2106"/>
        <v>2319</v>
      </c>
      <c r="K507" s="1868"/>
      <c r="L507" s="1868"/>
      <c r="M507" s="1868"/>
      <c r="N507" s="1895">
        <f t="shared" si="2086"/>
        <v>0</v>
      </c>
      <c r="O507" s="1896">
        <f t="shared" si="2087"/>
        <v>2319</v>
      </c>
      <c r="P507" s="1868"/>
      <c r="Q507" s="1868"/>
      <c r="R507" s="1868"/>
      <c r="S507" s="1895">
        <f t="shared" si="2092"/>
        <v>0</v>
      </c>
      <c r="T507" s="1897">
        <f t="shared" si="2088"/>
        <v>2319</v>
      </c>
      <c r="V507" s="1832"/>
      <c r="W507" s="2103"/>
      <c r="Z507" s="1418"/>
      <c r="AD507" s="1418"/>
      <c r="AE507" s="1418"/>
      <c r="AH507" s="1410"/>
      <c r="AI507" s="1911"/>
      <c r="AJ507" s="1911"/>
      <c r="AN507" s="1418"/>
    </row>
    <row r="508">
      <c r="A508" s="2084" t="s">
        <v>645</v>
      </c>
      <c r="B508" s="1868"/>
      <c r="C508" s="1906"/>
      <c r="D508" s="1868"/>
      <c r="E508" s="1895">
        <f t="shared" si="2102"/>
        <v>0</v>
      </c>
      <c r="F508" s="1868"/>
      <c r="G508" s="1868"/>
      <c r="H508" s="1868"/>
      <c r="I508" s="1895">
        <f t="shared" si="2105"/>
        <v>0</v>
      </c>
      <c r="J508" s="1896">
        <f t="shared" si="2106"/>
        <v>0</v>
      </c>
      <c r="K508" s="1868"/>
      <c r="L508" s="1868"/>
      <c r="M508" s="1868"/>
      <c r="N508" s="1895">
        <f t="shared" si="2086"/>
        <v>0</v>
      </c>
      <c r="O508" s="1896">
        <f t="shared" si="2087"/>
        <v>0</v>
      </c>
      <c r="P508" s="1868"/>
      <c r="Q508" s="1868"/>
      <c r="R508" s="1868"/>
      <c r="S508" s="1895">
        <f t="shared" si="2092"/>
        <v>0</v>
      </c>
      <c r="T508" s="1897">
        <f t="shared" si="2088"/>
        <v>0</v>
      </c>
      <c r="V508" s="1832">
        <f t="shared" si="2089"/>
        <v>0</v>
      </c>
      <c r="W508" s="2103">
        <f t="shared" si="2090"/>
        <v>0</v>
      </c>
      <c r="Z508" s="1418"/>
      <c r="AD508" s="1418"/>
      <c r="AE508" s="1418"/>
      <c r="AH508" s="1410"/>
      <c r="AI508" s="1911"/>
      <c r="AJ508" s="1911"/>
      <c r="AN508" s="1418"/>
    </row>
    <row r="509" s="1510" customFormat="1">
      <c r="A509" s="1904" t="s">
        <v>545</v>
      </c>
      <c r="B509" s="1905">
        <f>B502+B503+B508+B504+B505+B506+B507</f>
        <v>81994</v>
      </c>
      <c r="C509" s="1905">
        <f>C502+C503+C508+C504+C505+C506+C507</f>
        <v>102078</v>
      </c>
      <c r="D509" s="1905">
        <f>D502+D503+D508+D504+D505+D506+D507</f>
        <v>0</v>
      </c>
      <c r="E509" s="1899">
        <f t="shared" si="2102"/>
        <v>184072</v>
      </c>
      <c r="F509" s="1905">
        <f>F502+F503+F508+F504+F505+F506+F507</f>
        <v>0</v>
      </c>
      <c r="G509" s="1905">
        <f>G502+G503+G508+G504+G505+G506+G507</f>
        <v>0</v>
      </c>
      <c r="H509" s="1905">
        <f>H502+H503+H508+H504+H505+H506+H507</f>
        <v>0</v>
      </c>
      <c r="I509" s="1899">
        <f t="shared" si="2105"/>
        <v>0</v>
      </c>
      <c r="J509" s="1899">
        <f t="shared" si="2106"/>
        <v>184072</v>
      </c>
      <c r="K509" s="1905">
        <f>K502+K503+K508+K504+K505+K506+K507</f>
        <v>0</v>
      </c>
      <c r="L509" s="1905">
        <f>L502+L503+L508+L504+L505+L506+L507</f>
        <v>0</v>
      </c>
      <c r="M509" s="1905">
        <f>M502+M503+M508+M504+M505+M506+M507</f>
        <v>0</v>
      </c>
      <c r="N509" s="1899">
        <f t="shared" si="2086"/>
        <v>0</v>
      </c>
      <c r="O509" s="1899">
        <f t="shared" si="2087"/>
        <v>184072</v>
      </c>
      <c r="P509" s="1905">
        <f>P502+P503+P508+P504+P505+P506+P507</f>
        <v>0</v>
      </c>
      <c r="Q509" s="1905">
        <f>Q502+Q503+Q508+Q504+Q505+Q506+Q507</f>
        <v>0</v>
      </c>
      <c r="R509" s="1905">
        <f>R502+R503+R508+R504+R505+R506+R507</f>
        <v>0</v>
      </c>
      <c r="S509" s="1899">
        <f t="shared" si="2092"/>
        <v>0</v>
      </c>
      <c r="T509" s="1899">
        <f t="shared" si="2088"/>
        <v>184072</v>
      </c>
      <c r="U509" s="1515"/>
      <c r="V509" s="1832">
        <f t="shared" si="2089"/>
        <v>184072</v>
      </c>
      <c r="W509" s="2103">
        <f t="shared" si="2090"/>
        <v>0</v>
      </c>
      <c r="X509" s="1515"/>
      <c r="Y509" s="1515"/>
      <c r="Z509" s="2062"/>
      <c r="AA509" s="1515"/>
      <c r="AB509" s="1515"/>
      <c r="AC509" s="1515"/>
      <c r="AD509" s="2062"/>
      <c r="AE509" s="2062"/>
      <c r="AF509" s="1515"/>
      <c r="AG509" s="1515"/>
      <c r="AH509" s="1515"/>
      <c r="AI509" s="2062"/>
      <c r="AJ509" s="2062"/>
      <c r="AK509" s="1515"/>
      <c r="AL509" s="1886"/>
      <c r="AM509" s="1515"/>
      <c r="AN509" s="2062"/>
      <c r="AO509" s="2062"/>
      <c r="AP509" s="1515"/>
      <c r="AQ509" s="1515"/>
      <c r="AR509" s="1515"/>
      <c r="AS509" s="1515"/>
      <c r="AT509" s="1515"/>
      <c r="AU509" s="1515"/>
      <c r="AV509" s="1515"/>
      <c r="AW509" s="1515"/>
      <c r="AX509" s="1515"/>
      <c r="AY509" s="1515"/>
      <c r="AZ509" s="1515"/>
    </row>
    <row r="510" s="1434" customFormat="1">
      <c r="A510" s="2084" t="s">
        <v>646</v>
      </c>
      <c r="B510" s="1868">
        <v>172</v>
      </c>
      <c r="C510" s="1868">
        <v>141</v>
      </c>
      <c r="D510" s="1868"/>
      <c r="E510" s="1895">
        <f t="shared" si="2102"/>
        <v>313</v>
      </c>
      <c r="F510" s="1868"/>
      <c r="G510" s="1868"/>
      <c r="H510" s="1868"/>
      <c r="I510" s="1895">
        <f t="shared" si="2105"/>
        <v>0</v>
      </c>
      <c r="J510" s="1896">
        <f t="shared" si="2106"/>
        <v>313</v>
      </c>
      <c r="K510" s="1868"/>
      <c r="L510" s="1868"/>
      <c r="M510" s="1868"/>
      <c r="N510" s="1895">
        <f t="shared" ref="N510:N573" si="2107">K510+L510+M510</f>
        <v>0</v>
      </c>
      <c r="O510" s="1896">
        <f t="shared" ref="O510:O573" si="2108">J510+N510</f>
        <v>313</v>
      </c>
      <c r="P510" s="1868"/>
      <c r="Q510" s="1868"/>
      <c r="R510" s="1868"/>
      <c r="S510" s="1895">
        <f t="shared" si="2092"/>
        <v>0</v>
      </c>
      <c r="T510" s="1897">
        <f t="shared" ref="T510:T573" si="2109">O510+S510</f>
        <v>313</v>
      </c>
      <c r="U510" s="1409"/>
      <c r="V510" s="1832">
        <f t="shared" ref="V510:V512" si="2110">B510+C510+D510+F510+G510+H510</f>
        <v>313</v>
      </c>
      <c r="W510" s="2103">
        <f t="shared" ref="W510:W512" si="2111">K510+L510+M510+P510</f>
        <v>0</v>
      </c>
      <c r="X510" s="1409"/>
      <c r="Y510" s="1409"/>
      <c r="Z510" s="1418"/>
      <c r="AA510" s="1409"/>
      <c r="AB510" s="1409"/>
      <c r="AC510" s="1409"/>
      <c r="AD510" s="1418"/>
      <c r="AE510" s="1418"/>
      <c r="AF510" s="1409"/>
      <c r="AG510" s="1409"/>
      <c r="AH510" s="1409"/>
      <c r="AI510" s="1418"/>
      <c r="AJ510" s="1418"/>
      <c r="AK510" s="1409"/>
      <c r="AL510" s="1417"/>
      <c r="AM510" s="1409"/>
      <c r="AN510" s="1418"/>
      <c r="AO510" s="1418"/>
      <c r="AP510" s="1409"/>
      <c r="AQ510" s="1409"/>
      <c r="AR510" s="1409"/>
      <c r="AS510" s="1409"/>
      <c r="AT510" s="1409"/>
      <c r="AU510" s="1409"/>
      <c r="AV510" s="1409"/>
      <c r="AW510" s="1409"/>
      <c r="AX510" s="1409"/>
      <c r="AY510" s="1409"/>
      <c r="AZ510" s="1409"/>
    </row>
    <row r="511" s="1434" customFormat="1">
      <c r="A511" s="2084" t="s">
        <v>647</v>
      </c>
      <c r="B511" s="1868"/>
      <c r="C511" s="1868"/>
      <c r="D511" s="1868"/>
      <c r="E511" s="1895">
        <f t="shared" si="2102"/>
        <v>0</v>
      </c>
      <c r="F511" s="1868"/>
      <c r="G511" s="1868"/>
      <c r="H511" s="1868"/>
      <c r="I511" s="1895">
        <f t="shared" si="2105"/>
        <v>0</v>
      </c>
      <c r="J511" s="1896">
        <f t="shared" si="2106"/>
        <v>0</v>
      </c>
      <c r="K511" s="1868"/>
      <c r="L511" s="1868"/>
      <c r="M511" s="1868"/>
      <c r="N511" s="1895">
        <f t="shared" si="2107"/>
        <v>0</v>
      </c>
      <c r="O511" s="1896">
        <f t="shared" si="2108"/>
        <v>0</v>
      </c>
      <c r="P511" s="1868"/>
      <c r="Q511" s="1868"/>
      <c r="R511" s="1868"/>
      <c r="S511" s="1895">
        <f t="shared" si="2092"/>
        <v>0</v>
      </c>
      <c r="T511" s="1897">
        <f t="shared" si="2109"/>
        <v>0</v>
      </c>
      <c r="U511" s="1409"/>
      <c r="V511" s="1832">
        <f t="shared" si="2110"/>
        <v>0</v>
      </c>
      <c r="W511" s="2103">
        <f t="shared" si="2111"/>
        <v>0</v>
      </c>
      <c r="X511" s="1409"/>
      <c r="Y511" s="1409"/>
      <c r="Z511" s="1418"/>
      <c r="AA511" s="1409"/>
      <c r="AB511" s="1409"/>
      <c r="AC511" s="1409"/>
      <c r="AD511" s="1418"/>
      <c r="AE511" s="1418"/>
      <c r="AF511" s="1409"/>
      <c r="AG511" s="1409"/>
      <c r="AH511" s="1409"/>
      <c r="AI511" s="1418"/>
      <c r="AJ511" s="1418"/>
      <c r="AK511" s="1409"/>
      <c r="AL511" s="1417"/>
      <c r="AM511" s="1409"/>
      <c r="AN511" s="1418"/>
      <c r="AO511" s="1418"/>
      <c r="AP511" s="1409"/>
      <c r="AQ511" s="1409"/>
      <c r="AR511" s="1409"/>
      <c r="AS511" s="1409"/>
      <c r="AT511" s="1409"/>
      <c r="AU511" s="1409"/>
      <c r="AV511" s="1409"/>
      <c r="AW511" s="1409"/>
      <c r="AX511" s="1409"/>
      <c r="AY511" s="1409"/>
      <c r="AZ511" s="1409"/>
    </row>
    <row r="512" s="2099" customFormat="1">
      <c r="A512" s="2102" t="s">
        <v>648</v>
      </c>
      <c r="B512" s="1871">
        <f>B509+B510+B511</f>
        <v>82166</v>
      </c>
      <c r="C512" s="1871">
        <f t="shared" ref="C512:H512" si="2112">C509+C510+C511</f>
        <v>102219</v>
      </c>
      <c r="D512" s="1871">
        <f t="shared" si="2112"/>
        <v>0</v>
      </c>
      <c r="E512" s="1899">
        <f t="shared" si="2102"/>
        <v>184385</v>
      </c>
      <c r="F512" s="1871">
        <f>F509+F510+F511</f>
        <v>0</v>
      </c>
      <c r="G512" s="1871">
        <f>G509+G510+G511</f>
        <v>0</v>
      </c>
      <c r="H512" s="1871">
        <f t="shared" si="2112"/>
        <v>0</v>
      </c>
      <c r="I512" s="1899">
        <f t="shared" si="2105"/>
        <v>0</v>
      </c>
      <c r="J512" s="1900">
        <f t="shared" si="2106"/>
        <v>184385</v>
      </c>
      <c r="K512" s="1871">
        <f>K509+K510+K511</f>
        <v>0</v>
      </c>
      <c r="L512" s="1871">
        <f>L509+L510+L511</f>
        <v>0</v>
      </c>
      <c r="M512" s="1871">
        <f>M509+M510+M511</f>
        <v>0</v>
      </c>
      <c r="N512" s="1899">
        <f t="shared" si="2107"/>
        <v>0</v>
      </c>
      <c r="O512" s="1900">
        <f t="shared" si="2108"/>
        <v>184385</v>
      </c>
      <c r="P512" s="1871">
        <f>P509+P510+P511</f>
        <v>0</v>
      </c>
      <c r="Q512" s="1871">
        <f>Q509+Q510+Q511</f>
        <v>0</v>
      </c>
      <c r="R512" s="1871">
        <f>R509+R510+R511</f>
        <v>0</v>
      </c>
      <c r="S512" s="1899">
        <f t="shared" si="2092"/>
        <v>0</v>
      </c>
      <c r="T512" s="1901">
        <f t="shared" si="2109"/>
        <v>184385</v>
      </c>
      <c r="U512" s="1515"/>
      <c r="V512" s="1832">
        <f t="shared" si="2110"/>
        <v>184385</v>
      </c>
      <c r="W512" s="2103">
        <f t="shared" si="2111"/>
        <v>0</v>
      </c>
      <c r="X512" s="1515"/>
      <c r="Y512" s="1515"/>
      <c r="Z512" s="2062"/>
      <c r="AA512" s="1515"/>
      <c r="AB512" s="1515"/>
      <c r="AC512" s="1515"/>
      <c r="AD512" s="2062"/>
      <c r="AE512" s="2062"/>
      <c r="AF512" s="1515"/>
      <c r="AG512" s="1515"/>
      <c r="AH512" s="1515"/>
      <c r="AI512" s="2062"/>
      <c r="AJ512" s="2062"/>
      <c r="AK512" s="1515"/>
      <c r="AL512" s="1886"/>
      <c r="AM512" s="1515"/>
      <c r="AN512" s="2062"/>
      <c r="AO512" s="2062"/>
      <c r="AP512" s="1515"/>
      <c r="AQ512" s="1515"/>
      <c r="AR512" s="1515"/>
      <c r="AS512" s="1515"/>
      <c r="AT512" s="1515"/>
      <c r="AU512" s="1515"/>
      <c r="AV512" s="1515"/>
      <c r="AW512" s="1515"/>
      <c r="AX512" s="1515"/>
      <c r="AY512" s="1515"/>
      <c r="AZ512" s="1515"/>
    </row>
    <row r="513" s="2108" customFormat="1">
      <c r="A513" s="1515"/>
      <c r="B513" s="1872">
        <v>24709</v>
      </c>
      <c r="C513" s="1872">
        <v>29774</v>
      </c>
      <c r="D513" s="1908"/>
      <c r="E513" s="1910"/>
      <c r="F513" s="1872"/>
      <c r="G513" s="1908"/>
      <c r="H513" s="1908"/>
      <c r="I513" s="1910"/>
      <c r="J513" s="1910"/>
      <c r="K513" s="1908"/>
      <c r="L513" s="1908"/>
      <c r="M513" s="1908"/>
      <c r="N513" s="1910"/>
      <c r="O513" s="1910"/>
      <c r="P513" s="1872">
        <v>26847</v>
      </c>
      <c r="Q513" s="1908">
        <v>28109</v>
      </c>
      <c r="R513" s="1908">
        <v>27860</v>
      </c>
      <c r="S513" s="1836"/>
      <c r="T513" s="1836"/>
      <c r="U513" s="1515"/>
      <c r="V513" s="1515"/>
      <c r="W513" s="1515"/>
      <c r="X513" s="1515"/>
      <c r="Y513" s="1515"/>
      <c r="Z513" s="2062"/>
      <c r="AA513" s="1515"/>
      <c r="AB513" s="1515"/>
      <c r="AC513" s="1515"/>
      <c r="AD513" s="2062"/>
      <c r="AE513" s="2062"/>
      <c r="AF513" s="1515"/>
      <c r="AG513" s="1515"/>
      <c r="AH513" s="1515"/>
      <c r="AI513" s="2062"/>
      <c r="AJ513" s="2062"/>
      <c r="AK513" s="1515"/>
      <c r="AL513" s="1886"/>
      <c r="AM513" s="1515"/>
      <c r="AN513" s="2062"/>
      <c r="AO513" s="2062"/>
      <c r="AP513" s="1515"/>
      <c r="AQ513" s="1515"/>
      <c r="AR513" s="1515"/>
      <c r="AS513" s="1515"/>
      <c r="AT513" s="1515"/>
      <c r="AU513" s="1515"/>
      <c r="AV513" s="1515"/>
      <c r="AW513" s="1515"/>
      <c r="AX513" s="1515"/>
      <c r="AY513" s="1515"/>
      <c r="AZ513" s="1515"/>
    </row>
    <row r="514" s="2099" customFormat="1">
      <c r="A514" s="1515"/>
      <c r="B514" s="1908">
        <f>B512-B513</f>
        <v>57457</v>
      </c>
      <c r="C514" s="1908">
        <f>C512-C513</f>
        <v>72445</v>
      </c>
      <c r="D514" s="1908"/>
      <c r="E514" s="1910"/>
      <c r="F514" s="1908"/>
      <c r="G514" s="1908"/>
      <c r="H514" s="1908"/>
      <c r="I514" s="1910"/>
      <c r="J514" s="1910"/>
      <c r="K514" s="1908"/>
      <c r="L514" s="1908"/>
      <c r="M514" s="1908"/>
      <c r="N514" s="1910"/>
      <c r="O514" s="1910"/>
      <c r="P514" s="1908">
        <f>P512-P513</f>
        <v>-26847</v>
      </c>
      <c r="Q514" s="1908">
        <f>Q512-Q513</f>
        <v>-28109</v>
      </c>
      <c r="R514" s="1908">
        <f>R512-R513</f>
        <v>-27860</v>
      </c>
      <c r="S514" s="1836"/>
      <c r="T514" s="1836"/>
      <c r="U514" s="1515"/>
      <c r="V514" s="1515"/>
      <c r="W514" s="1515"/>
      <c r="X514" s="1515"/>
      <c r="Y514" s="1515"/>
      <c r="Z514" s="2062"/>
      <c r="AA514" s="1515"/>
      <c r="AB514" s="1515"/>
      <c r="AC514" s="1515"/>
      <c r="AD514" s="2062"/>
      <c r="AE514" s="2062"/>
      <c r="AF514" s="1515"/>
      <c r="AG514" s="1515"/>
      <c r="AH514" s="1515"/>
      <c r="AI514" s="2062"/>
      <c r="AJ514" s="2062"/>
      <c r="AK514" s="1515"/>
      <c r="AL514" s="1886"/>
      <c r="AM514" s="1515"/>
      <c r="AN514" s="2062"/>
      <c r="AO514" s="2062"/>
      <c r="AP514" s="1515"/>
      <c r="AQ514" s="1515"/>
      <c r="AR514" s="1515"/>
      <c r="AS514" s="1515"/>
      <c r="AT514" s="1515"/>
      <c r="AU514" s="1515"/>
      <c r="AV514" s="1515"/>
      <c r="AW514" s="1515"/>
      <c r="AX514" s="1515"/>
      <c r="AY514" s="1515"/>
      <c r="AZ514" s="1515"/>
    </row>
    <row r="515" s="2099" customFormat="1">
      <c r="A515" s="1515"/>
      <c r="B515" s="1908"/>
      <c r="C515" s="1908"/>
      <c r="D515" s="1908"/>
      <c r="E515" s="1910"/>
      <c r="F515" s="1908"/>
      <c r="G515" s="1908"/>
      <c r="H515" s="1908"/>
      <c r="I515" s="1910"/>
      <c r="J515" s="1910"/>
      <c r="K515" s="1908"/>
      <c r="L515" s="1908"/>
      <c r="M515" s="1908"/>
      <c r="N515" s="1910"/>
      <c r="O515" s="1910"/>
      <c r="P515" s="1908"/>
      <c r="Q515" s="1908"/>
      <c r="R515" s="1872"/>
      <c r="S515" s="1836"/>
      <c r="T515" s="1836"/>
      <c r="U515" s="1515"/>
      <c r="V515" s="1515"/>
      <c r="W515" s="1515"/>
      <c r="X515" s="1515"/>
      <c r="Y515" s="1515"/>
      <c r="Z515" s="2062"/>
      <c r="AA515" s="1515"/>
      <c r="AB515" s="1515"/>
      <c r="AC515" s="1515"/>
      <c r="AD515" s="2062"/>
      <c r="AE515" s="2062"/>
      <c r="AF515" s="1515"/>
      <c r="AG515" s="1515"/>
      <c r="AH515" s="1515"/>
      <c r="AI515" s="2062"/>
      <c r="AJ515" s="2062"/>
      <c r="AK515" s="1515"/>
      <c r="AL515" s="1886"/>
      <c r="AM515" s="1515"/>
      <c r="AN515" s="2062"/>
      <c r="AO515" s="2062"/>
      <c r="AP515" s="1515"/>
      <c r="AQ515" s="1515"/>
      <c r="AR515" s="1515"/>
      <c r="AS515" s="1515"/>
      <c r="AT515" s="1515"/>
      <c r="AU515" s="1515"/>
      <c r="AV515" s="1515"/>
      <c r="AW515" s="1515"/>
      <c r="AX515" s="1515"/>
      <c r="AY515" s="1515"/>
      <c r="AZ515" s="1515"/>
    </row>
    <row r="516" s="1434" customFormat="1" ht="32.25" customHeight="1">
      <c r="A516" s="2015" t="s">
        <v>672</v>
      </c>
      <c r="B516" s="1887" t="s">
        <v>607</v>
      </c>
      <c r="C516" s="1888"/>
      <c r="D516" s="1888"/>
      <c r="E516" s="1888"/>
      <c r="F516" s="1888"/>
      <c r="G516" s="1888"/>
      <c r="H516" s="1888"/>
      <c r="I516" s="1888"/>
      <c r="J516" s="1888"/>
      <c r="K516" s="1888"/>
      <c r="L516" s="1888"/>
      <c r="M516" s="1888"/>
      <c r="N516" s="1888"/>
      <c r="O516" s="1888"/>
      <c r="P516" s="1888"/>
      <c r="Q516" s="1888"/>
      <c r="R516" s="1888"/>
      <c r="S516" s="1888"/>
      <c r="T516" s="1889"/>
      <c r="U516" s="1409"/>
      <c r="V516" s="1409"/>
      <c r="W516" s="1409"/>
      <c r="X516" s="1409"/>
      <c r="Y516" s="1409"/>
      <c r="Z516" s="1418"/>
      <c r="AA516" s="1409"/>
      <c r="AB516" s="1409"/>
      <c r="AC516" s="1409"/>
      <c r="AD516" s="1418"/>
      <c r="AE516" s="1418"/>
      <c r="AF516" s="1409"/>
      <c r="AG516" s="1409"/>
      <c r="AH516" s="1409"/>
      <c r="AI516" s="1418"/>
      <c r="AJ516" s="1418"/>
      <c r="AK516" s="1409"/>
      <c r="AL516" s="1417"/>
      <c r="AM516" s="1409"/>
      <c r="AN516" s="1418"/>
      <c r="AO516" s="1418"/>
      <c r="AP516" s="1409"/>
      <c r="AQ516" s="1409"/>
      <c r="AR516" s="1409"/>
      <c r="AS516" s="1409"/>
      <c r="AT516" s="1409"/>
      <c r="AU516" s="1409"/>
      <c r="AV516" s="1409"/>
      <c r="AW516" s="1409"/>
      <c r="AX516" s="1409"/>
      <c r="AY516" s="1409"/>
      <c r="AZ516" s="1409"/>
    </row>
    <row r="517" s="2109" customFormat="1">
      <c r="A517" s="1427" t="s">
        <v>173</v>
      </c>
      <c r="B517" s="1427" t="s">
        <v>6</v>
      </c>
      <c r="C517" s="1427" t="s">
        <v>7</v>
      </c>
      <c r="D517" s="1421" t="s">
        <v>8</v>
      </c>
      <c r="E517" s="1429" t="s">
        <v>9</v>
      </c>
      <c r="F517" s="1421" t="s">
        <v>10</v>
      </c>
      <c r="G517" s="1421" t="s">
        <v>11</v>
      </c>
      <c r="H517" s="1421" t="s">
        <v>12</v>
      </c>
      <c r="I517" s="1425" t="s">
        <v>174</v>
      </c>
      <c r="J517" s="1430" t="s">
        <v>175</v>
      </c>
      <c r="K517" s="1421" t="s">
        <v>14</v>
      </c>
      <c r="L517" s="1421" t="s">
        <v>15</v>
      </c>
      <c r="M517" s="1421" t="s">
        <v>16</v>
      </c>
      <c r="N517" s="1425" t="s">
        <v>17</v>
      </c>
      <c r="O517" s="1430" t="s">
        <v>176</v>
      </c>
      <c r="P517" s="1421" t="s">
        <v>18</v>
      </c>
      <c r="Q517" s="1421" t="s">
        <v>19</v>
      </c>
      <c r="R517" s="1421" t="s">
        <v>20</v>
      </c>
      <c r="S517" s="1448" t="s">
        <v>177</v>
      </c>
      <c r="T517" s="1426" t="s">
        <v>22</v>
      </c>
      <c r="U517" s="1621"/>
      <c r="V517" s="1621"/>
      <c r="W517" s="1621"/>
      <c r="X517" s="1621"/>
      <c r="Y517" s="1621"/>
      <c r="Z517" s="1623"/>
      <c r="AA517" s="1621"/>
      <c r="AB517" s="1621"/>
      <c r="AC517" s="1621"/>
      <c r="AD517" s="1623"/>
      <c r="AE517" s="1623"/>
      <c r="AF517" s="1621"/>
      <c r="AG517" s="1621"/>
      <c r="AH517" s="1621"/>
      <c r="AI517" s="1623"/>
      <c r="AJ517" s="1623"/>
      <c r="AK517" s="1621"/>
      <c r="AL517" s="1622"/>
      <c r="AM517" s="1621"/>
      <c r="AN517" s="1623"/>
      <c r="AO517" s="1623"/>
      <c r="AP517" s="1621"/>
      <c r="AQ517" s="1621"/>
      <c r="AR517" s="1621"/>
      <c r="AS517" s="1621"/>
      <c r="AT517" s="1621"/>
      <c r="AU517" s="1621"/>
      <c r="AV517" s="1621"/>
      <c r="AW517" s="1621"/>
      <c r="AX517" s="1621"/>
      <c r="AY517" s="1621"/>
      <c r="AZ517" s="1621"/>
      <c r="BA517" s="1848"/>
      <c r="BB517" s="1848"/>
      <c r="BC517" s="1848"/>
      <c r="BD517" s="1848"/>
      <c r="BE517" s="1848"/>
      <c r="BF517" s="1848"/>
      <c r="BG517" s="1848"/>
      <c r="BH517" s="1848"/>
      <c r="BI517" s="1848"/>
      <c r="BJ517" s="1848"/>
      <c r="BK517" s="1848"/>
      <c r="BL517" s="1848"/>
      <c r="BM517" s="1848"/>
      <c r="BN517" s="1848"/>
      <c r="BO517" s="1848"/>
      <c r="BP517" s="1848"/>
      <c r="BQ517" s="1848"/>
      <c r="BR517" s="1848"/>
      <c r="BS517" s="1848"/>
      <c r="BT517" s="1848"/>
      <c r="BU517" s="1848"/>
      <c r="BV517" s="1848"/>
      <c r="BW517" s="1848"/>
      <c r="BX517" s="1848"/>
      <c r="BY517" s="1848"/>
      <c r="BZ517" s="1848"/>
      <c r="CA517" s="1848"/>
      <c r="CB517" s="1848"/>
      <c r="CC517" s="1848"/>
      <c r="CD517" s="1848"/>
      <c r="CE517" s="1848"/>
      <c r="CF517" s="1848"/>
      <c r="CG517" s="1848"/>
      <c r="CH517" s="1848"/>
      <c r="CI517" s="1848"/>
      <c r="CJ517" s="1848"/>
      <c r="CK517" s="1848"/>
      <c r="CL517" s="1848"/>
      <c r="CM517" s="1848"/>
      <c r="CN517" s="1848"/>
      <c r="CO517" s="1848"/>
      <c r="CP517" s="1848"/>
      <c r="CQ517" s="1848"/>
      <c r="CR517" s="1848"/>
      <c r="CS517" s="1848"/>
      <c r="CT517" s="1848"/>
      <c r="CU517" s="1848"/>
      <c r="CV517" s="1848"/>
      <c r="CW517" s="1848"/>
      <c r="CX517" s="1848"/>
      <c r="CY517" s="1848"/>
      <c r="CZ517" s="1848"/>
      <c r="DA517" s="1848"/>
      <c r="DB517" s="1848"/>
      <c r="DC517" s="1848"/>
      <c r="DD517" s="1848"/>
      <c r="DE517" s="1848"/>
      <c r="DF517" s="1848"/>
      <c r="DG517" s="1848"/>
      <c r="DH517" s="1848"/>
      <c r="DI517" s="1848"/>
      <c r="DJ517" s="1848"/>
      <c r="DK517" s="1848"/>
      <c r="DL517" s="1848"/>
      <c r="DM517" s="1848"/>
      <c r="DN517" s="1848"/>
      <c r="DO517" s="1848"/>
      <c r="DP517" s="1848"/>
      <c r="DQ517" s="1848"/>
      <c r="DR517" s="1848"/>
      <c r="DS517" s="1848"/>
      <c r="DT517" s="1848"/>
      <c r="DU517" s="1848"/>
      <c r="DV517" s="1848"/>
      <c r="DW517" s="1848"/>
      <c r="DX517" s="1848"/>
      <c r="DY517" s="1848"/>
      <c r="DZ517" s="1848"/>
      <c r="EA517" s="1848"/>
      <c r="EB517" s="1848"/>
      <c r="EC517" s="1848"/>
      <c r="ED517" s="1848"/>
      <c r="EE517" s="1848"/>
      <c r="EF517" s="1848"/>
      <c r="EG517" s="1848"/>
      <c r="EH517" s="1848"/>
      <c r="EI517" s="1848"/>
      <c r="EJ517" s="1848"/>
      <c r="EK517" s="1848"/>
      <c r="EL517" s="1848"/>
      <c r="EM517" s="1848"/>
      <c r="EN517" s="1848"/>
      <c r="EO517" s="1848"/>
      <c r="EP517" s="1848"/>
      <c r="EQ517" s="1848"/>
      <c r="ER517" s="1848"/>
      <c r="ES517" s="1848"/>
      <c r="ET517" s="1848"/>
      <c r="EU517" s="1848"/>
      <c r="EV517" s="1848"/>
      <c r="EW517" s="1848"/>
      <c r="EX517" s="1848"/>
      <c r="EY517" s="1848"/>
      <c r="EZ517" s="1848"/>
      <c r="FA517" s="1848"/>
      <c r="FB517" s="1848"/>
      <c r="FC517" s="1848"/>
      <c r="FD517" s="1848"/>
      <c r="FE517" s="1848"/>
      <c r="FF517" s="1848"/>
      <c r="FG517" s="1848"/>
      <c r="FH517" s="1848"/>
      <c r="FI517" s="1848"/>
      <c r="FJ517" s="1848"/>
      <c r="FK517" s="1848"/>
      <c r="FL517" s="1848"/>
      <c r="FM517" s="1848"/>
      <c r="FN517" s="1848"/>
      <c r="FO517" s="1848"/>
      <c r="FP517" s="1848"/>
      <c r="FQ517" s="1848"/>
      <c r="FR517" s="1848"/>
      <c r="FS517" s="1848"/>
      <c r="FT517" s="1848"/>
      <c r="FU517" s="1848"/>
      <c r="FV517" s="1848"/>
      <c r="FW517" s="1848"/>
      <c r="FX517" s="1848"/>
      <c r="FY517" s="1848"/>
    </row>
    <row r="518" ht="23.25" customHeight="1">
      <c r="A518" s="1179" t="s">
        <v>178</v>
      </c>
      <c r="B518" s="1868">
        <v>687</v>
      </c>
      <c r="C518" s="1868">
        <v>83</v>
      </c>
      <c r="D518" s="1868"/>
      <c r="E518" s="1895">
        <f t="shared" si="2102"/>
        <v>770</v>
      </c>
      <c r="F518" s="1868"/>
      <c r="G518" s="1868"/>
      <c r="H518" s="1868"/>
      <c r="I518" s="1895">
        <f t="shared" si="2105"/>
        <v>0</v>
      </c>
      <c r="J518" s="1896">
        <f t="shared" si="2106"/>
        <v>770</v>
      </c>
      <c r="K518" s="1868"/>
      <c r="L518" s="1868"/>
      <c r="M518" s="1868"/>
      <c r="N518" s="1895">
        <f t="shared" si="2107"/>
        <v>0</v>
      </c>
      <c r="O518" s="1896">
        <f t="shared" si="2108"/>
        <v>770</v>
      </c>
      <c r="P518" s="1868"/>
      <c r="Q518" s="1868"/>
      <c r="R518" s="1868"/>
      <c r="S518" s="1895">
        <f t="shared" si="2092"/>
        <v>0</v>
      </c>
      <c r="T518" s="1897">
        <f t="shared" si="2109"/>
        <v>770</v>
      </c>
      <c r="V518" s="2103"/>
      <c r="W518" s="2103"/>
      <c r="Z518" s="1418"/>
      <c r="AD518" s="1418"/>
      <c r="AE518" s="1418"/>
      <c r="AI518" s="1418"/>
      <c r="AJ518" s="1418"/>
      <c r="AN518" s="1418"/>
    </row>
    <row r="519">
      <c r="A519" s="1179" t="s">
        <v>354</v>
      </c>
      <c r="B519" s="1868">
        <v>1130</v>
      </c>
      <c r="C519" s="1868">
        <v>1404</v>
      </c>
      <c r="D519" s="1868"/>
      <c r="E519" s="1895">
        <f t="shared" si="2102"/>
        <v>2534</v>
      </c>
      <c r="F519" s="1868"/>
      <c r="G519" s="1868"/>
      <c r="H519" s="1868"/>
      <c r="I519" s="1895">
        <f t="shared" si="2105"/>
        <v>0</v>
      </c>
      <c r="J519" s="1896">
        <f t="shared" si="2106"/>
        <v>2534</v>
      </c>
      <c r="K519" s="1868"/>
      <c r="L519" s="1868"/>
      <c r="M519" s="1868"/>
      <c r="N519" s="1895">
        <f t="shared" si="2107"/>
        <v>0</v>
      </c>
      <c r="O519" s="1896">
        <f t="shared" si="2108"/>
        <v>2534</v>
      </c>
      <c r="P519" s="1868"/>
      <c r="Q519" s="1868"/>
      <c r="R519" s="1868"/>
      <c r="S519" s="1895">
        <f t="shared" si="2092"/>
        <v>0</v>
      </c>
      <c r="T519" s="1897">
        <f t="shared" si="2109"/>
        <v>2534</v>
      </c>
      <c r="V519" s="2103"/>
      <c r="W519" s="2103"/>
      <c r="Z519" s="1418"/>
      <c r="AD519" s="1418"/>
      <c r="AE519" s="1418"/>
      <c r="AI519" s="1418"/>
      <c r="AJ519" s="1418"/>
      <c r="AN519" s="1418"/>
    </row>
    <row r="520">
      <c r="A520" s="1179" t="s">
        <v>181</v>
      </c>
      <c r="B520" s="1868">
        <v>1770</v>
      </c>
      <c r="C520" s="1868">
        <v>1215</v>
      </c>
      <c r="D520" s="1868"/>
      <c r="E520" s="1895">
        <f t="shared" si="2102"/>
        <v>2985</v>
      </c>
      <c r="F520" s="1868"/>
      <c r="G520" s="1868"/>
      <c r="H520" s="1868"/>
      <c r="I520" s="1895">
        <f t="shared" si="2105"/>
        <v>0</v>
      </c>
      <c r="J520" s="1896">
        <f t="shared" si="2106"/>
        <v>2985</v>
      </c>
      <c r="K520" s="1868"/>
      <c r="L520" s="1868"/>
      <c r="M520" s="1868"/>
      <c r="N520" s="1895">
        <f t="shared" si="2107"/>
        <v>0</v>
      </c>
      <c r="O520" s="1896">
        <f t="shared" si="2108"/>
        <v>2985</v>
      </c>
      <c r="P520" s="1868"/>
      <c r="Q520" s="1868"/>
      <c r="R520" s="1868"/>
      <c r="S520" s="1895">
        <f t="shared" si="2092"/>
        <v>0</v>
      </c>
      <c r="T520" s="1897">
        <f t="shared" si="2109"/>
        <v>2985</v>
      </c>
      <c r="V520" s="2103"/>
      <c r="W520" s="2103"/>
      <c r="Z520" s="1418"/>
      <c r="AD520" s="1418"/>
      <c r="AE520" s="1418"/>
      <c r="AI520" s="1418"/>
      <c r="AJ520" s="1418"/>
      <c r="AN520" s="1418"/>
    </row>
    <row r="521">
      <c r="A521" s="1179" t="s">
        <v>182</v>
      </c>
      <c r="B521" s="1868">
        <v>394</v>
      </c>
      <c r="C521" s="1868">
        <v>256</v>
      </c>
      <c r="D521" s="1868"/>
      <c r="E521" s="1895">
        <f t="shared" si="2102"/>
        <v>650</v>
      </c>
      <c r="F521" s="1868"/>
      <c r="G521" s="1868"/>
      <c r="H521" s="1868"/>
      <c r="I521" s="1895">
        <f t="shared" si="2105"/>
        <v>0</v>
      </c>
      <c r="J521" s="1896">
        <f t="shared" si="2106"/>
        <v>650</v>
      </c>
      <c r="K521" s="1868"/>
      <c r="L521" s="1868"/>
      <c r="M521" s="1868"/>
      <c r="N521" s="1895">
        <f t="shared" si="2107"/>
        <v>0</v>
      </c>
      <c r="O521" s="1896">
        <f t="shared" si="2108"/>
        <v>650</v>
      </c>
      <c r="P521" s="1868"/>
      <c r="Q521" s="1868"/>
      <c r="R521" s="1868"/>
      <c r="S521" s="1895">
        <f t="shared" si="2092"/>
        <v>0</v>
      </c>
      <c r="T521" s="1897">
        <f t="shared" si="2109"/>
        <v>650</v>
      </c>
      <c r="V521" s="2103"/>
      <c r="W521" s="2103"/>
      <c r="Z521" s="1418"/>
      <c r="AD521" s="1418"/>
      <c r="AE521" s="1418"/>
      <c r="AI521" s="1418"/>
      <c r="AJ521" s="1418"/>
      <c r="AN521" s="1418"/>
    </row>
    <row r="522">
      <c r="A522" s="1179" t="s">
        <v>183</v>
      </c>
      <c r="B522" s="1868">
        <v>1228</v>
      </c>
      <c r="C522" s="1868">
        <v>403</v>
      </c>
      <c r="D522" s="1868"/>
      <c r="E522" s="1895">
        <f t="shared" si="2102"/>
        <v>1631</v>
      </c>
      <c r="F522" s="1868"/>
      <c r="G522" s="1868"/>
      <c r="H522" s="1868"/>
      <c r="I522" s="1895">
        <f t="shared" si="2105"/>
        <v>0</v>
      </c>
      <c r="J522" s="1896">
        <f t="shared" si="2106"/>
        <v>1631</v>
      </c>
      <c r="K522" s="1868"/>
      <c r="L522" s="1868"/>
      <c r="M522" s="1868"/>
      <c r="N522" s="1895">
        <f t="shared" si="2107"/>
        <v>0</v>
      </c>
      <c r="O522" s="1896">
        <f t="shared" si="2108"/>
        <v>1631</v>
      </c>
      <c r="P522" s="1868"/>
      <c r="Q522" s="1868"/>
      <c r="R522" s="1868"/>
      <c r="S522" s="1895">
        <f t="shared" si="2092"/>
        <v>0</v>
      </c>
      <c r="T522" s="1897">
        <f t="shared" si="2109"/>
        <v>1631</v>
      </c>
      <c r="V522" s="2103"/>
      <c r="W522" s="2103"/>
      <c r="Z522" s="1418"/>
      <c r="AD522" s="1418"/>
      <c r="AE522" s="1418"/>
      <c r="AI522" s="1418"/>
      <c r="AJ522" s="1418"/>
      <c r="AN522" s="1418"/>
    </row>
    <row r="523">
      <c r="A523" s="1179" t="s">
        <v>184</v>
      </c>
      <c r="B523" s="1868">
        <v>48</v>
      </c>
      <c r="C523" s="1868">
        <v>366</v>
      </c>
      <c r="D523" s="1868"/>
      <c r="E523" s="1895">
        <f t="shared" si="2102"/>
        <v>414</v>
      </c>
      <c r="F523" s="1868"/>
      <c r="G523" s="1868"/>
      <c r="H523" s="1868"/>
      <c r="I523" s="1895">
        <f t="shared" si="2105"/>
        <v>0</v>
      </c>
      <c r="J523" s="1896">
        <f t="shared" si="2106"/>
        <v>414</v>
      </c>
      <c r="K523" s="1868"/>
      <c r="L523" s="1868"/>
      <c r="M523" s="1868"/>
      <c r="N523" s="1895">
        <f t="shared" si="2107"/>
        <v>0</v>
      </c>
      <c r="O523" s="1896">
        <f t="shared" si="2108"/>
        <v>414</v>
      </c>
      <c r="P523" s="1868"/>
      <c r="Q523" s="1868"/>
      <c r="R523" s="1868"/>
      <c r="S523" s="1895">
        <f t="shared" si="2092"/>
        <v>0</v>
      </c>
      <c r="T523" s="1897">
        <f t="shared" si="2109"/>
        <v>414</v>
      </c>
      <c r="V523" s="2103"/>
      <c r="W523" s="2103"/>
      <c r="Z523" s="1418"/>
      <c r="AD523" s="1418"/>
      <c r="AE523" s="1418"/>
      <c r="AI523" s="1418"/>
      <c r="AJ523" s="1418"/>
      <c r="AN523" s="1418"/>
    </row>
    <row r="524">
      <c r="A524" s="375" t="s">
        <v>652</v>
      </c>
      <c r="B524" s="1868">
        <v>404</v>
      </c>
      <c r="C524" s="1868">
        <v>67</v>
      </c>
      <c r="D524" s="1868"/>
      <c r="E524" s="1895">
        <f t="shared" si="2102"/>
        <v>471</v>
      </c>
      <c r="F524" s="1868"/>
      <c r="G524" s="1868"/>
      <c r="H524" s="1868"/>
      <c r="I524" s="1895">
        <f t="shared" si="2105"/>
        <v>0</v>
      </c>
      <c r="J524" s="1896">
        <f t="shared" si="2106"/>
        <v>471</v>
      </c>
      <c r="K524" s="1868"/>
      <c r="L524" s="1868"/>
      <c r="M524" s="1868"/>
      <c r="N524" s="1895">
        <f t="shared" si="2107"/>
        <v>0</v>
      </c>
      <c r="O524" s="1896">
        <f t="shared" si="2108"/>
        <v>471</v>
      </c>
      <c r="P524" s="1868"/>
      <c r="Q524" s="1868"/>
      <c r="R524" s="1868"/>
      <c r="S524" s="1895">
        <f t="shared" ref="S524:S587" si="2113">P524+Q524+R524</f>
        <v>0</v>
      </c>
      <c r="T524" s="1897">
        <f t="shared" si="2109"/>
        <v>471</v>
      </c>
      <c r="V524" s="2103"/>
      <c r="W524" s="2103"/>
      <c r="Z524" s="1418"/>
      <c r="AD524" s="1418"/>
      <c r="AE524" s="1418"/>
      <c r="AI524" s="1418"/>
      <c r="AJ524" s="1418"/>
      <c r="AN524" s="1418"/>
    </row>
    <row r="525">
      <c r="A525" s="1179" t="s">
        <v>185</v>
      </c>
      <c r="B525" s="1868">
        <v>14</v>
      </c>
      <c r="C525" s="1868">
        <v>35</v>
      </c>
      <c r="D525" s="1868"/>
      <c r="E525" s="1895">
        <f t="shared" si="2102"/>
        <v>49</v>
      </c>
      <c r="F525" s="1868"/>
      <c r="G525" s="1868"/>
      <c r="H525" s="1868"/>
      <c r="I525" s="1895">
        <f t="shared" si="2105"/>
        <v>0</v>
      </c>
      <c r="J525" s="1896">
        <f t="shared" si="2106"/>
        <v>49</v>
      </c>
      <c r="K525" s="1868"/>
      <c r="L525" s="1868"/>
      <c r="M525" s="1868"/>
      <c r="N525" s="1895">
        <f t="shared" si="2107"/>
        <v>0</v>
      </c>
      <c r="O525" s="1896">
        <f t="shared" si="2108"/>
        <v>49</v>
      </c>
      <c r="P525" s="1868"/>
      <c r="Q525" s="1868"/>
      <c r="R525" s="1868"/>
      <c r="S525" s="1895">
        <f t="shared" si="2113"/>
        <v>0</v>
      </c>
      <c r="T525" s="1897">
        <f t="shared" si="2109"/>
        <v>49</v>
      </c>
      <c r="V525" s="2103"/>
      <c r="W525" s="2103"/>
      <c r="Z525" s="1418"/>
      <c r="AD525" s="1418"/>
      <c r="AE525" s="1418"/>
      <c r="AI525" s="1418"/>
      <c r="AJ525" s="1418"/>
      <c r="AN525" s="1418"/>
    </row>
    <row r="526" s="1510" customFormat="1">
      <c r="A526" s="1511" t="s">
        <v>673</v>
      </c>
      <c r="B526" s="1871">
        <f t="shared" ref="B526:H526" si="2114">SUM(B518:B525)</f>
        <v>5675</v>
      </c>
      <c r="C526" s="1871">
        <f>SUM(C518:C525)</f>
        <v>3829</v>
      </c>
      <c r="D526" s="1871">
        <f t="shared" si="2114"/>
        <v>0</v>
      </c>
      <c r="E526" s="1899">
        <f t="shared" si="2102"/>
        <v>9504</v>
      </c>
      <c r="F526" s="1871">
        <f>SUM(F518:F525)</f>
        <v>0</v>
      </c>
      <c r="G526" s="1871">
        <f>SUM(G518:G525)</f>
        <v>0</v>
      </c>
      <c r="H526" s="1871">
        <f t="shared" si="2114"/>
        <v>0</v>
      </c>
      <c r="I526" s="1899">
        <f t="shared" si="2105"/>
        <v>0</v>
      </c>
      <c r="J526" s="1900">
        <f t="shared" si="2106"/>
        <v>9504</v>
      </c>
      <c r="K526" s="1871">
        <f>SUM(K518:K525)</f>
        <v>0</v>
      </c>
      <c r="L526" s="1871">
        <f>SUM(L518:L525)</f>
        <v>0</v>
      </c>
      <c r="M526" s="1871">
        <f t="shared" ref="M526:R526" si="2115">SUM(M518:M525)</f>
        <v>0</v>
      </c>
      <c r="N526" s="1899">
        <f t="shared" si="2107"/>
        <v>0</v>
      </c>
      <c r="O526" s="1900">
        <f t="shared" si="2108"/>
        <v>9504</v>
      </c>
      <c r="P526" s="1871">
        <f t="shared" si="2115"/>
        <v>0</v>
      </c>
      <c r="Q526" s="1871">
        <f t="shared" si="2115"/>
        <v>0</v>
      </c>
      <c r="R526" s="1871">
        <f t="shared" si="2115"/>
        <v>0</v>
      </c>
      <c r="S526" s="1899">
        <f t="shared" si="2113"/>
        <v>0</v>
      </c>
      <c r="T526" s="1901">
        <f>SUM(T518:T525)</f>
        <v>9504</v>
      </c>
      <c r="U526" s="1515"/>
      <c r="V526" s="2103"/>
      <c r="W526" s="2103"/>
      <c r="X526" s="1515"/>
      <c r="Y526" s="1515"/>
      <c r="Z526" s="2062"/>
      <c r="AA526" s="1515"/>
      <c r="AB526" s="1515"/>
      <c r="AC526" s="1515"/>
      <c r="AD526" s="2062"/>
      <c r="AE526" s="2062"/>
      <c r="AF526" s="1515"/>
      <c r="AG526" s="1515"/>
      <c r="AH526" s="1515"/>
      <c r="AI526" s="2062"/>
      <c r="AJ526" s="2062"/>
      <c r="AK526" s="1515"/>
      <c r="AL526" s="1886"/>
      <c r="AM526" s="1515"/>
      <c r="AN526" s="2062"/>
      <c r="AO526" s="2062"/>
      <c r="AP526" s="1515"/>
      <c r="AQ526" s="1515"/>
      <c r="AR526" s="1515"/>
      <c r="AS526" s="1515"/>
      <c r="AT526" s="1515"/>
      <c r="AU526" s="1515"/>
      <c r="AV526" s="1515"/>
      <c r="AW526" s="1515"/>
      <c r="AX526" s="1515"/>
      <c r="AY526" s="1515"/>
      <c r="AZ526" s="1515"/>
    </row>
    <row r="527">
      <c r="A527" s="1179" t="s">
        <v>194</v>
      </c>
      <c r="B527" s="1868"/>
      <c r="C527" s="1868"/>
      <c r="D527" s="1868"/>
      <c r="E527" s="1895">
        <f t="shared" si="2102"/>
        <v>0</v>
      </c>
      <c r="F527" s="1868"/>
      <c r="G527" s="1868"/>
      <c r="H527" s="1868"/>
      <c r="I527" s="1895">
        <f t="shared" si="2105"/>
        <v>0</v>
      </c>
      <c r="J527" s="1896">
        <f t="shared" si="2106"/>
        <v>0</v>
      </c>
      <c r="K527" s="1868"/>
      <c r="L527" s="1868"/>
      <c r="M527" s="1868"/>
      <c r="N527" s="1895">
        <f t="shared" si="2107"/>
        <v>0</v>
      </c>
      <c r="O527" s="1896">
        <f t="shared" si="2108"/>
        <v>0</v>
      </c>
      <c r="P527" s="1868"/>
      <c r="Q527" s="1868"/>
      <c r="R527" s="1868"/>
      <c r="S527" s="1895">
        <f t="shared" si="2113"/>
        <v>0</v>
      </c>
      <c r="T527" s="1897">
        <f t="shared" si="2109"/>
        <v>0</v>
      </c>
      <c r="V527" s="2103"/>
      <c r="W527" s="2103"/>
      <c r="Z527" s="1418"/>
      <c r="AD527" s="1418"/>
      <c r="AE527" s="1418"/>
      <c r="AI527" s="1418"/>
      <c r="AJ527" s="1418"/>
      <c r="AN527" s="1418"/>
    </row>
    <row r="528">
      <c r="A528" s="1179" t="s">
        <v>674</v>
      </c>
      <c r="B528" s="1868">
        <v>1449</v>
      </c>
      <c r="C528" s="1868">
        <v>802</v>
      </c>
      <c r="D528" s="1868"/>
      <c r="E528" s="1895">
        <f t="shared" si="2102"/>
        <v>2251</v>
      </c>
      <c r="F528" s="1868"/>
      <c r="G528" s="1868"/>
      <c r="H528" s="1868"/>
      <c r="I528" s="1895">
        <f t="shared" si="2105"/>
        <v>0</v>
      </c>
      <c r="J528" s="1896">
        <f t="shared" si="2106"/>
        <v>2251</v>
      </c>
      <c r="K528" s="1868"/>
      <c r="L528" s="1868"/>
      <c r="M528" s="1868"/>
      <c r="N528" s="1895">
        <f t="shared" si="2107"/>
        <v>0</v>
      </c>
      <c r="O528" s="1896">
        <f t="shared" si="2108"/>
        <v>2251</v>
      </c>
      <c r="P528" s="1868"/>
      <c r="Q528" s="1868"/>
      <c r="R528" s="1868"/>
      <c r="S528" s="1895">
        <f t="shared" si="2113"/>
        <v>0</v>
      </c>
      <c r="T528" s="1897">
        <f t="shared" si="2109"/>
        <v>2251</v>
      </c>
      <c r="V528" s="2103"/>
      <c r="W528" s="2103"/>
      <c r="Z528" s="1418"/>
      <c r="AD528" s="1418"/>
      <c r="AE528" s="1418"/>
      <c r="AI528" s="1418"/>
      <c r="AJ528" s="1418"/>
      <c r="AN528" s="1418"/>
    </row>
    <row r="529">
      <c r="A529" s="1179" t="s">
        <v>196</v>
      </c>
      <c r="B529" s="1868">
        <v>573</v>
      </c>
      <c r="C529" s="1868">
        <v>902</v>
      </c>
      <c r="D529" s="1868"/>
      <c r="E529" s="1895">
        <f t="shared" si="2102"/>
        <v>1475</v>
      </c>
      <c r="F529" s="1868"/>
      <c r="G529" s="1868"/>
      <c r="H529" s="1868"/>
      <c r="I529" s="1895">
        <f t="shared" si="2105"/>
        <v>0</v>
      </c>
      <c r="J529" s="1896">
        <f t="shared" si="2106"/>
        <v>1475</v>
      </c>
      <c r="K529" s="1868"/>
      <c r="L529" s="1868"/>
      <c r="M529" s="1868"/>
      <c r="N529" s="1895">
        <f t="shared" si="2107"/>
        <v>0</v>
      </c>
      <c r="O529" s="1896">
        <f t="shared" si="2108"/>
        <v>1475</v>
      </c>
      <c r="P529" s="1868"/>
      <c r="Q529" s="1868"/>
      <c r="R529" s="1868"/>
      <c r="S529" s="1895">
        <f t="shared" si="2113"/>
        <v>0</v>
      </c>
      <c r="T529" s="1897">
        <f t="shared" si="2109"/>
        <v>1475</v>
      </c>
      <c r="V529" s="2103"/>
      <c r="W529" s="2103"/>
      <c r="Z529" s="1418"/>
      <c r="AD529" s="1418"/>
      <c r="AE529" s="1418"/>
      <c r="AI529" s="1418"/>
      <c r="AJ529" s="1418"/>
      <c r="AN529" s="1418"/>
    </row>
    <row r="530">
      <c r="A530" s="1179" t="s">
        <v>367</v>
      </c>
      <c r="B530" s="1868"/>
      <c r="C530" s="1868"/>
      <c r="D530" s="1868"/>
      <c r="E530" s="1895">
        <f t="shared" si="2102"/>
        <v>0</v>
      </c>
      <c r="F530" s="1868"/>
      <c r="G530" s="1868"/>
      <c r="H530" s="1868"/>
      <c r="I530" s="1895">
        <f t="shared" si="2105"/>
        <v>0</v>
      </c>
      <c r="J530" s="1896">
        <f t="shared" si="2106"/>
        <v>0</v>
      </c>
      <c r="K530" s="1868"/>
      <c r="L530" s="1868"/>
      <c r="M530" s="1868"/>
      <c r="N530" s="1895">
        <f t="shared" si="2107"/>
        <v>0</v>
      </c>
      <c r="O530" s="1896">
        <f t="shared" si="2108"/>
        <v>0</v>
      </c>
      <c r="P530" s="1868"/>
      <c r="Q530" s="1868"/>
      <c r="R530" s="1868"/>
      <c r="S530" s="1895">
        <f t="shared" si="2113"/>
        <v>0</v>
      </c>
      <c r="T530" s="1897">
        <f t="shared" si="2109"/>
        <v>0</v>
      </c>
      <c r="V530" s="2103"/>
      <c r="W530" s="2103"/>
      <c r="Z530" s="1418"/>
      <c r="AD530" s="1418"/>
      <c r="AE530" s="1418"/>
      <c r="AI530" s="1418"/>
      <c r="AJ530" s="1418"/>
      <c r="AN530" s="1418"/>
    </row>
    <row r="531">
      <c r="A531" s="1179" t="s">
        <v>201</v>
      </c>
      <c r="B531" s="1868">
        <v>522</v>
      </c>
      <c r="C531" s="1868">
        <v>433</v>
      </c>
      <c r="D531" s="1868"/>
      <c r="E531" s="1895">
        <f t="shared" si="2102"/>
        <v>955</v>
      </c>
      <c r="F531" s="1868"/>
      <c r="G531" s="1868"/>
      <c r="H531" s="1868"/>
      <c r="I531" s="1895">
        <f t="shared" si="2105"/>
        <v>0</v>
      </c>
      <c r="J531" s="1896">
        <f t="shared" si="2106"/>
        <v>955</v>
      </c>
      <c r="K531" s="1868"/>
      <c r="L531" s="1868"/>
      <c r="M531" s="1868"/>
      <c r="N531" s="1895">
        <f t="shared" si="2107"/>
        <v>0</v>
      </c>
      <c r="O531" s="1896">
        <f t="shared" si="2108"/>
        <v>955</v>
      </c>
      <c r="P531" s="1868"/>
      <c r="Q531" s="1868"/>
      <c r="R531" s="1868"/>
      <c r="S531" s="1895">
        <f t="shared" si="2113"/>
        <v>0</v>
      </c>
      <c r="T531" s="1897">
        <f t="shared" si="2109"/>
        <v>955</v>
      </c>
      <c r="V531" s="2103"/>
      <c r="W531" s="2103"/>
      <c r="Z531" s="1418"/>
      <c r="AD531" s="1418"/>
      <c r="AE531" s="1418"/>
      <c r="AI531" s="1418"/>
      <c r="AJ531" s="1418"/>
      <c r="AN531" s="1418"/>
    </row>
    <row r="532">
      <c r="A532" s="1179" t="s">
        <v>203</v>
      </c>
      <c r="B532" s="1868">
        <v>171</v>
      </c>
      <c r="C532" s="1868">
        <v>60</v>
      </c>
      <c r="D532" s="1868"/>
      <c r="E532" s="1895">
        <f t="shared" si="2102"/>
        <v>231</v>
      </c>
      <c r="F532" s="1868"/>
      <c r="G532" s="1868"/>
      <c r="H532" s="1868"/>
      <c r="I532" s="1895">
        <f t="shared" si="2105"/>
        <v>0</v>
      </c>
      <c r="J532" s="1896">
        <f t="shared" si="2106"/>
        <v>231</v>
      </c>
      <c r="K532" s="1868"/>
      <c r="L532" s="1868"/>
      <c r="M532" s="1868"/>
      <c r="N532" s="1895">
        <f t="shared" si="2107"/>
        <v>0</v>
      </c>
      <c r="O532" s="1896">
        <f t="shared" si="2108"/>
        <v>231</v>
      </c>
      <c r="P532" s="1868"/>
      <c r="Q532" s="1868"/>
      <c r="R532" s="1868"/>
      <c r="S532" s="1895">
        <f t="shared" si="2113"/>
        <v>0</v>
      </c>
      <c r="T532" s="1897">
        <f t="shared" si="2109"/>
        <v>231</v>
      </c>
      <c r="V532" s="2103"/>
      <c r="W532" s="2103"/>
      <c r="Z532" s="1418"/>
      <c r="AD532" s="1418"/>
      <c r="AE532" s="1418"/>
      <c r="AI532" s="1418"/>
      <c r="AJ532" s="1418"/>
      <c r="AN532" s="1418"/>
    </row>
    <row r="533">
      <c r="A533" s="1179" t="s">
        <v>204</v>
      </c>
      <c r="B533" s="1868">
        <v>158</v>
      </c>
      <c r="C533" s="1868">
        <v>88</v>
      </c>
      <c r="D533" s="1868"/>
      <c r="E533" s="1895">
        <f t="shared" si="2102"/>
        <v>246</v>
      </c>
      <c r="F533" s="1868"/>
      <c r="G533" s="1868"/>
      <c r="H533" s="1868"/>
      <c r="I533" s="1895">
        <f t="shared" si="2105"/>
        <v>0</v>
      </c>
      <c r="J533" s="1896">
        <f t="shared" si="2106"/>
        <v>246</v>
      </c>
      <c r="K533" s="1868"/>
      <c r="L533" s="1868"/>
      <c r="M533" s="1868"/>
      <c r="N533" s="1895">
        <f t="shared" si="2107"/>
        <v>0</v>
      </c>
      <c r="O533" s="1896">
        <f t="shared" si="2108"/>
        <v>246</v>
      </c>
      <c r="P533" s="1868"/>
      <c r="Q533" s="1868"/>
      <c r="R533" s="1868"/>
      <c r="S533" s="1895">
        <f t="shared" si="2113"/>
        <v>0</v>
      </c>
      <c r="T533" s="1897">
        <f t="shared" si="2109"/>
        <v>246</v>
      </c>
      <c r="V533" s="2103"/>
      <c r="W533" s="2103"/>
      <c r="Z533" s="1418"/>
      <c r="AD533" s="1418"/>
      <c r="AE533" s="1418"/>
      <c r="AI533" s="1418"/>
      <c r="AJ533" s="1418"/>
      <c r="AN533" s="1418"/>
    </row>
    <row r="534">
      <c r="A534" s="1179" t="s">
        <v>675</v>
      </c>
      <c r="B534" s="1868">
        <v>1765</v>
      </c>
      <c r="C534" s="1868">
        <v>1002</v>
      </c>
      <c r="D534" s="1868"/>
      <c r="E534" s="1895">
        <f t="shared" si="2102"/>
        <v>2767</v>
      </c>
      <c r="F534" s="1868"/>
      <c r="G534" s="1868"/>
      <c r="H534" s="1868"/>
      <c r="I534" s="1895">
        <f t="shared" si="2105"/>
        <v>0</v>
      </c>
      <c r="J534" s="1896">
        <f t="shared" si="2106"/>
        <v>2767</v>
      </c>
      <c r="K534" s="1868"/>
      <c r="L534" s="1868"/>
      <c r="M534" s="1868"/>
      <c r="N534" s="1895">
        <f t="shared" si="2107"/>
        <v>0</v>
      </c>
      <c r="O534" s="1896">
        <f t="shared" si="2108"/>
        <v>2767</v>
      </c>
      <c r="P534" s="1868"/>
      <c r="Q534" s="1868"/>
      <c r="R534" s="1868"/>
      <c r="S534" s="1895">
        <f t="shared" si="2113"/>
        <v>0</v>
      </c>
      <c r="T534" s="1897">
        <f t="shared" si="2109"/>
        <v>2767</v>
      </c>
      <c r="V534" s="2103"/>
      <c r="W534" s="2103"/>
      <c r="Z534" s="1418"/>
      <c r="AD534" s="1418"/>
      <c r="AE534" s="1418"/>
      <c r="AI534" s="1418"/>
      <c r="AJ534" s="1418"/>
      <c r="AN534" s="1418"/>
    </row>
    <row r="535">
      <c r="A535" s="1179" t="s">
        <v>206</v>
      </c>
      <c r="B535" s="1868">
        <v>934</v>
      </c>
      <c r="C535" s="1868">
        <v>465</v>
      </c>
      <c r="D535" s="1868"/>
      <c r="E535" s="1895">
        <f t="shared" si="2102"/>
        <v>1399</v>
      </c>
      <c r="F535" s="1868"/>
      <c r="G535" s="1868"/>
      <c r="H535" s="1868"/>
      <c r="I535" s="1895">
        <f t="shared" si="2105"/>
        <v>0</v>
      </c>
      <c r="J535" s="1896">
        <f t="shared" si="2106"/>
        <v>1399</v>
      </c>
      <c r="K535" s="1868"/>
      <c r="L535" s="1868"/>
      <c r="M535" s="1868"/>
      <c r="N535" s="1895">
        <f t="shared" si="2107"/>
        <v>0</v>
      </c>
      <c r="O535" s="1896">
        <f t="shared" si="2108"/>
        <v>1399</v>
      </c>
      <c r="P535" s="1868"/>
      <c r="Q535" s="1868"/>
      <c r="R535" s="1868"/>
      <c r="S535" s="1895">
        <f t="shared" si="2113"/>
        <v>0</v>
      </c>
      <c r="T535" s="1897">
        <f t="shared" si="2109"/>
        <v>1399</v>
      </c>
      <c r="V535" s="2103"/>
      <c r="W535" s="2103"/>
      <c r="Z535" s="1418"/>
      <c r="AD535" s="1418"/>
      <c r="AE535" s="1418"/>
      <c r="AI535" s="1418"/>
      <c r="AJ535" s="1418"/>
      <c r="AN535" s="1418"/>
    </row>
    <row r="536">
      <c r="A536" s="1179" t="s">
        <v>207</v>
      </c>
      <c r="B536" s="1868">
        <v>380</v>
      </c>
      <c r="C536" s="1868">
        <v>537</v>
      </c>
      <c r="D536" s="1868"/>
      <c r="E536" s="1895">
        <f t="shared" si="2102"/>
        <v>917</v>
      </c>
      <c r="F536" s="1868"/>
      <c r="G536" s="1868"/>
      <c r="H536" s="1868"/>
      <c r="I536" s="1895">
        <f t="shared" si="2105"/>
        <v>0</v>
      </c>
      <c r="J536" s="1896">
        <f t="shared" si="2106"/>
        <v>917</v>
      </c>
      <c r="K536" s="1868"/>
      <c r="L536" s="1868"/>
      <c r="M536" s="1868"/>
      <c r="N536" s="1895">
        <f t="shared" si="2107"/>
        <v>0</v>
      </c>
      <c r="O536" s="1896">
        <f t="shared" si="2108"/>
        <v>917</v>
      </c>
      <c r="P536" s="1868"/>
      <c r="Q536" s="1868"/>
      <c r="R536" s="1868"/>
      <c r="S536" s="1895">
        <f t="shared" si="2113"/>
        <v>0</v>
      </c>
      <c r="T536" s="1897">
        <f t="shared" si="2109"/>
        <v>917</v>
      </c>
      <c r="V536" s="2103"/>
      <c r="W536" s="2103"/>
      <c r="Z536" s="1418"/>
      <c r="AD536" s="1418"/>
      <c r="AE536" s="1418"/>
      <c r="AI536" s="1418"/>
      <c r="AJ536" s="1418"/>
      <c r="AN536" s="1418"/>
    </row>
    <row r="537">
      <c r="A537" s="1179" t="s">
        <v>209</v>
      </c>
      <c r="B537" s="1868">
        <v>747</v>
      </c>
      <c r="C537" s="1868">
        <v>134</v>
      </c>
      <c r="D537" s="1868"/>
      <c r="E537" s="1895">
        <f t="shared" si="2102"/>
        <v>881</v>
      </c>
      <c r="F537" s="1868"/>
      <c r="G537" s="1868"/>
      <c r="H537" s="1868"/>
      <c r="I537" s="1895">
        <f t="shared" si="2105"/>
        <v>0</v>
      </c>
      <c r="J537" s="1896">
        <f t="shared" si="2106"/>
        <v>881</v>
      </c>
      <c r="K537" s="1868"/>
      <c r="L537" s="1868"/>
      <c r="M537" s="1868"/>
      <c r="N537" s="1895">
        <f t="shared" si="2107"/>
        <v>0</v>
      </c>
      <c r="O537" s="1896">
        <f t="shared" si="2108"/>
        <v>881</v>
      </c>
      <c r="P537" s="1868"/>
      <c r="Q537" s="1868"/>
      <c r="R537" s="1868"/>
      <c r="S537" s="1895">
        <f t="shared" si="2113"/>
        <v>0</v>
      </c>
      <c r="T537" s="1897">
        <f t="shared" si="2109"/>
        <v>881</v>
      </c>
      <c r="V537" s="2103"/>
      <c r="W537" s="2103"/>
      <c r="Z537" s="1418"/>
      <c r="AD537" s="1418"/>
      <c r="AE537" s="1418"/>
      <c r="AI537" s="1418"/>
      <c r="AJ537" s="1418"/>
      <c r="AN537" s="1418"/>
    </row>
    <row r="538">
      <c r="A538" s="1179" t="s">
        <v>210</v>
      </c>
      <c r="B538" s="1868">
        <v>459</v>
      </c>
      <c r="C538" s="1868">
        <v>227</v>
      </c>
      <c r="D538" s="1868"/>
      <c r="E538" s="1895">
        <f t="shared" si="2102"/>
        <v>686</v>
      </c>
      <c r="F538" s="1868"/>
      <c r="G538" s="1868"/>
      <c r="H538" s="1868"/>
      <c r="I538" s="1895">
        <f t="shared" si="2105"/>
        <v>0</v>
      </c>
      <c r="J538" s="1896">
        <f t="shared" si="2106"/>
        <v>686</v>
      </c>
      <c r="K538" s="1868"/>
      <c r="L538" s="1868"/>
      <c r="M538" s="1868"/>
      <c r="N538" s="1895">
        <f t="shared" si="2107"/>
        <v>0</v>
      </c>
      <c r="O538" s="1896">
        <f t="shared" si="2108"/>
        <v>686</v>
      </c>
      <c r="P538" s="1868"/>
      <c r="Q538" s="1868"/>
      <c r="R538" s="1868"/>
      <c r="S538" s="1895">
        <f t="shared" si="2113"/>
        <v>0</v>
      </c>
      <c r="T538" s="1897">
        <f t="shared" si="2109"/>
        <v>686</v>
      </c>
      <c r="V538" s="2103"/>
      <c r="W538" s="2103"/>
      <c r="Z538" s="1418"/>
      <c r="AD538" s="1418"/>
      <c r="AE538" s="1418"/>
      <c r="AI538" s="1418"/>
      <c r="AJ538" s="1418"/>
      <c r="AN538" s="1418"/>
    </row>
    <row r="539">
      <c r="A539" s="1179" t="s">
        <v>211</v>
      </c>
      <c r="B539" s="1868">
        <v>2248</v>
      </c>
      <c r="C539" s="1868">
        <v>1190</v>
      </c>
      <c r="D539" s="1868"/>
      <c r="E539" s="1895">
        <f t="shared" si="2102"/>
        <v>3438</v>
      </c>
      <c r="F539" s="1868"/>
      <c r="G539" s="1868"/>
      <c r="H539" s="1868"/>
      <c r="I539" s="1895">
        <f t="shared" si="2105"/>
        <v>0</v>
      </c>
      <c r="J539" s="1896">
        <f t="shared" si="2106"/>
        <v>3438</v>
      </c>
      <c r="K539" s="1868"/>
      <c r="L539" s="1868"/>
      <c r="M539" s="1868"/>
      <c r="N539" s="1895">
        <f t="shared" si="2107"/>
        <v>0</v>
      </c>
      <c r="O539" s="1896">
        <f t="shared" si="2108"/>
        <v>3438</v>
      </c>
      <c r="P539" s="1868"/>
      <c r="Q539" s="1868"/>
      <c r="R539" s="1868"/>
      <c r="S539" s="1895">
        <f t="shared" si="2113"/>
        <v>0</v>
      </c>
      <c r="T539" s="1897">
        <f t="shared" si="2109"/>
        <v>3438</v>
      </c>
      <c r="V539" s="2103"/>
      <c r="W539" s="2103"/>
      <c r="Z539" s="1418"/>
      <c r="AD539" s="1418"/>
      <c r="AE539" s="1418"/>
      <c r="AI539" s="1418"/>
      <c r="AJ539" s="1418"/>
      <c r="AN539" s="1418"/>
    </row>
    <row r="540" s="1510" customFormat="1">
      <c r="A540" s="1511" t="s">
        <v>676</v>
      </c>
      <c r="B540" s="1871">
        <f>SUM(B527:B539)</f>
        <v>9406</v>
      </c>
      <c r="C540" s="1871">
        <f>SUM(C527:C539)</f>
        <v>5840</v>
      </c>
      <c r="D540" s="1871">
        <f>SUM(D527:D539)</f>
        <v>0</v>
      </c>
      <c r="E540" s="1899">
        <f t="shared" si="2102"/>
        <v>15246</v>
      </c>
      <c r="F540" s="1871">
        <f>SUM(F527:F539)</f>
        <v>0</v>
      </c>
      <c r="G540" s="1871">
        <f>SUM(G527:G539)</f>
        <v>0</v>
      </c>
      <c r="H540" s="1871">
        <f>SUM(H527:H539)</f>
        <v>0</v>
      </c>
      <c r="I540" s="1899">
        <f t="shared" si="2105"/>
        <v>0</v>
      </c>
      <c r="J540" s="1900">
        <f t="shared" si="2106"/>
        <v>15246</v>
      </c>
      <c r="K540" s="1871">
        <f>SUM(K527:K539)</f>
        <v>0</v>
      </c>
      <c r="L540" s="1871">
        <f>SUM(L527:L539)</f>
        <v>0</v>
      </c>
      <c r="M540" s="1871">
        <f>SUM(M527:M539)</f>
        <v>0</v>
      </c>
      <c r="N540" s="1899">
        <f t="shared" si="2107"/>
        <v>0</v>
      </c>
      <c r="O540" s="1900">
        <f t="shared" si="2108"/>
        <v>15246</v>
      </c>
      <c r="P540" s="1871">
        <f>SUM(P527:P539)</f>
        <v>0</v>
      </c>
      <c r="Q540" s="1871">
        <f>SUM(Q527:Q539)</f>
        <v>0</v>
      </c>
      <c r="R540" s="1871">
        <f>SUM(R527:R539)</f>
        <v>0</v>
      </c>
      <c r="S540" s="1899">
        <f t="shared" si="2113"/>
        <v>0</v>
      </c>
      <c r="T540" s="1901">
        <f>SUM(T527:T539)</f>
        <v>15246</v>
      </c>
      <c r="U540" s="1515"/>
      <c r="V540" s="2103"/>
      <c r="W540" s="2103"/>
      <c r="X540" s="1515"/>
      <c r="Y540" s="1515"/>
      <c r="Z540" s="2062"/>
      <c r="AA540" s="1515"/>
      <c r="AB540" s="1515"/>
      <c r="AC540" s="1515"/>
      <c r="AD540" s="2062"/>
      <c r="AE540" s="2062"/>
      <c r="AF540" s="1515"/>
      <c r="AG540" s="1515"/>
      <c r="AH540" s="1515"/>
      <c r="AI540" s="2062"/>
      <c r="AJ540" s="2062"/>
      <c r="AK540" s="1515"/>
      <c r="AL540" s="1886"/>
      <c r="AM540" s="1515"/>
      <c r="AN540" s="2062"/>
      <c r="AO540" s="2062"/>
      <c r="AP540" s="1515"/>
      <c r="AQ540" s="1515"/>
      <c r="AR540" s="1515"/>
      <c r="AS540" s="1515"/>
      <c r="AT540" s="1515"/>
      <c r="AU540" s="1515"/>
      <c r="AV540" s="1515"/>
      <c r="AW540" s="1515"/>
      <c r="AX540" s="1515"/>
      <c r="AY540" s="1515"/>
      <c r="AZ540" s="1515"/>
    </row>
    <row r="541">
      <c r="A541" s="1179" t="s">
        <v>677</v>
      </c>
      <c r="B541" s="1868">
        <v>146</v>
      </c>
      <c r="C541" s="1868">
        <v>2</v>
      </c>
      <c r="D541" s="1868"/>
      <c r="E541" s="1895">
        <f t="shared" si="2102"/>
        <v>148</v>
      </c>
      <c r="F541" s="1868"/>
      <c r="G541" s="1868"/>
      <c r="H541" s="1868"/>
      <c r="I541" s="1895">
        <f t="shared" si="2105"/>
        <v>0</v>
      </c>
      <c r="J541" s="1896">
        <f t="shared" si="2106"/>
        <v>148</v>
      </c>
      <c r="K541" s="1868"/>
      <c r="L541" s="1868"/>
      <c r="M541" s="1868"/>
      <c r="N541" s="1895">
        <f t="shared" si="2107"/>
        <v>0</v>
      </c>
      <c r="O541" s="1896">
        <f t="shared" si="2108"/>
        <v>148</v>
      </c>
      <c r="P541" s="1868"/>
      <c r="Q541" s="1868"/>
      <c r="R541" s="1868"/>
      <c r="S541" s="1895">
        <f t="shared" si="2113"/>
        <v>0</v>
      </c>
      <c r="T541" s="1897">
        <f t="shared" si="2109"/>
        <v>148</v>
      </c>
      <c r="V541" s="2103"/>
      <c r="W541" s="2103"/>
      <c r="Z541" s="1418"/>
      <c r="AD541" s="1418"/>
      <c r="AE541" s="1418"/>
      <c r="AI541" s="1418"/>
      <c r="AJ541" s="1418"/>
      <c r="AN541" s="1418"/>
    </row>
    <row r="542">
      <c r="A542" s="1551" t="s">
        <v>525</v>
      </c>
      <c r="B542" s="1868"/>
      <c r="C542" s="1868"/>
      <c r="D542" s="1868"/>
      <c r="E542" s="1895">
        <f t="shared" si="2102"/>
        <v>0</v>
      </c>
      <c r="F542" s="1868"/>
      <c r="G542" s="1868"/>
      <c r="H542" s="1868"/>
      <c r="I542" s="1895">
        <f t="shared" si="2105"/>
        <v>0</v>
      </c>
      <c r="J542" s="1896">
        <f t="shared" si="2106"/>
        <v>0</v>
      </c>
      <c r="K542" s="1868"/>
      <c r="L542" s="1868"/>
      <c r="M542" s="1868"/>
      <c r="N542" s="1895">
        <f t="shared" si="2107"/>
        <v>0</v>
      </c>
      <c r="O542" s="1896">
        <f t="shared" si="2108"/>
        <v>0</v>
      </c>
      <c r="P542" s="1868"/>
      <c r="Q542" s="1868"/>
      <c r="R542" s="1868"/>
      <c r="S542" s="1895">
        <f t="shared" si="2113"/>
        <v>0</v>
      </c>
      <c r="T542" s="1897">
        <f t="shared" si="2109"/>
        <v>0</v>
      </c>
      <c r="V542" s="2103"/>
      <c r="W542" s="2103"/>
      <c r="Z542" s="1418"/>
      <c r="AD542" s="1418"/>
      <c r="AE542" s="1418"/>
      <c r="AI542" s="1418"/>
      <c r="AJ542" s="1418"/>
      <c r="AN542" s="1418"/>
    </row>
    <row r="543">
      <c r="A543" s="1551" t="s">
        <v>547</v>
      </c>
      <c r="B543" s="1868"/>
      <c r="C543" s="1868"/>
      <c r="D543" s="1868"/>
      <c r="E543" s="1895">
        <f t="shared" si="2102"/>
        <v>0</v>
      </c>
      <c r="F543" s="1868"/>
      <c r="G543" s="1868"/>
      <c r="H543" s="1868"/>
      <c r="I543" s="1895">
        <f t="shared" si="2105"/>
        <v>0</v>
      </c>
      <c r="J543" s="1896">
        <f t="shared" si="2106"/>
        <v>0</v>
      </c>
      <c r="K543" s="1868"/>
      <c r="L543" s="1868"/>
      <c r="M543" s="1868"/>
      <c r="N543" s="1895">
        <f t="shared" si="2107"/>
        <v>0</v>
      </c>
      <c r="O543" s="1896">
        <f t="shared" si="2108"/>
        <v>0</v>
      </c>
      <c r="P543" s="1868"/>
      <c r="Q543" s="1868"/>
      <c r="R543" s="1868"/>
      <c r="S543" s="1895">
        <f t="shared" si="2113"/>
        <v>0</v>
      </c>
      <c r="T543" s="1897">
        <f t="shared" si="2109"/>
        <v>0</v>
      </c>
      <c r="V543" s="2103"/>
      <c r="W543" s="2103"/>
      <c r="Z543" s="1418"/>
      <c r="AD543" s="1418"/>
      <c r="AE543" s="1418"/>
      <c r="AI543" s="1418"/>
      <c r="AJ543" s="1418"/>
      <c r="AN543" s="1418"/>
    </row>
    <row r="544">
      <c r="A544" s="1551" t="s">
        <v>543</v>
      </c>
      <c r="B544" s="1868"/>
      <c r="C544" s="1868"/>
      <c r="D544" s="1868"/>
      <c r="E544" s="1895">
        <f t="shared" si="2102"/>
        <v>0</v>
      </c>
      <c r="F544" s="1868"/>
      <c r="G544" s="1868"/>
      <c r="H544" s="1868"/>
      <c r="I544" s="1895">
        <f t="shared" si="2105"/>
        <v>0</v>
      </c>
      <c r="J544" s="1896">
        <f t="shared" si="2106"/>
        <v>0</v>
      </c>
      <c r="K544" s="1868"/>
      <c r="L544" s="1868"/>
      <c r="M544" s="1868"/>
      <c r="N544" s="1895">
        <f t="shared" si="2107"/>
        <v>0</v>
      </c>
      <c r="O544" s="1896">
        <f t="shared" si="2108"/>
        <v>0</v>
      </c>
      <c r="P544" s="1868"/>
      <c r="Q544" s="1868"/>
      <c r="R544" s="1868"/>
      <c r="S544" s="1895">
        <f t="shared" si="2113"/>
        <v>0</v>
      </c>
      <c r="T544" s="1897">
        <f t="shared" si="2109"/>
        <v>0</v>
      </c>
      <c r="V544" s="2103"/>
      <c r="W544" s="2103"/>
      <c r="Z544" s="1418"/>
      <c r="AD544" s="1418"/>
      <c r="AE544" s="1418"/>
      <c r="AI544" s="1418"/>
      <c r="AJ544" s="1418"/>
      <c r="AN544" s="1418"/>
    </row>
    <row r="545" s="1510" customFormat="1">
      <c r="A545" s="1511" t="s">
        <v>678</v>
      </c>
      <c r="B545" s="1871">
        <f>SUM(B541:B544)</f>
        <v>146</v>
      </c>
      <c r="C545" s="1871">
        <f t="shared" ref="C545:H545" si="2116">SUM(C541:C544)</f>
        <v>2</v>
      </c>
      <c r="D545" s="1871">
        <f t="shared" si="2116"/>
        <v>0</v>
      </c>
      <c r="E545" s="1899">
        <f t="shared" si="2102"/>
        <v>148</v>
      </c>
      <c r="F545" s="1871">
        <f>SUM(F541:F544)</f>
        <v>0</v>
      </c>
      <c r="G545" s="1871">
        <f>SUM(G541:G544)</f>
        <v>0</v>
      </c>
      <c r="H545" s="1871">
        <f t="shared" si="2116"/>
        <v>0</v>
      </c>
      <c r="I545" s="1899">
        <f t="shared" si="2105"/>
        <v>0</v>
      </c>
      <c r="J545" s="1900">
        <f t="shared" si="2106"/>
        <v>148</v>
      </c>
      <c r="K545" s="1871">
        <f>SUM(K541:K544)</f>
        <v>0</v>
      </c>
      <c r="L545" s="1871">
        <f>SUM(L541:L544)</f>
        <v>0</v>
      </c>
      <c r="M545" s="1871">
        <f t="shared" ref="M545:R545" si="2117">SUM(M541:M544)</f>
        <v>0</v>
      </c>
      <c r="N545" s="1899">
        <f t="shared" si="2107"/>
        <v>0</v>
      </c>
      <c r="O545" s="1900">
        <f t="shared" si="2108"/>
        <v>148</v>
      </c>
      <c r="P545" s="1871">
        <f t="shared" si="2117"/>
        <v>0</v>
      </c>
      <c r="Q545" s="1871">
        <f t="shared" si="2117"/>
        <v>0</v>
      </c>
      <c r="R545" s="1871">
        <f t="shared" si="2117"/>
        <v>0</v>
      </c>
      <c r="S545" s="1899">
        <f t="shared" si="2113"/>
        <v>0</v>
      </c>
      <c r="T545" s="1901">
        <f t="shared" si="2109"/>
        <v>148</v>
      </c>
      <c r="U545" s="1515"/>
      <c r="V545" s="2103"/>
      <c r="W545" s="2103"/>
      <c r="X545" s="1515"/>
      <c r="Y545" s="1515"/>
      <c r="Z545" s="2062"/>
      <c r="AA545" s="1515"/>
      <c r="AB545" s="1515"/>
      <c r="AC545" s="1515"/>
      <c r="AD545" s="2062"/>
      <c r="AE545" s="2062"/>
      <c r="AF545" s="1515"/>
      <c r="AG545" s="1515"/>
      <c r="AH545" s="1515"/>
      <c r="AI545" s="2062"/>
      <c r="AJ545" s="2062"/>
      <c r="AK545" s="1515"/>
      <c r="AL545" s="1886"/>
      <c r="AM545" s="1515"/>
      <c r="AN545" s="2062"/>
      <c r="AO545" s="2062"/>
      <c r="AP545" s="1515"/>
      <c r="AQ545" s="1515"/>
      <c r="AR545" s="1515"/>
      <c r="AS545" s="1515"/>
      <c r="AT545" s="1515"/>
      <c r="AU545" s="1515"/>
      <c r="AV545" s="1515"/>
      <c r="AW545" s="1515"/>
      <c r="AX545" s="1515"/>
      <c r="AY545" s="1515"/>
      <c r="AZ545" s="1515"/>
    </row>
    <row r="546">
      <c r="A546" s="1179" t="s">
        <v>679</v>
      </c>
      <c r="B546" s="1868">
        <v>13168</v>
      </c>
      <c r="C546" s="1868">
        <v>8726</v>
      </c>
      <c r="D546" s="1868"/>
      <c r="E546" s="1895">
        <f t="shared" si="2102"/>
        <v>21894</v>
      </c>
      <c r="F546" s="1868"/>
      <c r="G546" s="1868"/>
      <c r="H546" s="1868"/>
      <c r="I546" s="1895">
        <f t="shared" si="2105"/>
        <v>0</v>
      </c>
      <c r="J546" s="1896">
        <f t="shared" si="2106"/>
        <v>21894</v>
      </c>
      <c r="K546" s="1868"/>
      <c r="L546" s="1868"/>
      <c r="M546" s="1868"/>
      <c r="N546" s="1895">
        <f t="shared" si="2107"/>
        <v>0</v>
      </c>
      <c r="O546" s="1896">
        <f t="shared" si="2108"/>
        <v>21894</v>
      </c>
      <c r="P546" s="1868"/>
      <c r="Q546" s="1868"/>
      <c r="R546" s="1868"/>
      <c r="S546" s="1895">
        <f t="shared" si="2113"/>
        <v>0</v>
      </c>
      <c r="T546" s="1897">
        <f t="shared" si="2109"/>
        <v>21894</v>
      </c>
      <c r="V546" s="2103"/>
      <c r="W546" s="2103"/>
      <c r="Z546" s="1418"/>
      <c r="AD546" s="1418"/>
      <c r="AE546" s="1418"/>
      <c r="AI546" s="1418"/>
      <c r="AJ546" s="1418"/>
      <c r="AN546" s="1418"/>
    </row>
    <row r="547">
      <c r="A547" s="1179" t="s">
        <v>680</v>
      </c>
      <c r="B547" s="1868">
        <v>3024</v>
      </c>
      <c r="C547" s="1868">
        <v>1685</v>
      </c>
      <c r="D547" s="1868"/>
      <c r="E547" s="1895">
        <f t="shared" si="2102"/>
        <v>4709</v>
      </c>
      <c r="F547" s="1868"/>
      <c r="G547" s="1868"/>
      <c r="H547" s="1868"/>
      <c r="I547" s="1895">
        <f t="shared" si="2105"/>
        <v>0</v>
      </c>
      <c r="J547" s="1896">
        <f t="shared" si="2106"/>
        <v>4709</v>
      </c>
      <c r="K547" s="1868"/>
      <c r="L547" s="1868"/>
      <c r="M547" s="1868"/>
      <c r="N547" s="1895">
        <f t="shared" si="2107"/>
        <v>0</v>
      </c>
      <c r="O547" s="1896">
        <f t="shared" si="2108"/>
        <v>4709</v>
      </c>
      <c r="P547" s="1868"/>
      <c r="Q547" s="1868"/>
      <c r="R547" s="1868"/>
      <c r="S547" s="1895">
        <f t="shared" si="2113"/>
        <v>0</v>
      </c>
      <c r="T547" s="1897">
        <f t="shared" si="2109"/>
        <v>4709</v>
      </c>
      <c r="V547" s="2103"/>
      <c r="W547" s="2103"/>
      <c r="Z547" s="1418"/>
      <c r="AD547" s="1418"/>
      <c r="AE547" s="1418"/>
      <c r="AI547" s="1418"/>
      <c r="AJ547" s="1418"/>
      <c r="AN547" s="1418"/>
    </row>
    <row r="548">
      <c r="A548" s="1179" t="s">
        <v>681</v>
      </c>
      <c r="B548" s="1868">
        <v>5646</v>
      </c>
      <c r="C548" s="1868">
        <v>3475</v>
      </c>
      <c r="D548" s="1868"/>
      <c r="E548" s="1895">
        <f t="shared" si="2102"/>
        <v>9121</v>
      </c>
      <c r="F548" s="1868"/>
      <c r="G548" s="1868"/>
      <c r="H548" s="1868"/>
      <c r="I548" s="1895">
        <f t="shared" si="2105"/>
        <v>0</v>
      </c>
      <c r="J548" s="1896">
        <f t="shared" si="2106"/>
        <v>9121</v>
      </c>
      <c r="K548" s="1868"/>
      <c r="L548" s="1868"/>
      <c r="M548" s="1868"/>
      <c r="N548" s="1895">
        <f t="shared" si="2107"/>
        <v>0</v>
      </c>
      <c r="O548" s="1896">
        <f t="shared" si="2108"/>
        <v>9121</v>
      </c>
      <c r="P548" s="1868"/>
      <c r="Q548" s="1868"/>
      <c r="R548" s="1868"/>
      <c r="S548" s="1895">
        <f t="shared" si="2113"/>
        <v>0</v>
      </c>
      <c r="T548" s="1897">
        <f t="shared" si="2109"/>
        <v>9121</v>
      </c>
      <c r="V548" s="2103"/>
      <c r="W548" s="2103"/>
      <c r="Z548" s="1418"/>
      <c r="AD548" s="1418"/>
      <c r="AE548" s="1418"/>
      <c r="AI548" s="1418"/>
      <c r="AJ548" s="1418"/>
      <c r="AN548" s="1418"/>
    </row>
    <row r="549" s="1510" customFormat="1">
      <c r="A549" s="1511" t="s">
        <v>682</v>
      </c>
      <c r="B549" s="1871">
        <f t="shared" ref="B549:H549" si="2118">SUM(B546:B548)</f>
        <v>21838</v>
      </c>
      <c r="C549" s="1871">
        <f t="shared" si="2118"/>
        <v>13886</v>
      </c>
      <c r="D549" s="1871">
        <f t="shared" si="2118"/>
        <v>0</v>
      </c>
      <c r="E549" s="1899">
        <f t="shared" si="2102"/>
        <v>35724</v>
      </c>
      <c r="F549" s="1871">
        <f>SUM(F546:F548)</f>
        <v>0</v>
      </c>
      <c r="G549" s="1871">
        <f>SUM(G546:G548)</f>
        <v>0</v>
      </c>
      <c r="H549" s="1871">
        <f t="shared" si="2118"/>
        <v>0</v>
      </c>
      <c r="I549" s="1899">
        <f t="shared" si="2105"/>
        <v>0</v>
      </c>
      <c r="J549" s="1900">
        <f t="shared" si="2106"/>
        <v>35724</v>
      </c>
      <c r="K549" s="1871">
        <f>SUM(K546:K548)</f>
        <v>0</v>
      </c>
      <c r="L549" s="1871">
        <f>SUM(L546:L548)</f>
        <v>0</v>
      </c>
      <c r="M549" s="1871">
        <f t="shared" ref="M549:R549" si="2119">SUM(M546:M548)</f>
        <v>0</v>
      </c>
      <c r="N549" s="1899">
        <f t="shared" si="2107"/>
        <v>0</v>
      </c>
      <c r="O549" s="1900">
        <f t="shared" si="2108"/>
        <v>35724</v>
      </c>
      <c r="P549" s="1871">
        <f t="shared" si="2119"/>
        <v>0</v>
      </c>
      <c r="Q549" s="1871">
        <f t="shared" si="2119"/>
        <v>0</v>
      </c>
      <c r="R549" s="1871">
        <f t="shared" si="2119"/>
        <v>0</v>
      </c>
      <c r="S549" s="1899">
        <f t="shared" si="2113"/>
        <v>0</v>
      </c>
      <c r="T549" s="1901">
        <f>SUM(T546:T548)</f>
        <v>35724</v>
      </c>
      <c r="U549" s="1515"/>
      <c r="V549" s="2103"/>
      <c r="W549" s="2103"/>
      <c r="X549" s="1515"/>
      <c r="Y549" s="1515"/>
      <c r="Z549" s="2062"/>
      <c r="AA549" s="1515"/>
      <c r="AB549" s="1515"/>
      <c r="AC549" s="1515"/>
      <c r="AD549" s="2062"/>
      <c r="AE549" s="2062"/>
      <c r="AF549" s="1515"/>
      <c r="AG549" s="1515"/>
      <c r="AH549" s="1515"/>
      <c r="AI549" s="2062"/>
      <c r="AJ549" s="2062"/>
      <c r="AK549" s="1515"/>
      <c r="AL549" s="1886"/>
      <c r="AM549" s="1515"/>
      <c r="AN549" s="2062"/>
      <c r="AO549" s="2062"/>
      <c r="AP549" s="1515"/>
      <c r="AQ549" s="1515"/>
      <c r="AR549" s="1515"/>
      <c r="AS549" s="1515"/>
      <c r="AT549" s="1515"/>
      <c r="AU549" s="1515"/>
      <c r="AV549" s="1515"/>
      <c r="AW549" s="1515"/>
      <c r="AX549" s="1515"/>
      <c r="AY549" s="1515"/>
      <c r="AZ549" s="1515"/>
    </row>
    <row r="550" s="1510" customFormat="1">
      <c r="A550" s="1904" t="s">
        <v>545</v>
      </c>
      <c r="B550" s="1905">
        <f t="shared" ref="B550:H550" si="2120">B526+B540+B545+B549</f>
        <v>37065</v>
      </c>
      <c r="C550" s="1905">
        <f t="shared" si="2120"/>
        <v>23557</v>
      </c>
      <c r="D550" s="1905">
        <f t="shared" si="2120"/>
        <v>0</v>
      </c>
      <c r="E550" s="1899">
        <f t="shared" ref="E550:E613" si="2121">B550+C550+D550</f>
        <v>60622</v>
      </c>
      <c r="F550" s="1905">
        <f>F526+F540+F545+F549</f>
        <v>0</v>
      </c>
      <c r="G550" s="1905">
        <f>G526+G540+G545+G549</f>
        <v>0</v>
      </c>
      <c r="H550" s="1905">
        <f t="shared" si="2120"/>
        <v>0</v>
      </c>
      <c r="I550" s="1899">
        <f t="shared" si="2105"/>
        <v>0</v>
      </c>
      <c r="J550" s="1899">
        <f t="shared" si="2106"/>
        <v>60622</v>
      </c>
      <c r="K550" s="1905">
        <f>K526+K540+K545+K549</f>
        <v>0</v>
      </c>
      <c r="L550" s="1905">
        <f>L526+L540+L545+L549</f>
        <v>0</v>
      </c>
      <c r="M550" s="1905">
        <f>M526+M540+M545+M549</f>
        <v>0</v>
      </c>
      <c r="N550" s="1899">
        <f t="shared" si="2107"/>
        <v>0</v>
      </c>
      <c r="O550" s="1899">
        <f t="shared" si="2108"/>
        <v>60622</v>
      </c>
      <c r="P550" s="1905">
        <f>P526+P540+P545+P549</f>
        <v>0</v>
      </c>
      <c r="Q550" s="1905">
        <f>Q526+Q540+Q545+Q549</f>
        <v>0</v>
      </c>
      <c r="R550" s="1905">
        <f>R526+R540+R545+R549</f>
        <v>0</v>
      </c>
      <c r="S550" s="1905">
        <f>S526+S540+S545+S549</f>
        <v>0</v>
      </c>
      <c r="T550" s="1905">
        <f>T526+T540+T545+T549</f>
        <v>60622</v>
      </c>
      <c r="U550" s="1515"/>
      <c r="V550" s="2103"/>
      <c r="W550" s="2103"/>
      <c r="X550" s="1515"/>
      <c r="Y550" s="1515"/>
      <c r="Z550" s="2062"/>
      <c r="AA550" s="1515"/>
      <c r="AB550" s="1515"/>
      <c r="AC550" s="1515"/>
      <c r="AD550" s="2062"/>
      <c r="AE550" s="2062"/>
      <c r="AF550" s="1515"/>
      <c r="AG550" s="1515"/>
      <c r="AH550" s="1515"/>
      <c r="AI550" s="2062"/>
      <c r="AJ550" s="2062"/>
      <c r="AK550" s="1515"/>
      <c r="AL550" s="1886"/>
      <c r="AM550" s="1515"/>
      <c r="AN550" s="2062"/>
      <c r="AO550" s="2062"/>
      <c r="AP550" s="1515"/>
      <c r="AQ550" s="1515"/>
      <c r="AR550" s="1515"/>
      <c r="AS550" s="1515"/>
      <c r="AT550" s="1515"/>
      <c r="AU550" s="1515"/>
      <c r="AV550" s="1515"/>
      <c r="AW550" s="1515"/>
      <c r="AX550" s="1515"/>
      <c r="AY550" s="1515"/>
      <c r="AZ550" s="1515"/>
    </row>
    <row r="551">
      <c r="A551" s="1179" t="s">
        <v>50</v>
      </c>
      <c r="B551" s="1868">
        <v>9468</v>
      </c>
      <c r="C551" s="1868">
        <v>5561</v>
      </c>
      <c r="D551" s="1868"/>
      <c r="E551" s="1895">
        <f t="shared" si="2121"/>
        <v>15029</v>
      </c>
      <c r="F551" s="1868"/>
      <c r="G551" s="1868"/>
      <c r="H551" s="1868"/>
      <c r="I551" s="1895">
        <f t="shared" si="2105"/>
        <v>0</v>
      </c>
      <c r="J551" s="1896">
        <f t="shared" si="2106"/>
        <v>15029</v>
      </c>
      <c r="K551" s="1868"/>
      <c r="L551" s="1868"/>
      <c r="M551" s="1868"/>
      <c r="N551" s="1895">
        <f t="shared" si="2107"/>
        <v>0</v>
      </c>
      <c r="O551" s="1896">
        <f t="shared" si="2108"/>
        <v>15029</v>
      </c>
      <c r="P551" s="1868"/>
      <c r="Q551" s="1868"/>
      <c r="R551" s="1868"/>
      <c r="S551" s="1895">
        <f t="shared" si="2113"/>
        <v>0</v>
      </c>
      <c r="T551" s="1897">
        <f t="shared" si="2109"/>
        <v>15029</v>
      </c>
      <c r="V551" s="2103"/>
      <c r="W551" s="2103"/>
      <c r="Z551" s="1418"/>
      <c r="AD551" s="1418"/>
      <c r="AE551" s="1418"/>
      <c r="AI551" s="1418"/>
      <c r="AJ551" s="1418"/>
      <c r="AN551" s="1418"/>
    </row>
    <row r="552">
      <c r="A552" s="1179" t="s">
        <v>397</v>
      </c>
      <c r="B552" s="1868"/>
      <c r="C552" s="1868"/>
      <c r="D552" s="1868"/>
      <c r="E552" s="1895">
        <f t="shared" si="2121"/>
        <v>0</v>
      </c>
      <c r="F552" s="1868"/>
      <c r="G552" s="1868"/>
      <c r="H552" s="1868"/>
      <c r="I552" s="1895">
        <f t="shared" si="2105"/>
        <v>0</v>
      </c>
      <c r="J552" s="1896">
        <f t="shared" si="2106"/>
        <v>0</v>
      </c>
      <c r="K552" s="1868"/>
      <c r="L552" s="1868"/>
      <c r="M552" s="1868"/>
      <c r="N552" s="1895">
        <f t="shared" si="2107"/>
        <v>0</v>
      </c>
      <c r="O552" s="1896">
        <f t="shared" si="2108"/>
        <v>0</v>
      </c>
      <c r="P552" s="1868"/>
      <c r="Q552" s="1868"/>
      <c r="R552" s="1868"/>
      <c r="S552" s="1895">
        <f t="shared" si="2113"/>
        <v>0</v>
      </c>
      <c r="T552" s="1897">
        <f t="shared" si="2109"/>
        <v>0</v>
      </c>
      <c r="V552" s="2103"/>
      <c r="W552" s="2103"/>
      <c r="Z552" s="1418"/>
      <c r="AD552" s="1418"/>
      <c r="AE552" s="1418"/>
      <c r="AI552" s="1418"/>
      <c r="AJ552" s="1418"/>
      <c r="AN552" s="1418"/>
    </row>
    <row r="553">
      <c r="A553" s="1179" t="s">
        <v>546</v>
      </c>
      <c r="B553" s="1868"/>
      <c r="C553" s="1868"/>
      <c r="D553" s="1868"/>
      <c r="E553" s="1895">
        <f t="shared" si="2121"/>
        <v>0</v>
      </c>
      <c r="F553" s="1868"/>
      <c r="G553" s="1868"/>
      <c r="H553" s="1868"/>
      <c r="I553" s="1895">
        <f t="shared" si="2105"/>
        <v>0</v>
      </c>
      <c r="J553" s="1896">
        <f t="shared" si="2106"/>
        <v>0</v>
      </c>
      <c r="K553" s="1868"/>
      <c r="L553" s="1868"/>
      <c r="M553" s="1868"/>
      <c r="N553" s="1895">
        <f t="shared" si="2107"/>
        <v>0</v>
      </c>
      <c r="O553" s="1896">
        <f t="shared" si="2108"/>
        <v>0</v>
      </c>
      <c r="P553" s="1868"/>
      <c r="Q553" s="1868"/>
      <c r="R553" s="1868"/>
      <c r="S553" s="1895">
        <f t="shared" si="2113"/>
        <v>0</v>
      </c>
      <c r="T553" s="1897">
        <f t="shared" si="2109"/>
        <v>0</v>
      </c>
      <c r="V553" s="2103"/>
      <c r="W553" s="2103"/>
      <c r="Z553" s="1418"/>
      <c r="AD553" s="1418"/>
      <c r="AE553" s="1418"/>
      <c r="AI553" s="1418"/>
      <c r="AJ553" s="1418"/>
      <c r="AN553" s="1418"/>
    </row>
    <row r="554" s="1510" customFormat="1">
      <c r="A554" s="1511" t="s">
        <v>614</v>
      </c>
      <c r="B554" s="1871">
        <f>SUM(B551:B553)</f>
        <v>9468</v>
      </c>
      <c r="C554" s="1871">
        <f t="shared" ref="C554:H554" si="2122">SUM(C551:C553)</f>
        <v>5561</v>
      </c>
      <c r="D554" s="1871">
        <f t="shared" si="2122"/>
        <v>0</v>
      </c>
      <c r="E554" s="1899">
        <f t="shared" si="2121"/>
        <v>15029</v>
      </c>
      <c r="F554" s="1871">
        <f>SUM(F551:F553)</f>
        <v>0</v>
      </c>
      <c r="G554" s="1871">
        <f>SUM(G551:G553)</f>
        <v>0</v>
      </c>
      <c r="H554" s="1871">
        <f t="shared" si="2122"/>
        <v>0</v>
      </c>
      <c r="I554" s="1899">
        <f t="shared" si="2105"/>
        <v>0</v>
      </c>
      <c r="J554" s="1900">
        <f t="shared" si="2106"/>
        <v>15029</v>
      </c>
      <c r="K554" s="1871">
        <f>SUM(K551:K553)</f>
        <v>0</v>
      </c>
      <c r="L554" s="1871">
        <f>SUM(L551:L553)</f>
        <v>0</v>
      </c>
      <c r="M554" s="1871">
        <f t="shared" ref="M554:R554" si="2123">SUM(M551:M553)</f>
        <v>0</v>
      </c>
      <c r="N554" s="1899">
        <f t="shared" si="2107"/>
        <v>0</v>
      </c>
      <c r="O554" s="1900">
        <f t="shared" si="2108"/>
        <v>15029</v>
      </c>
      <c r="P554" s="1871">
        <f t="shared" si="2123"/>
        <v>0</v>
      </c>
      <c r="Q554" s="1871">
        <f t="shared" si="2123"/>
        <v>0</v>
      </c>
      <c r="R554" s="1871">
        <f t="shared" si="2123"/>
        <v>0</v>
      </c>
      <c r="S554" s="1899">
        <f t="shared" si="2113"/>
        <v>0</v>
      </c>
      <c r="T554" s="1901">
        <f>SUM(T551:T553)</f>
        <v>15029</v>
      </c>
      <c r="U554" s="1515"/>
      <c r="V554" s="2103"/>
      <c r="W554" s="2103"/>
      <c r="X554" s="1515"/>
      <c r="Y554" s="1515"/>
      <c r="Z554" s="2062"/>
      <c r="AA554" s="1515"/>
      <c r="AB554" s="1515"/>
      <c r="AC554" s="1515"/>
      <c r="AD554" s="2062"/>
      <c r="AE554" s="2062"/>
      <c r="AF554" s="1515"/>
      <c r="AG554" s="1515"/>
      <c r="AH554" s="1515"/>
      <c r="AI554" s="2062"/>
      <c r="AJ554" s="2062"/>
      <c r="AK554" s="1515"/>
      <c r="AL554" s="1886"/>
      <c r="AM554" s="1515"/>
      <c r="AN554" s="2062"/>
      <c r="AO554" s="2062"/>
      <c r="AP554" s="1515"/>
      <c r="AQ554" s="1515"/>
      <c r="AR554" s="1515"/>
      <c r="AS554" s="1515"/>
      <c r="AT554" s="1515"/>
      <c r="AU554" s="1515"/>
      <c r="AV554" s="1515"/>
      <c r="AW554" s="1515"/>
      <c r="AX554" s="1515"/>
      <c r="AY554" s="1515"/>
      <c r="AZ554" s="1515"/>
    </row>
    <row r="555">
      <c r="A555" s="1179" t="s">
        <v>548</v>
      </c>
      <c r="B555" s="1868">
        <v>168</v>
      </c>
      <c r="C555" s="1868">
        <v>164</v>
      </c>
      <c r="D555" s="1868"/>
      <c r="E555" s="1895">
        <f t="shared" si="2121"/>
        <v>332</v>
      </c>
      <c r="F555" s="1868"/>
      <c r="G555" s="1868"/>
      <c r="H555" s="1868"/>
      <c r="I555" s="1895">
        <f t="shared" si="2105"/>
        <v>0</v>
      </c>
      <c r="J555" s="1896">
        <f t="shared" si="2106"/>
        <v>332</v>
      </c>
      <c r="K555" s="1868"/>
      <c r="L555" s="1868"/>
      <c r="M555" s="1868"/>
      <c r="N555" s="1895">
        <f t="shared" si="2107"/>
        <v>0</v>
      </c>
      <c r="O555" s="1896">
        <f t="shared" si="2108"/>
        <v>332</v>
      </c>
      <c r="P555" s="1868"/>
      <c r="Q555" s="1868"/>
      <c r="R555" s="1868"/>
      <c r="S555" s="1895">
        <f t="shared" si="2113"/>
        <v>0</v>
      </c>
      <c r="T555" s="1897">
        <f t="shared" si="2109"/>
        <v>332</v>
      </c>
      <c r="V555" s="2103"/>
      <c r="W555" s="2103"/>
      <c r="Z555" s="1418"/>
      <c r="AD555" s="1418"/>
      <c r="AE555" s="1418"/>
      <c r="AI555" s="1418"/>
      <c r="AJ555" s="1418"/>
      <c r="AN555" s="1418"/>
    </row>
    <row r="556">
      <c r="A556" s="1179" t="s">
        <v>549</v>
      </c>
      <c r="B556" s="1868"/>
      <c r="C556" s="1868"/>
      <c r="D556" s="1868"/>
      <c r="E556" s="1895">
        <f t="shared" si="2121"/>
        <v>0</v>
      </c>
      <c r="F556" s="1868"/>
      <c r="G556" s="1868"/>
      <c r="H556" s="1868"/>
      <c r="I556" s="1895">
        <f t="shared" si="2105"/>
        <v>0</v>
      </c>
      <c r="J556" s="1896">
        <f t="shared" si="2106"/>
        <v>0</v>
      </c>
      <c r="K556" s="1868"/>
      <c r="L556" s="1868"/>
      <c r="M556" s="1868"/>
      <c r="N556" s="1895">
        <f t="shared" si="2107"/>
        <v>0</v>
      </c>
      <c r="O556" s="1896">
        <f t="shared" si="2108"/>
        <v>0</v>
      </c>
      <c r="P556" s="1868"/>
      <c r="Q556" s="1868"/>
      <c r="R556" s="1868"/>
      <c r="S556" s="1895">
        <f t="shared" si="2113"/>
        <v>0</v>
      </c>
      <c r="T556" s="1897">
        <f t="shared" si="2109"/>
        <v>0</v>
      </c>
      <c r="V556" s="2103"/>
      <c r="W556" s="2103"/>
      <c r="Z556" s="1418"/>
      <c r="AD556" s="1418"/>
      <c r="AE556" s="1418"/>
      <c r="AI556" s="1418"/>
      <c r="AJ556" s="1418"/>
      <c r="AN556" s="1418"/>
    </row>
    <row r="557" s="1510" customFormat="1">
      <c r="A557" s="1511" t="s">
        <v>683</v>
      </c>
      <c r="B557" s="1871">
        <f>SUM(B555:B556)</f>
        <v>168</v>
      </c>
      <c r="C557" s="1871">
        <f t="shared" ref="C557:H557" si="2124">SUM(C555:C556)</f>
        <v>164</v>
      </c>
      <c r="D557" s="1871">
        <f t="shared" si="2124"/>
        <v>0</v>
      </c>
      <c r="E557" s="1899">
        <f t="shared" si="2121"/>
        <v>332</v>
      </c>
      <c r="F557" s="1871">
        <f>SUM(F555:F556)</f>
        <v>0</v>
      </c>
      <c r="G557" s="1871">
        <f>SUM(G555:G556)</f>
        <v>0</v>
      </c>
      <c r="H557" s="1871">
        <f t="shared" si="2124"/>
        <v>0</v>
      </c>
      <c r="I557" s="1899">
        <f t="shared" si="2105"/>
        <v>0</v>
      </c>
      <c r="J557" s="1900">
        <f t="shared" si="2106"/>
        <v>332</v>
      </c>
      <c r="K557" s="1871">
        <f>SUM(K555:K556)</f>
        <v>0</v>
      </c>
      <c r="L557" s="1871">
        <f>SUM(L555:L556)</f>
        <v>0</v>
      </c>
      <c r="M557" s="1871">
        <f t="shared" ref="M557:R557" si="2125">SUM(M555:M556)</f>
        <v>0</v>
      </c>
      <c r="N557" s="1899">
        <f t="shared" si="2107"/>
        <v>0</v>
      </c>
      <c r="O557" s="1900">
        <f t="shared" si="2108"/>
        <v>332</v>
      </c>
      <c r="P557" s="1871">
        <f t="shared" si="2125"/>
        <v>0</v>
      </c>
      <c r="Q557" s="1871">
        <f t="shared" si="2125"/>
        <v>0</v>
      </c>
      <c r="R557" s="1871">
        <f t="shared" si="2125"/>
        <v>0</v>
      </c>
      <c r="S557" s="1899">
        <f t="shared" si="2113"/>
        <v>0</v>
      </c>
      <c r="T557" s="1901">
        <f>SUM(T555:T556)</f>
        <v>332</v>
      </c>
      <c r="U557" s="1515"/>
      <c r="V557" s="2103"/>
      <c r="W557" s="2103"/>
      <c r="X557" s="1515"/>
      <c r="Y557" s="1515"/>
      <c r="Z557" s="2062"/>
      <c r="AA557" s="1515"/>
      <c r="AB557" s="1515"/>
      <c r="AC557" s="1515"/>
      <c r="AD557" s="2062"/>
      <c r="AE557" s="2062"/>
      <c r="AF557" s="1515"/>
      <c r="AG557" s="1515"/>
      <c r="AH557" s="1515"/>
      <c r="AI557" s="2062"/>
      <c r="AJ557" s="2062"/>
      <c r="AK557" s="1515"/>
      <c r="AL557" s="1886"/>
      <c r="AM557" s="1515"/>
      <c r="AN557" s="2062"/>
      <c r="AO557" s="2062"/>
      <c r="AP557" s="1515"/>
      <c r="AQ557" s="1515"/>
      <c r="AR557" s="1515"/>
      <c r="AS557" s="1515"/>
      <c r="AT557" s="1515"/>
      <c r="AU557" s="1515"/>
      <c r="AV557" s="1515"/>
      <c r="AW557" s="1515"/>
      <c r="AX557" s="1515"/>
      <c r="AY557" s="1515"/>
      <c r="AZ557" s="1515"/>
    </row>
    <row r="558">
      <c r="A558" s="1904" t="s">
        <v>22</v>
      </c>
      <c r="B558" s="1905">
        <f>B550+B554+B557</f>
        <v>46701</v>
      </c>
      <c r="C558" s="1905">
        <f t="shared" ref="C558:H558" si="2126">C550+C554+C557</f>
        <v>29282</v>
      </c>
      <c r="D558" s="1905">
        <f t="shared" si="2126"/>
        <v>0</v>
      </c>
      <c r="E558" s="1899">
        <f t="shared" si="2121"/>
        <v>75983</v>
      </c>
      <c r="F558" s="1905">
        <f>F550+F554+F557</f>
        <v>0</v>
      </c>
      <c r="G558" s="1905">
        <f>G550+G554+G557</f>
        <v>0</v>
      </c>
      <c r="H558" s="1905">
        <f t="shared" si="2126"/>
        <v>0</v>
      </c>
      <c r="I558" s="1899">
        <f t="shared" si="2105"/>
        <v>0</v>
      </c>
      <c r="J558" s="1899">
        <f t="shared" si="2106"/>
        <v>75983</v>
      </c>
      <c r="K558" s="1905">
        <f>K550+K554+K557</f>
        <v>0</v>
      </c>
      <c r="L558" s="1905">
        <f>L550+L554+L557</f>
        <v>0</v>
      </c>
      <c r="M558" s="1905">
        <f>M550+M554+M557</f>
        <v>0</v>
      </c>
      <c r="N558" s="1899">
        <f t="shared" si="2107"/>
        <v>0</v>
      </c>
      <c r="O558" s="1899">
        <f t="shared" si="2108"/>
        <v>75983</v>
      </c>
      <c r="P558" s="1905">
        <f>P550+P554+P557</f>
        <v>0</v>
      </c>
      <c r="Q558" s="1905">
        <f>Q550+Q554+Q557</f>
        <v>0</v>
      </c>
      <c r="R558" s="1905">
        <f>R550+R554+R557</f>
        <v>0</v>
      </c>
      <c r="S558" s="1899">
        <f t="shared" si="2113"/>
        <v>0</v>
      </c>
      <c r="T558" s="1899">
        <f t="shared" si="2109"/>
        <v>75983</v>
      </c>
      <c r="V558" s="2103"/>
      <c r="W558" s="2103"/>
      <c r="Z558" s="1418"/>
      <c r="AD558" s="1418"/>
      <c r="AE558" s="1418"/>
      <c r="AI558" s="1418"/>
      <c r="AJ558" s="1418"/>
      <c r="AN558" s="1418"/>
    </row>
    <row r="559">
      <c r="A559" s="1179" t="s">
        <v>684</v>
      </c>
      <c r="B559" s="1868">
        <v>22893</v>
      </c>
      <c r="C559" s="1868">
        <v>16865</v>
      </c>
      <c r="D559" s="1868"/>
      <c r="E559" s="1895">
        <f t="shared" si="2121"/>
        <v>39758</v>
      </c>
      <c r="F559" s="1868"/>
      <c r="G559" s="1868"/>
      <c r="H559" s="1868"/>
      <c r="I559" s="1895">
        <f t="shared" si="2105"/>
        <v>0</v>
      </c>
      <c r="J559" s="1896">
        <f t="shared" si="2106"/>
        <v>39758</v>
      </c>
      <c r="K559" s="1868"/>
      <c r="L559" s="1868"/>
      <c r="M559" s="1868"/>
      <c r="N559" s="1895">
        <f t="shared" si="2107"/>
        <v>0</v>
      </c>
      <c r="O559" s="1896">
        <f t="shared" si="2108"/>
        <v>39758</v>
      </c>
      <c r="P559" s="1868"/>
      <c r="Q559" s="1868"/>
      <c r="R559" s="1868"/>
      <c r="S559" s="1895">
        <f t="shared" si="2113"/>
        <v>0</v>
      </c>
      <c r="T559" s="1897">
        <f t="shared" si="2109"/>
        <v>39758</v>
      </c>
      <c r="V559" s="2103"/>
      <c r="W559" s="2103"/>
      <c r="Z559" s="1418"/>
      <c r="AD559" s="1418"/>
      <c r="AE559" s="1418"/>
      <c r="AH559" s="1410"/>
      <c r="AI559" s="1911"/>
      <c r="AJ559" s="1911"/>
      <c r="AN559" s="1418"/>
    </row>
    <row r="560">
      <c r="A560" s="1179" t="s">
        <v>631</v>
      </c>
      <c r="B560" s="1868"/>
      <c r="C560" s="1868"/>
      <c r="D560" s="1868"/>
      <c r="E560" s="1895">
        <f t="shared" si="2121"/>
        <v>0</v>
      </c>
      <c r="F560" s="1868"/>
      <c r="G560" s="1868"/>
      <c r="H560" s="1868"/>
      <c r="I560" s="1895">
        <f t="shared" si="2105"/>
        <v>0</v>
      </c>
      <c r="J560" s="1896">
        <f t="shared" si="2106"/>
        <v>0</v>
      </c>
      <c r="K560" s="1868"/>
      <c r="L560" s="1868"/>
      <c r="M560" s="1868"/>
      <c r="N560" s="1895">
        <f t="shared" si="2107"/>
        <v>0</v>
      </c>
      <c r="O560" s="1896">
        <f t="shared" si="2108"/>
        <v>0</v>
      </c>
      <c r="P560" s="1868"/>
      <c r="Q560" s="1868"/>
      <c r="R560" s="1868"/>
      <c r="S560" s="1895">
        <f t="shared" si="2113"/>
        <v>0</v>
      </c>
      <c r="T560" s="1897">
        <f t="shared" si="2109"/>
        <v>0</v>
      </c>
      <c r="V560" s="2103"/>
      <c r="W560" s="2103"/>
      <c r="Z560" s="1418"/>
      <c r="AD560" s="1418"/>
      <c r="AE560" s="1418"/>
      <c r="AH560" s="1410"/>
      <c r="AI560" s="1911"/>
      <c r="AJ560" s="1911"/>
      <c r="AN560" s="1418"/>
    </row>
    <row r="561">
      <c r="A561" s="1179" t="s">
        <v>685</v>
      </c>
      <c r="B561" s="1868"/>
      <c r="C561" s="1868"/>
      <c r="D561" s="1868"/>
      <c r="E561" s="1895">
        <f t="shared" si="2121"/>
        <v>0</v>
      </c>
      <c r="F561" s="1868"/>
      <c r="G561" s="1868"/>
      <c r="H561" s="1868"/>
      <c r="I561" s="1895">
        <f t="shared" si="2105"/>
        <v>0</v>
      </c>
      <c r="J561" s="1896">
        <f t="shared" si="2106"/>
        <v>0</v>
      </c>
      <c r="K561" s="1868"/>
      <c r="L561" s="1868"/>
      <c r="M561" s="1868"/>
      <c r="N561" s="1895">
        <f t="shared" si="2107"/>
        <v>0</v>
      </c>
      <c r="O561" s="1896">
        <f t="shared" si="2108"/>
        <v>0</v>
      </c>
      <c r="P561" s="1868"/>
      <c r="Q561" s="1868"/>
      <c r="R561" s="1868"/>
      <c r="S561" s="1895">
        <f t="shared" si="2113"/>
        <v>0</v>
      </c>
      <c r="T561" s="1897">
        <f t="shared" si="2109"/>
        <v>0</v>
      </c>
      <c r="V561" s="2103"/>
      <c r="W561" s="2103"/>
      <c r="Z561" s="1418"/>
      <c r="AD561" s="1418"/>
      <c r="AE561" s="1418"/>
      <c r="AH561" s="1410"/>
      <c r="AI561" s="1911"/>
      <c r="AJ561" s="1911"/>
      <c r="AN561" s="1418"/>
    </row>
    <row r="562">
      <c r="A562" s="1179" t="s">
        <v>277</v>
      </c>
      <c r="B562" s="1868"/>
      <c r="C562" s="1868"/>
      <c r="D562" s="1868"/>
      <c r="E562" s="1895">
        <f t="shared" si="2121"/>
        <v>0</v>
      </c>
      <c r="F562" s="1868"/>
      <c r="G562" s="1868"/>
      <c r="H562" s="1868"/>
      <c r="I562" s="1895">
        <f t="shared" si="2105"/>
        <v>0</v>
      </c>
      <c r="J562" s="1896">
        <f t="shared" si="2106"/>
        <v>0</v>
      </c>
      <c r="K562" s="1868"/>
      <c r="L562" s="1868"/>
      <c r="M562" s="1868"/>
      <c r="N562" s="1895">
        <f t="shared" si="2107"/>
        <v>0</v>
      </c>
      <c r="O562" s="1896">
        <f t="shared" si="2108"/>
        <v>0</v>
      </c>
      <c r="P562" s="1868"/>
      <c r="Q562" s="1868"/>
      <c r="R562" s="1868"/>
      <c r="S562" s="1895">
        <f t="shared" si="2113"/>
        <v>0</v>
      </c>
      <c r="T562" s="1897">
        <f t="shared" si="2109"/>
        <v>0</v>
      </c>
      <c r="V562" s="2103"/>
      <c r="W562" s="2103"/>
      <c r="Z562" s="1418"/>
      <c r="AD562" s="1418"/>
      <c r="AE562" s="1418"/>
      <c r="AH562" s="1410"/>
      <c r="AI562" s="1911"/>
      <c r="AJ562" s="1911"/>
      <c r="AN562" s="1418"/>
    </row>
    <row r="563">
      <c r="A563" s="1179" t="s">
        <v>633</v>
      </c>
      <c r="B563" s="1868"/>
      <c r="C563" s="1868"/>
      <c r="D563" s="1868"/>
      <c r="E563" s="1895">
        <f t="shared" si="2121"/>
        <v>0</v>
      </c>
      <c r="F563" s="1868"/>
      <c r="G563" s="1868"/>
      <c r="H563" s="1868"/>
      <c r="I563" s="1895">
        <f t="shared" si="2105"/>
        <v>0</v>
      </c>
      <c r="J563" s="1896">
        <f t="shared" si="2106"/>
        <v>0</v>
      </c>
      <c r="K563" s="1868"/>
      <c r="L563" s="1868"/>
      <c r="M563" s="1868"/>
      <c r="N563" s="1895">
        <f t="shared" si="2107"/>
        <v>0</v>
      </c>
      <c r="O563" s="1896">
        <f t="shared" si="2108"/>
        <v>0</v>
      </c>
      <c r="P563" s="1868"/>
      <c r="Q563" s="1868"/>
      <c r="R563" s="1868"/>
      <c r="S563" s="1895">
        <f t="shared" si="2113"/>
        <v>0</v>
      </c>
      <c r="T563" s="1897">
        <f t="shared" si="2109"/>
        <v>0</v>
      </c>
      <c r="V563" s="2103"/>
      <c r="W563" s="2103"/>
      <c r="Z563" s="1418"/>
      <c r="AD563" s="1418"/>
      <c r="AE563" s="1418"/>
      <c r="AH563" s="1410"/>
      <c r="AI563" s="1911"/>
      <c r="AJ563" s="1911"/>
      <c r="AN563" s="1418"/>
    </row>
    <row r="564">
      <c r="A564" s="1179" t="s">
        <v>230</v>
      </c>
      <c r="B564" s="1868"/>
      <c r="C564" s="1868"/>
      <c r="D564" s="1868"/>
      <c r="E564" s="1895">
        <f t="shared" si="2121"/>
        <v>0</v>
      </c>
      <c r="F564" s="1868"/>
      <c r="G564" s="1868"/>
      <c r="H564" s="1868"/>
      <c r="I564" s="1895">
        <f t="shared" si="2105"/>
        <v>0</v>
      </c>
      <c r="J564" s="1896">
        <f t="shared" si="2106"/>
        <v>0</v>
      </c>
      <c r="K564" s="1868"/>
      <c r="L564" s="1868"/>
      <c r="M564" s="1868"/>
      <c r="N564" s="1895">
        <f t="shared" si="2107"/>
        <v>0</v>
      </c>
      <c r="O564" s="1896">
        <f t="shared" si="2108"/>
        <v>0</v>
      </c>
      <c r="P564" s="1868"/>
      <c r="Q564" s="1868"/>
      <c r="R564" s="1868"/>
      <c r="S564" s="1895">
        <f t="shared" si="2113"/>
        <v>0</v>
      </c>
      <c r="T564" s="1897">
        <f t="shared" si="2109"/>
        <v>0</v>
      </c>
      <c r="V564" s="2103"/>
      <c r="W564" s="2103"/>
      <c r="Z564" s="1418"/>
      <c r="AD564" s="1418"/>
      <c r="AE564" s="1418"/>
      <c r="AH564" s="1410"/>
      <c r="AI564" s="1911"/>
      <c r="AJ564" s="1911"/>
      <c r="AN564" s="1418"/>
    </row>
    <row r="565">
      <c r="A565" s="1179" t="s">
        <v>686</v>
      </c>
      <c r="B565" s="1868"/>
      <c r="C565" s="1868"/>
      <c r="D565" s="1868"/>
      <c r="E565" s="1895">
        <f t="shared" si="2121"/>
        <v>0</v>
      </c>
      <c r="F565" s="1868"/>
      <c r="G565" s="1868"/>
      <c r="H565" s="1868"/>
      <c r="I565" s="1895">
        <f t="shared" si="2105"/>
        <v>0</v>
      </c>
      <c r="J565" s="1896">
        <f t="shared" si="2106"/>
        <v>0</v>
      </c>
      <c r="K565" s="1868"/>
      <c r="L565" s="1868"/>
      <c r="M565" s="1868"/>
      <c r="N565" s="1895">
        <f t="shared" si="2107"/>
        <v>0</v>
      </c>
      <c r="O565" s="1896">
        <f t="shared" si="2108"/>
        <v>0</v>
      </c>
      <c r="P565" s="1868"/>
      <c r="Q565" s="1868"/>
      <c r="R565" s="1868"/>
      <c r="S565" s="1895">
        <f t="shared" si="2113"/>
        <v>0</v>
      </c>
      <c r="T565" s="1897">
        <f t="shared" si="2109"/>
        <v>0</v>
      </c>
      <c r="V565" s="2103"/>
      <c r="W565" s="2103"/>
      <c r="Z565" s="1418"/>
      <c r="AD565" s="1418"/>
      <c r="AE565" s="1418"/>
      <c r="AH565" s="1410"/>
      <c r="AI565" s="1911"/>
      <c r="AJ565" s="1911"/>
      <c r="AN565" s="1418"/>
    </row>
    <row r="566">
      <c r="A566" s="1179" t="s">
        <v>687</v>
      </c>
      <c r="B566" s="1868">
        <v>4</v>
      </c>
      <c r="C566" s="1868"/>
      <c r="D566" s="1868"/>
      <c r="E566" s="1895">
        <f t="shared" si="2121"/>
        <v>4</v>
      </c>
      <c r="F566" s="1868"/>
      <c r="G566" s="1868"/>
      <c r="H566" s="1868"/>
      <c r="I566" s="1895">
        <f t="shared" si="2105"/>
        <v>0</v>
      </c>
      <c r="J566" s="1896">
        <f t="shared" si="2106"/>
        <v>4</v>
      </c>
      <c r="K566" s="1868"/>
      <c r="L566" s="1868"/>
      <c r="M566" s="1868"/>
      <c r="N566" s="1895">
        <f t="shared" si="2107"/>
        <v>0</v>
      </c>
      <c r="O566" s="1896">
        <f t="shared" si="2108"/>
        <v>4</v>
      </c>
      <c r="P566" s="1868"/>
      <c r="Q566" s="1868"/>
      <c r="R566" s="1868"/>
      <c r="S566" s="1895">
        <f t="shared" si="2113"/>
        <v>0</v>
      </c>
      <c r="T566" s="1897">
        <f t="shared" si="2109"/>
        <v>4</v>
      </c>
      <c r="V566" s="2103"/>
      <c r="W566" s="2103"/>
      <c r="Z566" s="1418"/>
      <c r="AD566" s="1418"/>
      <c r="AE566" s="1418"/>
      <c r="AH566" s="1410"/>
      <c r="AI566" s="1911"/>
      <c r="AJ566" s="1911"/>
      <c r="AN566" s="1418"/>
    </row>
    <row r="567" ht="18.75" customHeight="1">
      <c r="A567" s="1179" t="s">
        <v>636</v>
      </c>
      <c r="B567" s="1868">
        <v>720</v>
      </c>
      <c r="C567" s="1868">
        <v>340</v>
      </c>
      <c r="D567" s="1868"/>
      <c r="E567" s="1895">
        <f t="shared" si="2121"/>
        <v>1060</v>
      </c>
      <c r="F567" s="1868"/>
      <c r="G567" s="1868"/>
      <c r="H567" s="1868"/>
      <c r="I567" s="1895">
        <f t="shared" si="2105"/>
        <v>0</v>
      </c>
      <c r="J567" s="1896">
        <f t="shared" si="2106"/>
        <v>1060</v>
      </c>
      <c r="K567" s="1868"/>
      <c r="L567" s="1868"/>
      <c r="M567" s="1868"/>
      <c r="N567" s="1895">
        <f t="shared" si="2107"/>
        <v>0</v>
      </c>
      <c r="O567" s="1896">
        <f t="shared" si="2108"/>
        <v>1060</v>
      </c>
      <c r="P567" s="1868"/>
      <c r="Q567" s="1868"/>
      <c r="R567" s="1868"/>
      <c r="S567" s="1895">
        <f t="shared" si="2113"/>
        <v>0</v>
      </c>
      <c r="T567" s="1897">
        <f t="shared" si="2109"/>
        <v>1060</v>
      </c>
      <c r="V567" s="2103"/>
      <c r="W567" s="2103"/>
      <c r="Z567" s="1418"/>
      <c r="AD567" s="1418"/>
      <c r="AE567" s="1418"/>
      <c r="AH567" s="1410"/>
      <c r="AI567" s="1911"/>
      <c r="AJ567" s="1911"/>
      <c r="AN567" s="1418"/>
    </row>
    <row r="568">
      <c r="A568" s="1179" t="s">
        <v>637</v>
      </c>
      <c r="B568" s="1868"/>
      <c r="C568" s="1868"/>
      <c r="D568" s="1868"/>
      <c r="E568" s="1895">
        <f t="shared" si="2121"/>
        <v>0</v>
      </c>
      <c r="F568" s="1868"/>
      <c r="G568" s="1868"/>
      <c r="H568" s="1868"/>
      <c r="I568" s="1895">
        <f t="shared" si="2105"/>
        <v>0</v>
      </c>
      <c r="J568" s="1896">
        <f t="shared" si="2106"/>
        <v>0</v>
      </c>
      <c r="K568" s="1868"/>
      <c r="L568" s="1868"/>
      <c r="M568" s="1868"/>
      <c r="N568" s="1895">
        <f t="shared" si="2107"/>
        <v>0</v>
      </c>
      <c r="O568" s="1896">
        <f t="shared" si="2108"/>
        <v>0</v>
      </c>
      <c r="P568" s="1868"/>
      <c r="Q568" s="1868"/>
      <c r="R568" s="1868"/>
      <c r="S568" s="1895">
        <f t="shared" si="2113"/>
        <v>0</v>
      </c>
      <c r="T568" s="1897">
        <f t="shared" si="2109"/>
        <v>0</v>
      </c>
      <c r="V568" s="2103"/>
      <c r="W568" s="2103"/>
      <c r="Z568" s="1418"/>
      <c r="AD568" s="1418"/>
      <c r="AE568" s="1418"/>
      <c r="AH568" s="1410"/>
      <c r="AI568" s="1911"/>
      <c r="AJ568" s="1911"/>
      <c r="AN568" s="1418"/>
    </row>
    <row r="569">
      <c r="A569" s="1179" t="s">
        <v>638</v>
      </c>
      <c r="B569" s="1868"/>
      <c r="C569" s="1868"/>
      <c r="D569" s="1868"/>
      <c r="E569" s="1895">
        <f t="shared" si="2121"/>
        <v>0</v>
      </c>
      <c r="F569" s="1868"/>
      <c r="G569" s="1868"/>
      <c r="H569" s="1868"/>
      <c r="I569" s="1895">
        <f t="shared" si="2105"/>
        <v>0</v>
      </c>
      <c r="J569" s="1896">
        <f t="shared" si="2106"/>
        <v>0</v>
      </c>
      <c r="K569" s="1868"/>
      <c r="L569" s="1868"/>
      <c r="M569" s="1868"/>
      <c r="N569" s="1895">
        <f t="shared" si="2107"/>
        <v>0</v>
      </c>
      <c r="O569" s="1896">
        <f t="shared" si="2108"/>
        <v>0</v>
      </c>
      <c r="P569" s="1868"/>
      <c r="Q569" s="1868"/>
      <c r="R569" s="1868"/>
      <c r="S569" s="1895">
        <f t="shared" si="2113"/>
        <v>0</v>
      </c>
      <c r="T569" s="1897">
        <f t="shared" si="2109"/>
        <v>0</v>
      </c>
      <c r="V569" s="2103"/>
      <c r="W569" s="2103"/>
      <c r="Z569" s="1418"/>
      <c r="AD569" s="1418"/>
      <c r="AE569" s="1418"/>
      <c r="AH569" s="1410"/>
      <c r="AI569" s="1911"/>
      <c r="AJ569" s="1911"/>
      <c r="AN569" s="1418"/>
    </row>
    <row r="570">
      <c r="A570" s="1179" t="s">
        <v>639</v>
      </c>
      <c r="B570" s="1868"/>
      <c r="C570" s="1868"/>
      <c r="D570" s="1868"/>
      <c r="E570" s="1895">
        <f t="shared" si="2121"/>
        <v>0</v>
      </c>
      <c r="F570" s="1868"/>
      <c r="G570" s="1868"/>
      <c r="H570" s="1868"/>
      <c r="I570" s="1895">
        <f t="shared" ref="I570:I633" si="2127">F570+G570+H570</f>
        <v>0</v>
      </c>
      <c r="J570" s="1896">
        <f t="shared" ref="J570:J633" si="2128">E570+I570</f>
        <v>0</v>
      </c>
      <c r="K570" s="1868"/>
      <c r="L570" s="1868"/>
      <c r="M570" s="1868"/>
      <c r="N570" s="1895">
        <f t="shared" si="2107"/>
        <v>0</v>
      </c>
      <c r="O570" s="1896">
        <f t="shared" si="2108"/>
        <v>0</v>
      </c>
      <c r="P570" s="1868"/>
      <c r="Q570" s="1868"/>
      <c r="R570" s="1868"/>
      <c r="S570" s="1895">
        <f t="shared" si="2113"/>
        <v>0</v>
      </c>
      <c r="T570" s="1897">
        <f t="shared" si="2109"/>
        <v>0</v>
      </c>
      <c r="V570" s="2103"/>
      <c r="W570" s="2103"/>
      <c r="Z570" s="1418"/>
      <c r="AD570" s="1418"/>
      <c r="AE570" s="1418"/>
      <c r="AH570" s="1410"/>
      <c r="AI570" s="1911"/>
      <c r="AJ570" s="1911"/>
      <c r="AN570" s="1418"/>
    </row>
    <row r="571" s="1510" customFormat="1">
      <c r="A571" s="1511" t="s">
        <v>640</v>
      </c>
      <c r="B571" s="1871">
        <f>SUM(B567:B570)</f>
        <v>720</v>
      </c>
      <c r="C571" s="1871">
        <f>SUM(C567:C570)</f>
        <v>340</v>
      </c>
      <c r="D571" s="1871">
        <f>SUM(D567:D570)</f>
        <v>0</v>
      </c>
      <c r="E571" s="1899">
        <f t="shared" si="2121"/>
        <v>1060</v>
      </c>
      <c r="F571" s="1871">
        <f>SUM(F567:F570)</f>
        <v>0</v>
      </c>
      <c r="G571" s="1871">
        <f>SUM(G567:G570)</f>
        <v>0</v>
      </c>
      <c r="H571" s="1871">
        <f>SUM(H567:H570)</f>
        <v>0</v>
      </c>
      <c r="I571" s="1899">
        <f t="shared" si="2127"/>
        <v>0</v>
      </c>
      <c r="J571" s="1900">
        <f t="shared" si="2128"/>
        <v>1060</v>
      </c>
      <c r="K571" s="1871">
        <f>SUM(K567:K570)</f>
        <v>0</v>
      </c>
      <c r="L571" s="1871">
        <f>SUM(L567:L570)</f>
        <v>0</v>
      </c>
      <c r="M571" s="1871">
        <f>SUM(M567:M570)</f>
        <v>0</v>
      </c>
      <c r="N571" s="1899">
        <f t="shared" si="2107"/>
        <v>0</v>
      </c>
      <c r="O571" s="1900">
        <f t="shared" si="2108"/>
        <v>1060</v>
      </c>
      <c r="P571" s="1871">
        <f>SUM(P567:P570)</f>
        <v>0</v>
      </c>
      <c r="Q571" s="1871">
        <f>SUM(Q567:Q570)</f>
        <v>0</v>
      </c>
      <c r="R571" s="1871">
        <f>SUM(R567:R570)</f>
        <v>0</v>
      </c>
      <c r="S571" s="1899">
        <f t="shared" si="2113"/>
        <v>0</v>
      </c>
      <c r="T571" s="1901">
        <f>SUM(T567:T570)</f>
        <v>1060</v>
      </c>
      <c r="U571" s="1515"/>
      <c r="V571" s="2103"/>
      <c r="W571" s="2103"/>
      <c r="X571" s="1515"/>
      <c r="Y571" s="1515"/>
      <c r="Z571" s="2062"/>
      <c r="AA571" s="1515"/>
      <c r="AB571" s="1515"/>
      <c r="AC571" s="1515"/>
      <c r="AD571" s="2062"/>
      <c r="AE571" s="2062"/>
      <c r="AF571" s="1515"/>
      <c r="AG571" s="1515"/>
      <c r="AH571" s="1838"/>
      <c r="AI571" s="1839"/>
      <c r="AJ571" s="1839"/>
      <c r="AK571" s="1515"/>
      <c r="AL571" s="1886"/>
      <c r="AM571" s="1515"/>
      <c r="AN571" s="2062"/>
      <c r="AO571" s="2062"/>
      <c r="AP571" s="1515"/>
      <c r="AQ571" s="1515"/>
      <c r="AR571" s="1515"/>
      <c r="AS571" s="1515"/>
      <c r="AT571" s="1515"/>
      <c r="AU571" s="1515"/>
      <c r="AV571" s="1515"/>
      <c r="AW571" s="1515"/>
      <c r="AX571" s="1515"/>
      <c r="AY571" s="1515"/>
      <c r="AZ571" s="1515"/>
    </row>
    <row r="572">
      <c r="A572" s="1179" t="s">
        <v>641</v>
      </c>
      <c r="B572" s="1868"/>
      <c r="C572" s="1868"/>
      <c r="D572" s="1868"/>
      <c r="E572" s="1895">
        <f t="shared" si="2121"/>
        <v>0</v>
      </c>
      <c r="F572" s="1868"/>
      <c r="G572" s="1868"/>
      <c r="H572" s="1868"/>
      <c r="I572" s="1895">
        <f t="shared" si="2127"/>
        <v>0</v>
      </c>
      <c r="J572" s="1896">
        <f t="shared" si="2128"/>
        <v>0</v>
      </c>
      <c r="K572" s="1868"/>
      <c r="L572" s="1868"/>
      <c r="M572" s="1868"/>
      <c r="N572" s="1895">
        <f t="shared" si="2107"/>
        <v>0</v>
      </c>
      <c r="O572" s="1896">
        <f t="shared" si="2108"/>
        <v>0</v>
      </c>
      <c r="P572" s="1868"/>
      <c r="Q572" s="1868"/>
      <c r="R572" s="1868"/>
      <c r="S572" s="1895">
        <f t="shared" si="2113"/>
        <v>0</v>
      </c>
      <c r="T572" s="1897">
        <f t="shared" si="2109"/>
        <v>0</v>
      </c>
      <c r="V572" s="2103"/>
      <c r="W572" s="2103"/>
      <c r="Z572" s="1418"/>
      <c r="AD572" s="1418"/>
      <c r="AE572" s="1418"/>
      <c r="AH572" s="1410"/>
      <c r="AI572" s="1911"/>
      <c r="AJ572" s="1911"/>
      <c r="AN572" s="1418"/>
    </row>
    <row r="573">
      <c r="A573" s="2084" t="s">
        <v>642</v>
      </c>
      <c r="B573" s="1868"/>
      <c r="C573" s="1868"/>
      <c r="D573" s="1868"/>
      <c r="E573" s="1895">
        <f t="shared" si="2121"/>
        <v>0</v>
      </c>
      <c r="F573" s="1868"/>
      <c r="G573" s="1868"/>
      <c r="H573" s="1868"/>
      <c r="I573" s="1895">
        <f t="shared" si="2127"/>
        <v>0</v>
      </c>
      <c r="J573" s="1896">
        <f t="shared" si="2128"/>
        <v>0</v>
      </c>
      <c r="K573" s="1868"/>
      <c r="L573" s="1868"/>
      <c r="M573" s="1868"/>
      <c r="N573" s="1895">
        <f t="shared" si="2107"/>
        <v>0</v>
      </c>
      <c r="O573" s="1896">
        <f t="shared" si="2108"/>
        <v>0</v>
      </c>
      <c r="P573" s="1868"/>
      <c r="Q573" s="1868"/>
      <c r="R573" s="1868"/>
      <c r="S573" s="1895">
        <f t="shared" si="2113"/>
        <v>0</v>
      </c>
      <c r="T573" s="1897">
        <f t="shared" si="2109"/>
        <v>0</v>
      </c>
      <c r="V573" s="2103"/>
      <c r="W573" s="2103"/>
      <c r="Z573" s="1418"/>
      <c r="AD573" s="1418"/>
      <c r="AE573" s="1418"/>
      <c r="AH573" s="1410"/>
      <c r="AI573" s="1911"/>
      <c r="AJ573" s="1911"/>
      <c r="AN573" s="1418"/>
    </row>
    <row r="574" s="1510" customFormat="1">
      <c r="A574" s="1904" t="s">
        <v>22</v>
      </c>
      <c r="B574" s="1905">
        <f>B558+B559+B560+B561+B562+B563+B564+B565+B566+B571+B572+B573</f>
        <v>70318</v>
      </c>
      <c r="C574" s="1905">
        <f>C558+C559+C560+C561+C562+C563+C564+C565+C566+C571+C572+C573</f>
        <v>46487</v>
      </c>
      <c r="D574" s="1905">
        <f>D558+D559+D560+D561+D562+D563+D564+D565+D566+D571+D572+D573</f>
        <v>0</v>
      </c>
      <c r="E574" s="1899">
        <f t="shared" si="2121"/>
        <v>116805</v>
      </c>
      <c r="F574" s="1905">
        <f>F558+F559+F560+F561+F562+F563+F564+F565+F566+F571+F572+F573</f>
        <v>0</v>
      </c>
      <c r="G574" s="1905">
        <f>G558+G559+G560+G561+G562+G563+G564+G565+G566+G571+G572+G573</f>
        <v>0</v>
      </c>
      <c r="H574" s="1905">
        <f>H558+H559+H560+H561+H562+H563+H564+H565+H566+H571+H572+H573</f>
        <v>0</v>
      </c>
      <c r="I574" s="1899">
        <f t="shared" si="2127"/>
        <v>0</v>
      </c>
      <c r="J574" s="1899">
        <f t="shared" si="2128"/>
        <v>116805</v>
      </c>
      <c r="K574" s="1905">
        <f>K558+K559+K560+K561+K562+K563+K564+K565+K566+K571+K572+K573</f>
        <v>0</v>
      </c>
      <c r="L574" s="1905">
        <f>L558+L559+L560+L561+L562+L563+L564+L565+L566+L571+L572+L573</f>
        <v>0</v>
      </c>
      <c r="M574" s="1905">
        <f>M558+M559+M560+M561+M562+M563+M564+M565+M566+M571+M572+M573</f>
        <v>0</v>
      </c>
      <c r="N574" s="1899">
        <f t="shared" ref="N574:N637" si="2129">K574+L574+M574</f>
        <v>0</v>
      </c>
      <c r="O574" s="1899">
        <f t="shared" ref="O574:O637" si="2130">J574+N574</f>
        <v>116805</v>
      </c>
      <c r="P574" s="1905">
        <f>P558+P559+P560+P561+P562+P563+P564+P565+P566+P571+P572+P573</f>
        <v>0</v>
      </c>
      <c r="Q574" s="1905">
        <f>Q558+Q559+Q560+Q561+Q562+Q563+Q564+Q565+Q566+Q571+Q572+Q573</f>
        <v>0</v>
      </c>
      <c r="R574" s="1905">
        <f>R558+R559+R560+R561+R562+R563+R564+R565+R566+R571+R572+R573</f>
        <v>0</v>
      </c>
      <c r="S574" s="1905">
        <f>S558+S559+S560+S561+S562+S563+S564+S565+S566+S571+S572+S573</f>
        <v>0</v>
      </c>
      <c r="T574" s="1905">
        <f>T558+T559+T560+T561+T562+T563+T564+T565+T566+T571+T572+T573</f>
        <v>116805</v>
      </c>
      <c r="U574" s="1515"/>
      <c r="V574" s="2103"/>
      <c r="W574" s="2103"/>
      <c r="X574" s="1515"/>
      <c r="Y574" s="1515"/>
      <c r="Z574" s="2062"/>
      <c r="AA574" s="1515"/>
      <c r="AB574" s="1515"/>
      <c r="AC574" s="1515"/>
      <c r="AD574" s="2062"/>
      <c r="AE574" s="2062"/>
      <c r="AF574" s="1515"/>
      <c r="AG574" s="1515"/>
      <c r="AH574" s="1838"/>
      <c r="AI574" s="1839"/>
      <c r="AJ574" s="1839"/>
      <c r="AK574" s="1515"/>
      <c r="AL574" s="1886"/>
      <c r="AM574" s="1515"/>
      <c r="AN574" s="2062"/>
      <c r="AO574" s="2062"/>
      <c r="AP574" s="1515"/>
      <c r="AQ574" s="1515"/>
      <c r="AR574" s="1515"/>
      <c r="AS574" s="1515"/>
      <c r="AT574" s="1515"/>
      <c r="AU574" s="1515"/>
      <c r="AV574" s="1515"/>
      <c r="AW574" s="1515"/>
      <c r="AX574" s="1515"/>
      <c r="AY574" s="1515"/>
      <c r="AZ574" s="1515"/>
    </row>
    <row r="575">
      <c r="A575" s="2084" t="s">
        <v>643</v>
      </c>
      <c r="B575" s="1868"/>
      <c r="C575" s="1868"/>
      <c r="D575" s="1868"/>
      <c r="E575" s="1895">
        <f t="shared" si="2121"/>
        <v>0</v>
      </c>
      <c r="F575" s="1868"/>
      <c r="G575" s="1868"/>
      <c r="H575" s="1868"/>
      <c r="I575" s="1895">
        <f t="shared" si="2127"/>
        <v>0</v>
      </c>
      <c r="J575" s="1896">
        <f t="shared" si="2128"/>
        <v>0</v>
      </c>
      <c r="K575" s="1868"/>
      <c r="L575" s="1868"/>
      <c r="M575" s="1868"/>
      <c r="N575" s="1895">
        <f t="shared" si="2129"/>
        <v>0</v>
      </c>
      <c r="O575" s="1896">
        <f t="shared" si="2130"/>
        <v>0</v>
      </c>
      <c r="P575" s="1868"/>
      <c r="Q575" s="1868"/>
      <c r="R575" s="1868"/>
      <c r="S575" s="1895">
        <f t="shared" si="2113"/>
        <v>0</v>
      </c>
      <c r="T575" s="1897">
        <f t="shared" ref="T575:T638" si="2131">O575+S575</f>
        <v>0</v>
      </c>
      <c r="V575" s="2103"/>
      <c r="W575" s="2103"/>
      <c r="Z575" s="1418"/>
      <c r="AD575" s="1418"/>
      <c r="AE575" s="1418"/>
      <c r="AH575" s="1410"/>
      <c r="AI575" s="1911"/>
      <c r="AJ575" s="1911"/>
      <c r="AN575" s="1418"/>
    </row>
    <row r="576">
      <c r="A576" s="2084" t="s">
        <v>644</v>
      </c>
      <c r="B576" s="1868"/>
      <c r="C576" s="1868"/>
      <c r="D576" s="1868"/>
      <c r="E576" s="1895">
        <f t="shared" si="2121"/>
        <v>0</v>
      </c>
      <c r="F576" s="1868"/>
      <c r="G576" s="1868"/>
      <c r="H576" s="1868"/>
      <c r="I576" s="1895">
        <f t="shared" si="2127"/>
        <v>0</v>
      </c>
      <c r="J576" s="1896">
        <f t="shared" si="2128"/>
        <v>0</v>
      </c>
      <c r="K576" s="1868"/>
      <c r="L576" s="1868"/>
      <c r="M576" s="1868"/>
      <c r="N576" s="1895">
        <f t="shared" si="2129"/>
        <v>0</v>
      </c>
      <c r="O576" s="1896">
        <f t="shared" si="2130"/>
        <v>0</v>
      </c>
      <c r="P576" s="1868"/>
      <c r="Q576" s="1868"/>
      <c r="R576" s="1868"/>
      <c r="S576" s="1895">
        <f t="shared" si="2113"/>
        <v>0</v>
      </c>
      <c r="T576" s="1897">
        <f t="shared" si="2131"/>
        <v>0</v>
      </c>
      <c r="V576" s="2103"/>
      <c r="W576" s="2103"/>
      <c r="Z576" s="1418"/>
      <c r="AD576" s="1418"/>
      <c r="AE576" s="1418"/>
      <c r="AH576" s="1410"/>
      <c r="AI576" s="1911"/>
      <c r="AJ576" s="1911"/>
      <c r="AN576" s="1418"/>
    </row>
    <row r="577">
      <c r="A577" s="2084" t="s">
        <v>688</v>
      </c>
      <c r="B577" s="1868"/>
      <c r="C577" s="1868"/>
      <c r="D577" s="1868"/>
      <c r="E577" s="1895">
        <f t="shared" si="2121"/>
        <v>0</v>
      </c>
      <c r="F577" s="1868"/>
      <c r="G577" s="1868"/>
      <c r="H577" s="1868"/>
      <c r="I577" s="1895">
        <f t="shared" si="2127"/>
        <v>0</v>
      </c>
      <c r="J577" s="1896">
        <f t="shared" si="2128"/>
        <v>0</v>
      </c>
      <c r="K577" s="1868"/>
      <c r="L577" s="1868"/>
      <c r="M577" s="1868"/>
      <c r="N577" s="1895">
        <f t="shared" si="2129"/>
        <v>0</v>
      </c>
      <c r="O577" s="1896">
        <f t="shared" si="2130"/>
        <v>0</v>
      </c>
      <c r="P577" s="1868"/>
      <c r="Q577" s="1868"/>
      <c r="R577" s="1868"/>
      <c r="S577" s="1895">
        <f t="shared" si="2113"/>
        <v>0</v>
      </c>
      <c r="T577" s="1897">
        <f t="shared" si="2131"/>
        <v>0</v>
      </c>
      <c r="V577" s="2103"/>
      <c r="W577" s="2103"/>
      <c r="Z577" s="1418"/>
      <c r="AD577" s="1418"/>
      <c r="AE577" s="1418"/>
      <c r="AH577" s="1410"/>
      <c r="AI577" s="1911"/>
      <c r="AJ577" s="1911"/>
      <c r="AN577" s="1418"/>
    </row>
    <row r="578">
      <c r="A578" s="2084" t="s">
        <v>304</v>
      </c>
      <c r="B578" s="1868"/>
      <c r="C578" s="1868"/>
      <c r="D578" s="1868"/>
      <c r="E578" s="1895">
        <f t="shared" si="2121"/>
        <v>0</v>
      </c>
      <c r="F578" s="1868"/>
      <c r="G578" s="1868"/>
      <c r="H578" s="1868"/>
      <c r="I578" s="1895">
        <f t="shared" si="2127"/>
        <v>0</v>
      </c>
      <c r="J578" s="1896">
        <f t="shared" si="2128"/>
        <v>0</v>
      </c>
      <c r="K578" s="1868"/>
      <c r="L578" s="1868"/>
      <c r="M578" s="1868"/>
      <c r="N578" s="1895">
        <f t="shared" si="2129"/>
        <v>0</v>
      </c>
      <c r="O578" s="1896">
        <f t="shared" si="2130"/>
        <v>0</v>
      </c>
      <c r="P578" s="1868"/>
      <c r="Q578" s="1868"/>
      <c r="R578" s="1868"/>
      <c r="S578" s="1895">
        <f t="shared" si="2113"/>
        <v>0</v>
      </c>
      <c r="T578" s="1897">
        <f t="shared" si="2131"/>
        <v>0</v>
      </c>
      <c r="V578" s="2103"/>
      <c r="W578" s="2103"/>
      <c r="Z578" s="1418"/>
      <c r="AD578" s="1418"/>
      <c r="AE578" s="1418"/>
      <c r="AH578" s="1410"/>
      <c r="AI578" s="1911"/>
      <c r="AJ578" s="1911"/>
      <c r="AN578" s="1418"/>
    </row>
    <row r="579">
      <c r="A579" s="2107" t="s">
        <v>283</v>
      </c>
      <c r="B579" s="1868">
        <v>147</v>
      </c>
      <c r="C579" s="1868">
        <v>154</v>
      </c>
      <c r="D579" s="1868"/>
      <c r="E579" s="1895">
        <f t="shared" si="2121"/>
        <v>301</v>
      </c>
      <c r="F579" s="1868"/>
      <c r="G579" s="1868"/>
      <c r="H579" s="1868"/>
      <c r="I579" s="1895">
        <f t="shared" si="2127"/>
        <v>0</v>
      </c>
      <c r="J579" s="1896">
        <f t="shared" si="2128"/>
        <v>301</v>
      </c>
      <c r="K579" s="1868"/>
      <c r="L579" s="1868"/>
      <c r="M579" s="1868"/>
      <c r="N579" s="1895">
        <f t="shared" si="2129"/>
        <v>0</v>
      </c>
      <c r="O579" s="1896">
        <f t="shared" si="2130"/>
        <v>301</v>
      </c>
      <c r="P579" s="1868"/>
      <c r="Q579" s="1868"/>
      <c r="R579" s="1868"/>
      <c r="S579" s="1895">
        <f t="shared" si="2113"/>
        <v>0</v>
      </c>
      <c r="T579" s="1897">
        <f t="shared" si="2131"/>
        <v>301</v>
      </c>
      <c r="V579" s="2103"/>
      <c r="W579" s="2103"/>
      <c r="Z579" s="1418"/>
      <c r="AD579" s="1418"/>
      <c r="AE579" s="1418"/>
      <c r="AH579" s="1410"/>
      <c r="AI579" s="1911"/>
      <c r="AJ579" s="1911"/>
      <c r="AN579" s="1418"/>
    </row>
    <row r="580">
      <c r="A580" s="2084" t="s">
        <v>645</v>
      </c>
      <c r="B580" s="1868"/>
      <c r="C580" s="1868"/>
      <c r="D580" s="1868"/>
      <c r="E580" s="1895">
        <f t="shared" si="2121"/>
        <v>0</v>
      </c>
      <c r="F580" s="1868"/>
      <c r="G580" s="1868"/>
      <c r="H580" s="1868"/>
      <c r="I580" s="1895">
        <f t="shared" si="2127"/>
        <v>0</v>
      </c>
      <c r="J580" s="1896">
        <f t="shared" si="2128"/>
        <v>0</v>
      </c>
      <c r="K580" s="1868"/>
      <c r="L580" s="1868"/>
      <c r="M580" s="1868"/>
      <c r="N580" s="1895">
        <f t="shared" si="2129"/>
        <v>0</v>
      </c>
      <c r="O580" s="1896">
        <f t="shared" si="2130"/>
        <v>0</v>
      </c>
      <c r="P580" s="1868"/>
      <c r="Q580" s="1868"/>
      <c r="R580" s="1868"/>
      <c r="S580" s="1895">
        <f t="shared" si="2113"/>
        <v>0</v>
      </c>
      <c r="T580" s="1897">
        <f t="shared" si="2131"/>
        <v>0</v>
      </c>
      <c r="V580" s="2103"/>
      <c r="W580" s="2103"/>
      <c r="Z580" s="1418"/>
      <c r="AD580" s="1418"/>
      <c r="AE580" s="1418"/>
      <c r="AH580" s="1410"/>
      <c r="AI580" s="1911"/>
      <c r="AJ580" s="1911"/>
      <c r="AN580" s="1418"/>
    </row>
    <row r="581" s="1510" customFormat="1">
      <c r="A581" s="1904" t="s">
        <v>545</v>
      </c>
      <c r="B581" s="1905">
        <f>B574+B575+B580+B576+B577+B578+B579</f>
        <v>70465</v>
      </c>
      <c r="C581" s="1905">
        <f>C574+C575+C580+C576+C577+C578+C579</f>
        <v>46641</v>
      </c>
      <c r="D581" s="1905">
        <f>D574+D575+D580+D576+D577+D578+D579</f>
        <v>0</v>
      </c>
      <c r="E581" s="1899">
        <f t="shared" si="2121"/>
        <v>117106</v>
      </c>
      <c r="F581" s="1905">
        <f>F574+F575+F580+F576+F577+F578+F579</f>
        <v>0</v>
      </c>
      <c r="G581" s="1905">
        <f>G574+G575+G580+G576+G577+G578+G579</f>
        <v>0</v>
      </c>
      <c r="H581" s="1905">
        <f>H574+H575+H580+H576+H577+H578+H579</f>
        <v>0</v>
      </c>
      <c r="I581" s="1899">
        <f t="shared" si="2127"/>
        <v>0</v>
      </c>
      <c r="J581" s="1899">
        <f t="shared" si="2128"/>
        <v>117106</v>
      </c>
      <c r="K581" s="1905">
        <f>K574+K575+K580+K576+K577+K578+K579</f>
        <v>0</v>
      </c>
      <c r="L581" s="1905">
        <f>L574+L575+L580+L576+L577+L578+L579</f>
        <v>0</v>
      </c>
      <c r="M581" s="1905">
        <f>M574+M575+M580+M576+M577+M578+M579</f>
        <v>0</v>
      </c>
      <c r="N581" s="1899">
        <f t="shared" si="2129"/>
        <v>0</v>
      </c>
      <c r="O581" s="1899">
        <f t="shared" si="2130"/>
        <v>117106</v>
      </c>
      <c r="P581" s="1905">
        <f>P574+P575+P580+P576+P577+P578+P579</f>
        <v>0</v>
      </c>
      <c r="Q581" s="1905">
        <f>Q574+Q575+Q580+Q576+Q577+Q578+Q579</f>
        <v>0</v>
      </c>
      <c r="R581" s="1905">
        <f>R574+R575+R580+R576+R577+R578+R579</f>
        <v>0</v>
      </c>
      <c r="S581" s="1905">
        <f>S574+S575+S580+S576+S577+S578</f>
        <v>0</v>
      </c>
      <c r="T581" s="1905">
        <f>T574+T575+T580+T576+T577+T578</f>
        <v>116805</v>
      </c>
      <c r="U581" s="1515"/>
      <c r="V581" s="2103"/>
      <c r="W581" s="2103"/>
      <c r="X581" s="1515"/>
      <c r="Y581" s="1515"/>
      <c r="Z581" s="2062"/>
      <c r="AA581" s="1515"/>
      <c r="AB581" s="1515"/>
      <c r="AC581" s="1515"/>
      <c r="AD581" s="2062"/>
      <c r="AE581" s="2062"/>
      <c r="AF581" s="1515"/>
      <c r="AG581" s="1515"/>
      <c r="AH581" s="1515"/>
      <c r="AI581" s="2062"/>
      <c r="AJ581" s="2062"/>
      <c r="AK581" s="1515"/>
      <c r="AL581" s="1886"/>
      <c r="AM581" s="1515"/>
      <c r="AN581" s="2062"/>
      <c r="AO581" s="2062"/>
      <c r="AP581" s="1515"/>
      <c r="AQ581" s="1515"/>
      <c r="AR581" s="1515"/>
      <c r="AS581" s="1515"/>
      <c r="AT581" s="1515"/>
      <c r="AU581" s="1515"/>
      <c r="AV581" s="1515"/>
      <c r="AW581" s="1515"/>
      <c r="AX581" s="1515"/>
      <c r="AY581" s="1515"/>
      <c r="AZ581" s="1515"/>
    </row>
    <row r="582">
      <c r="A582" s="1179" t="s">
        <v>689</v>
      </c>
      <c r="B582" s="1868">
        <v>782</v>
      </c>
      <c r="C582" s="1446">
        <f>438+126</f>
        <v>564</v>
      </c>
      <c r="D582" s="1446"/>
      <c r="E582" s="1895">
        <f t="shared" si="2121"/>
        <v>1346</v>
      </c>
      <c r="F582" s="1446"/>
      <c r="G582" s="1446"/>
      <c r="H582" s="1446"/>
      <c r="I582" s="1895">
        <f t="shared" si="2127"/>
        <v>0</v>
      </c>
      <c r="J582" s="1896">
        <f t="shared" si="2128"/>
        <v>1346</v>
      </c>
      <c r="K582" s="1446"/>
      <c r="L582" s="1446"/>
      <c r="M582" s="1446"/>
      <c r="N582" s="1895">
        <f t="shared" si="2129"/>
        <v>0</v>
      </c>
      <c r="O582" s="1896">
        <f t="shared" si="2130"/>
        <v>1346</v>
      </c>
      <c r="P582" s="1446"/>
      <c r="Q582" s="1446"/>
      <c r="R582" s="1868"/>
      <c r="S582" s="1895">
        <f t="shared" si="2113"/>
        <v>0</v>
      </c>
      <c r="T582" s="1897">
        <f t="shared" si="2131"/>
        <v>1346</v>
      </c>
      <c r="V582" s="2103"/>
      <c r="W582" s="2103"/>
      <c r="Z582" s="1418"/>
      <c r="AD582" s="1418"/>
      <c r="AE582" s="1418"/>
      <c r="AI582" s="1418"/>
      <c r="AJ582" s="1418"/>
      <c r="AN582" s="1418"/>
    </row>
    <row r="583">
      <c r="A583" s="1179" t="s">
        <v>647</v>
      </c>
      <c r="B583" s="1868"/>
      <c r="C583" s="1446"/>
      <c r="D583" s="1446"/>
      <c r="E583" s="1895">
        <f t="shared" si="2121"/>
        <v>0</v>
      </c>
      <c r="F583" s="1446"/>
      <c r="G583" s="1446"/>
      <c r="H583" s="1446"/>
      <c r="I583" s="1895">
        <f t="shared" si="2127"/>
        <v>0</v>
      </c>
      <c r="J583" s="1896">
        <f t="shared" si="2128"/>
        <v>0</v>
      </c>
      <c r="K583" s="1446"/>
      <c r="L583" s="1446"/>
      <c r="M583" s="1446"/>
      <c r="N583" s="1895">
        <f t="shared" si="2129"/>
        <v>0</v>
      </c>
      <c r="O583" s="1896">
        <f t="shared" si="2130"/>
        <v>0</v>
      </c>
      <c r="P583" s="1446"/>
      <c r="Q583" s="1446"/>
      <c r="R583" s="1446"/>
      <c r="S583" s="1895">
        <f t="shared" si="2113"/>
        <v>0</v>
      </c>
      <c r="T583" s="1897">
        <f t="shared" si="2131"/>
        <v>0</v>
      </c>
      <c r="V583" s="2103"/>
      <c r="W583" s="2103"/>
      <c r="Z583" s="1418"/>
      <c r="AD583" s="1418"/>
      <c r="AE583" s="1418"/>
      <c r="AI583" s="1418"/>
      <c r="AJ583" s="1418"/>
      <c r="AN583" s="1418"/>
    </row>
    <row r="584" s="1510" customFormat="1">
      <c r="A584" s="1904" t="s">
        <v>648</v>
      </c>
      <c r="B584" s="1905">
        <f>B581+B582+B583</f>
        <v>71247</v>
      </c>
      <c r="C584" s="1905">
        <f t="shared" ref="C584:H584" si="2132">C581+C582+C583</f>
        <v>47205</v>
      </c>
      <c r="D584" s="1905">
        <f t="shared" si="2132"/>
        <v>0</v>
      </c>
      <c r="E584" s="1899">
        <f t="shared" si="2121"/>
        <v>118452</v>
      </c>
      <c r="F584" s="1905">
        <f>F581+F582+F583</f>
        <v>0</v>
      </c>
      <c r="G584" s="1905">
        <f>G581+G582+G583</f>
        <v>0</v>
      </c>
      <c r="H584" s="1905">
        <f t="shared" si="2132"/>
        <v>0</v>
      </c>
      <c r="I584" s="1899">
        <f t="shared" si="2127"/>
        <v>0</v>
      </c>
      <c r="J584" s="1899">
        <f t="shared" si="2128"/>
        <v>118452</v>
      </c>
      <c r="K584" s="1905">
        <f>K581+K582+K583</f>
        <v>0</v>
      </c>
      <c r="L584" s="1905">
        <f>L581+L582+L583</f>
        <v>0</v>
      </c>
      <c r="M584" s="1905">
        <f t="shared" ref="M584:R584" si="2133">M581+M582+M583</f>
        <v>0</v>
      </c>
      <c r="N584" s="1899">
        <f t="shared" si="2129"/>
        <v>0</v>
      </c>
      <c r="O584" s="1899">
        <f t="shared" si="2130"/>
        <v>118452</v>
      </c>
      <c r="P584" s="1905">
        <f t="shared" si="2133"/>
        <v>0</v>
      </c>
      <c r="Q584" s="1905">
        <f t="shared" si="2133"/>
        <v>0</v>
      </c>
      <c r="R584" s="1905">
        <f t="shared" si="2133"/>
        <v>0</v>
      </c>
      <c r="S584" s="1899">
        <f t="shared" si="2113"/>
        <v>0</v>
      </c>
      <c r="T584" s="1899">
        <f t="shared" si="2131"/>
        <v>118452</v>
      </c>
      <c r="U584" s="1515"/>
      <c r="V584" s="2103"/>
      <c r="W584" s="2103"/>
      <c r="X584" s="1515"/>
      <c r="Y584" s="1515"/>
      <c r="Z584" s="2062"/>
      <c r="AA584" s="1515"/>
      <c r="AB584" s="1515"/>
      <c r="AC584" s="1515"/>
      <c r="AD584" s="2062"/>
      <c r="AE584" s="2062"/>
      <c r="AF584" s="1515"/>
      <c r="AG584" s="1515"/>
      <c r="AH584" s="1515"/>
      <c r="AI584" s="2062"/>
      <c r="AJ584" s="2062"/>
      <c r="AK584" s="1515"/>
      <c r="AL584" s="1886"/>
      <c r="AM584" s="1515"/>
      <c r="AN584" s="2062"/>
      <c r="AO584" s="2062"/>
      <c r="AP584" s="1515"/>
      <c r="AQ584" s="1515"/>
      <c r="AR584" s="1515"/>
      <c r="AS584" s="1515"/>
      <c r="AT584" s="1515"/>
      <c r="AU584" s="1515"/>
      <c r="AV584" s="1515"/>
      <c r="AW584" s="1515"/>
      <c r="AX584" s="1515"/>
      <c r="AY584" s="1515"/>
      <c r="AZ584" s="1515"/>
    </row>
    <row r="585" s="1510" customFormat="1">
      <c r="A585" s="1515"/>
      <c r="B585" s="1872"/>
      <c r="C585" s="1908"/>
      <c r="D585" s="1908"/>
      <c r="E585" s="1833"/>
      <c r="F585" s="1872"/>
      <c r="G585" s="1908"/>
      <c r="H585" s="1908"/>
      <c r="I585" s="1833"/>
      <c r="J585" s="1833"/>
      <c r="K585" s="1908"/>
      <c r="L585" s="1908"/>
      <c r="M585" s="1908"/>
      <c r="N585" s="1833"/>
      <c r="O585" s="1833"/>
      <c r="P585" s="1908"/>
      <c r="Q585" s="1908"/>
      <c r="R585" s="1872"/>
      <c r="S585" s="1835"/>
      <c r="T585" s="1835"/>
      <c r="U585" s="1515"/>
      <c r="V585" s="2103"/>
      <c r="W585" s="2103"/>
      <c r="X585" s="1515"/>
      <c r="Y585" s="1515"/>
      <c r="Z585" s="2062"/>
      <c r="AA585" s="1515"/>
      <c r="AB585" s="1515"/>
      <c r="AC585" s="1515"/>
      <c r="AD585" s="2062"/>
      <c r="AE585" s="2062"/>
      <c r="AF585" s="1515"/>
      <c r="AG585" s="1515"/>
      <c r="AH585" s="1515"/>
      <c r="AI585" s="2062"/>
      <c r="AJ585" s="2062"/>
      <c r="AK585" s="1515"/>
      <c r="AL585" s="1886"/>
      <c r="AM585" s="1515"/>
      <c r="AN585" s="2062"/>
      <c r="AO585" s="2062"/>
      <c r="AP585" s="1515"/>
      <c r="AQ585" s="1515"/>
      <c r="AR585" s="1515"/>
      <c r="AS585" s="1515"/>
      <c r="AT585" s="1515"/>
      <c r="AU585" s="1515"/>
      <c r="AV585" s="1515"/>
      <c r="AW585" s="1515"/>
      <c r="AX585" s="1515"/>
      <c r="AY585" s="1515"/>
      <c r="AZ585" s="1515"/>
    </row>
    <row r="586">
      <c r="B586" s="1832"/>
      <c r="C586" s="1410"/>
      <c r="D586" s="1410"/>
      <c r="E586" s="1911"/>
      <c r="F586" s="1410"/>
      <c r="G586" s="1832"/>
      <c r="H586" s="1410"/>
      <c r="I586" s="1911"/>
      <c r="J586" s="1911"/>
      <c r="K586" s="1410"/>
      <c r="L586" s="1832"/>
      <c r="M586" s="1832"/>
      <c r="N586" s="1911"/>
      <c r="O586" s="1911"/>
      <c r="P586" s="1410"/>
      <c r="Q586" s="1832"/>
      <c r="R586" s="1834"/>
      <c r="S586" s="1415"/>
      <c r="T586" s="2110"/>
      <c r="V586" s="1838"/>
      <c r="Z586" s="1418"/>
      <c r="AD586" s="1418"/>
      <c r="AE586" s="1418"/>
      <c r="AI586" s="1418"/>
      <c r="AJ586" s="1418"/>
      <c r="AN586" s="1418"/>
    </row>
    <row r="587" ht="35.25" customHeight="1">
      <c r="A587" s="1890" t="s">
        <v>690</v>
      </c>
      <c r="B587" s="2111" t="s">
        <v>691</v>
      </c>
      <c r="C587" s="1888"/>
      <c r="D587" s="1888"/>
      <c r="E587" s="1888"/>
      <c r="F587" s="1888"/>
      <c r="G587" s="1888"/>
      <c r="H587" s="1888"/>
      <c r="I587" s="1888"/>
      <c r="J587" s="1888"/>
      <c r="K587" s="1888"/>
      <c r="L587" s="1888"/>
      <c r="M587" s="1888"/>
      <c r="N587" s="1888"/>
      <c r="O587" s="1888"/>
      <c r="P587" s="1888"/>
      <c r="Q587" s="1888"/>
      <c r="R587" s="1888"/>
      <c r="S587" s="1888"/>
      <c r="T587" s="1889"/>
      <c r="V587" s="1413" t="s">
        <v>690</v>
      </c>
      <c r="W587" s="2112" t="s">
        <v>607</v>
      </c>
      <c r="X587" s="2113"/>
      <c r="Y587" s="2114"/>
      <c r="Z587" s="2115"/>
      <c r="AA587" s="2116"/>
      <c r="AB587" s="2116"/>
      <c r="AC587" s="2116"/>
      <c r="AD587" s="2115"/>
      <c r="AE587" s="2117"/>
      <c r="AF587" s="2116"/>
      <c r="AG587" s="2116"/>
      <c r="AH587" s="2116"/>
      <c r="AI587" s="2115"/>
      <c r="AJ587" s="2117"/>
      <c r="AK587" s="2116"/>
      <c r="AL587" s="2118"/>
      <c r="AM587" s="2116"/>
      <c r="AN587" s="2115"/>
      <c r="AO587" s="2119"/>
    </row>
    <row r="588" s="2120" customFormat="1">
      <c r="A588" s="2121" t="s">
        <v>173</v>
      </c>
      <c r="B588" s="1446" t="s">
        <v>6</v>
      </c>
      <c r="C588" s="1446" t="s">
        <v>7</v>
      </c>
      <c r="D588" s="1913" t="s">
        <v>8</v>
      </c>
      <c r="E588" s="1914" t="s">
        <v>9</v>
      </c>
      <c r="F588" s="1447" t="s">
        <v>10</v>
      </c>
      <c r="G588" s="1447" t="s">
        <v>11</v>
      </c>
      <c r="H588" s="1447" t="s">
        <v>12</v>
      </c>
      <c r="I588" s="1448" t="s">
        <v>174</v>
      </c>
      <c r="J588" s="1449" t="s">
        <v>175</v>
      </c>
      <c r="K588" s="1447" t="s">
        <v>14</v>
      </c>
      <c r="L588" s="1447" t="s">
        <v>15</v>
      </c>
      <c r="M588" s="1447" t="s">
        <v>16</v>
      </c>
      <c r="N588" s="1448" t="s">
        <v>17</v>
      </c>
      <c r="O588" s="1449" t="s">
        <v>176</v>
      </c>
      <c r="P588" s="1447" t="s">
        <v>18</v>
      </c>
      <c r="Q588" s="1447" t="s">
        <v>19</v>
      </c>
      <c r="R588" s="1447" t="s">
        <v>20</v>
      </c>
      <c r="S588" s="1448" t="s">
        <v>593</v>
      </c>
      <c r="T588" s="1450" t="s">
        <v>22</v>
      </c>
      <c r="U588" s="1410"/>
      <c r="V588" s="1447" t="s">
        <v>173</v>
      </c>
      <c r="W588" s="1446" t="s">
        <v>6</v>
      </c>
      <c r="X588" s="1446" t="s">
        <v>7</v>
      </c>
      <c r="Y588" s="1913" t="s">
        <v>8</v>
      </c>
      <c r="Z588" s="2080" t="s">
        <v>9</v>
      </c>
      <c r="AA588" s="1447" t="s">
        <v>10</v>
      </c>
      <c r="AB588" s="1447" t="s">
        <v>11</v>
      </c>
      <c r="AC588" s="1447" t="s">
        <v>12</v>
      </c>
      <c r="AD588" s="1448" t="s">
        <v>174</v>
      </c>
      <c r="AE588" s="2122" t="s">
        <v>175</v>
      </c>
      <c r="AF588" s="1447" t="s">
        <v>14</v>
      </c>
      <c r="AG588" s="1447" t="s">
        <v>15</v>
      </c>
      <c r="AH588" s="1447" t="s">
        <v>16</v>
      </c>
      <c r="AI588" s="1448" t="s">
        <v>17</v>
      </c>
      <c r="AJ588" s="2122" t="s">
        <v>176</v>
      </c>
      <c r="AK588" s="1447" t="s">
        <v>18</v>
      </c>
      <c r="AL588" s="2123" t="s">
        <v>19</v>
      </c>
      <c r="AM588" s="1447" t="s">
        <v>20</v>
      </c>
      <c r="AN588" s="1448" t="s">
        <v>177</v>
      </c>
      <c r="AO588" s="2124" t="s">
        <v>22</v>
      </c>
      <c r="AP588" s="1410"/>
      <c r="AQ588" s="1410"/>
      <c r="AR588" s="1410"/>
      <c r="AS588" s="1410"/>
      <c r="AT588" s="1410"/>
      <c r="AU588" s="1410"/>
      <c r="AV588" s="1410"/>
      <c r="AW588" s="1410"/>
      <c r="AX588" s="1410"/>
      <c r="AY588" s="1410"/>
      <c r="AZ588" s="1410"/>
    </row>
    <row r="589" s="1434" customFormat="1" ht="23.25" customHeight="1">
      <c r="A589" s="2084" t="s">
        <v>178</v>
      </c>
      <c r="B589" s="1868">
        <v>6</v>
      </c>
      <c r="C589" s="1868">
        <v>3</v>
      </c>
      <c r="D589" s="1868"/>
      <c r="E589" s="1895">
        <f t="shared" si="2121"/>
        <v>9</v>
      </c>
      <c r="F589" s="1868"/>
      <c r="G589" s="1868"/>
      <c r="H589" s="1868"/>
      <c r="I589" s="1895">
        <f t="shared" si="2127"/>
        <v>0</v>
      </c>
      <c r="J589" s="1896">
        <f t="shared" si="2128"/>
        <v>9</v>
      </c>
      <c r="K589" s="1868"/>
      <c r="L589" s="1868"/>
      <c r="M589" s="1868"/>
      <c r="N589" s="1895">
        <f t="shared" si="2129"/>
        <v>0</v>
      </c>
      <c r="O589" s="1896">
        <f t="shared" si="2130"/>
        <v>9</v>
      </c>
      <c r="P589" s="1868"/>
      <c r="Q589" s="1868"/>
      <c r="R589" s="1868"/>
      <c r="S589" s="1895">
        <f t="shared" ref="S588:S651" si="2134">P589+Q589+R589</f>
        <v>0</v>
      </c>
      <c r="T589" s="1897">
        <f t="shared" si="2131"/>
        <v>9</v>
      </c>
      <c r="U589" s="1409"/>
      <c r="V589" s="1936" t="s">
        <v>178</v>
      </c>
      <c r="W589" s="1850">
        <v>2</v>
      </c>
      <c r="X589" s="1850">
        <v>6</v>
      </c>
      <c r="Y589" s="1850"/>
      <c r="Z589" s="1851">
        <f t="shared" ref="Z550:Z613" si="2135">W589+X589+Y589</f>
        <v>8</v>
      </c>
      <c r="AA589" s="1868"/>
      <c r="AB589" s="1868"/>
      <c r="AC589" s="1850"/>
      <c r="AD589" s="1851">
        <f t="shared" ref="AD550:AD613" si="2136">AA589+AB589+AC589</f>
        <v>0</v>
      </c>
      <c r="AE589" s="2125">
        <f t="shared" ref="AE550:AE613" si="2137">Z589+AD589</f>
        <v>8</v>
      </c>
      <c r="AF589" s="1850"/>
      <c r="AG589" s="1850"/>
      <c r="AH589" s="1850"/>
      <c r="AI589" s="1851">
        <f t="shared" ref="AI550:AI613" si="2138">AF589+AG589+AH589</f>
        <v>0</v>
      </c>
      <c r="AJ589" s="2125">
        <f t="shared" ref="AJ575:AJ638" si="2139">AE589+AI589</f>
        <v>8</v>
      </c>
      <c r="AK589" s="1850"/>
      <c r="AL589" s="2126"/>
      <c r="AM589" s="1850"/>
      <c r="AN589" s="2127">
        <f t="shared" ref="AN575:AN638" si="2140">AK589+AL589+AM589</f>
        <v>0</v>
      </c>
      <c r="AO589" s="2128">
        <f t="shared" ref="AO575:AO638" si="2141">AJ589+AN589</f>
        <v>8</v>
      </c>
      <c r="AP589" s="1409"/>
      <c r="AQ589" s="1409"/>
      <c r="AR589" s="1409"/>
      <c r="AS589" s="1409"/>
      <c r="AT589" s="1409"/>
      <c r="AU589" s="1409"/>
      <c r="AV589" s="1409"/>
      <c r="AW589" s="1409"/>
      <c r="AX589" s="1409"/>
      <c r="AY589" s="1409"/>
      <c r="AZ589" s="1409"/>
    </row>
    <row r="590" s="1434" customFormat="1">
      <c r="A590" s="2084" t="s">
        <v>354</v>
      </c>
      <c r="B590" s="1868">
        <v>1482</v>
      </c>
      <c r="C590" s="1868">
        <v>349</v>
      </c>
      <c r="D590" s="1868"/>
      <c r="E590" s="1895">
        <f t="shared" si="2121"/>
        <v>1831</v>
      </c>
      <c r="F590" s="1868"/>
      <c r="G590" s="1868"/>
      <c r="H590" s="1868"/>
      <c r="I590" s="1895">
        <f t="shared" si="2127"/>
        <v>0</v>
      </c>
      <c r="J590" s="1896">
        <f t="shared" si="2128"/>
        <v>1831</v>
      </c>
      <c r="K590" s="1868"/>
      <c r="L590" s="1868"/>
      <c r="M590" s="1868"/>
      <c r="N590" s="1895">
        <f t="shared" si="2129"/>
        <v>0</v>
      </c>
      <c r="O590" s="1896">
        <f t="shared" si="2130"/>
        <v>1831</v>
      </c>
      <c r="P590" s="1868"/>
      <c r="Q590" s="1868"/>
      <c r="R590" s="1868"/>
      <c r="S590" s="1895">
        <f t="shared" si="2134"/>
        <v>0</v>
      </c>
      <c r="T590" s="1897">
        <f t="shared" si="2131"/>
        <v>1831</v>
      </c>
      <c r="U590" s="1409"/>
      <c r="V590" s="1936" t="s">
        <v>354</v>
      </c>
      <c r="W590" s="1850">
        <v>494</v>
      </c>
      <c r="X590" s="1850">
        <v>1005</v>
      </c>
      <c r="Y590" s="1850"/>
      <c r="Z590" s="1851">
        <f t="shared" si="2135"/>
        <v>1499</v>
      </c>
      <c r="AA590" s="1868"/>
      <c r="AB590" s="1868"/>
      <c r="AC590" s="1850"/>
      <c r="AD590" s="1851">
        <f t="shared" si="2136"/>
        <v>0</v>
      </c>
      <c r="AE590" s="2125">
        <f t="shared" si="2137"/>
        <v>1499</v>
      </c>
      <c r="AF590" s="1850"/>
      <c r="AG590" s="1850"/>
      <c r="AH590" s="1850"/>
      <c r="AI590" s="1851">
        <f t="shared" si="2138"/>
        <v>0</v>
      </c>
      <c r="AJ590" s="2125">
        <f t="shared" si="2139"/>
        <v>1499</v>
      </c>
      <c r="AK590" s="1850"/>
      <c r="AL590" s="2126"/>
      <c r="AM590" s="1850"/>
      <c r="AN590" s="2127">
        <f t="shared" si="2140"/>
        <v>0</v>
      </c>
      <c r="AO590" s="2128">
        <f t="shared" si="2141"/>
        <v>1499</v>
      </c>
      <c r="AP590" s="1409"/>
      <c r="AQ590" s="1409"/>
      <c r="AR590" s="1409"/>
      <c r="AS590" s="1409"/>
      <c r="AT590" s="1409"/>
      <c r="AU590" s="1409"/>
      <c r="AV590" s="1409"/>
      <c r="AW590" s="1409"/>
      <c r="AX590" s="1409"/>
      <c r="AY590" s="1409"/>
      <c r="AZ590" s="1409"/>
    </row>
    <row r="591" s="1434" customFormat="1">
      <c r="A591" s="2084" t="s">
        <v>181</v>
      </c>
      <c r="B591" s="1868">
        <v>120</v>
      </c>
      <c r="C591" s="1868">
        <v>37</v>
      </c>
      <c r="D591" s="1868"/>
      <c r="E591" s="1895">
        <f t="shared" si="2121"/>
        <v>157</v>
      </c>
      <c r="F591" s="1868"/>
      <c r="G591" s="1868"/>
      <c r="H591" s="1868"/>
      <c r="I591" s="1895">
        <f t="shared" si="2127"/>
        <v>0</v>
      </c>
      <c r="J591" s="1896">
        <f t="shared" si="2128"/>
        <v>157</v>
      </c>
      <c r="K591" s="1868"/>
      <c r="L591" s="1868"/>
      <c r="M591" s="1868"/>
      <c r="N591" s="1895">
        <f t="shared" si="2129"/>
        <v>0</v>
      </c>
      <c r="O591" s="1896">
        <f t="shared" si="2130"/>
        <v>157</v>
      </c>
      <c r="P591" s="1868"/>
      <c r="Q591" s="1868"/>
      <c r="R591" s="1868"/>
      <c r="S591" s="1895">
        <f t="shared" si="2134"/>
        <v>0</v>
      </c>
      <c r="T591" s="1897">
        <f t="shared" si="2131"/>
        <v>157</v>
      </c>
      <c r="U591" s="1409"/>
      <c r="V591" s="1936" t="s">
        <v>181</v>
      </c>
      <c r="W591" s="1850">
        <v>40</v>
      </c>
      <c r="X591" s="1850">
        <v>107</v>
      </c>
      <c r="Y591" s="1850"/>
      <c r="Z591" s="1851">
        <f t="shared" si="2135"/>
        <v>147</v>
      </c>
      <c r="AA591" s="1868"/>
      <c r="AB591" s="1868"/>
      <c r="AC591" s="1850"/>
      <c r="AD591" s="1851">
        <f t="shared" si="2136"/>
        <v>0</v>
      </c>
      <c r="AE591" s="2125">
        <f t="shared" si="2137"/>
        <v>147</v>
      </c>
      <c r="AF591" s="1850"/>
      <c r="AG591" s="1850"/>
      <c r="AH591" s="1850"/>
      <c r="AI591" s="1851">
        <f t="shared" si="2138"/>
        <v>0</v>
      </c>
      <c r="AJ591" s="2125">
        <f t="shared" si="2139"/>
        <v>147</v>
      </c>
      <c r="AK591" s="1850"/>
      <c r="AL591" s="2126"/>
      <c r="AM591" s="1850"/>
      <c r="AN591" s="2127">
        <f t="shared" si="2140"/>
        <v>0</v>
      </c>
      <c r="AO591" s="2128">
        <f t="shared" si="2141"/>
        <v>147</v>
      </c>
      <c r="AP591" s="1409"/>
      <c r="AQ591" s="1409"/>
      <c r="AR591" s="1409"/>
      <c r="AS591" s="1409"/>
      <c r="AT591" s="1409"/>
      <c r="AU591" s="1409"/>
      <c r="AV591" s="1409"/>
      <c r="AW591" s="1409"/>
      <c r="AX591" s="1409"/>
      <c r="AY591" s="1409"/>
      <c r="AZ591" s="1409"/>
    </row>
    <row r="592" s="1434" customFormat="1">
      <c r="A592" s="2084" t="s">
        <v>182</v>
      </c>
      <c r="B592" s="1868">
        <v>747</v>
      </c>
      <c r="C592" s="1868">
        <v>263</v>
      </c>
      <c r="D592" s="1868"/>
      <c r="E592" s="1895">
        <f t="shared" si="2121"/>
        <v>1010</v>
      </c>
      <c r="F592" s="1868"/>
      <c r="G592" s="1868"/>
      <c r="H592" s="1868"/>
      <c r="I592" s="1895">
        <f t="shared" si="2127"/>
        <v>0</v>
      </c>
      <c r="J592" s="1896">
        <f t="shared" si="2128"/>
        <v>1010</v>
      </c>
      <c r="K592" s="1868"/>
      <c r="L592" s="1868"/>
      <c r="M592" s="1868"/>
      <c r="N592" s="1895">
        <f t="shared" si="2129"/>
        <v>0</v>
      </c>
      <c r="O592" s="1896">
        <f t="shared" si="2130"/>
        <v>1010</v>
      </c>
      <c r="P592" s="1868"/>
      <c r="Q592" s="1868"/>
      <c r="R592" s="1868"/>
      <c r="S592" s="1895">
        <f t="shared" si="2134"/>
        <v>0</v>
      </c>
      <c r="T592" s="1897">
        <f t="shared" si="2131"/>
        <v>1010</v>
      </c>
      <c r="U592" s="1409"/>
      <c r="V592" s="1936" t="s">
        <v>182</v>
      </c>
      <c r="W592" s="1850">
        <v>249</v>
      </c>
      <c r="X592" s="1850">
        <v>757</v>
      </c>
      <c r="Y592" s="1850"/>
      <c r="Z592" s="1851">
        <f t="shared" si="2135"/>
        <v>1006</v>
      </c>
      <c r="AA592" s="1868"/>
      <c r="AB592" s="1868"/>
      <c r="AC592" s="1850"/>
      <c r="AD592" s="1851">
        <f t="shared" si="2136"/>
        <v>0</v>
      </c>
      <c r="AE592" s="2125">
        <f t="shared" si="2137"/>
        <v>1006</v>
      </c>
      <c r="AF592" s="1850"/>
      <c r="AG592" s="1850"/>
      <c r="AH592" s="1850"/>
      <c r="AI592" s="1851">
        <f t="shared" si="2138"/>
        <v>0</v>
      </c>
      <c r="AJ592" s="2125">
        <f t="shared" si="2139"/>
        <v>1006</v>
      </c>
      <c r="AK592" s="1850"/>
      <c r="AL592" s="2126"/>
      <c r="AM592" s="1850"/>
      <c r="AN592" s="2127">
        <f t="shared" si="2140"/>
        <v>0</v>
      </c>
      <c r="AO592" s="2128">
        <f t="shared" si="2141"/>
        <v>1006</v>
      </c>
      <c r="AP592" s="1409"/>
      <c r="AQ592" s="1409"/>
      <c r="AR592" s="1409"/>
      <c r="AS592" s="1409"/>
      <c r="AT592" s="1409"/>
      <c r="AU592" s="1409"/>
      <c r="AV592" s="1409"/>
      <c r="AW592" s="1409"/>
      <c r="AX592" s="1409"/>
      <c r="AY592" s="1409"/>
      <c r="AZ592" s="1409"/>
    </row>
    <row r="593" s="1434" customFormat="1">
      <c r="A593" s="2084" t="s">
        <v>692</v>
      </c>
      <c r="B593" s="1868">
        <v>585</v>
      </c>
      <c r="C593" s="1868">
        <v>129</v>
      </c>
      <c r="D593" s="1868"/>
      <c r="E593" s="1895">
        <f t="shared" si="2121"/>
        <v>714</v>
      </c>
      <c r="F593" s="1868"/>
      <c r="G593" s="1868"/>
      <c r="H593" s="1868"/>
      <c r="I593" s="1895">
        <f t="shared" si="2127"/>
        <v>0</v>
      </c>
      <c r="J593" s="1896">
        <f t="shared" si="2128"/>
        <v>714</v>
      </c>
      <c r="K593" s="1868"/>
      <c r="L593" s="1868"/>
      <c r="M593" s="1868"/>
      <c r="N593" s="1895">
        <f t="shared" si="2129"/>
        <v>0</v>
      </c>
      <c r="O593" s="1896">
        <f t="shared" si="2130"/>
        <v>714</v>
      </c>
      <c r="P593" s="1868"/>
      <c r="Q593" s="1868"/>
      <c r="R593" s="1868"/>
      <c r="S593" s="1895">
        <f t="shared" si="2134"/>
        <v>0</v>
      </c>
      <c r="T593" s="1897">
        <f t="shared" si="2131"/>
        <v>714</v>
      </c>
      <c r="U593" s="1409"/>
      <c r="V593" s="1936" t="s">
        <v>183</v>
      </c>
      <c r="W593" s="1850">
        <v>195</v>
      </c>
      <c r="X593" s="1850">
        <v>372</v>
      </c>
      <c r="Y593" s="1850"/>
      <c r="Z593" s="1851">
        <f t="shared" si="2135"/>
        <v>567</v>
      </c>
      <c r="AA593" s="1868"/>
      <c r="AB593" s="1868"/>
      <c r="AC593" s="1850"/>
      <c r="AD593" s="1851">
        <f t="shared" si="2136"/>
        <v>0</v>
      </c>
      <c r="AE593" s="2125">
        <f t="shared" si="2137"/>
        <v>567</v>
      </c>
      <c r="AF593" s="1850"/>
      <c r="AG593" s="1850"/>
      <c r="AH593" s="1850"/>
      <c r="AI593" s="1851">
        <f t="shared" si="2138"/>
        <v>0</v>
      </c>
      <c r="AJ593" s="2125">
        <f t="shared" si="2139"/>
        <v>567</v>
      </c>
      <c r="AK593" s="1850"/>
      <c r="AL593" s="2126"/>
      <c r="AM593" s="1850"/>
      <c r="AN593" s="2127">
        <f t="shared" si="2140"/>
        <v>0</v>
      </c>
      <c r="AO593" s="2128">
        <f t="shared" si="2141"/>
        <v>567</v>
      </c>
      <c r="AP593" s="1409"/>
      <c r="AQ593" s="1409">
        <v>248</v>
      </c>
      <c r="AR593" s="1409"/>
      <c r="AS593" s="1409"/>
      <c r="AT593" s="1409"/>
      <c r="AU593" s="1409"/>
      <c r="AV593" s="1409"/>
      <c r="AW593" s="1409"/>
      <c r="AX593" s="1409"/>
      <c r="AY593" s="1409"/>
      <c r="AZ593" s="1409"/>
    </row>
    <row r="594" s="1434" customFormat="1">
      <c r="A594" s="2084" t="s">
        <v>184</v>
      </c>
      <c r="B594" s="1868">
        <v>93</v>
      </c>
      <c r="C594" s="1868">
        <v>31</v>
      </c>
      <c r="D594" s="1868"/>
      <c r="E594" s="1895">
        <f t="shared" si="2121"/>
        <v>124</v>
      </c>
      <c r="F594" s="1868"/>
      <c r="G594" s="1868"/>
      <c r="H594" s="1868"/>
      <c r="I594" s="1895">
        <f t="shared" si="2127"/>
        <v>0</v>
      </c>
      <c r="J594" s="1896">
        <f t="shared" si="2128"/>
        <v>124</v>
      </c>
      <c r="K594" s="1868"/>
      <c r="L594" s="1868"/>
      <c r="M594" s="1868"/>
      <c r="N594" s="1895">
        <f t="shared" si="2129"/>
        <v>0</v>
      </c>
      <c r="O594" s="1896">
        <f t="shared" si="2130"/>
        <v>124</v>
      </c>
      <c r="P594" s="1868"/>
      <c r="Q594" s="1868"/>
      <c r="R594" s="1868"/>
      <c r="S594" s="1895">
        <f t="shared" si="2134"/>
        <v>0</v>
      </c>
      <c r="T594" s="1897">
        <f t="shared" si="2131"/>
        <v>124</v>
      </c>
      <c r="U594" s="1409"/>
      <c r="V594" s="1936" t="s">
        <v>184</v>
      </c>
      <c r="W594" s="1850">
        <v>31</v>
      </c>
      <c r="X594" s="1850">
        <v>89</v>
      </c>
      <c r="Y594" s="1850"/>
      <c r="Z594" s="1851">
        <f t="shared" si="2135"/>
        <v>120</v>
      </c>
      <c r="AA594" s="1868"/>
      <c r="AB594" s="1868"/>
      <c r="AC594" s="1850"/>
      <c r="AD594" s="1851">
        <f t="shared" si="2136"/>
        <v>0</v>
      </c>
      <c r="AE594" s="2125">
        <f t="shared" si="2137"/>
        <v>120</v>
      </c>
      <c r="AF594" s="1850"/>
      <c r="AG594" s="1850"/>
      <c r="AH594" s="1850"/>
      <c r="AI594" s="1851">
        <f t="shared" si="2138"/>
        <v>0</v>
      </c>
      <c r="AJ594" s="2125">
        <f t="shared" si="2139"/>
        <v>120</v>
      </c>
      <c r="AK594" s="1850"/>
      <c r="AL594" s="2126"/>
      <c r="AM594" s="1850"/>
      <c r="AN594" s="2127">
        <f t="shared" si="2140"/>
        <v>0</v>
      </c>
      <c r="AO594" s="2128">
        <f t="shared" si="2141"/>
        <v>120</v>
      </c>
      <c r="AP594" s="1409"/>
      <c r="AQ594" s="1409">
        <v>92</v>
      </c>
      <c r="AR594" s="1409"/>
      <c r="AS594" s="1409"/>
      <c r="AT594" s="1409"/>
      <c r="AU594" s="1409"/>
      <c r="AV594" s="1409"/>
      <c r="AW594" s="1409"/>
      <c r="AX594" s="1409"/>
      <c r="AY594" s="1409"/>
      <c r="AZ594" s="1409"/>
    </row>
    <row r="595" s="1434" customFormat="1">
      <c r="A595" s="375" t="s">
        <v>652</v>
      </c>
      <c r="B595" s="1868"/>
      <c r="C595" s="1868"/>
      <c r="D595" s="1868"/>
      <c r="E595" s="1895">
        <f t="shared" si="2121"/>
        <v>0</v>
      </c>
      <c r="F595" s="1868"/>
      <c r="G595" s="1868"/>
      <c r="H595" s="1868"/>
      <c r="I595" s="1895">
        <f t="shared" si="2127"/>
        <v>0</v>
      </c>
      <c r="J595" s="1896">
        <f t="shared" si="2128"/>
        <v>0</v>
      </c>
      <c r="K595" s="1868"/>
      <c r="L595" s="1868"/>
      <c r="M595" s="1868"/>
      <c r="N595" s="1895">
        <f t="shared" si="2129"/>
        <v>0</v>
      </c>
      <c r="O595" s="1896">
        <f t="shared" si="2130"/>
        <v>0</v>
      </c>
      <c r="P595" s="1868"/>
      <c r="Q595" s="1868"/>
      <c r="R595" s="1868"/>
      <c r="S595" s="1895">
        <f t="shared" si="2134"/>
        <v>0</v>
      </c>
      <c r="T595" s="1897">
        <f t="shared" si="2131"/>
        <v>0</v>
      </c>
      <c r="U595" s="1409"/>
      <c r="V595" s="2129" t="s">
        <v>693</v>
      </c>
      <c r="W595" s="1850"/>
      <c r="X595" s="1850"/>
      <c r="Y595" s="1850"/>
      <c r="Z595" s="1851">
        <f t="shared" si="2135"/>
        <v>0</v>
      </c>
      <c r="AA595" s="1868"/>
      <c r="AB595" s="1868"/>
      <c r="AC595" s="1850"/>
      <c r="AD595" s="1851">
        <f t="shared" si="2136"/>
        <v>0</v>
      </c>
      <c r="AE595" s="2125">
        <f t="shared" si="2137"/>
        <v>0</v>
      </c>
      <c r="AF595" s="1850"/>
      <c r="AG595" s="1850"/>
      <c r="AH595" s="1850"/>
      <c r="AI595" s="1851">
        <f t="shared" si="2138"/>
        <v>0</v>
      </c>
      <c r="AJ595" s="2125">
        <f t="shared" si="2139"/>
        <v>0</v>
      </c>
      <c r="AK595" s="1850"/>
      <c r="AL595" s="2126"/>
      <c r="AM595" s="1850"/>
      <c r="AN595" s="2127">
        <f t="shared" si="2140"/>
        <v>0</v>
      </c>
      <c r="AO595" s="2128">
        <f t="shared" si="2141"/>
        <v>0</v>
      </c>
      <c r="AP595" s="1409"/>
      <c r="AQ595" s="1409">
        <v>193</v>
      </c>
      <c r="AR595" s="1409"/>
      <c r="AS595" s="1409"/>
      <c r="AT595" s="1409"/>
      <c r="AU595" s="1409"/>
      <c r="AV595" s="1409"/>
      <c r="AW595" s="1409"/>
      <c r="AX595" s="1409"/>
      <c r="AY595" s="1409"/>
      <c r="AZ595" s="1409"/>
    </row>
    <row r="596" s="1434" customFormat="1">
      <c r="A596" s="2084" t="s">
        <v>185</v>
      </c>
      <c r="B596" s="1868">
        <v>12</v>
      </c>
      <c r="C596" s="1868">
        <v>3</v>
      </c>
      <c r="D596" s="1868"/>
      <c r="E596" s="1895">
        <f t="shared" si="2121"/>
        <v>15</v>
      </c>
      <c r="F596" s="1868"/>
      <c r="G596" s="1868"/>
      <c r="H596" s="1868"/>
      <c r="I596" s="1895">
        <f t="shared" si="2127"/>
        <v>0</v>
      </c>
      <c r="J596" s="1896">
        <f t="shared" si="2128"/>
        <v>15</v>
      </c>
      <c r="K596" s="1868"/>
      <c r="L596" s="1868"/>
      <c r="M596" s="1868"/>
      <c r="N596" s="1895">
        <f t="shared" si="2129"/>
        <v>0</v>
      </c>
      <c r="O596" s="1896">
        <f t="shared" si="2130"/>
        <v>15</v>
      </c>
      <c r="P596" s="1868"/>
      <c r="Q596" s="1868"/>
      <c r="R596" s="1868"/>
      <c r="S596" s="1895">
        <f t="shared" si="2134"/>
        <v>0</v>
      </c>
      <c r="T596" s="1897">
        <f t="shared" si="2131"/>
        <v>15</v>
      </c>
      <c r="U596" s="1409"/>
      <c r="V596" s="1936" t="s">
        <v>185</v>
      </c>
      <c r="W596" s="1850">
        <v>4</v>
      </c>
      <c r="X596" s="1850">
        <v>9</v>
      </c>
      <c r="Y596" s="1850"/>
      <c r="Z596" s="1851">
        <f t="shared" si="2135"/>
        <v>13</v>
      </c>
      <c r="AA596" s="1868"/>
      <c r="AB596" s="1868"/>
      <c r="AC596" s="1850"/>
      <c r="AD596" s="1851">
        <f t="shared" si="2136"/>
        <v>0</v>
      </c>
      <c r="AE596" s="2125">
        <f t="shared" si="2137"/>
        <v>13</v>
      </c>
      <c r="AF596" s="1850"/>
      <c r="AG596" s="1850"/>
      <c r="AH596" s="1850"/>
      <c r="AI596" s="1851">
        <f t="shared" si="2138"/>
        <v>0</v>
      </c>
      <c r="AJ596" s="2125">
        <f t="shared" si="2139"/>
        <v>13</v>
      </c>
      <c r="AK596" s="1850"/>
      <c r="AL596" s="2126"/>
      <c r="AM596" s="1850"/>
      <c r="AN596" s="2127">
        <f t="shared" si="2140"/>
        <v>0</v>
      </c>
      <c r="AO596" s="2128">
        <f t="shared" si="2141"/>
        <v>13</v>
      </c>
      <c r="AP596" s="1409"/>
      <c r="AQ596" s="1409">
        <v>102</v>
      </c>
      <c r="AR596" s="1409"/>
      <c r="AS596" s="1409"/>
      <c r="AT596" s="1409"/>
      <c r="AU596" s="1409"/>
      <c r="AV596" s="1409"/>
      <c r="AW596" s="1409"/>
      <c r="AX596" s="1409"/>
      <c r="AY596" s="1409"/>
      <c r="AZ596" s="1409"/>
    </row>
    <row r="597" s="2099" customFormat="1">
      <c r="A597" s="2102" t="s">
        <v>363</v>
      </c>
      <c r="B597" s="1871">
        <f>SUM(B589:B596)</f>
        <v>3045</v>
      </c>
      <c r="C597" s="1871">
        <f t="shared" ref="C597:H597" si="2142">SUM(C589:C596)</f>
        <v>815</v>
      </c>
      <c r="D597" s="1871">
        <f t="shared" si="2142"/>
        <v>0</v>
      </c>
      <c r="E597" s="1899">
        <f t="shared" si="2121"/>
        <v>3860</v>
      </c>
      <c r="F597" s="1871">
        <f>SUM(F589:F596)</f>
        <v>0</v>
      </c>
      <c r="G597" s="1871">
        <f>SUM(G589:G596)</f>
        <v>0</v>
      </c>
      <c r="H597" s="1871">
        <f t="shared" si="2142"/>
        <v>0</v>
      </c>
      <c r="I597" s="1899">
        <f t="shared" si="2127"/>
        <v>0</v>
      </c>
      <c r="J597" s="1900">
        <f t="shared" si="2128"/>
        <v>3860</v>
      </c>
      <c r="K597" s="1871">
        <f>SUM(K589:K596)</f>
        <v>0</v>
      </c>
      <c r="L597" s="1871">
        <f>SUM(L589:L596)</f>
        <v>0</v>
      </c>
      <c r="M597" s="1871">
        <f t="shared" ref="M597:R597" si="2143">SUM(M589:M596)</f>
        <v>0</v>
      </c>
      <c r="N597" s="1899">
        <f t="shared" si="2129"/>
        <v>0</v>
      </c>
      <c r="O597" s="1900">
        <f t="shared" si="2130"/>
        <v>3860</v>
      </c>
      <c r="P597" s="1871">
        <f t="shared" si="2143"/>
        <v>0</v>
      </c>
      <c r="Q597" s="1871">
        <f t="shared" si="2143"/>
        <v>0</v>
      </c>
      <c r="R597" s="1871">
        <f t="shared" si="2143"/>
        <v>0</v>
      </c>
      <c r="S597" s="1899">
        <f t="shared" si="2134"/>
        <v>0</v>
      </c>
      <c r="T597" s="1901">
        <f>SUM(T589:T596)</f>
        <v>3860</v>
      </c>
      <c r="U597" s="1515"/>
      <c r="V597" s="2130" t="s">
        <v>363</v>
      </c>
      <c r="W597" s="1858">
        <f>SUM(W589:W596)</f>
        <v>1015</v>
      </c>
      <c r="X597" s="1858">
        <f t="shared" ref="X597:AM597" si="2144">SUM(X589:X596)</f>
        <v>2345</v>
      </c>
      <c r="Y597" s="1858">
        <f t="shared" si="2144"/>
        <v>0</v>
      </c>
      <c r="Z597" s="1859">
        <f t="shared" si="2135"/>
        <v>3360</v>
      </c>
      <c r="AA597" s="1871">
        <f>SUM(AA589:AA596)</f>
        <v>0</v>
      </c>
      <c r="AB597" s="1871">
        <f>SUM(AB589:AB596)</f>
        <v>0</v>
      </c>
      <c r="AC597" s="1858">
        <f t="shared" si="2144"/>
        <v>0</v>
      </c>
      <c r="AD597" s="1851">
        <f t="shared" si="2136"/>
        <v>0</v>
      </c>
      <c r="AE597" s="2125">
        <f t="shared" si="2137"/>
        <v>3360</v>
      </c>
      <c r="AF597" s="1858">
        <f t="shared" si="2144"/>
        <v>0</v>
      </c>
      <c r="AG597" s="1858">
        <f t="shared" si="2144"/>
        <v>0</v>
      </c>
      <c r="AH597" s="1858">
        <f t="shared" si="2144"/>
        <v>0</v>
      </c>
      <c r="AI597" s="1851">
        <f t="shared" si="2138"/>
        <v>0</v>
      </c>
      <c r="AJ597" s="2125">
        <f t="shared" si="2139"/>
        <v>3360</v>
      </c>
      <c r="AK597" s="1858">
        <f t="shared" si="2144"/>
        <v>0</v>
      </c>
      <c r="AL597" s="1858">
        <f t="shared" si="2144"/>
        <v>0</v>
      </c>
      <c r="AM597" s="1858">
        <f t="shared" si="2144"/>
        <v>0</v>
      </c>
      <c r="AN597" s="2127">
        <f t="shared" si="2140"/>
        <v>0</v>
      </c>
      <c r="AO597" s="2128">
        <f t="shared" si="2141"/>
        <v>3360</v>
      </c>
      <c r="AP597" s="1515"/>
      <c r="AQ597" s="1515">
        <v>287</v>
      </c>
      <c r="AR597" s="1515"/>
      <c r="AS597" s="1515"/>
      <c r="AT597" s="1515"/>
      <c r="AU597" s="1515"/>
      <c r="AV597" s="1515"/>
      <c r="AW597" s="1515"/>
      <c r="AX597" s="1515"/>
      <c r="AY597" s="1515"/>
      <c r="AZ597" s="1515"/>
    </row>
    <row r="598" s="1434" customFormat="1">
      <c r="A598" s="2084" t="s">
        <v>542</v>
      </c>
      <c r="B598" s="1868"/>
      <c r="C598" s="1868"/>
      <c r="D598" s="1868"/>
      <c r="E598" s="1895"/>
      <c r="F598" s="1868"/>
      <c r="G598" s="1868"/>
      <c r="H598" s="1868"/>
      <c r="I598" s="1895">
        <f t="shared" si="2127"/>
        <v>0</v>
      </c>
      <c r="J598" s="1896">
        <f t="shared" si="2128"/>
        <v>0</v>
      </c>
      <c r="K598" s="1868"/>
      <c r="L598" s="1868"/>
      <c r="M598" s="1868"/>
      <c r="N598" s="1895">
        <f t="shared" si="2129"/>
        <v>0</v>
      </c>
      <c r="O598" s="1896">
        <f t="shared" si="2130"/>
        <v>0</v>
      </c>
      <c r="P598" s="1868"/>
      <c r="Q598" s="1906"/>
      <c r="R598" s="1868"/>
      <c r="S598" s="1895">
        <f t="shared" si="2134"/>
        <v>0</v>
      </c>
      <c r="T598" s="1897">
        <f t="shared" si="2131"/>
        <v>0</v>
      </c>
      <c r="U598" s="1409"/>
      <c r="V598" s="1936" t="s">
        <v>542</v>
      </c>
      <c r="W598" s="1850"/>
      <c r="X598" s="1850"/>
      <c r="Y598" s="1850"/>
      <c r="Z598" s="1851">
        <f t="shared" si="2135"/>
        <v>0</v>
      </c>
      <c r="AA598" s="1868"/>
      <c r="AB598" s="1868"/>
      <c r="AC598" s="1850"/>
      <c r="AD598" s="1851">
        <f t="shared" si="2136"/>
        <v>0</v>
      </c>
      <c r="AE598" s="2125">
        <f t="shared" si="2137"/>
        <v>0</v>
      </c>
      <c r="AF598" s="1850"/>
      <c r="AG598" s="1850"/>
      <c r="AH598" s="1850"/>
      <c r="AI598" s="1851">
        <f t="shared" si="2138"/>
        <v>0</v>
      </c>
      <c r="AJ598" s="2125">
        <f t="shared" si="2139"/>
        <v>0</v>
      </c>
      <c r="AK598" s="1850"/>
      <c r="AL598" s="2123"/>
      <c r="AM598" s="1850"/>
      <c r="AN598" s="2127">
        <f t="shared" si="2140"/>
        <v>0</v>
      </c>
      <c r="AO598" s="2128">
        <f t="shared" si="2141"/>
        <v>0</v>
      </c>
      <c r="AP598" s="1409"/>
      <c r="AQ598" s="1409">
        <v>365</v>
      </c>
      <c r="AR598" s="1409"/>
      <c r="AS598" s="1409"/>
      <c r="AT598" s="1409"/>
      <c r="AU598" s="1409"/>
      <c r="AV598" s="1409"/>
      <c r="AW598" s="1409"/>
      <c r="AX598" s="1409"/>
      <c r="AY598" s="1409"/>
      <c r="AZ598" s="1409"/>
    </row>
    <row r="599" s="1434" customFormat="1">
      <c r="A599" s="2084" t="s">
        <v>195</v>
      </c>
      <c r="B599" s="1868">
        <v>537</v>
      </c>
      <c r="C599" s="1868">
        <v>143</v>
      </c>
      <c r="D599" s="1868"/>
      <c r="E599" s="1895">
        <f t="shared" si="2121"/>
        <v>680</v>
      </c>
      <c r="F599" s="1868"/>
      <c r="G599" s="1868"/>
      <c r="H599" s="1868"/>
      <c r="I599" s="1895">
        <f t="shared" si="2127"/>
        <v>0</v>
      </c>
      <c r="J599" s="1896">
        <f t="shared" si="2128"/>
        <v>680</v>
      </c>
      <c r="K599" s="1868"/>
      <c r="L599" s="1868"/>
      <c r="M599" s="1868"/>
      <c r="N599" s="1895">
        <f t="shared" si="2129"/>
        <v>0</v>
      </c>
      <c r="O599" s="1896">
        <f t="shared" si="2130"/>
        <v>680</v>
      </c>
      <c r="P599" s="1868"/>
      <c r="Q599" s="1868"/>
      <c r="R599" s="1868"/>
      <c r="S599" s="1895">
        <f t="shared" si="2134"/>
        <v>0</v>
      </c>
      <c r="T599" s="1897">
        <f t="shared" si="2131"/>
        <v>680</v>
      </c>
      <c r="U599" s="1413"/>
      <c r="V599" s="1179" t="s">
        <v>195</v>
      </c>
      <c r="W599" s="1850">
        <v>179</v>
      </c>
      <c r="X599" s="1850">
        <v>412</v>
      </c>
      <c r="Y599" s="1850"/>
      <c r="Z599" s="1851">
        <f t="shared" si="2135"/>
        <v>591</v>
      </c>
      <c r="AA599" s="1868"/>
      <c r="AB599" s="1868"/>
      <c r="AC599" s="1850"/>
      <c r="AD599" s="1851">
        <f t="shared" si="2136"/>
        <v>0</v>
      </c>
      <c r="AE599" s="2125">
        <f t="shared" si="2137"/>
        <v>591</v>
      </c>
      <c r="AF599" s="1850"/>
      <c r="AG599" s="1850"/>
      <c r="AH599" s="1850"/>
      <c r="AI599" s="1851">
        <f t="shared" si="2138"/>
        <v>0</v>
      </c>
      <c r="AJ599" s="2125">
        <f t="shared" si="2139"/>
        <v>591</v>
      </c>
      <c r="AK599" s="1850"/>
      <c r="AL599" s="2126"/>
      <c r="AM599" s="1850"/>
      <c r="AN599" s="2127">
        <f t="shared" si="2140"/>
        <v>0</v>
      </c>
      <c r="AO599" s="2128">
        <f t="shared" si="2141"/>
        <v>591</v>
      </c>
      <c r="AP599" s="1409"/>
      <c r="AQ599" s="1409">
        <v>312</v>
      </c>
      <c r="AR599" s="1409"/>
      <c r="AS599" s="1409"/>
      <c r="AT599" s="1409"/>
      <c r="AU599" s="1409"/>
      <c r="AV599" s="1409"/>
      <c r="AW599" s="1409"/>
      <c r="AX599" s="1409"/>
      <c r="AY599" s="1409"/>
      <c r="AZ599" s="1409"/>
    </row>
    <row r="600" s="1434" customFormat="1">
      <c r="A600" s="2084" t="s">
        <v>196</v>
      </c>
      <c r="B600" s="1868">
        <v>108</v>
      </c>
      <c r="C600" s="1868">
        <v>15</v>
      </c>
      <c r="D600" s="1868"/>
      <c r="E600" s="1895">
        <f t="shared" si="2121"/>
        <v>123</v>
      </c>
      <c r="F600" s="1868"/>
      <c r="G600" s="1868"/>
      <c r="H600" s="1868"/>
      <c r="I600" s="1895">
        <f t="shared" si="2127"/>
        <v>0</v>
      </c>
      <c r="J600" s="1896">
        <f t="shared" si="2128"/>
        <v>123</v>
      </c>
      <c r="K600" s="1868"/>
      <c r="L600" s="1868"/>
      <c r="M600" s="1868"/>
      <c r="N600" s="1895">
        <f t="shared" si="2129"/>
        <v>0</v>
      </c>
      <c r="O600" s="1896">
        <f t="shared" si="2130"/>
        <v>123</v>
      </c>
      <c r="P600" s="1868"/>
      <c r="Q600" s="1868"/>
      <c r="R600" s="1868"/>
      <c r="S600" s="1895">
        <f t="shared" si="2134"/>
        <v>0</v>
      </c>
      <c r="T600" s="1897">
        <f t="shared" si="2131"/>
        <v>123</v>
      </c>
      <c r="U600" s="1409"/>
      <c r="V600" s="1936" t="s">
        <v>196</v>
      </c>
      <c r="W600" s="1850">
        <v>36</v>
      </c>
      <c r="X600" s="1850">
        <v>43</v>
      </c>
      <c r="Y600" s="1850"/>
      <c r="Z600" s="1851">
        <f t="shared" si="2135"/>
        <v>79</v>
      </c>
      <c r="AA600" s="1868"/>
      <c r="AB600" s="1868"/>
      <c r="AC600" s="1850"/>
      <c r="AD600" s="1851">
        <f t="shared" si="2136"/>
        <v>0</v>
      </c>
      <c r="AE600" s="2125">
        <f t="shared" si="2137"/>
        <v>79</v>
      </c>
      <c r="AF600" s="1850"/>
      <c r="AG600" s="1850"/>
      <c r="AH600" s="1850"/>
      <c r="AI600" s="1851">
        <f t="shared" si="2138"/>
        <v>0</v>
      </c>
      <c r="AJ600" s="2125">
        <f t="shared" si="2139"/>
        <v>79</v>
      </c>
      <c r="AK600" s="1850"/>
      <c r="AL600" s="2126"/>
      <c r="AM600" s="1850"/>
      <c r="AN600" s="2127">
        <f t="shared" si="2140"/>
        <v>0</v>
      </c>
      <c r="AO600" s="2128">
        <f t="shared" si="2141"/>
        <v>79</v>
      </c>
      <c r="AP600" s="1409"/>
      <c r="AQ600" s="1409">
        <v>201</v>
      </c>
      <c r="AR600" s="1409"/>
      <c r="AS600" s="1409"/>
      <c r="AT600" s="1409"/>
      <c r="AU600" s="1409"/>
      <c r="AV600" s="1409"/>
      <c r="AW600" s="1409"/>
      <c r="AX600" s="1409"/>
      <c r="AY600" s="1409"/>
      <c r="AZ600" s="1409"/>
    </row>
    <row r="601" s="1434" customFormat="1">
      <c r="A601" s="2084" t="s">
        <v>367</v>
      </c>
      <c r="B601" s="1868"/>
      <c r="C601" s="1868"/>
      <c r="D601" s="1868"/>
      <c r="E601" s="1895"/>
      <c r="F601" s="1868"/>
      <c r="G601" s="1868"/>
      <c r="H601" s="1868"/>
      <c r="I601" s="1895">
        <f t="shared" si="2127"/>
        <v>0</v>
      </c>
      <c r="J601" s="1896">
        <f t="shared" si="2128"/>
        <v>0</v>
      </c>
      <c r="K601" s="1868"/>
      <c r="L601" s="1868"/>
      <c r="M601" s="1868"/>
      <c r="N601" s="1895">
        <f t="shared" si="2129"/>
        <v>0</v>
      </c>
      <c r="O601" s="1896">
        <f t="shared" si="2130"/>
        <v>0</v>
      </c>
      <c r="P601" s="1868"/>
      <c r="Q601" s="1906"/>
      <c r="R601" s="1868"/>
      <c r="S601" s="1895">
        <f t="shared" si="2134"/>
        <v>0</v>
      </c>
      <c r="T601" s="1897">
        <f t="shared" si="2131"/>
        <v>0</v>
      </c>
      <c r="U601" s="1409"/>
      <c r="V601" s="1936" t="s">
        <v>367</v>
      </c>
      <c r="W601" s="1850"/>
      <c r="X601" s="1850"/>
      <c r="Y601" s="1850"/>
      <c r="Z601" s="1851">
        <f t="shared" si="2135"/>
        <v>0</v>
      </c>
      <c r="AA601" s="1868"/>
      <c r="AB601" s="1868"/>
      <c r="AC601" s="1850"/>
      <c r="AD601" s="1851">
        <f t="shared" si="2136"/>
        <v>0</v>
      </c>
      <c r="AE601" s="2125">
        <f t="shared" si="2137"/>
        <v>0</v>
      </c>
      <c r="AF601" s="1850"/>
      <c r="AG601" s="1850"/>
      <c r="AH601" s="1850"/>
      <c r="AI601" s="1851">
        <f t="shared" si="2138"/>
        <v>0</v>
      </c>
      <c r="AJ601" s="2125">
        <f t="shared" si="2139"/>
        <v>0</v>
      </c>
      <c r="AK601" s="1850"/>
      <c r="AL601" s="1850"/>
      <c r="AM601" s="1850"/>
      <c r="AN601" s="2127">
        <f t="shared" si="2140"/>
        <v>0</v>
      </c>
      <c r="AO601" s="2128">
        <f t="shared" si="2141"/>
        <v>0</v>
      </c>
      <c r="AP601" s="1409"/>
      <c r="AQ601" s="1409">
        <v>193</v>
      </c>
      <c r="AR601" s="1409"/>
      <c r="AS601" s="1409"/>
      <c r="AT601" s="1409"/>
      <c r="AU601" s="1409"/>
      <c r="AV601" s="1409"/>
      <c r="AW601" s="1409"/>
      <c r="AX601" s="1409"/>
      <c r="AY601" s="1409"/>
      <c r="AZ601" s="1409"/>
    </row>
    <row r="602" s="1434" customFormat="1">
      <c r="A602" s="2084" t="s">
        <v>201</v>
      </c>
      <c r="B602" s="1868">
        <v>63</v>
      </c>
      <c r="C602" s="1868">
        <v>18</v>
      </c>
      <c r="D602" s="1868"/>
      <c r="E602" s="1895">
        <f t="shared" si="2121"/>
        <v>81</v>
      </c>
      <c r="F602" s="1868"/>
      <c r="G602" s="1868"/>
      <c r="H602" s="1868"/>
      <c r="I602" s="1895">
        <f t="shared" si="2127"/>
        <v>0</v>
      </c>
      <c r="J602" s="1896">
        <f t="shared" si="2128"/>
        <v>81</v>
      </c>
      <c r="K602" s="1868"/>
      <c r="L602" s="1868"/>
      <c r="M602" s="1868"/>
      <c r="N602" s="1895">
        <f t="shared" si="2129"/>
        <v>0</v>
      </c>
      <c r="O602" s="1896">
        <f t="shared" si="2130"/>
        <v>81</v>
      </c>
      <c r="P602" s="1868"/>
      <c r="Q602" s="1868"/>
      <c r="R602" s="1868"/>
      <c r="S602" s="1895">
        <f t="shared" si="2134"/>
        <v>0</v>
      </c>
      <c r="T602" s="1897">
        <f t="shared" si="2131"/>
        <v>81</v>
      </c>
      <c r="U602" s="1413"/>
      <c r="V602" s="1179" t="s">
        <v>201</v>
      </c>
      <c r="W602" s="1850">
        <v>21</v>
      </c>
      <c r="X602" s="1850">
        <v>52</v>
      </c>
      <c r="Y602" s="1850"/>
      <c r="Z602" s="1851">
        <f t="shared" si="2135"/>
        <v>73</v>
      </c>
      <c r="AA602" s="1868"/>
      <c r="AB602" s="1868"/>
      <c r="AC602" s="1850"/>
      <c r="AD602" s="1851">
        <f t="shared" si="2136"/>
        <v>0</v>
      </c>
      <c r="AE602" s="2125">
        <f t="shared" si="2137"/>
        <v>73</v>
      </c>
      <c r="AF602" s="1850"/>
      <c r="AG602" s="1850"/>
      <c r="AH602" s="1850"/>
      <c r="AI602" s="1851">
        <f t="shared" si="2138"/>
        <v>0</v>
      </c>
      <c r="AJ602" s="2125">
        <f t="shared" si="2139"/>
        <v>73</v>
      </c>
      <c r="AK602" s="1850"/>
      <c r="AL602" s="1850"/>
      <c r="AM602" s="1850"/>
      <c r="AN602" s="2127">
        <f t="shared" si="2140"/>
        <v>0</v>
      </c>
      <c r="AO602" s="2128">
        <f t="shared" si="2141"/>
        <v>73</v>
      </c>
      <c r="AP602" s="1409"/>
      <c r="AQ602" s="1409">
        <v>39</v>
      </c>
      <c r="AR602" s="1409"/>
      <c r="AS602" s="1409"/>
      <c r="AT602" s="1409"/>
      <c r="AU602" s="1409"/>
      <c r="AV602" s="1409"/>
      <c r="AW602" s="1409"/>
      <c r="AX602" s="1409"/>
      <c r="AY602" s="1409"/>
      <c r="AZ602" s="1409"/>
    </row>
    <row r="603" s="1434" customFormat="1">
      <c r="A603" s="2084" t="s">
        <v>203</v>
      </c>
      <c r="B603" s="1868">
        <v>321</v>
      </c>
      <c r="C603" s="1868">
        <v>78</v>
      </c>
      <c r="D603" s="1868"/>
      <c r="E603" s="1895">
        <f t="shared" si="2121"/>
        <v>399</v>
      </c>
      <c r="F603" s="1868"/>
      <c r="G603" s="1868"/>
      <c r="H603" s="1868"/>
      <c r="I603" s="1895">
        <f t="shared" si="2127"/>
        <v>0</v>
      </c>
      <c r="J603" s="1896">
        <f t="shared" si="2128"/>
        <v>399</v>
      </c>
      <c r="K603" s="1868"/>
      <c r="L603" s="1868"/>
      <c r="M603" s="1868"/>
      <c r="N603" s="1895">
        <f t="shared" si="2129"/>
        <v>0</v>
      </c>
      <c r="O603" s="1896">
        <f t="shared" si="2130"/>
        <v>399</v>
      </c>
      <c r="P603" s="1868"/>
      <c r="Q603" s="1868"/>
      <c r="R603" s="1868"/>
      <c r="S603" s="1895">
        <f t="shared" si="2134"/>
        <v>0</v>
      </c>
      <c r="T603" s="1897">
        <f t="shared" si="2131"/>
        <v>399</v>
      </c>
      <c r="U603" s="1413"/>
      <c r="V603" s="1179" t="s">
        <v>203</v>
      </c>
      <c r="W603" s="1850">
        <v>107</v>
      </c>
      <c r="X603" s="1850">
        <v>225</v>
      </c>
      <c r="Y603" s="1850"/>
      <c r="Z603" s="1851">
        <f t="shared" si="2135"/>
        <v>332</v>
      </c>
      <c r="AA603" s="1868"/>
      <c r="AB603" s="1868"/>
      <c r="AC603" s="1850"/>
      <c r="AD603" s="1851">
        <f t="shared" si="2136"/>
        <v>0</v>
      </c>
      <c r="AE603" s="2125">
        <f t="shared" si="2137"/>
        <v>332</v>
      </c>
      <c r="AF603" s="1850"/>
      <c r="AG603" s="1850"/>
      <c r="AH603" s="1850"/>
      <c r="AI603" s="1851">
        <f t="shared" si="2138"/>
        <v>0</v>
      </c>
      <c r="AJ603" s="2125">
        <f t="shared" si="2139"/>
        <v>332</v>
      </c>
      <c r="AK603" s="1850"/>
      <c r="AL603" s="1850"/>
      <c r="AM603" s="1850"/>
      <c r="AN603" s="2127">
        <f t="shared" si="2140"/>
        <v>0</v>
      </c>
      <c r="AO603" s="2128">
        <f t="shared" si="2141"/>
        <v>332</v>
      </c>
      <c r="AP603" s="1409"/>
      <c r="AQ603" s="1409">
        <v>591</v>
      </c>
      <c r="AR603" s="1409"/>
      <c r="AS603" s="1409"/>
      <c r="AT603" s="1409"/>
      <c r="AU603" s="1409"/>
      <c r="AV603" s="1409"/>
      <c r="AW603" s="1409"/>
      <c r="AX603" s="1409"/>
      <c r="AY603" s="1409"/>
      <c r="AZ603" s="1409"/>
    </row>
    <row r="604" s="1434" customFormat="1">
      <c r="A604" s="2084" t="s">
        <v>204</v>
      </c>
      <c r="B604" s="1868">
        <v>264</v>
      </c>
      <c r="C604" s="1868">
        <v>61</v>
      </c>
      <c r="D604" s="1868"/>
      <c r="E604" s="1895">
        <f t="shared" si="2121"/>
        <v>325</v>
      </c>
      <c r="F604" s="1868"/>
      <c r="G604" s="1868"/>
      <c r="H604" s="1868"/>
      <c r="I604" s="1895">
        <f t="shared" si="2127"/>
        <v>0</v>
      </c>
      <c r="J604" s="1896">
        <f t="shared" si="2128"/>
        <v>325</v>
      </c>
      <c r="K604" s="1868"/>
      <c r="L604" s="1868"/>
      <c r="M604" s="1868"/>
      <c r="N604" s="1895">
        <f t="shared" si="2129"/>
        <v>0</v>
      </c>
      <c r="O604" s="1896">
        <f t="shared" si="2130"/>
        <v>325</v>
      </c>
      <c r="P604" s="1868"/>
      <c r="Q604" s="1868"/>
      <c r="R604" s="1868"/>
      <c r="S604" s="1895">
        <f t="shared" si="2134"/>
        <v>0</v>
      </c>
      <c r="T604" s="1897">
        <f t="shared" si="2131"/>
        <v>325</v>
      </c>
      <c r="U604" s="1413"/>
      <c r="V604" s="1179" t="s">
        <v>204</v>
      </c>
      <c r="W604" s="1850">
        <v>88</v>
      </c>
      <c r="X604" s="1850">
        <v>176</v>
      </c>
      <c r="Y604" s="1850"/>
      <c r="Z604" s="1851">
        <f t="shared" si="2135"/>
        <v>264</v>
      </c>
      <c r="AA604" s="1868"/>
      <c r="AB604" s="1868"/>
      <c r="AC604" s="1850"/>
      <c r="AD604" s="1851">
        <f t="shared" si="2136"/>
        <v>0</v>
      </c>
      <c r="AE604" s="2125">
        <f t="shared" si="2137"/>
        <v>264</v>
      </c>
      <c r="AF604" s="1850"/>
      <c r="AG604" s="1850"/>
      <c r="AH604" s="1850"/>
      <c r="AI604" s="1851">
        <f t="shared" si="2138"/>
        <v>0</v>
      </c>
      <c r="AJ604" s="2125">
        <f t="shared" si="2139"/>
        <v>264</v>
      </c>
      <c r="AK604" s="1850"/>
      <c r="AL604" s="1850"/>
      <c r="AM604" s="1850"/>
      <c r="AN604" s="2127">
        <f t="shared" si="2140"/>
        <v>0</v>
      </c>
      <c r="AO604" s="2128">
        <f t="shared" si="2141"/>
        <v>264</v>
      </c>
      <c r="AP604" s="1409"/>
      <c r="AQ604" s="1409">
        <v>1373</v>
      </c>
      <c r="AR604" s="1409"/>
      <c r="AS604" s="1409"/>
      <c r="AT604" s="1409"/>
      <c r="AU604" s="1409"/>
      <c r="AV604" s="1409"/>
      <c r="AW604" s="1409"/>
      <c r="AX604" s="1409"/>
      <c r="AY604" s="1409"/>
      <c r="AZ604" s="1409"/>
    </row>
    <row r="605" s="1434" customFormat="1">
      <c r="A605" s="2084" t="s">
        <v>590</v>
      </c>
      <c r="B605" s="1868">
        <v>381</v>
      </c>
      <c r="C605" s="1868">
        <v>103</v>
      </c>
      <c r="D605" s="1868"/>
      <c r="E605" s="1895">
        <f t="shared" si="2121"/>
        <v>484</v>
      </c>
      <c r="F605" s="1868"/>
      <c r="G605" s="1868"/>
      <c r="H605" s="1868"/>
      <c r="I605" s="1895">
        <f t="shared" si="2127"/>
        <v>0</v>
      </c>
      <c r="J605" s="1896">
        <f t="shared" si="2128"/>
        <v>484</v>
      </c>
      <c r="K605" s="1868"/>
      <c r="L605" s="1868"/>
      <c r="M605" s="1868"/>
      <c r="N605" s="1895">
        <f t="shared" si="2129"/>
        <v>0</v>
      </c>
      <c r="O605" s="1896">
        <f t="shared" si="2130"/>
        <v>484</v>
      </c>
      <c r="P605" s="1868"/>
      <c r="Q605" s="1868"/>
      <c r="R605" s="1868"/>
      <c r="S605" s="1895">
        <f t="shared" si="2134"/>
        <v>0</v>
      </c>
      <c r="T605" s="1897">
        <f t="shared" si="2131"/>
        <v>484</v>
      </c>
      <c r="U605" s="1413"/>
      <c r="V605" s="1179" t="s">
        <v>694</v>
      </c>
      <c r="W605" s="1850">
        <v>127</v>
      </c>
      <c r="X605" s="1850">
        <v>297</v>
      </c>
      <c r="Y605" s="1850"/>
      <c r="Z605" s="1851">
        <f t="shared" si="2135"/>
        <v>424</v>
      </c>
      <c r="AA605" s="1868"/>
      <c r="AB605" s="1868"/>
      <c r="AC605" s="1850"/>
      <c r="AD605" s="1851">
        <f t="shared" si="2136"/>
        <v>0</v>
      </c>
      <c r="AE605" s="2125">
        <f t="shared" si="2137"/>
        <v>424</v>
      </c>
      <c r="AF605" s="1850"/>
      <c r="AG605" s="1850"/>
      <c r="AH605" s="1850"/>
      <c r="AI605" s="1851">
        <f t="shared" si="2138"/>
        <v>0</v>
      </c>
      <c r="AJ605" s="2125">
        <f t="shared" si="2139"/>
        <v>424</v>
      </c>
      <c r="AK605" s="1850"/>
      <c r="AL605" s="1850"/>
      <c r="AM605" s="1850"/>
      <c r="AN605" s="2127">
        <f t="shared" si="2140"/>
        <v>0</v>
      </c>
      <c r="AO605" s="2128">
        <f t="shared" si="2141"/>
        <v>424</v>
      </c>
      <c r="AP605" s="1409"/>
      <c r="AQ605" s="1409">
        <v>597</v>
      </c>
      <c r="AR605" s="1409"/>
      <c r="AS605" s="1409"/>
      <c r="AT605" s="1409"/>
      <c r="AU605" s="1409"/>
      <c r="AV605" s="1409"/>
      <c r="AW605" s="1409"/>
      <c r="AX605" s="1409"/>
      <c r="AY605" s="1409"/>
      <c r="AZ605" s="1409"/>
    </row>
    <row r="606" s="1434" customFormat="1">
      <c r="A606" s="2084" t="s">
        <v>206</v>
      </c>
      <c r="B606" s="1868">
        <v>576</v>
      </c>
      <c r="C606" s="1868">
        <v>161</v>
      </c>
      <c r="D606" s="1868"/>
      <c r="E606" s="1895">
        <f t="shared" si="2121"/>
        <v>737</v>
      </c>
      <c r="F606" s="1868"/>
      <c r="G606" s="1868"/>
      <c r="H606" s="1868"/>
      <c r="I606" s="1895">
        <f t="shared" si="2127"/>
        <v>0</v>
      </c>
      <c r="J606" s="1896">
        <f t="shared" si="2128"/>
        <v>737</v>
      </c>
      <c r="K606" s="1868"/>
      <c r="L606" s="1868"/>
      <c r="M606" s="1868"/>
      <c r="N606" s="1895">
        <f t="shared" si="2129"/>
        <v>0</v>
      </c>
      <c r="O606" s="1896">
        <f t="shared" si="2130"/>
        <v>737</v>
      </c>
      <c r="P606" s="1868"/>
      <c r="Q606" s="1868"/>
      <c r="R606" s="1868"/>
      <c r="S606" s="1895">
        <f t="shared" si="2134"/>
        <v>0</v>
      </c>
      <c r="T606" s="1897">
        <f t="shared" si="2131"/>
        <v>737</v>
      </c>
      <c r="U606" s="1409"/>
      <c r="V606" s="1936" t="s">
        <v>206</v>
      </c>
      <c r="W606" s="1850">
        <v>192</v>
      </c>
      <c r="X606" s="1850">
        <v>464</v>
      </c>
      <c r="Y606" s="1850"/>
      <c r="Z606" s="1851">
        <f t="shared" si="2135"/>
        <v>656</v>
      </c>
      <c r="AA606" s="1868"/>
      <c r="AB606" s="1868"/>
      <c r="AC606" s="1850"/>
      <c r="AD606" s="1851">
        <f t="shared" si="2136"/>
        <v>0</v>
      </c>
      <c r="AE606" s="2125">
        <f t="shared" si="2137"/>
        <v>656</v>
      </c>
      <c r="AF606" s="1850"/>
      <c r="AG606" s="1850"/>
      <c r="AH606" s="1850"/>
      <c r="AI606" s="1851">
        <f t="shared" si="2138"/>
        <v>0</v>
      </c>
      <c r="AJ606" s="2125">
        <f t="shared" si="2139"/>
        <v>656</v>
      </c>
      <c r="AK606" s="1850"/>
      <c r="AL606" s="1850"/>
      <c r="AM606" s="1850"/>
      <c r="AN606" s="2127">
        <f t="shared" si="2140"/>
        <v>0</v>
      </c>
      <c r="AO606" s="2128">
        <f t="shared" si="2141"/>
        <v>656</v>
      </c>
      <c r="AP606" s="1409"/>
      <c r="AQ606" s="1409">
        <v>910</v>
      </c>
      <c r="AR606" s="1409"/>
      <c r="AS606" s="1409"/>
      <c r="AT606" s="1409"/>
      <c r="AU606" s="1409"/>
      <c r="AV606" s="1409"/>
      <c r="AW606" s="1409"/>
      <c r="AX606" s="1409"/>
      <c r="AY606" s="1409"/>
      <c r="AZ606" s="1409"/>
    </row>
    <row r="607" s="1434" customFormat="1">
      <c r="A607" s="2084" t="s">
        <v>207</v>
      </c>
      <c r="B607" s="1868">
        <v>276</v>
      </c>
      <c r="C607" s="1868">
        <v>65</v>
      </c>
      <c r="D607" s="1868"/>
      <c r="E607" s="1895">
        <f t="shared" si="2121"/>
        <v>341</v>
      </c>
      <c r="F607" s="1868"/>
      <c r="G607" s="1868"/>
      <c r="H607" s="1868"/>
      <c r="I607" s="1895">
        <f t="shared" si="2127"/>
        <v>0</v>
      </c>
      <c r="J607" s="1896">
        <f t="shared" si="2128"/>
        <v>341</v>
      </c>
      <c r="K607" s="1868"/>
      <c r="L607" s="1868"/>
      <c r="M607" s="1868"/>
      <c r="N607" s="1895">
        <f t="shared" si="2129"/>
        <v>0</v>
      </c>
      <c r="O607" s="1896">
        <f t="shared" si="2130"/>
        <v>341</v>
      </c>
      <c r="P607" s="1868"/>
      <c r="Q607" s="1868"/>
      <c r="R607" s="1868"/>
      <c r="S607" s="1895">
        <f t="shared" si="2134"/>
        <v>0</v>
      </c>
      <c r="T607" s="1897">
        <f t="shared" si="2131"/>
        <v>341</v>
      </c>
      <c r="U607" s="1413"/>
      <c r="V607" s="1179" t="s">
        <v>207</v>
      </c>
      <c r="W607" s="1850">
        <v>92</v>
      </c>
      <c r="X607" s="1850">
        <v>187</v>
      </c>
      <c r="Y607" s="1850"/>
      <c r="Z607" s="1851">
        <f t="shared" si="2135"/>
        <v>279</v>
      </c>
      <c r="AA607" s="1868"/>
      <c r="AB607" s="1868"/>
      <c r="AC607" s="1850"/>
      <c r="AD607" s="1851">
        <f t="shared" si="2136"/>
        <v>0</v>
      </c>
      <c r="AE607" s="2125">
        <f t="shared" si="2137"/>
        <v>279</v>
      </c>
      <c r="AF607" s="1850"/>
      <c r="AG607" s="1850"/>
      <c r="AH607" s="1850"/>
      <c r="AI607" s="1851">
        <f t="shared" si="2138"/>
        <v>0</v>
      </c>
      <c r="AJ607" s="2125">
        <f t="shared" si="2139"/>
        <v>279</v>
      </c>
      <c r="AK607" s="1850"/>
      <c r="AL607" s="1850"/>
      <c r="AM607" s="1850"/>
      <c r="AN607" s="2127">
        <f t="shared" si="2140"/>
        <v>0</v>
      </c>
      <c r="AO607" s="2128">
        <f t="shared" si="2141"/>
        <v>279</v>
      </c>
      <c r="AP607" s="1409"/>
      <c r="AQ607" s="1409">
        <v>3</v>
      </c>
      <c r="AR607" s="1409"/>
      <c r="AS607" s="1409"/>
      <c r="AT607" s="1409"/>
      <c r="AU607" s="1409"/>
      <c r="AV607" s="1409"/>
      <c r="AW607" s="1409"/>
      <c r="AX607" s="1409"/>
      <c r="AY607" s="1409"/>
      <c r="AZ607" s="1409"/>
    </row>
    <row r="608" s="1434" customFormat="1">
      <c r="A608" s="2084" t="s">
        <v>695</v>
      </c>
      <c r="B608" s="1868">
        <v>207</v>
      </c>
      <c r="C608" s="1868">
        <v>54</v>
      </c>
      <c r="D608" s="1868"/>
      <c r="E608" s="1895">
        <f t="shared" si="2121"/>
        <v>261</v>
      </c>
      <c r="F608" s="1868"/>
      <c r="G608" s="1868"/>
      <c r="H608" s="1868"/>
      <c r="I608" s="1895">
        <f t="shared" si="2127"/>
        <v>0</v>
      </c>
      <c r="J608" s="1896">
        <f t="shared" si="2128"/>
        <v>261</v>
      </c>
      <c r="K608" s="1868"/>
      <c r="L608" s="1868"/>
      <c r="M608" s="1868"/>
      <c r="N608" s="1895">
        <f t="shared" si="2129"/>
        <v>0</v>
      </c>
      <c r="O608" s="1896">
        <f t="shared" si="2130"/>
        <v>261</v>
      </c>
      <c r="P608" s="1868"/>
      <c r="Q608" s="1868"/>
      <c r="R608" s="1868"/>
      <c r="S608" s="1895">
        <f t="shared" si="2134"/>
        <v>0</v>
      </c>
      <c r="T608" s="1897">
        <f t="shared" si="2131"/>
        <v>261</v>
      </c>
      <c r="U608" s="1413"/>
      <c r="V608" s="1179" t="s">
        <v>209</v>
      </c>
      <c r="W608" s="1850">
        <v>69</v>
      </c>
      <c r="X608" s="1850">
        <v>156</v>
      </c>
      <c r="Y608" s="1850"/>
      <c r="Z608" s="1851">
        <f t="shared" si="2135"/>
        <v>225</v>
      </c>
      <c r="AA608" s="1868"/>
      <c r="AB608" s="1868"/>
      <c r="AC608" s="1850"/>
      <c r="AD608" s="1851">
        <f t="shared" si="2136"/>
        <v>0</v>
      </c>
      <c r="AE608" s="2125">
        <f t="shared" si="2137"/>
        <v>225</v>
      </c>
      <c r="AF608" s="1850"/>
      <c r="AG608" s="1850"/>
      <c r="AH608" s="1850"/>
      <c r="AI608" s="1851">
        <f t="shared" si="2138"/>
        <v>0</v>
      </c>
      <c r="AJ608" s="2125">
        <f t="shared" si="2139"/>
        <v>225</v>
      </c>
      <c r="AK608" s="1850"/>
      <c r="AL608" s="1850"/>
      <c r="AM608" s="1850"/>
      <c r="AN608" s="2127">
        <f t="shared" si="2140"/>
        <v>0</v>
      </c>
      <c r="AO608" s="2128">
        <f t="shared" si="2141"/>
        <v>225</v>
      </c>
      <c r="AP608" s="1409"/>
      <c r="AQ608" s="1409">
        <v>1292</v>
      </c>
      <c r="AR608" s="1409"/>
      <c r="AS608" s="1409"/>
      <c r="AT608" s="1409"/>
      <c r="AU608" s="1409"/>
      <c r="AV608" s="1409"/>
      <c r="AW608" s="1409"/>
      <c r="AX608" s="1409"/>
      <c r="AY608" s="1409"/>
      <c r="AZ608" s="1409"/>
    </row>
    <row r="609" s="1434" customFormat="1">
      <c r="A609" s="2084" t="s">
        <v>696</v>
      </c>
      <c r="B609" s="1868">
        <v>216</v>
      </c>
      <c r="C609" s="1868">
        <v>45</v>
      </c>
      <c r="D609" s="1868"/>
      <c r="E609" s="1895">
        <f t="shared" si="2121"/>
        <v>261</v>
      </c>
      <c r="F609" s="1868"/>
      <c r="G609" s="1868"/>
      <c r="H609" s="1868"/>
      <c r="I609" s="1895">
        <f t="shared" si="2127"/>
        <v>0</v>
      </c>
      <c r="J609" s="1896">
        <f t="shared" si="2128"/>
        <v>261</v>
      </c>
      <c r="K609" s="1868"/>
      <c r="L609" s="1868"/>
      <c r="M609" s="1868"/>
      <c r="N609" s="1895">
        <f t="shared" si="2129"/>
        <v>0</v>
      </c>
      <c r="O609" s="1896">
        <f t="shared" si="2130"/>
        <v>261</v>
      </c>
      <c r="P609" s="1868"/>
      <c r="Q609" s="1868"/>
      <c r="R609" s="1868"/>
      <c r="S609" s="1895">
        <f t="shared" si="2134"/>
        <v>0</v>
      </c>
      <c r="T609" s="1897">
        <f t="shared" si="2131"/>
        <v>261</v>
      </c>
      <c r="U609" s="1413"/>
      <c r="V609" s="1179" t="s">
        <v>697</v>
      </c>
      <c r="W609" s="1850">
        <v>72</v>
      </c>
      <c r="X609" s="1850">
        <v>130</v>
      </c>
      <c r="Y609" s="1850"/>
      <c r="Z609" s="1851">
        <f t="shared" si="2135"/>
        <v>202</v>
      </c>
      <c r="AA609" s="1868"/>
      <c r="AB609" s="1868"/>
      <c r="AC609" s="1850"/>
      <c r="AD609" s="1851">
        <f t="shared" si="2136"/>
        <v>0</v>
      </c>
      <c r="AE609" s="2125">
        <f t="shared" si="2137"/>
        <v>202</v>
      </c>
      <c r="AF609" s="1850"/>
      <c r="AG609" s="1850"/>
      <c r="AH609" s="1850"/>
      <c r="AI609" s="1851">
        <f t="shared" si="2138"/>
        <v>0</v>
      </c>
      <c r="AJ609" s="2125">
        <f t="shared" si="2139"/>
        <v>202</v>
      </c>
      <c r="AK609" s="1850"/>
      <c r="AL609" s="1850"/>
      <c r="AM609" s="1850"/>
      <c r="AN609" s="2127">
        <f t="shared" si="2140"/>
        <v>0</v>
      </c>
      <c r="AO609" s="2128">
        <f t="shared" si="2141"/>
        <v>202</v>
      </c>
      <c r="AP609" s="1409"/>
      <c r="AQ609" s="1409">
        <v>28</v>
      </c>
      <c r="AR609" s="1409"/>
      <c r="AS609" s="1409"/>
      <c r="AT609" s="1409"/>
      <c r="AU609" s="1409"/>
      <c r="AV609" s="1409"/>
      <c r="AW609" s="1409"/>
      <c r="AX609" s="1409"/>
      <c r="AY609" s="1409"/>
      <c r="AZ609" s="1409"/>
    </row>
    <row r="610" s="1434" customFormat="1">
      <c r="A610" s="2084" t="s">
        <v>211</v>
      </c>
      <c r="B610" s="1868">
        <v>1812</v>
      </c>
      <c r="C610" s="1868">
        <v>576</v>
      </c>
      <c r="D610" s="1868"/>
      <c r="E610" s="1895">
        <f t="shared" si="2121"/>
        <v>2388</v>
      </c>
      <c r="F610" s="1868"/>
      <c r="G610" s="1868"/>
      <c r="H610" s="1868"/>
      <c r="I610" s="1895">
        <f t="shared" si="2127"/>
        <v>0</v>
      </c>
      <c r="J610" s="1896">
        <f t="shared" si="2128"/>
        <v>2388</v>
      </c>
      <c r="K610" s="1446"/>
      <c r="L610" s="1868"/>
      <c r="M610" s="1868"/>
      <c r="N610" s="1895">
        <f t="shared" si="2129"/>
        <v>0</v>
      </c>
      <c r="O610" s="1896">
        <f t="shared" si="2130"/>
        <v>2388</v>
      </c>
      <c r="P610" s="1868"/>
      <c r="Q610" s="1868"/>
      <c r="R610" s="1868"/>
      <c r="S610" s="1895">
        <f t="shared" si="2134"/>
        <v>0</v>
      </c>
      <c r="T610" s="1897">
        <f t="shared" si="2131"/>
        <v>2388</v>
      </c>
      <c r="U610" s="1409"/>
      <c r="V610" s="1936" t="s">
        <v>211</v>
      </c>
      <c r="W610" s="1850">
        <v>604</v>
      </c>
      <c r="X610" s="1850">
        <v>1659</v>
      </c>
      <c r="Y610" s="1850"/>
      <c r="Z610" s="1851">
        <f t="shared" si="2135"/>
        <v>2263</v>
      </c>
      <c r="AA610" s="1868"/>
      <c r="AB610" s="1868"/>
      <c r="AC610" s="1850"/>
      <c r="AD610" s="1851">
        <f t="shared" si="2136"/>
        <v>0</v>
      </c>
      <c r="AE610" s="2125">
        <f t="shared" si="2137"/>
        <v>2263</v>
      </c>
      <c r="AF610" s="1850"/>
      <c r="AG610" s="1850"/>
      <c r="AH610" s="1850"/>
      <c r="AI610" s="1851">
        <f t="shared" si="2138"/>
        <v>0</v>
      </c>
      <c r="AJ610" s="2125">
        <f t="shared" si="2139"/>
        <v>2263</v>
      </c>
      <c r="AK610" s="1850"/>
      <c r="AL610" s="1850"/>
      <c r="AM610" s="1850"/>
      <c r="AN610" s="2127">
        <f t="shared" si="2140"/>
        <v>0</v>
      </c>
      <c r="AO610" s="2128">
        <f t="shared" si="2141"/>
        <v>2263</v>
      </c>
      <c r="AP610" s="1409"/>
      <c r="AQ610" s="1409">
        <v>120</v>
      </c>
      <c r="AR610" s="1409"/>
      <c r="AS610" s="1409"/>
      <c r="AT610" s="1409"/>
      <c r="AU610" s="1409"/>
      <c r="AV610" s="1409"/>
      <c r="AW610" s="1409"/>
      <c r="AX610" s="1409"/>
      <c r="AY610" s="1409"/>
      <c r="AZ610" s="1409"/>
    </row>
    <row r="611" s="2099" customFormat="1">
      <c r="A611" s="2102" t="s">
        <v>363</v>
      </c>
      <c r="B611" s="1871">
        <f t="shared" ref="B611:H611" si="2145">SUM(B598:B610)</f>
        <v>4761</v>
      </c>
      <c r="C611" s="1871">
        <f t="shared" si="2145"/>
        <v>1319</v>
      </c>
      <c r="D611" s="1871">
        <f t="shared" si="2145"/>
        <v>0</v>
      </c>
      <c r="E611" s="1899">
        <f t="shared" si="2121"/>
        <v>6080</v>
      </c>
      <c r="F611" s="1871">
        <f>SUM(F598:F610)</f>
        <v>0</v>
      </c>
      <c r="G611" s="1871">
        <f>SUM(G598:G610)</f>
        <v>0</v>
      </c>
      <c r="H611" s="1871">
        <f t="shared" si="2145"/>
        <v>0</v>
      </c>
      <c r="I611" s="1899">
        <f t="shared" si="2127"/>
        <v>0</v>
      </c>
      <c r="J611" s="1900">
        <f t="shared" si="2128"/>
        <v>6080</v>
      </c>
      <c r="K611" s="1871">
        <f>SUM(K598:K610)</f>
        <v>0</v>
      </c>
      <c r="L611" s="1871">
        <f>SUM(L598:L610)</f>
        <v>0</v>
      </c>
      <c r="M611" s="1871">
        <f t="shared" ref="M611:R611" si="2146">SUM(M598:M610)</f>
        <v>0</v>
      </c>
      <c r="N611" s="1899">
        <f t="shared" si="2129"/>
        <v>0</v>
      </c>
      <c r="O611" s="1900">
        <f t="shared" si="2130"/>
        <v>6080</v>
      </c>
      <c r="P611" s="1871">
        <f t="shared" si="2146"/>
        <v>0</v>
      </c>
      <c r="Q611" s="1871">
        <f t="shared" si="2146"/>
        <v>0</v>
      </c>
      <c r="R611" s="1871">
        <f t="shared" si="2146"/>
        <v>0</v>
      </c>
      <c r="S611" s="1899">
        <f t="shared" si="2134"/>
        <v>0</v>
      </c>
      <c r="T611" s="1901">
        <f>SUM(T598:T610)</f>
        <v>6080</v>
      </c>
      <c r="U611" s="1515"/>
      <c r="V611" s="2130" t="s">
        <v>363</v>
      </c>
      <c r="W611" s="1858">
        <f t="shared" ref="W611:AM611" si="2147">SUM(W598:W610)</f>
        <v>1587</v>
      </c>
      <c r="X611" s="1858">
        <f t="shared" si="2147"/>
        <v>3801</v>
      </c>
      <c r="Y611" s="1858">
        <f t="shared" si="2147"/>
        <v>0</v>
      </c>
      <c r="Z611" s="1859">
        <f t="shared" si="2135"/>
        <v>5388</v>
      </c>
      <c r="AA611" s="1871">
        <f>SUM(AA598:AA610)</f>
        <v>0</v>
      </c>
      <c r="AB611" s="1871">
        <f>SUM(AB598:AB610)</f>
        <v>0</v>
      </c>
      <c r="AC611" s="1858">
        <f t="shared" si="2147"/>
        <v>0</v>
      </c>
      <c r="AD611" s="1851">
        <f t="shared" si="2136"/>
        <v>0</v>
      </c>
      <c r="AE611" s="2125">
        <f t="shared" si="2137"/>
        <v>5388</v>
      </c>
      <c r="AF611" s="1858">
        <f t="shared" si="2147"/>
        <v>0</v>
      </c>
      <c r="AG611" s="1858">
        <f t="shared" si="2147"/>
        <v>0</v>
      </c>
      <c r="AH611" s="1858">
        <f t="shared" si="2147"/>
        <v>0</v>
      </c>
      <c r="AI611" s="1851">
        <f t="shared" si="2138"/>
        <v>0</v>
      </c>
      <c r="AJ611" s="2125">
        <f t="shared" si="2139"/>
        <v>5388</v>
      </c>
      <c r="AK611" s="1858">
        <f t="shared" si="2147"/>
        <v>0</v>
      </c>
      <c r="AL611" s="1858">
        <f>SUM(AL598:AL610)</f>
        <v>0</v>
      </c>
      <c r="AM611" s="1858">
        <f t="shared" si="2147"/>
        <v>0</v>
      </c>
      <c r="AN611" s="2127">
        <f t="shared" si="2140"/>
        <v>0</v>
      </c>
      <c r="AO611" s="2128">
        <f t="shared" si="2141"/>
        <v>5388</v>
      </c>
      <c r="AP611" s="1515"/>
      <c r="AQ611" s="1515">
        <v>265</v>
      </c>
      <c r="AR611" s="1515"/>
      <c r="AS611" s="1515"/>
      <c r="AT611" s="1515"/>
      <c r="AU611" s="1515"/>
      <c r="AV611" s="1515"/>
      <c r="AW611" s="1515"/>
      <c r="AX611" s="1515"/>
      <c r="AY611" s="1515"/>
      <c r="AZ611" s="1515"/>
    </row>
    <row r="612" s="1434" customFormat="1">
      <c r="A612" s="2084" t="s">
        <v>698</v>
      </c>
      <c r="B612" s="1868">
        <v>87</v>
      </c>
      <c r="C612" s="1868">
        <v>21</v>
      </c>
      <c r="D612" s="1868"/>
      <c r="E612" s="1895"/>
      <c r="F612" s="1868"/>
      <c r="G612" s="1868"/>
      <c r="H612" s="1868"/>
      <c r="I612" s="1895">
        <f t="shared" si="2127"/>
        <v>0</v>
      </c>
      <c r="J612" s="1896">
        <f t="shared" si="2128"/>
        <v>0</v>
      </c>
      <c r="K612" s="1868"/>
      <c r="L612" s="1868"/>
      <c r="M612" s="1868"/>
      <c r="N612" s="1895">
        <f t="shared" si="2129"/>
        <v>0</v>
      </c>
      <c r="O612" s="1896">
        <f t="shared" si="2130"/>
        <v>0</v>
      </c>
      <c r="P612" s="1868"/>
      <c r="Q612" s="1906"/>
      <c r="R612" s="1868"/>
      <c r="S612" s="1895">
        <f t="shared" si="2134"/>
        <v>0</v>
      </c>
      <c r="T612" s="1897">
        <f t="shared" si="2131"/>
        <v>0</v>
      </c>
      <c r="U612" s="1409"/>
      <c r="V612" s="1936" t="s">
        <v>379</v>
      </c>
      <c r="W612" s="1850">
        <v>29</v>
      </c>
      <c r="X612" s="1850">
        <v>60</v>
      </c>
      <c r="Y612" s="1850"/>
      <c r="Z612" s="1851">
        <f t="shared" si="2135"/>
        <v>89</v>
      </c>
      <c r="AA612" s="1868"/>
      <c r="AB612" s="1868"/>
      <c r="AC612" s="1850"/>
      <c r="AD612" s="1851">
        <f t="shared" si="2136"/>
        <v>0</v>
      </c>
      <c r="AE612" s="2125">
        <f t="shared" si="2137"/>
        <v>89</v>
      </c>
      <c r="AF612" s="1850"/>
      <c r="AG612" s="1850"/>
      <c r="AH612" s="1850"/>
      <c r="AI612" s="1851">
        <f t="shared" si="2138"/>
        <v>0</v>
      </c>
      <c r="AJ612" s="2125">
        <f t="shared" si="2139"/>
        <v>89</v>
      </c>
      <c r="AK612" s="1850"/>
      <c r="AL612" s="1850"/>
      <c r="AM612" s="1850"/>
      <c r="AN612" s="2127">
        <f t="shared" si="2140"/>
        <v>0</v>
      </c>
      <c r="AO612" s="2128">
        <f t="shared" si="2141"/>
        <v>89</v>
      </c>
      <c r="AP612" s="1409"/>
      <c r="AQ612" s="1409">
        <v>120</v>
      </c>
      <c r="AR612" s="1409"/>
      <c r="AS612" s="1409"/>
      <c r="AT612" s="1409"/>
      <c r="AU612" s="1409"/>
      <c r="AV612" s="1409"/>
      <c r="AW612" s="1409"/>
      <c r="AX612" s="1409"/>
      <c r="AY612" s="1409"/>
      <c r="AZ612" s="1409"/>
    </row>
    <row r="613" s="1434" customFormat="1">
      <c r="A613" s="1561" t="s">
        <v>699</v>
      </c>
      <c r="B613" s="1868">
        <v>1146</v>
      </c>
      <c r="C613" s="1868">
        <v>177</v>
      </c>
      <c r="D613" s="1868"/>
      <c r="E613" s="1895">
        <f t="shared" si="2121"/>
        <v>1323</v>
      </c>
      <c r="F613" s="1868"/>
      <c r="G613" s="1868"/>
      <c r="H613" s="1868"/>
      <c r="I613" s="1895">
        <f t="shared" si="2127"/>
        <v>0</v>
      </c>
      <c r="J613" s="1896">
        <f t="shared" si="2128"/>
        <v>1323</v>
      </c>
      <c r="K613" s="1868"/>
      <c r="L613" s="1868"/>
      <c r="M613" s="1868"/>
      <c r="N613" s="1895">
        <f t="shared" si="2129"/>
        <v>0</v>
      </c>
      <c r="O613" s="1896">
        <f t="shared" si="2130"/>
        <v>1323</v>
      </c>
      <c r="P613" s="1868"/>
      <c r="Q613" s="1868"/>
      <c r="R613" s="1868"/>
      <c r="S613" s="1895">
        <f t="shared" si="2134"/>
        <v>0</v>
      </c>
      <c r="T613" s="1897">
        <f t="shared" si="2131"/>
        <v>1323</v>
      </c>
      <c r="U613" s="1409"/>
      <c r="V613" s="2131" t="s">
        <v>700</v>
      </c>
      <c r="W613" s="1850">
        <v>382</v>
      </c>
      <c r="X613" s="1850">
        <v>510</v>
      </c>
      <c r="Y613" s="1850"/>
      <c r="Z613" s="1851">
        <f t="shared" si="2135"/>
        <v>892</v>
      </c>
      <c r="AA613" s="1868"/>
      <c r="AB613" s="1868"/>
      <c r="AC613" s="1850"/>
      <c r="AD613" s="1851">
        <f t="shared" si="2136"/>
        <v>0</v>
      </c>
      <c r="AE613" s="2125">
        <f t="shared" si="2137"/>
        <v>892</v>
      </c>
      <c r="AF613" s="1850"/>
      <c r="AG613" s="1850"/>
      <c r="AH613" s="1850"/>
      <c r="AI613" s="1851">
        <f t="shared" si="2138"/>
        <v>0</v>
      </c>
      <c r="AJ613" s="2125">
        <f t="shared" si="2139"/>
        <v>892</v>
      </c>
      <c r="AK613" s="1850"/>
      <c r="AL613" s="1850"/>
      <c r="AM613" s="1850"/>
      <c r="AN613" s="2127">
        <f t="shared" si="2140"/>
        <v>0</v>
      </c>
      <c r="AO613" s="2128">
        <f t="shared" si="2141"/>
        <v>892</v>
      </c>
      <c r="AP613" s="1409"/>
      <c r="AQ613" s="1409">
        <v>34</v>
      </c>
      <c r="AR613" s="1409"/>
      <c r="AS613" s="1409"/>
      <c r="AT613" s="1409"/>
      <c r="AU613" s="1409"/>
      <c r="AV613" s="1409"/>
      <c r="AW613" s="1409"/>
      <c r="AX613" s="1409"/>
      <c r="AY613" s="1409"/>
      <c r="AZ613" s="1409"/>
    </row>
    <row r="614" s="1434" customFormat="1">
      <c r="A614" s="2084" t="s">
        <v>547</v>
      </c>
      <c r="B614" s="1868">
        <v>186</v>
      </c>
      <c r="C614" s="1868">
        <v>52</v>
      </c>
      <c r="D614" s="1868"/>
      <c r="E614" s="1895">
        <f t="shared" ref="E614:E677" si="2148">B614+C614+D614</f>
        <v>238</v>
      </c>
      <c r="F614" s="1868"/>
      <c r="G614" s="1868"/>
      <c r="H614" s="1868"/>
      <c r="I614" s="1895">
        <f t="shared" si="2127"/>
        <v>0</v>
      </c>
      <c r="J614" s="1896">
        <f t="shared" si="2128"/>
        <v>238</v>
      </c>
      <c r="K614" s="1868"/>
      <c r="L614" s="1868"/>
      <c r="M614" s="1868"/>
      <c r="N614" s="1895">
        <f t="shared" si="2129"/>
        <v>0</v>
      </c>
      <c r="O614" s="1896">
        <f t="shared" si="2130"/>
        <v>238</v>
      </c>
      <c r="P614" s="1868"/>
      <c r="Q614" s="1868"/>
      <c r="R614" s="1868"/>
      <c r="S614" s="1895">
        <f t="shared" si="2134"/>
        <v>0</v>
      </c>
      <c r="T614" s="1897">
        <f t="shared" si="2131"/>
        <v>238</v>
      </c>
      <c r="U614" s="1409"/>
      <c r="V614" s="1936" t="s">
        <v>547</v>
      </c>
      <c r="W614" s="1850">
        <v>62</v>
      </c>
      <c r="X614" s="1850">
        <v>150</v>
      </c>
      <c r="Y614" s="1850"/>
      <c r="Z614" s="1851">
        <f t="shared" ref="Z614:Z677" si="2149">W614+X614+Y614</f>
        <v>212</v>
      </c>
      <c r="AA614" s="1868"/>
      <c r="AB614" s="1868"/>
      <c r="AC614" s="1850"/>
      <c r="AD614" s="1851">
        <f t="shared" ref="AD614:AD677" si="2150">AA614+AB614+AC614</f>
        <v>0</v>
      </c>
      <c r="AE614" s="2125">
        <f t="shared" ref="AE614:AE677" si="2151">Z614+AD614</f>
        <v>212</v>
      </c>
      <c r="AF614" s="1850"/>
      <c r="AG614" s="1850"/>
      <c r="AH614" s="1850"/>
      <c r="AI614" s="1851">
        <f t="shared" ref="AI614:AI677" si="2152">AF614+AG614+AH614</f>
        <v>0</v>
      </c>
      <c r="AJ614" s="2125">
        <f t="shared" si="2139"/>
        <v>212</v>
      </c>
      <c r="AK614" s="1850"/>
      <c r="AL614" s="1850"/>
      <c r="AM614" s="1850"/>
      <c r="AN614" s="2127">
        <f t="shared" si="2140"/>
        <v>0</v>
      </c>
      <c r="AO614" s="2128">
        <f t="shared" si="2141"/>
        <v>212</v>
      </c>
      <c r="AP614" s="1409"/>
      <c r="AQ614" s="1409">
        <v>340</v>
      </c>
      <c r="AR614" s="1409"/>
      <c r="AS614" s="1409"/>
      <c r="AT614" s="1409"/>
      <c r="AU614" s="1409"/>
      <c r="AV614" s="1409"/>
      <c r="AW614" s="1409"/>
      <c r="AX614" s="1409"/>
      <c r="AY614" s="1409"/>
      <c r="AZ614" s="1409"/>
    </row>
    <row r="615" s="1434" customFormat="1">
      <c r="A615" s="1561" t="s">
        <v>701</v>
      </c>
      <c r="B615" s="1868">
        <v>1722</v>
      </c>
      <c r="C615" s="1868">
        <v>463</v>
      </c>
      <c r="D615" s="1868"/>
      <c r="E615" s="1895">
        <f t="shared" si="2148"/>
        <v>2185</v>
      </c>
      <c r="F615" s="1868"/>
      <c r="G615" s="1868"/>
      <c r="H615" s="1868"/>
      <c r="I615" s="1895">
        <f t="shared" si="2127"/>
        <v>0</v>
      </c>
      <c r="J615" s="1896">
        <f t="shared" si="2128"/>
        <v>2185</v>
      </c>
      <c r="K615" s="1868"/>
      <c r="L615" s="1868"/>
      <c r="M615" s="1868"/>
      <c r="N615" s="1895">
        <f t="shared" si="2129"/>
        <v>0</v>
      </c>
      <c r="O615" s="1896">
        <f t="shared" si="2130"/>
        <v>2185</v>
      </c>
      <c r="P615" s="1868"/>
      <c r="Q615" s="1868"/>
      <c r="R615" s="1868"/>
      <c r="S615" s="1895">
        <f t="shared" si="2134"/>
        <v>0</v>
      </c>
      <c r="T615" s="1897">
        <f t="shared" si="2131"/>
        <v>2185</v>
      </c>
      <c r="U615" s="1409"/>
      <c r="V615" s="2131" t="s">
        <v>702</v>
      </c>
      <c r="W615" s="1850">
        <v>574</v>
      </c>
      <c r="X615" s="1850">
        <v>1333</v>
      </c>
      <c r="Y615" s="1850"/>
      <c r="Z615" s="1851">
        <f t="shared" si="2149"/>
        <v>1907</v>
      </c>
      <c r="AA615" s="1868"/>
      <c r="AB615" s="1868"/>
      <c r="AC615" s="1850"/>
      <c r="AD615" s="1851">
        <f t="shared" si="2150"/>
        <v>0</v>
      </c>
      <c r="AE615" s="2125">
        <f t="shared" si="2151"/>
        <v>1907</v>
      </c>
      <c r="AF615" s="1850"/>
      <c r="AG615" s="1850"/>
      <c r="AH615" s="1850"/>
      <c r="AI615" s="1851">
        <f t="shared" si="2152"/>
        <v>0</v>
      </c>
      <c r="AJ615" s="2125">
        <f t="shared" si="2139"/>
        <v>1907</v>
      </c>
      <c r="AK615" s="1850"/>
      <c r="AL615" s="1850"/>
      <c r="AM615" s="1850"/>
      <c r="AN615" s="2127">
        <f t="shared" si="2140"/>
        <v>0</v>
      </c>
      <c r="AO615" s="2128">
        <f t="shared" si="2141"/>
        <v>1907</v>
      </c>
      <c r="AP615" s="1409"/>
      <c r="AQ615" s="1409">
        <v>483</v>
      </c>
      <c r="AR615" s="1409"/>
      <c r="AS615" s="1409"/>
      <c r="AT615" s="1409"/>
      <c r="AU615" s="1409"/>
      <c r="AV615" s="1409"/>
      <c r="AW615" s="1409"/>
      <c r="AX615" s="1409"/>
      <c r="AY615" s="1409"/>
      <c r="AZ615" s="1409"/>
    </row>
    <row r="616" s="2099" customFormat="1">
      <c r="A616" s="2102" t="s">
        <v>544</v>
      </c>
      <c r="B616" s="1871">
        <f t="shared" ref="B616:H616" si="2153">SUM(B612:B615)</f>
        <v>3141</v>
      </c>
      <c r="C616" s="1871">
        <f t="shared" si="2153"/>
        <v>713</v>
      </c>
      <c r="D616" s="1871">
        <f t="shared" si="2153"/>
        <v>0</v>
      </c>
      <c r="E616" s="1899">
        <f t="shared" si="2148"/>
        <v>3854</v>
      </c>
      <c r="F616" s="1871">
        <f>SUM(F612:F615)</f>
        <v>0</v>
      </c>
      <c r="G616" s="1871">
        <f>SUM(G612:G615)</f>
        <v>0</v>
      </c>
      <c r="H616" s="1871">
        <f t="shared" si="2153"/>
        <v>0</v>
      </c>
      <c r="I616" s="1899">
        <f t="shared" si="2127"/>
        <v>0</v>
      </c>
      <c r="J616" s="1900">
        <f t="shared" si="2128"/>
        <v>3854</v>
      </c>
      <c r="K616" s="1871">
        <f>SUM(K612:K615)</f>
        <v>0</v>
      </c>
      <c r="L616" s="1871">
        <f>SUM(L612:L615)</f>
        <v>0</v>
      </c>
      <c r="M616" s="1871">
        <f t="shared" ref="M616:R616" si="2154">SUM(M612:M615)</f>
        <v>0</v>
      </c>
      <c r="N616" s="1899">
        <f t="shared" si="2129"/>
        <v>0</v>
      </c>
      <c r="O616" s="1900">
        <f t="shared" si="2130"/>
        <v>3854</v>
      </c>
      <c r="P616" s="1871">
        <f t="shared" si="2154"/>
        <v>0</v>
      </c>
      <c r="Q616" s="1871">
        <f t="shared" si="2154"/>
        <v>0</v>
      </c>
      <c r="R616" s="1871">
        <f t="shared" si="2154"/>
        <v>0</v>
      </c>
      <c r="S616" s="1899">
        <f t="shared" si="2134"/>
        <v>0</v>
      </c>
      <c r="T616" s="1901">
        <f>SUM(T612:T615)</f>
        <v>3746</v>
      </c>
      <c r="U616" s="1515"/>
      <c r="V616" s="2130" t="s">
        <v>544</v>
      </c>
      <c r="W616" s="1858">
        <f t="shared" ref="W616:AC616" si="2155">SUM(W612:W615)</f>
        <v>1047</v>
      </c>
      <c r="X616" s="1858">
        <f t="shared" si="2155"/>
        <v>2053</v>
      </c>
      <c r="Y616" s="1858">
        <f t="shared" si="2155"/>
        <v>0</v>
      </c>
      <c r="Z616" s="1859">
        <f t="shared" si="2149"/>
        <v>3100</v>
      </c>
      <c r="AA616" s="1871">
        <f>SUM(AA612:AA615)</f>
        <v>0</v>
      </c>
      <c r="AB616" s="1871">
        <f>SUM(AB612:AB615)</f>
        <v>0</v>
      </c>
      <c r="AC616" s="1858">
        <f t="shared" si="2155"/>
        <v>0</v>
      </c>
      <c r="AD616" s="1851">
        <f t="shared" si="2150"/>
        <v>0</v>
      </c>
      <c r="AE616" s="2125">
        <f t="shared" si="2151"/>
        <v>3100</v>
      </c>
      <c r="AF616" s="1858">
        <f t="shared" ref="AF616:AM616" si="2156">SUM(AF612:AF615)</f>
        <v>0</v>
      </c>
      <c r="AG616" s="1858">
        <f t="shared" si="2156"/>
        <v>0</v>
      </c>
      <c r="AH616" s="1858">
        <f t="shared" si="2156"/>
        <v>0</v>
      </c>
      <c r="AI616" s="1851">
        <f t="shared" si="2152"/>
        <v>0</v>
      </c>
      <c r="AJ616" s="2125">
        <f t="shared" si="2139"/>
        <v>3100</v>
      </c>
      <c r="AK616" s="1858">
        <f t="shared" si="2156"/>
        <v>0</v>
      </c>
      <c r="AL616" s="1858">
        <f>SUM(AL612:AL615)</f>
        <v>0</v>
      </c>
      <c r="AM616" s="1858">
        <f t="shared" si="2156"/>
        <v>0</v>
      </c>
      <c r="AN616" s="2127">
        <f t="shared" si="2140"/>
        <v>0</v>
      </c>
      <c r="AO616" s="2128">
        <f t="shared" si="2141"/>
        <v>3100</v>
      </c>
      <c r="AP616" s="1515"/>
      <c r="AQ616" s="1515">
        <v>343</v>
      </c>
      <c r="AR616" s="1515"/>
      <c r="AS616" s="1515"/>
      <c r="AT616" s="1515"/>
      <c r="AU616" s="1515"/>
      <c r="AV616" s="1515"/>
      <c r="AW616" s="1515"/>
      <c r="AX616" s="1515"/>
      <c r="AY616" s="1515"/>
      <c r="AZ616" s="1515"/>
    </row>
    <row r="617" s="1434" customFormat="1">
      <c r="A617" s="2084" t="s">
        <v>703</v>
      </c>
      <c r="B617" s="1868">
        <v>222</v>
      </c>
      <c r="C617" s="1868">
        <v>77</v>
      </c>
      <c r="D617" s="1868"/>
      <c r="E617" s="1895">
        <f t="shared" si="2148"/>
        <v>299</v>
      </c>
      <c r="F617" s="1868"/>
      <c r="G617" s="1868"/>
      <c r="H617" s="1868"/>
      <c r="I617" s="1895">
        <f t="shared" si="2127"/>
        <v>0</v>
      </c>
      <c r="J617" s="1896">
        <f t="shared" si="2128"/>
        <v>299</v>
      </c>
      <c r="K617" s="1868"/>
      <c r="L617" s="1868"/>
      <c r="M617" s="1868"/>
      <c r="N617" s="1895">
        <f t="shared" si="2129"/>
        <v>0</v>
      </c>
      <c r="O617" s="1896">
        <f t="shared" si="2130"/>
        <v>299</v>
      </c>
      <c r="P617" s="1868"/>
      <c r="Q617" s="1868"/>
      <c r="R617" s="1868"/>
      <c r="S617" s="1895">
        <f t="shared" si="2134"/>
        <v>0</v>
      </c>
      <c r="T617" s="1897">
        <f t="shared" si="2131"/>
        <v>299</v>
      </c>
      <c r="U617" s="1409"/>
      <c r="V617" s="1936" t="s">
        <v>390</v>
      </c>
      <c r="W617" s="1850">
        <v>74</v>
      </c>
      <c r="X617" s="1850">
        <v>222</v>
      </c>
      <c r="Y617" s="1850"/>
      <c r="Z617" s="1851">
        <f t="shared" si="2149"/>
        <v>296</v>
      </c>
      <c r="AA617" s="1868"/>
      <c r="AB617" s="1868"/>
      <c r="AC617" s="1850"/>
      <c r="AD617" s="1851">
        <f t="shared" si="2150"/>
        <v>0</v>
      </c>
      <c r="AE617" s="2125">
        <f t="shared" si="2151"/>
        <v>296</v>
      </c>
      <c r="AF617" s="1850"/>
      <c r="AG617" s="1850"/>
      <c r="AH617" s="1850"/>
      <c r="AI617" s="1851">
        <f t="shared" si="2152"/>
        <v>0</v>
      </c>
      <c r="AJ617" s="2125">
        <f t="shared" si="2139"/>
        <v>296</v>
      </c>
      <c r="AK617" s="1850"/>
      <c r="AL617" s="1850"/>
      <c r="AM617" s="1850"/>
      <c r="AN617" s="2127">
        <f t="shared" si="2140"/>
        <v>0</v>
      </c>
      <c r="AO617" s="2128">
        <f t="shared" si="2141"/>
        <v>296</v>
      </c>
      <c r="AP617" s="1409"/>
      <c r="AQ617" s="1409">
        <v>1685</v>
      </c>
      <c r="AR617" s="1409"/>
      <c r="AS617" s="1409"/>
      <c r="AT617" s="1409"/>
      <c r="AU617" s="1409"/>
      <c r="AV617" s="1409"/>
      <c r="AW617" s="1409"/>
      <c r="AX617" s="1409"/>
      <c r="AY617" s="1409"/>
      <c r="AZ617" s="1409"/>
    </row>
    <row r="618" s="1434" customFormat="1">
      <c r="A618" s="2084" t="s">
        <v>704</v>
      </c>
      <c r="B618" s="1868">
        <v>387</v>
      </c>
      <c r="C618" s="1868">
        <v>119</v>
      </c>
      <c r="D618" s="1868"/>
      <c r="E618" s="1895">
        <f t="shared" si="2148"/>
        <v>506</v>
      </c>
      <c r="F618" s="1868"/>
      <c r="G618" s="1868"/>
      <c r="H618" s="1868"/>
      <c r="I618" s="1895">
        <f t="shared" si="2127"/>
        <v>0</v>
      </c>
      <c r="J618" s="1896">
        <f t="shared" si="2128"/>
        <v>506</v>
      </c>
      <c r="K618" s="1868"/>
      <c r="L618" s="1868"/>
      <c r="M618" s="1868"/>
      <c r="N618" s="1895">
        <f t="shared" si="2129"/>
        <v>0</v>
      </c>
      <c r="O618" s="1896">
        <f t="shared" si="2130"/>
        <v>506</v>
      </c>
      <c r="P618" s="1868"/>
      <c r="Q618" s="1868"/>
      <c r="R618" s="1868"/>
      <c r="S618" s="1895">
        <f t="shared" si="2134"/>
        <v>0</v>
      </c>
      <c r="T618" s="1897">
        <f t="shared" si="2131"/>
        <v>506</v>
      </c>
      <c r="U618" s="1409"/>
      <c r="V618" s="1936" t="s">
        <v>392</v>
      </c>
      <c r="W618" s="1850">
        <v>129</v>
      </c>
      <c r="X618" s="1850">
        <v>343</v>
      </c>
      <c r="Y618" s="1850"/>
      <c r="Z618" s="1851">
        <f t="shared" si="2149"/>
        <v>472</v>
      </c>
      <c r="AA618" s="1868"/>
      <c r="AB618" s="1868"/>
      <c r="AC618" s="1850"/>
      <c r="AD618" s="1851">
        <f t="shared" si="2150"/>
        <v>0</v>
      </c>
      <c r="AE618" s="2125">
        <f t="shared" si="2151"/>
        <v>472</v>
      </c>
      <c r="AF618" s="1850"/>
      <c r="AG618" s="1850"/>
      <c r="AH618" s="1850"/>
      <c r="AI618" s="1851">
        <f t="shared" si="2152"/>
        <v>0</v>
      </c>
      <c r="AJ618" s="2125">
        <f t="shared" si="2139"/>
        <v>472</v>
      </c>
      <c r="AK618" s="1850"/>
      <c r="AL618" s="1850"/>
      <c r="AM618" s="1850"/>
      <c r="AN618" s="2127">
        <f t="shared" si="2140"/>
        <v>0</v>
      </c>
      <c r="AO618" s="2128">
        <f t="shared" si="2141"/>
        <v>472</v>
      </c>
      <c r="AP618" s="1409"/>
      <c r="AQ618" s="1409">
        <v>109</v>
      </c>
      <c r="AR618" s="1409"/>
      <c r="AS618" s="1409"/>
      <c r="AT618" s="1409"/>
      <c r="AU618" s="1409"/>
      <c r="AV618" s="1409"/>
      <c r="AW618" s="1409"/>
      <c r="AX618" s="1409"/>
      <c r="AY618" s="1409"/>
      <c r="AZ618" s="1409"/>
    </row>
    <row r="619" s="1434" customFormat="1">
      <c r="A619" s="2084" t="s">
        <v>265</v>
      </c>
      <c r="B619" s="1868">
        <v>387</v>
      </c>
      <c r="C619" s="1868">
        <v>131</v>
      </c>
      <c r="D619" s="1868"/>
      <c r="E619" s="1895"/>
      <c r="F619" s="1868"/>
      <c r="G619" s="1868"/>
      <c r="H619" s="1868"/>
      <c r="I619" s="1895">
        <f t="shared" si="2127"/>
        <v>0</v>
      </c>
      <c r="J619" s="1896">
        <f t="shared" si="2128"/>
        <v>0</v>
      </c>
      <c r="K619" s="1868"/>
      <c r="L619" s="1868"/>
      <c r="M619" s="1868"/>
      <c r="N619" s="1895">
        <f t="shared" si="2129"/>
        <v>0</v>
      </c>
      <c r="O619" s="1896">
        <f t="shared" si="2130"/>
        <v>0</v>
      </c>
      <c r="P619" s="1868"/>
      <c r="Q619" s="1868"/>
      <c r="R619" s="1868"/>
      <c r="S619" s="1895">
        <f t="shared" si="2134"/>
        <v>0</v>
      </c>
      <c r="T619" s="1897">
        <f t="shared" si="2131"/>
        <v>0</v>
      </c>
      <c r="U619" s="1948"/>
      <c r="V619" s="1936" t="s">
        <v>265</v>
      </c>
      <c r="W619" s="1850">
        <v>129</v>
      </c>
      <c r="X619" s="1850">
        <v>377</v>
      </c>
      <c r="Y619" s="1850"/>
      <c r="Z619" s="1851">
        <f t="shared" si="2149"/>
        <v>506</v>
      </c>
      <c r="AA619" s="1868"/>
      <c r="AB619" s="1868"/>
      <c r="AC619" s="1850"/>
      <c r="AD619" s="1851">
        <f t="shared" si="2150"/>
        <v>0</v>
      </c>
      <c r="AE619" s="2125">
        <f t="shared" si="2151"/>
        <v>506</v>
      </c>
      <c r="AF619" s="1850"/>
      <c r="AG619" s="1850"/>
      <c r="AH619" s="1850"/>
      <c r="AI619" s="1851">
        <f t="shared" si="2152"/>
        <v>0</v>
      </c>
      <c r="AJ619" s="2125">
        <f t="shared" si="2139"/>
        <v>506</v>
      </c>
      <c r="AK619" s="1850"/>
      <c r="AL619" s="1850"/>
      <c r="AM619" s="1850"/>
      <c r="AN619" s="2127">
        <f t="shared" si="2140"/>
        <v>0</v>
      </c>
      <c r="AO619" s="2128">
        <f t="shared" si="2141"/>
        <v>506</v>
      </c>
      <c r="AP619" s="1409"/>
      <c r="AQ619" s="1409">
        <v>22</v>
      </c>
      <c r="AR619" s="1409"/>
      <c r="AS619" s="1409"/>
      <c r="AT619" s="1409"/>
      <c r="AU619" s="1409"/>
      <c r="AV619" s="1409"/>
      <c r="AW619" s="1409"/>
      <c r="AX619" s="1409"/>
      <c r="AY619" s="1409"/>
      <c r="AZ619" s="1409"/>
    </row>
    <row r="620" s="2099" customFormat="1">
      <c r="A620" s="2102" t="s">
        <v>394</v>
      </c>
      <c r="B620" s="1871">
        <f>SUM(B617:B619)</f>
        <v>996</v>
      </c>
      <c r="C620" s="1871">
        <f>SUM(C617:C619)</f>
        <v>327</v>
      </c>
      <c r="D620" s="1871">
        <f>SUM(D617:D619)</f>
        <v>0</v>
      </c>
      <c r="E620" s="1899">
        <f t="shared" si="2148"/>
        <v>1323</v>
      </c>
      <c r="F620" s="1871">
        <f>SUM(F617:F619)</f>
        <v>0</v>
      </c>
      <c r="G620" s="1871">
        <f>SUM(G617:G619)</f>
        <v>0</v>
      </c>
      <c r="H620" s="1871">
        <f>SUM(H617:H619)</f>
        <v>0</v>
      </c>
      <c r="I620" s="1899">
        <f t="shared" si="2127"/>
        <v>0</v>
      </c>
      <c r="J620" s="1900">
        <f t="shared" si="2128"/>
        <v>1323</v>
      </c>
      <c r="K620" s="1871">
        <f>SUM(K617:K619)</f>
        <v>0</v>
      </c>
      <c r="L620" s="1871">
        <f>SUM(L617:L619)</f>
        <v>0</v>
      </c>
      <c r="M620" s="1871">
        <f t="shared" ref="M620:R620" si="2157">SUM(M617:M619)</f>
        <v>0</v>
      </c>
      <c r="N620" s="1899">
        <f t="shared" si="2129"/>
        <v>0</v>
      </c>
      <c r="O620" s="1900">
        <f t="shared" si="2130"/>
        <v>1323</v>
      </c>
      <c r="P620" s="1871">
        <f t="shared" si="2157"/>
        <v>0</v>
      </c>
      <c r="Q620" s="1871">
        <f t="shared" si="2157"/>
        <v>0</v>
      </c>
      <c r="R620" s="1871">
        <f t="shared" si="2157"/>
        <v>0</v>
      </c>
      <c r="S620" s="1899">
        <f t="shared" si="2134"/>
        <v>0</v>
      </c>
      <c r="T620" s="2132">
        <f>SUM(T617:T619)</f>
        <v>805</v>
      </c>
      <c r="U620" s="2133"/>
      <c r="V620" s="2134" t="s">
        <v>394</v>
      </c>
      <c r="W620" s="1858">
        <f t="shared" ref="W620:AM620" si="2158">SUM(W617:W619)</f>
        <v>332</v>
      </c>
      <c r="X620" s="1858">
        <f t="shared" si="2158"/>
        <v>942</v>
      </c>
      <c r="Y620" s="1858">
        <f t="shared" si="2158"/>
        <v>0</v>
      </c>
      <c r="Z620" s="1859">
        <f t="shared" si="2149"/>
        <v>1274</v>
      </c>
      <c r="AA620" s="1871">
        <f>SUM(AA617:AA619)</f>
        <v>0</v>
      </c>
      <c r="AB620" s="1871">
        <f>SUM(AB617:AB619)</f>
        <v>0</v>
      </c>
      <c r="AC620" s="1858">
        <f t="shared" si="2158"/>
        <v>0</v>
      </c>
      <c r="AD620" s="1851">
        <f t="shared" si="2150"/>
        <v>0</v>
      </c>
      <c r="AE620" s="2125">
        <f t="shared" si="2151"/>
        <v>1274</v>
      </c>
      <c r="AF620" s="1858">
        <f t="shared" si="2158"/>
        <v>0</v>
      </c>
      <c r="AG620" s="1858">
        <f t="shared" si="2158"/>
        <v>0</v>
      </c>
      <c r="AH620" s="1858">
        <f t="shared" si="2158"/>
        <v>0</v>
      </c>
      <c r="AI620" s="1851">
        <f t="shared" si="2152"/>
        <v>0</v>
      </c>
      <c r="AJ620" s="2125">
        <f t="shared" si="2139"/>
        <v>1274</v>
      </c>
      <c r="AK620" s="1858">
        <f t="shared" si="2158"/>
        <v>0</v>
      </c>
      <c r="AL620" s="1858">
        <f>SUM(AL617:AL619)</f>
        <v>0</v>
      </c>
      <c r="AM620" s="1858">
        <f t="shared" si="2158"/>
        <v>0</v>
      </c>
      <c r="AN620" s="2127">
        <f t="shared" si="2140"/>
        <v>0</v>
      </c>
      <c r="AO620" s="2128">
        <f t="shared" si="2141"/>
        <v>1274</v>
      </c>
      <c r="AP620" s="1515"/>
      <c r="AQ620" s="1515">
        <v>670</v>
      </c>
      <c r="AR620" s="1515"/>
      <c r="AS620" s="1515"/>
      <c r="AT620" s="1515"/>
      <c r="AU620" s="1515"/>
      <c r="AV620" s="1515"/>
      <c r="AW620" s="1515"/>
      <c r="AX620" s="1515"/>
      <c r="AY620" s="1515"/>
      <c r="AZ620" s="1515"/>
    </row>
    <row r="621" s="2099" customFormat="1">
      <c r="A621" s="1904" t="s">
        <v>545</v>
      </c>
      <c r="B621" s="1905">
        <f>B597+B611+B616+B620</f>
        <v>11943</v>
      </c>
      <c r="C621" s="1905">
        <f>C597+C611+C616+C620</f>
        <v>3174</v>
      </c>
      <c r="D621" s="1905">
        <f>D597+D611+D616+D620</f>
        <v>0</v>
      </c>
      <c r="E621" s="1899">
        <f t="shared" si="2148"/>
        <v>15117</v>
      </c>
      <c r="F621" s="1905">
        <f>F597+F611+F616+F620</f>
        <v>0</v>
      </c>
      <c r="G621" s="1905">
        <f>G597+G611+G616+G620</f>
        <v>0</v>
      </c>
      <c r="H621" s="1905">
        <f>H597+H611+H616+H620</f>
        <v>0</v>
      </c>
      <c r="I621" s="1899">
        <f t="shared" si="2127"/>
        <v>0</v>
      </c>
      <c r="J621" s="1899">
        <f t="shared" si="2128"/>
        <v>15117</v>
      </c>
      <c r="K621" s="1905">
        <f>K597+K611+K616+K620</f>
        <v>0</v>
      </c>
      <c r="L621" s="1905">
        <f>L597+L611+L616+L620</f>
        <v>0</v>
      </c>
      <c r="M621" s="1905">
        <f t="shared" ref="M621:T621" si="2159">M597+M611+M616+M620</f>
        <v>0</v>
      </c>
      <c r="N621" s="1899">
        <f t="shared" si="2129"/>
        <v>0</v>
      </c>
      <c r="O621" s="1899">
        <f t="shared" si="2130"/>
        <v>15117</v>
      </c>
      <c r="P621" s="1905">
        <f t="shared" si="2159"/>
        <v>0</v>
      </c>
      <c r="Q621" s="1905">
        <f t="shared" si="2159"/>
        <v>0</v>
      </c>
      <c r="R621" s="1905">
        <f t="shared" si="2159"/>
        <v>0</v>
      </c>
      <c r="S621" s="1905">
        <f t="shared" si="2159"/>
        <v>0</v>
      </c>
      <c r="T621" s="1905">
        <f t="shared" si="2159"/>
        <v>14491</v>
      </c>
      <c r="U621" s="2133"/>
      <c r="V621" s="2134" t="s">
        <v>545</v>
      </c>
      <c r="W621" s="1858">
        <f>W597+W611+W616+W620</f>
        <v>3981</v>
      </c>
      <c r="X621" s="1858">
        <f>X597+X611+X616+X620</f>
        <v>9141</v>
      </c>
      <c r="Y621" s="1858">
        <f>Y597+Y611+Y616+Y620</f>
        <v>0</v>
      </c>
      <c r="Z621" s="1859">
        <f t="shared" si="2149"/>
        <v>13122</v>
      </c>
      <c r="AA621" s="1871">
        <f>AA597+AA611+AA616+AA620</f>
        <v>0</v>
      </c>
      <c r="AB621" s="1871">
        <f>AB597+AB611+AB616+AB620</f>
        <v>0</v>
      </c>
      <c r="AC621" s="1858">
        <f>AC597+AC611+AC616+AC620</f>
        <v>0</v>
      </c>
      <c r="AD621" s="1851">
        <f t="shared" si="2150"/>
        <v>0</v>
      </c>
      <c r="AE621" s="2125">
        <f t="shared" si="2151"/>
        <v>13122</v>
      </c>
      <c r="AF621" s="1858">
        <f>AF597+AF611+AF616+AF620</f>
        <v>0</v>
      </c>
      <c r="AG621" s="1858">
        <f>AG597+AG611+AG616+AG620</f>
        <v>0</v>
      </c>
      <c r="AH621" s="1858">
        <f>AH597+AH611+AH616+AH620</f>
        <v>0</v>
      </c>
      <c r="AI621" s="1851">
        <f t="shared" si="2152"/>
        <v>0</v>
      </c>
      <c r="AJ621" s="2125">
        <f t="shared" si="2139"/>
        <v>13122</v>
      </c>
      <c r="AK621" s="1858">
        <f>AK597+AK611+AK616+AK620</f>
        <v>0</v>
      </c>
      <c r="AL621" s="1858">
        <f>AL597+AL611+AL616+AL620</f>
        <v>0</v>
      </c>
      <c r="AM621" s="1858">
        <f>AM597+AM611+AM616+AM620</f>
        <v>0</v>
      </c>
      <c r="AN621" s="2127">
        <f t="shared" si="2140"/>
        <v>0</v>
      </c>
      <c r="AO621" s="2128">
        <f t="shared" si="2141"/>
        <v>13122</v>
      </c>
      <c r="AP621" s="1515"/>
      <c r="AQ621" s="1515">
        <v>1055</v>
      </c>
      <c r="AR621" s="1515"/>
      <c r="AS621" s="1515"/>
      <c r="AT621" s="1515"/>
      <c r="AU621" s="1515"/>
      <c r="AV621" s="1515"/>
      <c r="AW621" s="1515"/>
      <c r="AX621" s="1515"/>
      <c r="AY621" s="1515"/>
      <c r="AZ621" s="1515"/>
    </row>
    <row r="622" s="1434" customFormat="1">
      <c r="A622" s="2084" t="s">
        <v>50</v>
      </c>
      <c r="B622" s="1868">
        <v>372</v>
      </c>
      <c r="C622" s="1868">
        <v>126</v>
      </c>
      <c r="D622" s="1868"/>
      <c r="E622" s="1895">
        <f t="shared" si="2148"/>
        <v>498</v>
      </c>
      <c r="F622" s="1868"/>
      <c r="G622" s="1868"/>
      <c r="H622" s="1868"/>
      <c r="I622" s="1895">
        <f t="shared" si="2127"/>
        <v>0</v>
      </c>
      <c r="J622" s="1896">
        <f t="shared" si="2128"/>
        <v>498</v>
      </c>
      <c r="K622" s="1868"/>
      <c r="L622" s="1868"/>
      <c r="M622" s="1868"/>
      <c r="N622" s="1895">
        <f t="shared" si="2129"/>
        <v>0</v>
      </c>
      <c r="O622" s="1896">
        <f t="shared" si="2130"/>
        <v>498</v>
      </c>
      <c r="P622" s="1868"/>
      <c r="Q622" s="1868"/>
      <c r="R622" s="1868"/>
      <c r="S622" s="1895">
        <f t="shared" si="2134"/>
        <v>0</v>
      </c>
      <c r="T622" s="2135">
        <f t="shared" si="2131"/>
        <v>498</v>
      </c>
      <c r="U622" s="1948"/>
      <c r="V622" s="2136" t="s">
        <v>50</v>
      </c>
      <c r="W622" s="1850">
        <v>124</v>
      </c>
      <c r="X622" s="1850">
        <v>363</v>
      </c>
      <c r="Y622" s="1850"/>
      <c r="Z622" s="1851">
        <f t="shared" si="2149"/>
        <v>487</v>
      </c>
      <c r="AA622" s="1868"/>
      <c r="AB622" s="1868"/>
      <c r="AC622" s="1850"/>
      <c r="AD622" s="1851">
        <f t="shared" si="2150"/>
        <v>0</v>
      </c>
      <c r="AE622" s="2125">
        <f t="shared" si="2151"/>
        <v>487</v>
      </c>
      <c r="AF622" s="1850"/>
      <c r="AG622" s="1850"/>
      <c r="AH622" s="1850"/>
      <c r="AI622" s="1851">
        <f t="shared" si="2152"/>
        <v>0</v>
      </c>
      <c r="AJ622" s="2125">
        <f t="shared" si="2139"/>
        <v>487</v>
      </c>
      <c r="AK622" s="1850"/>
      <c r="AL622" s="1850"/>
      <c r="AM622" s="1850"/>
      <c r="AN622" s="2127">
        <f t="shared" si="2140"/>
        <v>0</v>
      </c>
      <c r="AO622" s="2128">
        <f t="shared" si="2141"/>
        <v>487</v>
      </c>
      <c r="AP622" s="1409"/>
      <c r="AQ622" s="1409">
        <v>234</v>
      </c>
      <c r="AR622" s="1409"/>
      <c r="AS622" s="1409"/>
      <c r="AT622" s="1409"/>
      <c r="AU622" s="1409"/>
      <c r="AV622" s="1409"/>
      <c r="AW622" s="1409"/>
      <c r="AX622" s="1409"/>
      <c r="AY622" s="1409"/>
      <c r="AZ622" s="1409"/>
    </row>
    <row r="623" s="1434" customFormat="1">
      <c r="A623" s="2084" t="s">
        <v>705</v>
      </c>
      <c r="B623" s="1868"/>
      <c r="C623" s="1868"/>
      <c r="D623" s="1868"/>
      <c r="E623" s="1895">
        <f t="shared" si="2148"/>
        <v>0</v>
      </c>
      <c r="F623" s="1868"/>
      <c r="G623" s="1868"/>
      <c r="H623" s="1868"/>
      <c r="I623" s="1895">
        <f t="shared" si="2127"/>
        <v>0</v>
      </c>
      <c r="J623" s="1896">
        <f t="shared" si="2128"/>
        <v>0</v>
      </c>
      <c r="K623" s="1868"/>
      <c r="L623" s="1868"/>
      <c r="M623" s="1868"/>
      <c r="N623" s="1895">
        <f t="shared" si="2129"/>
        <v>0</v>
      </c>
      <c r="O623" s="1896">
        <f t="shared" si="2130"/>
        <v>0</v>
      </c>
      <c r="P623" s="1868"/>
      <c r="Q623" s="1868"/>
      <c r="R623" s="1868"/>
      <c r="S623" s="1895">
        <f t="shared" si="2134"/>
        <v>0</v>
      </c>
      <c r="T623" s="2135">
        <f t="shared" si="2131"/>
        <v>0</v>
      </c>
      <c r="U623" s="1948"/>
      <c r="V623" s="2136" t="s">
        <v>706</v>
      </c>
      <c r="W623" s="1850"/>
      <c r="X623" s="1850"/>
      <c r="Y623" s="1850"/>
      <c r="Z623" s="1851">
        <f t="shared" si="2149"/>
        <v>0</v>
      </c>
      <c r="AA623" s="1868"/>
      <c r="AB623" s="1868"/>
      <c r="AC623" s="1850"/>
      <c r="AD623" s="1851">
        <f t="shared" si="2150"/>
        <v>0</v>
      </c>
      <c r="AE623" s="2125">
        <f t="shared" si="2151"/>
        <v>0</v>
      </c>
      <c r="AF623" s="1850"/>
      <c r="AG623" s="1850"/>
      <c r="AH623" s="1850"/>
      <c r="AI623" s="1851">
        <f t="shared" si="2152"/>
        <v>0</v>
      </c>
      <c r="AJ623" s="2125">
        <f t="shared" si="2139"/>
        <v>0</v>
      </c>
      <c r="AK623" s="1850"/>
      <c r="AL623" s="1850"/>
      <c r="AM623" s="1850"/>
      <c r="AN623" s="2127">
        <f t="shared" si="2140"/>
        <v>0</v>
      </c>
      <c r="AO623" s="2128">
        <f t="shared" si="2141"/>
        <v>0</v>
      </c>
      <c r="AP623" s="1409"/>
      <c r="AQ623" s="1409">
        <v>494</v>
      </c>
      <c r="AR623" s="1409"/>
      <c r="AS623" s="1409"/>
      <c r="AT623" s="1409"/>
      <c r="AU623" s="1409"/>
      <c r="AV623" s="1409"/>
      <c r="AW623" s="1409"/>
      <c r="AX623" s="1409"/>
      <c r="AY623" s="1409"/>
      <c r="AZ623" s="1409"/>
    </row>
    <row r="624" s="1434" customFormat="1">
      <c r="A624" s="2084" t="s">
        <v>546</v>
      </c>
      <c r="B624" s="1868">
        <v>1023</v>
      </c>
      <c r="C624" s="1868">
        <v>215</v>
      </c>
      <c r="D624" s="1868"/>
      <c r="E624" s="1895">
        <f t="shared" si="2148"/>
        <v>1238</v>
      </c>
      <c r="F624" s="1868"/>
      <c r="G624" s="1868"/>
      <c r="H624" s="1868"/>
      <c r="I624" s="1895">
        <f t="shared" si="2127"/>
        <v>0</v>
      </c>
      <c r="J624" s="1896">
        <f t="shared" si="2128"/>
        <v>1238</v>
      </c>
      <c r="K624" s="1868"/>
      <c r="L624" s="1868"/>
      <c r="M624" s="1868"/>
      <c r="N624" s="1895">
        <f t="shared" si="2129"/>
        <v>0</v>
      </c>
      <c r="O624" s="1896">
        <f t="shared" si="2130"/>
        <v>1238</v>
      </c>
      <c r="P624" s="1868"/>
      <c r="Q624" s="1868"/>
      <c r="R624" s="1868"/>
      <c r="S624" s="1895">
        <f t="shared" si="2134"/>
        <v>0</v>
      </c>
      <c r="T624" s="2135">
        <f t="shared" si="2131"/>
        <v>1238</v>
      </c>
      <c r="U624" s="1948"/>
      <c r="V624" s="2136" t="s">
        <v>546</v>
      </c>
      <c r="W624" s="1850">
        <v>341</v>
      </c>
      <c r="X624" s="1850">
        <v>619</v>
      </c>
      <c r="Y624" s="1850"/>
      <c r="Z624" s="1851">
        <f t="shared" si="2149"/>
        <v>960</v>
      </c>
      <c r="AA624" s="1868"/>
      <c r="AB624" s="1868"/>
      <c r="AC624" s="1850"/>
      <c r="AD624" s="1851">
        <f t="shared" si="2150"/>
        <v>0</v>
      </c>
      <c r="AE624" s="2125">
        <f t="shared" si="2151"/>
        <v>960</v>
      </c>
      <c r="AF624" s="1850"/>
      <c r="AG624" s="1850"/>
      <c r="AH624" s="1850"/>
      <c r="AI624" s="1851">
        <f t="shared" si="2152"/>
        <v>0</v>
      </c>
      <c r="AJ624" s="2125">
        <f t="shared" si="2139"/>
        <v>960</v>
      </c>
      <c r="AK624" s="1850"/>
      <c r="AL624" s="1850"/>
      <c r="AM624" s="1850"/>
      <c r="AN624" s="2127">
        <f t="shared" si="2140"/>
        <v>0</v>
      </c>
      <c r="AO624" s="2128">
        <f t="shared" si="2141"/>
        <v>960</v>
      </c>
      <c r="AP624" s="1409"/>
      <c r="AQ624" s="1409">
        <v>6848</v>
      </c>
      <c r="AR624" s="1409"/>
      <c r="AS624" s="1409"/>
      <c r="AT624" s="1409"/>
      <c r="AU624" s="1409"/>
      <c r="AV624" s="1409"/>
      <c r="AW624" s="1409"/>
      <c r="AX624" s="1409"/>
      <c r="AY624" s="1409"/>
      <c r="AZ624" s="1409"/>
    </row>
    <row r="625" s="2099" customFormat="1">
      <c r="A625" s="2102" t="s">
        <v>27</v>
      </c>
      <c r="B625" s="1871">
        <f>SUM(B622:B624)</f>
        <v>1395</v>
      </c>
      <c r="C625" s="1871">
        <f t="shared" ref="C625:H625" si="2160">SUM(C622:C624)</f>
        <v>341</v>
      </c>
      <c r="D625" s="1871">
        <f t="shared" si="2160"/>
        <v>0</v>
      </c>
      <c r="E625" s="1899">
        <f t="shared" si="2148"/>
        <v>1736</v>
      </c>
      <c r="F625" s="1871">
        <f>SUM(F622:F624)</f>
        <v>0</v>
      </c>
      <c r="G625" s="1871">
        <f>SUM(G622:G624)</f>
        <v>0</v>
      </c>
      <c r="H625" s="1871">
        <f t="shared" si="2160"/>
        <v>0</v>
      </c>
      <c r="I625" s="1899">
        <f t="shared" si="2127"/>
        <v>0</v>
      </c>
      <c r="J625" s="1900">
        <f t="shared" si="2128"/>
        <v>1736</v>
      </c>
      <c r="K625" s="1871">
        <f>SUM(K622:K624)</f>
        <v>0</v>
      </c>
      <c r="L625" s="1871">
        <f>SUM(L622:L624)</f>
        <v>0</v>
      </c>
      <c r="M625" s="1871">
        <f t="shared" ref="M625:R625" si="2161">SUM(M622:M624)</f>
        <v>0</v>
      </c>
      <c r="N625" s="1899">
        <f t="shared" si="2129"/>
        <v>0</v>
      </c>
      <c r="O625" s="1900">
        <f t="shared" si="2130"/>
        <v>1736</v>
      </c>
      <c r="P625" s="1871">
        <f t="shared" si="2161"/>
        <v>0</v>
      </c>
      <c r="Q625" s="1871">
        <f t="shared" si="2161"/>
        <v>0</v>
      </c>
      <c r="R625" s="1871">
        <f t="shared" si="2161"/>
        <v>0</v>
      </c>
      <c r="S625" s="1899">
        <f t="shared" si="2134"/>
        <v>0</v>
      </c>
      <c r="T625" s="2132">
        <f>SUM(T622:T624)</f>
        <v>1736</v>
      </c>
      <c r="U625" s="2133"/>
      <c r="V625" s="2134" t="s">
        <v>27</v>
      </c>
      <c r="W625" s="1858">
        <f t="shared" ref="W625:AM625" si="2162">SUM(W622:W624)</f>
        <v>465</v>
      </c>
      <c r="X625" s="1858">
        <f t="shared" si="2162"/>
        <v>982</v>
      </c>
      <c r="Y625" s="1858">
        <f t="shared" si="2162"/>
        <v>0</v>
      </c>
      <c r="Z625" s="1859">
        <f t="shared" si="2149"/>
        <v>1447</v>
      </c>
      <c r="AA625" s="1871">
        <f>SUM(AA622:AA624)</f>
        <v>0</v>
      </c>
      <c r="AB625" s="1871">
        <f>SUM(AB622:AB624)</f>
        <v>0</v>
      </c>
      <c r="AC625" s="1858">
        <f t="shared" si="2162"/>
        <v>0</v>
      </c>
      <c r="AD625" s="1851">
        <f t="shared" si="2150"/>
        <v>0</v>
      </c>
      <c r="AE625" s="2125">
        <f t="shared" si="2151"/>
        <v>1447</v>
      </c>
      <c r="AF625" s="1858">
        <f t="shared" si="2162"/>
        <v>0</v>
      </c>
      <c r="AG625" s="1858">
        <f t="shared" si="2162"/>
        <v>0</v>
      </c>
      <c r="AH625" s="1858">
        <f t="shared" si="2162"/>
        <v>0</v>
      </c>
      <c r="AI625" s="1851">
        <f t="shared" si="2152"/>
        <v>0</v>
      </c>
      <c r="AJ625" s="2125">
        <f t="shared" si="2139"/>
        <v>1447</v>
      </c>
      <c r="AK625" s="1858">
        <f t="shared" si="2162"/>
        <v>0</v>
      </c>
      <c r="AL625" s="1858">
        <f>SUM(AL622:AL624)</f>
        <v>0</v>
      </c>
      <c r="AM625" s="1858">
        <f t="shared" si="2162"/>
        <v>0</v>
      </c>
      <c r="AN625" s="2127">
        <f t="shared" si="2140"/>
        <v>0</v>
      </c>
      <c r="AO625" s="2128">
        <f t="shared" si="2141"/>
        <v>1447</v>
      </c>
      <c r="AP625" s="1515"/>
      <c r="AQ625" s="1515">
        <f>SUM(AQ593:AQ624)</f>
        <v>19648</v>
      </c>
      <c r="AR625" s="1515"/>
      <c r="AS625" s="1515"/>
      <c r="AT625" s="1515"/>
      <c r="AU625" s="1515"/>
      <c r="AV625" s="1515"/>
      <c r="AW625" s="1515"/>
      <c r="AX625" s="1515"/>
      <c r="AY625" s="1515"/>
      <c r="AZ625" s="1515"/>
    </row>
    <row r="626" s="1434" customFormat="1">
      <c r="A626" s="2084" t="s">
        <v>548</v>
      </c>
      <c r="B626" s="1868">
        <v>1212</v>
      </c>
      <c r="C626" s="1868">
        <v>253</v>
      </c>
      <c r="D626" s="1868"/>
      <c r="E626" s="1895">
        <f t="shared" si="2148"/>
        <v>1465</v>
      </c>
      <c r="F626" s="1868"/>
      <c r="G626" s="1868"/>
      <c r="H626" s="1868"/>
      <c r="I626" s="1895">
        <f t="shared" si="2127"/>
        <v>0</v>
      </c>
      <c r="J626" s="1896">
        <f t="shared" si="2128"/>
        <v>1465</v>
      </c>
      <c r="K626" s="1868"/>
      <c r="L626" s="1868"/>
      <c r="M626" s="1868"/>
      <c r="N626" s="1895">
        <f t="shared" si="2129"/>
        <v>0</v>
      </c>
      <c r="O626" s="1896">
        <f t="shared" si="2130"/>
        <v>1465</v>
      </c>
      <c r="P626" s="1868"/>
      <c r="Q626" s="1868"/>
      <c r="R626" s="1868"/>
      <c r="S626" s="1895">
        <f t="shared" si="2134"/>
        <v>0</v>
      </c>
      <c r="T626" s="2135">
        <f t="shared" si="2131"/>
        <v>1465</v>
      </c>
      <c r="U626" s="1948"/>
      <c r="V626" s="2136" t="s">
        <v>548</v>
      </c>
      <c r="W626" s="1850">
        <v>404</v>
      </c>
      <c r="X626" s="1850">
        <v>729</v>
      </c>
      <c r="Y626" s="1850"/>
      <c r="Z626" s="1851">
        <f t="shared" si="2149"/>
        <v>1133</v>
      </c>
      <c r="AA626" s="1868"/>
      <c r="AB626" s="1868"/>
      <c r="AC626" s="1850"/>
      <c r="AD626" s="1851">
        <f t="shared" si="2150"/>
        <v>0</v>
      </c>
      <c r="AE626" s="2125">
        <f t="shared" si="2151"/>
        <v>1133</v>
      </c>
      <c r="AF626" s="1850"/>
      <c r="AG626" s="1850"/>
      <c r="AH626" s="1850"/>
      <c r="AI626" s="1851">
        <f t="shared" si="2152"/>
        <v>0</v>
      </c>
      <c r="AJ626" s="2125">
        <f t="shared" si="2139"/>
        <v>1133</v>
      </c>
      <c r="AK626" s="1850"/>
      <c r="AL626" s="1850"/>
      <c r="AM626" s="1850"/>
      <c r="AN626" s="2127">
        <f t="shared" si="2140"/>
        <v>0</v>
      </c>
      <c r="AO626" s="2128">
        <f t="shared" si="2141"/>
        <v>1133</v>
      </c>
      <c r="AP626" s="1409"/>
      <c r="AQ626" s="1409"/>
      <c r="AR626" s="1409"/>
      <c r="AS626" s="1409"/>
      <c r="AT626" s="1409"/>
      <c r="AU626" s="1409"/>
      <c r="AV626" s="1409"/>
      <c r="AW626" s="1409"/>
      <c r="AX626" s="1409"/>
      <c r="AY626" s="1409"/>
      <c r="AZ626" s="1409"/>
    </row>
    <row r="627" s="1434" customFormat="1">
      <c r="A627" s="2084" t="s">
        <v>549</v>
      </c>
      <c r="B627" s="1868">
        <v>123</v>
      </c>
      <c r="C627" s="1868">
        <v>32</v>
      </c>
      <c r="D627" s="1868"/>
      <c r="E627" s="1895">
        <f t="shared" si="2148"/>
        <v>155</v>
      </c>
      <c r="F627" s="1868"/>
      <c r="G627" s="1868"/>
      <c r="H627" s="1868"/>
      <c r="I627" s="1895">
        <f t="shared" si="2127"/>
        <v>0</v>
      </c>
      <c r="J627" s="1896">
        <f t="shared" si="2128"/>
        <v>155</v>
      </c>
      <c r="K627" s="1868"/>
      <c r="L627" s="1868"/>
      <c r="M627" s="1868"/>
      <c r="N627" s="1895">
        <f t="shared" si="2129"/>
        <v>0</v>
      </c>
      <c r="O627" s="1896">
        <f t="shared" si="2130"/>
        <v>155</v>
      </c>
      <c r="P627" s="1868"/>
      <c r="Q627" s="1868"/>
      <c r="R627" s="1868"/>
      <c r="S627" s="1895">
        <f t="shared" si="2134"/>
        <v>0</v>
      </c>
      <c r="T627" s="2135">
        <f t="shared" si="2131"/>
        <v>155</v>
      </c>
      <c r="U627" s="1948"/>
      <c r="V627" s="2136" t="s">
        <v>549</v>
      </c>
      <c r="W627" s="1850">
        <v>41</v>
      </c>
      <c r="X627" s="1850">
        <v>92</v>
      </c>
      <c r="Y627" s="1850"/>
      <c r="Z627" s="1851">
        <f t="shared" si="2149"/>
        <v>133</v>
      </c>
      <c r="AA627" s="1868"/>
      <c r="AB627" s="1868"/>
      <c r="AC627" s="1850"/>
      <c r="AD627" s="1851">
        <f t="shared" si="2150"/>
        <v>0</v>
      </c>
      <c r="AE627" s="2125">
        <f t="shared" si="2151"/>
        <v>133</v>
      </c>
      <c r="AF627" s="1850"/>
      <c r="AG627" s="1850"/>
      <c r="AH627" s="1850"/>
      <c r="AI627" s="1851">
        <f t="shared" si="2152"/>
        <v>0</v>
      </c>
      <c r="AJ627" s="2125">
        <f t="shared" si="2139"/>
        <v>133</v>
      </c>
      <c r="AK627" s="1850"/>
      <c r="AL627" s="1850"/>
      <c r="AM627" s="1850"/>
      <c r="AN627" s="2127">
        <f t="shared" si="2140"/>
        <v>0</v>
      </c>
      <c r="AO627" s="2128">
        <f t="shared" si="2141"/>
        <v>133</v>
      </c>
      <c r="AP627" s="1409"/>
      <c r="AQ627" s="1409"/>
      <c r="AR627" s="1409"/>
      <c r="AS627" s="1409"/>
      <c r="AT627" s="1409"/>
      <c r="AU627" s="1409"/>
      <c r="AV627" s="1409"/>
      <c r="AW627" s="1409"/>
      <c r="AX627" s="1409"/>
      <c r="AY627" s="1409"/>
      <c r="AZ627" s="1409"/>
    </row>
    <row r="628" s="2099" customFormat="1">
      <c r="A628" s="2102" t="s">
        <v>27</v>
      </c>
      <c r="B628" s="1871">
        <f>SUM(B626:B627)</f>
        <v>1335</v>
      </c>
      <c r="C628" s="1871">
        <f>SUM(C626:C627)</f>
        <v>285</v>
      </c>
      <c r="D628" s="1871">
        <f>SUM(D626:D627)</f>
        <v>0</v>
      </c>
      <c r="E628" s="1899">
        <f t="shared" si="2148"/>
        <v>1620</v>
      </c>
      <c r="F628" s="1871">
        <f>SUM(F626:F627)</f>
        <v>0</v>
      </c>
      <c r="G628" s="1871">
        <f>SUM(G626:G627)</f>
        <v>0</v>
      </c>
      <c r="H628" s="1871">
        <f>SUM(H626:H627)</f>
        <v>0</v>
      </c>
      <c r="I628" s="1899">
        <f t="shared" si="2127"/>
        <v>0</v>
      </c>
      <c r="J628" s="1900">
        <f t="shared" si="2128"/>
        <v>1620</v>
      </c>
      <c r="K628" s="1871">
        <f>SUM(K626:K627)</f>
        <v>0</v>
      </c>
      <c r="L628" s="1871">
        <f>SUM(L626:L627)</f>
        <v>0</v>
      </c>
      <c r="M628" s="1871">
        <f t="shared" ref="M628:R628" si="2163">SUM(M626:M627)</f>
        <v>0</v>
      </c>
      <c r="N628" s="1899">
        <f t="shared" si="2129"/>
        <v>0</v>
      </c>
      <c r="O628" s="1900">
        <f t="shared" si="2130"/>
        <v>1620</v>
      </c>
      <c r="P628" s="1871">
        <f t="shared" si="2163"/>
        <v>0</v>
      </c>
      <c r="Q628" s="1871">
        <f t="shared" si="2163"/>
        <v>0</v>
      </c>
      <c r="R628" s="1871">
        <f t="shared" si="2163"/>
        <v>0</v>
      </c>
      <c r="S628" s="1899">
        <f t="shared" si="2134"/>
        <v>0</v>
      </c>
      <c r="T628" s="2132">
        <f>SUM(T626:T627)</f>
        <v>1620</v>
      </c>
      <c r="U628" s="2133"/>
      <c r="V628" s="2134" t="s">
        <v>27</v>
      </c>
      <c r="W628" s="1858">
        <f>SUM(W626:W627)</f>
        <v>445</v>
      </c>
      <c r="X628" s="1858">
        <f t="shared" ref="X628:AM628" si="2164">SUM(X626:X627)</f>
        <v>821</v>
      </c>
      <c r="Y628" s="1858">
        <f t="shared" si="2164"/>
        <v>0</v>
      </c>
      <c r="Z628" s="1859">
        <f t="shared" si="2149"/>
        <v>1266</v>
      </c>
      <c r="AA628" s="1871">
        <f>SUM(AA626:AA627)</f>
        <v>0</v>
      </c>
      <c r="AB628" s="1871">
        <f>SUM(AB626:AB627)</f>
        <v>0</v>
      </c>
      <c r="AC628" s="1858">
        <f t="shared" si="2164"/>
        <v>0</v>
      </c>
      <c r="AD628" s="1851">
        <f t="shared" si="2150"/>
        <v>0</v>
      </c>
      <c r="AE628" s="2125">
        <f t="shared" si="2151"/>
        <v>1266</v>
      </c>
      <c r="AF628" s="1858">
        <f t="shared" si="2164"/>
        <v>0</v>
      </c>
      <c r="AG628" s="1858">
        <f t="shared" si="2164"/>
        <v>0</v>
      </c>
      <c r="AH628" s="1858">
        <f t="shared" si="2164"/>
        <v>0</v>
      </c>
      <c r="AI628" s="1851">
        <f t="shared" si="2152"/>
        <v>0</v>
      </c>
      <c r="AJ628" s="2125">
        <f t="shared" si="2139"/>
        <v>1266</v>
      </c>
      <c r="AK628" s="1858">
        <f t="shared" si="2164"/>
        <v>0</v>
      </c>
      <c r="AL628" s="1858">
        <f>SUM(AL626:AL627)</f>
        <v>0</v>
      </c>
      <c r="AM628" s="1858">
        <f t="shared" si="2164"/>
        <v>0</v>
      </c>
      <c r="AN628" s="2127">
        <f t="shared" si="2140"/>
        <v>0</v>
      </c>
      <c r="AO628" s="2128">
        <f t="shared" si="2141"/>
        <v>1266</v>
      </c>
      <c r="AP628" s="1515"/>
      <c r="AQ628" s="1515"/>
      <c r="AR628" s="1515"/>
      <c r="AS628" s="1515"/>
      <c r="AT628" s="1515"/>
      <c r="AU628" s="1515"/>
      <c r="AV628" s="1515"/>
      <c r="AW628" s="1515"/>
      <c r="AX628" s="1515"/>
      <c r="AY628" s="1515"/>
      <c r="AZ628" s="1515"/>
    </row>
    <row r="629" s="2099" customFormat="1">
      <c r="A629" s="1904" t="s">
        <v>528</v>
      </c>
      <c r="B629" s="1905">
        <f>B621+B625+B628</f>
        <v>14673</v>
      </c>
      <c r="C629" s="1905">
        <f>C621+C625+C628</f>
        <v>3800</v>
      </c>
      <c r="D629" s="1905">
        <f>D621+D625+D628</f>
        <v>0</v>
      </c>
      <c r="E629" s="1899">
        <f t="shared" si="2148"/>
        <v>18473</v>
      </c>
      <c r="F629" s="1905">
        <f>F621+F625+F628</f>
        <v>0</v>
      </c>
      <c r="G629" s="1905">
        <f>G621+G625+G628</f>
        <v>0</v>
      </c>
      <c r="H629" s="1905">
        <f>H621+H625+H628</f>
        <v>0</v>
      </c>
      <c r="I629" s="1899">
        <f t="shared" si="2127"/>
        <v>0</v>
      </c>
      <c r="J629" s="1899">
        <f t="shared" si="2128"/>
        <v>18473</v>
      </c>
      <c r="K629" s="1905">
        <f>K621+K625+K628</f>
        <v>0</v>
      </c>
      <c r="L629" s="1905">
        <f>L621+L625+L628</f>
        <v>0</v>
      </c>
      <c r="M629" s="1905">
        <f t="shared" ref="M629:T629" si="2165">M621+M625+M628</f>
        <v>0</v>
      </c>
      <c r="N629" s="1899">
        <f t="shared" si="2129"/>
        <v>0</v>
      </c>
      <c r="O629" s="1899">
        <f t="shared" si="2130"/>
        <v>18473</v>
      </c>
      <c r="P629" s="1905">
        <f t="shared" si="2165"/>
        <v>0</v>
      </c>
      <c r="Q629" s="1905">
        <f t="shared" si="2165"/>
        <v>0</v>
      </c>
      <c r="R629" s="1905">
        <f t="shared" si="2165"/>
        <v>0</v>
      </c>
      <c r="S629" s="1905">
        <f t="shared" si="2165"/>
        <v>0</v>
      </c>
      <c r="T629" s="1905">
        <f t="shared" si="2165"/>
        <v>17847</v>
      </c>
      <c r="U629" s="2133"/>
      <c r="V629" s="2134" t="s">
        <v>528</v>
      </c>
      <c r="W629" s="1858">
        <f>W621+W625+W628</f>
        <v>4891</v>
      </c>
      <c r="X629" s="1858">
        <f>X621+X625+X628</f>
        <v>10944</v>
      </c>
      <c r="Y629" s="1858">
        <f>Y621+Y625+Y628</f>
        <v>0</v>
      </c>
      <c r="Z629" s="1859">
        <f t="shared" si="2149"/>
        <v>15835</v>
      </c>
      <c r="AA629" s="1871">
        <f>AA621+AA625+AA628</f>
        <v>0</v>
      </c>
      <c r="AB629" s="1871">
        <f>AB621+AB625+AB628</f>
        <v>0</v>
      </c>
      <c r="AC629" s="1858">
        <f>AC621+AC625+AC628</f>
        <v>0</v>
      </c>
      <c r="AD629" s="1851">
        <f t="shared" si="2150"/>
        <v>0</v>
      </c>
      <c r="AE629" s="2125">
        <f t="shared" si="2151"/>
        <v>15835</v>
      </c>
      <c r="AF629" s="1858">
        <f>AF621+AF625+AF628</f>
        <v>0</v>
      </c>
      <c r="AG629" s="1858">
        <f>AG621+AG625+AG628</f>
        <v>0</v>
      </c>
      <c r="AH629" s="1858">
        <f>AH621+AH625+AH628</f>
        <v>0</v>
      </c>
      <c r="AI629" s="1851">
        <f t="shared" si="2152"/>
        <v>0</v>
      </c>
      <c r="AJ629" s="2125">
        <f t="shared" si="2139"/>
        <v>15835</v>
      </c>
      <c r="AK629" s="1858">
        <f>AK621+AK625+AK628</f>
        <v>0</v>
      </c>
      <c r="AL629" s="1858">
        <f>AL621+AL625+AL628</f>
        <v>0</v>
      </c>
      <c r="AM629" s="1858">
        <f>AM621+AM625+AM628</f>
        <v>0</v>
      </c>
      <c r="AN629" s="2127">
        <f t="shared" si="2140"/>
        <v>0</v>
      </c>
      <c r="AO629" s="2128">
        <f t="shared" si="2141"/>
        <v>15835</v>
      </c>
      <c r="AP629" s="1515"/>
      <c r="AQ629" s="1515"/>
      <c r="AR629" s="1515"/>
      <c r="AS629" s="1515"/>
      <c r="AT629" s="1515"/>
      <c r="AU629" s="1515"/>
      <c r="AV629" s="1515"/>
      <c r="AW629" s="1515"/>
      <c r="AX629" s="1515"/>
      <c r="AY629" s="1515"/>
      <c r="AZ629" s="1515"/>
    </row>
    <row r="630" s="2099" customFormat="1">
      <c r="A630" s="1179" t="s">
        <v>630</v>
      </c>
      <c r="B630" s="1871"/>
      <c r="C630" s="1868"/>
      <c r="D630" s="1868"/>
      <c r="E630" s="1895">
        <f t="shared" si="2148"/>
        <v>0</v>
      </c>
      <c r="F630" s="1868"/>
      <c r="G630" s="1868"/>
      <c r="H630" s="1868"/>
      <c r="I630" s="1895">
        <f t="shared" si="2127"/>
        <v>0</v>
      </c>
      <c r="J630" s="1896">
        <f t="shared" si="2128"/>
        <v>0</v>
      </c>
      <c r="K630" s="1868"/>
      <c r="L630" s="1868"/>
      <c r="M630" s="1868"/>
      <c r="N630" s="1895">
        <f t="shared" si="2129"/>
        <v>0</v>
      </c>
      <c r="O630" s="1896">
        <f t="shared" si="2130"/>
        <v>0</v>
      </c>
      <c r="P630" s="1868"/>
      <c r="Q630" s="1906"/>
      <c r="R630" s="1868"/>
      <c r="S630" s="1895">
        <f t="shared" si="2134"/>
        <v>0</v>
      </c>
      <c r="T630" s="2135">
        <f t="shared" si="2131"/>
        <v>0</v>
      </c>
      <c r="U630" s="1948"/>
      <c r="V630" s="2136" t="s">
        <v>630</v>
      </c>
      <c r="W630" s="1850"/>
      <c r="X630" s="1850"/>
      <c r="Y630" s="1858"/>
      <c r="Z630" s="1851">
        <f t="shared" si="2149"/>
        <v>0</v>
      </c>
      <c r="AA630" s="1871"/>
      <c r="AB630" s="1871"/>
      <c r="AC630" s="1858"/>
      <c r="AD630" s="1851">
        <f t="shared" si="2150"/>
        <v>0</v>
      </c>
      <c r="AE630" s="2125">
        <f t="shared" si="2151"/>
        <v>0</v>
      </c>
      <c r="AF630" s="1858"/>
      <c r="AG630" s="1858"/>
      <c r="AH630" s="1858"/>
      <c r="AI630" s="1851">
        <f t="shared" si="2152"/>
        <v>0</v>
      </c>
      <c r="AJ630" s="2125">
        <f t="shared" si="2139"/>
        <v>0</v>
      </c>
      <c r="AK630" s="1858"/>
      <c r="AL630" s="1858"/>
      <c r="AM630" s="1858"/>
      <c r="AN630" s="2127">
        <f t="shared" si="2140"/>
        <v>0</v>
      </c>
      <c r="AO630" s="2128">
        <f t="shared" si="2141"/>
        <v>0</v>
      </c>
      <c r="AP630" s="1515"/>
      <c r="AQ630" s="1515"/>
      <c r="AR630" s="1515"/>
      <c r="AS630" s="1515"/>
      <c r="AT630" s="1515"/>
      <c r="AU630" s="1515"/>
      <c r="AV630" s="1515"/>
      <c r="AW630" s="1515"/>
      <c r="AX630" s="1515"/>
      <c r="AY630" s="1515"/>
      <c r="AZ630" s="1515"/>
    </row>
    <row r="631" s="2099" customFormat="1">
      <c r="A631" s="1179" t="s">
        <v>631</v>
      </c>
      <c r="B631" s="1871"/>
      <c r="C631" s="1868"/>
      <c r="D631" s="1868"/>
      <c r="E631" s="1895">
        <f t="shared" si="2148"/>
        <v>0</v>
      </c>
      <c r="F631" s="1868"/>
      <c r="G631" s="1868"/>
      <c r="H631" s="1868"/>
      <c r="I631" s="1895">
        <f t="shared" si="2127"/>
        <v>0</v>
      </c>
      <c r="J631" s="1896">
        <f t="shared" si="2128"/>
        <v>0</v>
      </c>
      <c r="K631" s="1868"/>
      <c r="L631" s="1868"/>
      <c r="M631" s="1868"/>
      <c r="N631" s="1895">
        <f t="shared" si="2129"/>
        <v>0</v>
      </c>
      <c r="O631" s="1896">
        <f t="shared" si="2130"/>
        <v>0</v>
      </c>
      <c r="P631" s="1868"/>
      <c r="Q631" s="1906"/>
      <c r="R631" s="1868"/>
      <c r="S631" s="1895">
        <f t="shared" si="2134"/>
        <v>0</v>
      </c>
      <c r="T631" s="1897">
        <f t="shared" si="2131"/>
        <v>0</v>
      </c>
      <c r="U631" s="1409"/>
      <c r="V631" s="1936" t="s">
        <v>631</v>
      </c>
      <c r="W631" s="1850"/>
      <c r="X631" s="1850"/>
      <c r="Y631" s="1858"/>
      <c r="Z631" s="1851">
        <f t="shared" si="2149"/>
        <v>0</v>
      </c>
      <c r="AA631" s="1871"/>
      <c r="AB631" s="1871"/>
      <c r="AC631" s="1858"/>
      <c r="AD631" s="1851">
        <f t="shared" si="2150"/>
        <v>0</v>
      </c>
      <c r="AE631" s="2125">
        <f t="shared" si="2151"/>
        <v>0</v>
      </c>
      <c r="AF631" s="1858"/>
      <c r="AG631" s="1858"/>
      <c r="AH631" s="1858"/>
      <c r="AI631" s="1851">
        <f t="shared" si="2152"/>
        <v>0</v>
      </c>
      <c r="AJ631" s="2125">
        <f t="shared" si="2139"/>
        <v>0</v>
      </c>
      <c r="AK631" s="1858"/>
      <c r="AL631" s="1858"/>
      <c r="AM631" s="1858"/>
      <c r="AN631" s="2127">
        <f t="shared" si="2140"/>
        <v>0</v>
      </c>
      <c r="AO631" s="2128">
        <f t="shared" si="2141"/>
        <v>0</v>
      </c>
      <c r="AP631" s="1515"/>
      <c r="AQ631" s="1515"/>
      <c r="AR631" s="1515"/>
      <c r="AS631" s="1515"/>
      <c r="AT631" s="1515"/>
      <c r="AU631" s="1515"/>
      <c r="AV631" s="1515"/>
      <c r="AW631" s="1515"/>
      <c r="AX631" s="1515"/>
      <c r="AY631" s="1515"/>
      <c r="AZ631" s="1515"/>
    </row>
    <row r="632" s="2099" customFormat="1">
      <c r="A632" s="1179" t="s">
        <v>632</v>
      </c>
      <c r="B632" s="1871"/>
      <c r="C632" s="1868">
        <v>13</v>
      </c>
      <c r="D632" s="1868"/>
      <c r="E632" s="1895">
        <f t="shared" si="2148"/>
        <v>13</v>
      </c>
      <c r="F632" s="1868"/>
      <c r="G632" s="1868"/>
      <c r="H632" s="1868"/>
      <c r="I632" s="1895">
        <f t="shared" si="2127"/>
        <v>0</v>
      </c>
      <c r="J632" s="1896">
        <f t="shared" si="2128"/>
        <v>13</v>
      </c>
      <c r="K632" s="1868"/>
      <c r="L632" s="1868"/>
      <c r="M632" s="1868"/>
      <c r="N632" s="1895">
        <f t="shared" si="2129"/>
        <v>0</v>
      </c>
      <c r="O632" s="1896">
        <f t="shared" si="2130"/>
        <v>13</v>
      </c>
      <c r="P632" s="1868"/>
      <c r="Q632" s="1906"/>
      <c r="R632" s="1868"/>
      <c r="S632" s="1895">
        <f t="shared" si="2134"/>
        <v>0</v>
      </c>
      <c r="T632" s="1897">
        <f t="shared" si="2131"/>
        <v>13</v>
      </c>
      <c r="U632" s="1409"/>
      <c r="V632" s="1936" t="s">
        <v>632</v>
      </c>
      <c r="W632" s="1850"/>
      <c r="X632" s="1850">
        <v>37</v>
      </c>
      <c r="Y632" s="1858"/>
      <c r="Z632" s="1851">
        <f t="shared" si="2149"/>
        <v>37</v>
      </c>
      <c r="AA632" s="1871"/>
      <c r="AB632" s="1871"/>
      <c r="AC632" s="1858"/>
      <c r="AD632" s="1851">
        <f t="shared" si="2150"/>
        <v>0</v>
      </c>
      <c r="AE632" s="2125">
        <f t="shared" si="2151"/>
        <v>37</v>
      </c>
      <c r="AF632" s="1858"/>
      <c r="AG632" s="1858"/>
      <c r="AH632" s="1858"/>
      <c r="AI632" s="1851">
        <f t="shared" si="2152"/>
        <v>0</v>
      </c>
      <c r="AJ632" s="2125">
        <f t="shared" si="2139"/>
        <v>37</v>
      </c>
      <c r="AK632" s="1858"/>
      <c r="AL632" s="1858"/>
      <c r="AM632" s="1858"/>
      <c r="AN632" s="2127">
        <f t="shared" si="2140"/>
        <v>0</v>
      </c>
      <c r="AO632" s="2128">
        <f t="shared" si="2141"/>
        <v>37</v>
      </c>
      <c r="AP632" s="1515"/>
      <c r="AQ632" s="1515"/>
      <c r="AR632" s="1515"/>
      <c r="AS632" s="1515"/>
      <c r="AT632" s="1515"/>
      <c r="AU632" s="1515"/>
      <c r="AV632" s="1515"/>
      <c r="AW632" s="1515"/>
      <c r="AX632" s="1515"/>
      <c r="AY632" s="1515"/>
      <c r="AZ632" s="1515"/>
    </row>
    <row r="633" s="2099" customFormat="1">
      <c r="A633" s="1179" t="s">
        <v>277</v>
      </c>
      <c r="B633" s="1871"/>
      <c r="C633" s="1868"/>
      <c r="D633" s="1868"/>
      <c r="E633" s="1895">
        <f t="shared" si="2148"/>
        <v>0</v>
      </c>
      <c r="F633" s="1868"/>
      <c r="G633" s="1868"/>
      <c r="H633" s="1868"/>
      <c r="I633" s="1895">
        <f t="shared" si="2127"/>
        <v>0</v>
      </c>
      <c r="J633" s="1896">
        <f t="shared" si="2128"/>
        <v>0</v>
      </c>
      <c r="K633" s="1868"/>
      <c r="L633" s="1868"/>
      <c r="M633" s="1868"/>
      <c r="N633" s="1895">
        <f t="shared" si="2129"/>
        <v>0</v>
      </c>
      <c r="O633" s="1896">
        <f t="shared" si="2130"/>
        <v>0</v>
      </c>
      <c r="P633" s="1868"/>
      <c r="Q633" s="1906"/>
      <c r="R633" s="1868"/>
      <c r="S633" s="1895">
        <f t="shared" si="2134"/>
        <v>0</v>
      </c>
      <c r="T633" s="1897">
        <f t="shared" si="2131"/>
        <v>0</v>
      </c>
      <c r="U633" s="1409"/>
      <c r="V633" s="1936" t="s">
        <v>277</v>
      </c>
      <c r="W633" s="1850"/>
      <c r="X633" s="1850"/>
      <c r="Y633" s="1858"/>
      <c r="Z633" s="1851">
        <f t="shared" si="2149"/>
        <v>0</v>
      </c>
      <c r="AA633" s="1871"/>
      <c r="AB633" s="1871"/>
      <c r="AC633" s="1858"/>
      <c r="AD633" s="1851">
        <f t="shared" si="2150"/>
        <v>0</v>
      </c>
      <c r="AE633" s="2125">
        <f t="shared" si="2151"/>
        <v>0</v>
      </c>
      <c r="AF633" s="1858"/>
      <c r="AG633" s="1858"/>
      <c r="AH633" s="1858"/>
      <c r="AI633" s="1851">
        <f t="shared" si="2152"/>
        <v>0</v>
      </c>
      <c r="AJ633" s="2125">
        <f t="shared" si="2139"/>
        <v>0</v>
      </c>
      <c r="AK633" s="1858"/>
      <c r="AL633" s="1858"/>
      <c r="AM633" s="1858"/>
      <c r="AN633" s="2127">
        <f t="shared" si="2140"/>
        <v>0</v>
      </c>
      <c r="AO633" s="2128">
        <f t="shared" si="2141"/>
        <v>0</v>
      </c>
      <c r="AP633" s="1515"/>
      <c r="AQ633" s="1515"/>
      <c r="AR633" s="1515"/>
      <c r="AS633" s="1515"/>
      <c r="AT633" s="1515"/>
      <c r="AU633" s="1515"/>
      <c r="AV633" s="1515"/>
      <c r="AW633" s="1515"/>
      <c r="AX633" s="1515"/>
      <c r="AY633" s="1515"/>
      <c r="AZ633" s="1515"/>
    </row>
    <row r="634" s="2099" customFormat="1">
      <c r="A634" s="1179" t="s">
        <v>633</v>
      </c>
      <c r="B634" s="1871"/>
      <c r="C634" s="1868"/>
      <c r="D634" s="1868"/>
      <c r="E634" s="1895">
        <f t="shared" si="2148"/>
        <v>0</v>
      </c>
      <c r="F634" s="1868"/>
      <c r="G634" s="1868"/>
      <c r="H634" s="1868"/>
      <c r="I634" s="1895">
        <f t="shared" ref="I634:I697" si="2166">F634+G634+H634</f>
        <v>0</v>
      </c>
      <c r="J634" s="1896">
        <f t="shared" ref="J634:J697" si="2167">E634+I634</f>
        <v>0</v>
      </c>
      <c r="K634" s="1868"/>
      <c r="L634" s="1868"/>
      <c r="M634" s="1868"/>
      <c r="N634" s="1895">
        <f t="shared" si="2129"/>
        <v>0</v>
      </c>
      <c r="O634" s="1896">
        <f t="shared" si="2130"/>
        <v>0</v>
      </c>
      <c r="P634" s="1868"/>
      <c r="Q634" s="1906"/>
      <c r="R634" s="1868"/>
      <c r="S634" s="1895">
        <f t="shared" si="2134"/>
        <v>0</v>
      </c>
      <c r="T634" s="1897">
        <f t="shared" si="2131"/>
        <v>0</v>
      </c>
      <c r="U634" s="1409"/>
      <c r="V634" s="1936" t="s">
        <v>633</v>
      </c>
      <c r="W634" s="1850"/>
      <c r="X634" s="1850"/>
      <c r="Y634" s="1858"/>
      <c r="Z634" s="1851">
        <f t="shared" si="2149"/>
        <v>0</v>
      </c>
      <c r="AA634" s="1871"/>
      <c r="AB634" s="1871"/>
      <c r="AC634" s="1858"/>
      <c r="AD634" s="1851">
        <f t="shared" si="2150"/>
        <v>0</v>
      </c>
      <c r="AE634" s="2125">
        <f t="shared" si="2151"/>
        <v>0</v>
      </c>
      <c r="AF634" s="1858"/>
      <c r="AG634" s="1858"/>
      <c r="AH634" s="1858"/>
      <c r="AI634" s="1851">
        <f t="shared" si="2152"/>
        <v>0</v>
      </c>
      <c r="AJ634" s="2125">
        <f t="shared" si="2139"/>
        <v>0</v>
      </c>
      <c r="AK634" s="1858"/>
      <c r="AL634" s="1858"/>
      <c r="AM634" s="1858"/>
      <c r="AN634" s="2127">
        <f t="shared" si="2140"/>
        <v>0</v>
      </c>
      <c r="AO634" s="2128">
        <f t="shared" si="2141"/>
        <v>0</v>
      </c>
      <c r="AP634" s="1515"/>
      <c r="AQ634" s="1515"/>
      <c r="AR634" s="1515"/>
      <c r="AS634" s="1515"/>
      <c r="AT634" s="1515"/>
      <c r="AU634" s="1515"/>
      <c r="AV634" s="1515"/>
      <c r="AW634" s="1515"/>
      <c r="AX634" s="1515"/>
      <c r="AY634" s="1515"/>
      <c r="AZ634" s="1515"/>
    </row>
    <row r="635" s="2099" customFormat="1">
      <c r="A635" s="1179" t="s">
        <v>230</v>
      </c>
      <c r="B635" s="1871"/>
      <c r="C635" s="1868"/>
      <c r="D635" s="1868"/>
      <c r="E635" s="1895">
        <f t="shared" si="2148"/>
        <v>0</v>
      </c>
      <c r="F635" s="1868"/>
      <c r="G635" s="1868"/>
      <c r="H635" s="1868"/>
      <c r="I635" s="1895">
        <f t="shared" si="2166"/>
        <v>0</v>
      </c>
      <c r="J635" s="1896">
        <f t="shared" si="2167"/>
        <v>0</v>
      </c>
      <c r="K635" s="1868"/>
      <c r="L635" s="1868"/>
      <c r="M635" s="1868"/>
      <c r="N635" s="1895">
        <f t="shared" si="2129"/>
        <v>0</v>
      </c>
      <c r="O635" s="1896">
        <f t="shared" si="2130"/>
        <v>0</v>
      </c>
      <c r="P635" s="1868"/>
      <c r="Q635" s="1906"/>
      <c r="R635" s="1868"/>
      <c r="S635" s="1895">
        <f t="shared" si="2134"/>
        <v>0</v>
      </c>
      <c r="T635" s="1897">
        <f t="shared" si="2131"/>
        <v>0</v>
      </c>
      <c r="U635" s="1409"/>
      <c r="V635" s="1936" t="s">
        <v>230</v>
      </c>
      <c r="W635" s="1850"/>
      <c r="X635" s="1850"/>
      <c r="Y635" s="1858"/>
      <c r="Z635" s="1851">
        <f t="shared" si="2149"/>
        <v>0</v>
      </c>
      <c r="AA635" s="1871"/>
      <c r="AB635" s="1871"/>
      <c r="AC635" s="1858"/>
      <c r="AD635" s="1851">
        <f t="shared" si="2150"/>
        <v>0</v>
      </c>
      <c r="AE635" s="2125">
        <f t="shared" si="2151"/>
        <v>0</v>
      </c>
      <c r="AF635" s="1858"/>
      <c r="AG635" s="1858"/>
      <c r="AH635" s="1858"/>
      <c r="AI635" s="1851">
        <f t="shared" si="2152"/>
        <v>0</v>
      </c>
      <c r="AJ635" s="2125">
        <f t="shared" si="2139"/>
        <v>0</v>
      </c>
      <c r="AK635" s="1858"/>
      <c r="AL635" s="1858"/>
      <c r="AM635" s="1858"/>
      <c r="AN635" s="2127">
        <f t="shared" si="2140"/>
        <v>0</v>
      </c>
      <c r="AO635" s="2128">
        <f t="shared" si="2141"/>
        <v>0</v>
      </c>
      <c r="AP635" s="1515"/>
      <c r="AQ635" s="1515"/>
      <c r="AR635" s="1515"/>
      <c r="AS635" s="1515"/>
      <c r="AT635" s="1515"/>
      <c r="AU635" s="1515"/>
      <c r="AV635" s="1515"/>
      <c r="AW635" s="1515"/>
      <c r="AX635" s="1515"/>
      <c r="AY635" s="1515"/>
      <c r="AZ635" s="1515"/>
    </row>
    <row r="636" s="2099" customFormat="1">
      <c r="A636" s="1179" t="s">
        <v>634</v>
      </c>
      <c r="B636" s="1871"/>
      <c r="C636" s="1868"/>
      <c r="D636" s="1868"/>
      <c r="E636" s="1895">
        <f t="shared" si="2148"/>
        <v>0</v>
      </c>
      <c r="F636" s="1868"/>
      <c r="G636" s="1868"/>
      <c r="H636" s="1868"/>
      <c r="I636" s="1895">
        <f t="shared" si="2166"/>
        <v>0</v>
      </c>
      <c r="J636" s="1896">
        <f t="shared" si="2167"/>
        <v>0</v>
      </c>
      <c r="K636" s="1868"/>
      <c r="L636" s="1868"/>
      <c r="M636" s="1868"/>
      <c r="N636" s="1895">
        <f t="shared" si="2129"/>
        <v>0</v>
      </c>
      <c r="O636" s="1896">
        <f t="shared" si="2130"/>
        <v>0</v>
      </c>
      <c r="P636" s="1868"/>
      <c r="Q636" s="1906"/>
      <c r="R636" s="1868"/>
      <c r="S636" s="1895">
        <f t="shared" si="2134"/>
        <v>0</v>
      </c>
      <c r="T636" s="1897">
        <f t="shared" si="2131"/>
        <v>0</v>
      </c>
      <c r="U636" s="1409"/>
      <c r="V636" s="1936" t="s">
        <v>634</v>
      </c>
      <c r="W636" s="1850"/>
      <c r="X636" s="1850"/>
      <c r="Y636" s="1858"/>
      <c r="Z636" s="1851">
        <f t="shared" si="2149"/>
        <v>0</v>
      </c>
      <c r="AA636" s="1871"/>
      <c r="AB636" s="1871"/>
      <c r="AC636" s="1858"/>
      <c r="AD636" s="1851">
        <f t="shared" si="2150"/>
        <v>0</v>
      </c>
      <c r="AE636" s="2125">
        <f t="shared" si="2151"/>
        <v>0</v>
      </c>
      <c r="AF636" s="1858"/>
      <c r="AG636" s="1858"/>
      <c r="AH636" s="1858"/>
      <c r="AI636" s="1851">
        <f t="shared" si="2152"/>
        <v>0</v>
      </c>
      <c r="AJ636" s="2125">
        <f t="shared" si="2139"/>
        <v>0</v>
      </c>
      <c r="AK636" s="1858"/>
      <c r="AL636" s="1858"/>
      <c r="AM636" s="1858"/>
      <c r="AN636" s="2127">
        <f t="shared" si="2140"/>
        <v>0</v>
      </c>
      <c r="AO636" s="2128">
        <f t="shared" si="2141"/>
        <v>0</v>
      </c>
      <c r="AP636" s="1515"/>
      <c r="AQ636" s="1515"/>
      <c r="AR636" s="1515"/>
      <c r="AS636" s="1515"/>
      <c r="AT636" s="1515"/>
      <c r="AU636" s="1515"/>
      <c r="AV636" s="1515"/>
      <c r="AW636" s="1515"/>
      <c r="AX636" s="1515"/>
      <c r="AY636" s="1515"/>
      <c r="AZ636" s="1515"/>
    </row>
    <row r="637" s="2099" customFormat="1">
      <c r="A637" s="1179" t="s">
        <v>635</v>
      </c>
      <c r="B637" s="1871"/>
      <c r="C637" s="1868"/>
      <c r="D637" s="1868"/>
      <c r="E637" s="1895">
        <f t="shared" si="2148"/>
        <v>0</v>
      </c>
      <c r="F637" s="1868"/>
      <c r="G637" s="1868"/>
      <c r="H637" s="1868"/>
      <c r="I637" s="1895">
        <f t="shared" si="2166"/>
        <v>0</v>
      </c>
      <c r="J637" s="1896">
        <f t="shared" si="2167"/>
        <v>0</v>
      </c>
      <c r="K637" s="1868"/>
      <c r="L637" s="1868"/>
      <c r="M637" s="1868"/>
      <c r="N637" s="1895">
        <f t="shared" si="2129"/>
        <v>0</v>
      </c>
      <c r="O637" s="1896">
        <f t="shared" si="2130"/>
        <v>0</v>
      </c>
      <c r="P637" s="1868"/>
      <c r="Q637" s="1906"/>
      <c r="R637" s="1868"/>
      <c r="S637" s="1895">
        <f t="shared" si="2134"/>
        <v>0</v>
      </c>
      <c r="T637" s="1897">
        <f t="shared" si="2131"/>
        <v>0</v>
      </c>
      <c r="U637" s="1409"/>
      <c r="V637" s="1936" t="s">
        <v>635</v>
      </c>
      <c r="W637" s="1850"/>
      <c r="X637" s="1850"/>
      <c r="Y637" s="1858"/>
      <c r="Z637" s="1851">
        <f t="shared" si="2149"/>
        <v>0</v>
      </c>
      <c r="AA637" s="1871"/>
      <c r="AB637" s="1871"/>
      <c r="AC637" s="1858"/>
      <c r="AD637" s="1851">
        <f t="shared" si="2150"/>
        <v>0</v>
      </c>
      <c r="AE637" s="2125">
        <f t="shared" si="2151"/>
        <v>0</v>
      </c>
      <c r="AF637" s="1858"/>
      <c r="AG637" s="1858"/>
      <c r="AH637" s="1858"/>
      <c r="AI637" s="1851">
        <f t="shared" si="2152"/>
        <v>0</v>
      </c>
      <c r="AJ637" s="2125">
        <f t="shared" si="2139"/>
        <v>0</v>
      </c>
      <c r="AK637" s="1858"/>
      <c r="AL637" s="1858"/>
      <c r="AM637" s="1858"/>
      <c r="AN637" s="2127">
        <f t="shared" si="2140"/>
        <v>0</v>
      </c>
      <c r="AO637" s="2128">
        <f t="shared" si="2141"/>
        <v>0</v>
      </c>
      <c r="AP637" s="1515"/>
      <c r="AQ637" s="1515"/>
      <c r="AR637" s="1515"/>
      <c r="AS637" s="1515"/>
      <c r="AT637" s="1515"/>
      <c r="AU637" s="1515"/>
      <c r="AV637" s="1515"/>
      <c r="AW637" s="1515"/>
      <c r="AX637" s="1515"/>
      <c r="AY637" s="1515"/>
      <c r="AZ637" s="1515"/>
    </row>
    <row r="638" s="2099" customFormat="1" ht="20.25" customHeight="1">
      <c r="A638" s="1179" t="s">
        <v>636</v>
      </c>
      <c r="B638" s="1868">
        <v>786</v>
      </c>
      <c r="C638" s="1868">
        <v>203</v>
      </c>
      <c r="D638" s="1868"/>
      <c r="E638" s="1895">
        <f t="shared" si="2148"/>
        <v>989</v>
      </c>
      <c r="F638" s="1868"/>
      <c r="G638" s="1868"/>
      <c r="H638" s="1868"/>
      <c r="I638" s="1895">
        <f t="shared" si="2166"/>
        <v>0</v>
      </c>
      <c r="J638" s="1896">
        <f t="shared" si="2167"/>
        <v>989</v>
      </c>
      <c r="K638" s="1868"/>
      <c r="L638" s="1868"/>
      <c r="M638" s="1868"/>
      <c r="N638" s="1895">
        <f t="shared" ref="N638:N701" si="2168">K638+L638+M638</f>
        <v>0</v>
      </c>
      <c r="O638" s="1896">
        <f t="shared" ref="O638:O701" si="2169">J638+N638</f>
        <v>989</v>
      </c>
      <c r="P638" s="1868"/>
      <c r="Q638" s="1868"/>
      <c r="R638" s="1868"/>
      <c r="S638" s="1895">
        <f t="shared" si="2134"/>
        <v>0</v>
      </c>
      <c r="T638" s="1897">
        <f t="shared" si="2131"/>
        <v>989</v>
      </c>
      <c r="U638" s="1409"/>
      <c r="V638" s="1936" t="s">
        <v>636</v>
      </c>
      <c r="W638" s="1850">
        <v>262</v>
      </c>
      <c r="X638" s="1850">
        <v>585</v>
      </c>
      <c r="Y638" s="1850"/>
      <c r="Z638" s="1851">
        <f t="shared" si="2149"/>
        <v>847</v>
      </c>
      <c r="AA638" s="1868"/>
      <c r="AB638" s="1868"/>
      <c r="AC638" s="1850"/>
      <c r="AD638" s="1851">
        <f t="shared" si="2150"/>
        <v>0</v>
      </c>
      <c r="AE638" s="2125">
        <f t="shared" si="2151"/>
        <v>847</v>
      </c>
      <c r="AF638" s="1850"/>
      <c r="AG638" s="1850"/>
      <c r="AH638" s="1850"/>
      <c r="AI638" s="1851">
        <f t="shared" si="2152"/>
        <v>0</v>
      </c>
      <c r="AJ638" s="2125">
        <f t="shared" si="2139"/>
        <v>847</v>
      </c>
      <c r="AK638" s="1850"/>
      <c r="AL638" s="1850"/>
      <c r="AM638" s="1850"/>
      <c r="AN638" s="2127">
        <f t="shared" si="2140"/>
        <v>0</v>
      </c>
      <c r="AO638" s="2128">
        <f t="shared" si="2141"/>
        <v>847</v>
      </c>
      <c r="AP638" s="1515"/>
      <c r="AQ638" s="1515"/>
      <c r="AR638" s="1515"/>
      <c r="AS638" s="1515"/>
      <c r="AT638" s="1515"/>
      <c r="AU638" s="1515"/>
      <c r="AV638" s="1515"/>
      <c r="AW638" s="1515"/>
      <c r="AX638" s="1515"/>
      <c r="AY638" s="1515"/>
      <c r="AZ638" s="1515"/>
    </row>
    <row r="639" s="2099" customFormat="1">
      <c r="A639" s="1179" t="s">
        <v>637</v>
      </c>
      <c r="B639" s="1871"/>
      <c r="C639" s="1868"/>
      <c r="D639" s="1868"/>
      <c r="E639" s="1895">
        <f t="shared" si="2148"/>
        <v>0</v>
      </c>
      <c r="F639" s="1868"/>
      <c r="G639" s="1868"/>
      <c r="H639" s="1868"/>
      <c r="I639" s="1895">
        <f t="shared" si="2166"/>
        <v>0</v>
      </c>
      <c r="J639" s="1896">
        <f t="shared" si="2167"/>
        <v>0</v>
      </c>
      <c r="K639" s="1868"/>
      <c r="L639" s="1868"/>
      <c r="M639" s="1868"/>
      <c r="N639" s="1895">
        <f t="shared" si="2168"/>
        <v>0</v>
      </c>
      <c r="O639" s="1896">
        <f t="shared" si="2169"/>
        <v>0</v>
      </c>
      <c r="P639" s="1868"/>
      <c r="Q639" s="1906"/>
      <c r="R639" s="1868"/>
      <c r="S639" s="1895">
        <f t="shared" si="2134"/>
        <v>0</v>
      </c>
      <c r="T639" s="1897">
        <f t="shared" ref="T639:T702" si="2170">O639+S639</f>
        <v>0</v>
      </c>
      <c r="U639" s="1409"/>
      <c r="V639" s="1936" t="s">
        <v>637</v>
      </c>
      <c r="W639" s="1850"/>
      <c r="X639" s="1850"/>
      <c r="Y639" s="1858"/>
      <c r="Z639" s="1851">
        <f t="shared" si="2149"/>
        <v>0</v>
      </c>
      <c r="AA639" s="1871"/>
      <c r="AB639" s="1871"/>
      <c r="AC639" s="1858"/>
      <c r="AD639" s="1851">
        <f t="shared" si="2150"/>
        <v>0</v>
      </c>
      <c r="AE639" s="2125">
        <f t="shared" si="2151"/>
        <v>0</v>
      </c>
      <c r="AF639" s="1858"/>
      <c r="AG639" s="1858"/>
      <c r="AH639" s="1858"/>
      <c r="AI639" s="1851">
        <f t="shared" si="2152"/>
        <v>0</v>
      </c>
      <c r="AJ639" s="2125">
        <f t="shared" ref="AJ639:AJ702" si="2171">AE639+AI639</f>
        <v>0</v>
      </c>
      <c r="AK639" s="1858"/>
      <c r="AL639" s="1858"/>
      <c r="AM639" s="1858"/>
      <c r="AN639" s="2127">
        <f t="shared" ref="AN639:AN702" si="2172">AK639+AL639+AM639</f>
        <v>0</v>
      </c>
      <c r="AO639" s="2128">
        <f t="shared" ref="AO639:AO702" si="2173">AJ639+AN639</f>
        <v>0</v>
      </c>
      <c r="AP639" s="1515"/>
      <c r="AQ639" s="1515"/>
      <c r="AR639" s="1515"/>
      <c r="AS639" s="1515"/>
      <c r="AT639" s="1515"/>
      <c r="AU639" s="1515"/>
      <c r="AV639" s="1515"/>
      <c r="AW639" s="1515"/>
      <c r="AX639" s="1515"/>
      <c r="AY639" s="1515"/>
      <c r="AZ639" s="1515"/>
    </row>
    <row r="640" s="2099" customFormat="1">
      <c r="A640" s="1179" t="s">
        <v>638</v>
      </c>
      <c r="B640" s="1871"/>
      <c r="C640" s="1868"/>
      <c r="D640" s="1868"/>
      <c r="E640" s="1895">
        <f t="shared" si="2148"/>
        <v>0</v>
      </c>
      <c r="F640" s="1868"/>
      <c r="G640" s="1868"/>
      <c r="H640" s="1868"/>
      <c r="I640" s="1895">
        <f t="shared" si="2166"/>
        <v>0</v>
      </c>
      <c r="J640" s="1896">
        <f t="shared" si="2167"/>
        <v>0</v>
      </c>
      <c r="K640" s="1868"/>
      <c r="L640" s="1868"/>
      <c r="M640" s="1868"/>
      <c r="N640" s="1895">
        <f t="shared" si="2168"/>
        <v>0</v>
      </c>
      <c r="O640" s="1896">
        <f t="shared" si="2169"/>
        <v>0</v>
      </c>
      <c r="P640" s="1868"/>
      <c r="Q640" s="1906"/>
      <c r="R640" s="1868"/>
      <c r="S640" s="1895">
        <f t="shared" si="2134"/>
        <v>0</v>
      </c>
      <c r="T640" s="1897">
        <f t="shared" si="2170"/>
        <v>0</v>
      </c>
      <c r="U640" s="1409"/>
      <c r="V640" s="1936" t="s">
        <v>638</v>
      </c>
      <c r="W640" s="1850"/>
      <c r="X640" s="1850"/>
      <c r="Y640" s="1858"/>
      <c r="Z640" s="1851">
        <f t="shared" si="2149"/>
        <v>0</v>
      </c>
      <c r="AA640" s="1871"/>
      <c r="AB640" s="1871"/>
      <c r="AC640" s="1858"/>
      <c r="AD640" s="1851">
        <f t="shared" si="2150"/>
        <v>0</v>
      </c>
      <c r="AE640" s="2125">
        <f t="shared" si="2151"/>
        <v>0</v>
      </c>
      <c r="AF640" s="1858"/>
      <c r="AG640" s="1858"/>
      <c r="AH640" s="1858"/>
      <c r="AI640" s="1851">
        <f t="shared" si="2152"/>
        <v>0</v>
      </c>
      <c r="AJ640" s="2125">
        <f t="shared" si="2171"/>
        <v>0</v>
      </c>
      <c r="AK640" s="1858"/>
      <c r="AL640" s="1858"/>
      <c r="AM640" s="1858"/>
      <c r="AN640" s="2127">
        <f t="shared" si="2172"/>
        <v>0</v>
      </c>
      <c r="AO640" s="2128">
        <f t="shared" si="2173"/>
        <v>0</v>
      </c>
      <c r="AP640" s="1515"/>
      <c r="AQ640" s="1515"/>
      <c r="AR640" s="1515"/>
      <c r="AS640" s="1515"/>
      <c r="AT640" s="1515"/>
      <c r="AU640" s="1515"/>
      <c r="AV640" s="1515"/>
      <c r="AW640" s="1515"/>
      <c r="AX640" s="1515"/>
      <c r="AY640" s="1515"/>
      <c r="AZ640" s="1515"/>
    </row>
    <row r="641" s="2099" customFormat="1">
      <c r="A641" s="1179" t="s">
        <v>639</v>
      </c>
      <c r="B641" s="1871"/>
      <c r="C641" s="1868"/>
      <c r="D641" s="1868"/>
      <c r="E641" s="1895">
        <f t="shared" si="2148"/>
        <v>0</v>
      </c>
      <c r="F641" s="1868"/>
      <c r="G641" s="1868"/>
      <c r="H641" s="1868"/>
      <c r="I641" s="1895">
        <f t="shared" si="2166"/>
        <v>0</v>
      </c>
      <c r="J641" s="1896">
        <f t="shared" si="2167"/>
        <v>0</v>
      </c>
      <c r="K641" s="1868"/>
      <c r="L641" s="1868"/>
      <c r="M641" s="1868"/>
      <c r="N641" s="1895">
        <f t="shared" si="2168"/>
        <v>0</v>
      </c>
      <c r="O641" s="1896">
        <f t="shared" si="2169"/>
        <v>0</v>
      </c>
      <c r="P641" s="1868"/>
      <c r="Q641" s="1906"/>
      <c r="R641" s="1868"/>
      <c r="S641" s="1895">
        <f t="shared" si="2134"/>
        <v>0</v>
      </c>
      <c r="T641" s="2135">
        <f t="shared" si="2170"/>
        <v>0</v>
      </c>
      <c r="U641" s="1948"/>
      <c r="V641" s="2136" t="s">
        <v>639</v>
      </c>
      <c r="W641" s="1850"/>
      <c r="X641" s="1850"/>
      <c r="Y641" s="1858"/>
      <c r="Z641" s="1851">
        <f t="shared" si="2149"/>
        <v>0</v>
      </c>
      <c r="AA641" s="1871"/>
      <c r="AB641" s="1871"/>
      <c r="AC641" s="1858"/>
      <c r="AD641" s="1851">
        <f t="shared" si="2150"/>
        <v>0</v>
      </c>
      <c r="AE641" s="2125">
        <f t="shared" si="2151"/>
        <v>0</v>
      </c>
      <c r="AF641" s="1858"/>
      <c r="AG641" s="1858"/>
      <c r="AH641" s="1858"/>
      <c r="AI641" s="1851">
        <f t="shared" si="2152"/>
        <v>0</v>
      </c>
      <c r="AJ641" s="2125">
        <f t="shared" si="2171"/>
        <v>0</v>
      </c>
      <c r="AK641" s="1858"/>
      <c r="AL641" s="1858"/>
      <c r="AM641" s="1858"/>
      <c r="AN641" s="2127">
        <f t="shared" si="2172"/>
        <v>0</v>
      </c>
      <c r="AO641" s="2128">
        <f t="shared" si="2173"/>
        <v>0</v>
      </c>
      <c r="AP641" s="1515"/>
      <c r="AQ641" s="1515"/>
      <c r="AR641" s="1515"/>
      <c r="AS641" s="1515"/>
      <c r="AT641" s="1515"/>
      <c r="AU641" s="1515"/>
      <c r="AV641" s="1515"/>
      <c r="AW641" s="1515"/>
      <c r="AX641" s="1515"/>
      <c r="AY641" s="1515"/>
      <c r="AZ641" s="1515"/>
    </row>
    <row r="642" s="2099" customFormat="1">
      <c r="A642" s="1511" t="s">
        <v>707</v>
      </c>
      <c r="B642" s="1871">
        <f>SUM(B638:B641)</f>
        <v>786</v>
      </c>
      <c r="C642" s="1871">
        <f t="shared" ref="C642:H642" si="2174">SUM(C638:C641)</f>
        <v>203</v>
      </c>
      <c r="D642" s="1871">
        <f t="shared" si="2174"/>
        <v>0</v>
      </c>
      <c r="E642" s="1899">
        <f t="shared" si="2148"/>
        <v>989</v>
      </c>
      <c r="F642" s="1871">
        <f>SUM(F638:F641)</f>
        <v>0</v>
      </c>
      <c r="G642" s="1871">
        <f>SUM(G638:G641)</f>
        <v>0</v>
      </c>
      <c r="H642" s="1871">
        <f t="shared" si="2174"/>
        <v>0</v>
      </c>
      <c r="I642" s="1899">
        <f t="shared" si="2166"/>
        <v>0</v>
      </c>
      <c r="J642" s="1900">
        <f t="shared" si="2167"/>
        <v>989</v>
      </c>
      <c r="K642" s="1871">
        <f>SUM(K638:K641)</f>
        <v>0</v>
      </c>
      <c r="L642" s="1871">
        <f>SUM(L638:L641)</f>
        <v>0</v>
      </c>
      <c r="M642" s="1871">
        <f t="shared" ref="M642:R642" si="2175">SUM(M638:M641)</f>
        <v>0</v>
      </c>
      <c r="N642" s="1899">
        <f t="shared" si="2168"/>
        <v>0</v>
      </c>
      <c r="O642" s="1900">
        <f t="shared" si="2169"/>
        <v>989</v>
      </c>
      <c r="P642" s="1871">
        <f t="shared" si="2175"/>
        <v>0</v>
      </c>
      <c r="Q642" s="1871">
        <f t="shared" si="2175"/>
        <v>0</v>
      </c>
      <c r="R642" s="1871">
        <f t="shared" si="2175"/>
        <v>0</v>
      </c>
      <c r="S642" s="1899">
        <f t="shared" si="2134"/>
        <v>0</v>
      </c>
      <c r="T642" s="2132">
        <f t="shared" si="2170"/>
        <v>989</v>
      </c>
      <c r="U642" s="2133"/>
      <c r="V642" s="2134" t="s">
        <v>707</v>
      </c>
      <c r="W642" s="1858">
        <f t="shared" ref="W642:AM642" si="2176">SUM(W638:W641)</f>
        <v>262</v>
      </c>
      <c r="X642" s="1858">
        <f t="shared" si="2176"/>
        <v>585</v>
      </c>
      <c r="Y642" s="1858">
        <f t="shared" si="2176"/>
        <v>0</v>
      </c>
      <c r="Z642" s="1851">
        <f t="shared" si="2149"/>
        <v>847</v>
      </c>
      <c r="AA642" s="1871">
        <f>SUM(AA638:AA641)</f>
        <v>0</v>
      </c>
      <c r="AB642" s="1871">
        <f>SUM(AB638:AB641)</f>
        <v>0</v>
      </c>
      <c r="AC642" s="1858">
        <f t="shared" si="2176"/>
        <v>0</v>
      </c>
      <c r="AD642" s="1851">
        <f t="shared" si="2150"/>
        <v>0</v>
      </c>
      <c r="AE642" s="2125">
        <f t="shared" si="2151"/>
        <v>847</v>
      </c>
      <c r="AF642" s="1858">
        <f t="shared" si="2176"/>
        <v>0</v>
      </c>
      <c r="AG642" s="1858">
        <f t="shared" si="2176"/>
        <v>0</v>
      </c>
      <c r="AH642" s="1858">
        <f t="shared" si="2176"/>
        <v>0</v>
      </c>
      <c r="AI642" s="1851">
        <f t="shared" si="2152"/>
        <v>0</v>
      </c>
      <c r="AJ642" s="2125">
        <f t="shared" si="2171"/>
        <v>847</v>
      </c>
      <c r="AK642" s="1858">
        <f t="shared" si="2176"/>
        <v>0</v>
      </c>
      <c r="AL642" s="1858">
        <f>SUM(AL638:AL641)</f>
        <v>0</v>
      </c>
      <c r="AM642" s="1858">
        <f t="shared" si="2176"/>
        <v>0</v>
      </c>
      <c r="AN642" s="2127">
        <f t="shared" si="2172"/>
        <v>0</v>
      </c>
      <c r="AO642" s="2128">
        <f t="shared" si="2173"/>
        <v>847</v>
      </c>
      <c r="AP642" s="1515"/>
      <c r="AQ642" s="1515"/>
      <c r="AR642" s="1515"/>
      <c r="AS642" s="1515"/>
      <c r="AT642" s="1515"/>
      <c r="AU642" s="1515"/>
      <c r="AV642" s="1515"/>
      <c r="AW642" s="1515"/>
      <c r="AX642" s="1515"/>
      <c r="AY642" s="1515"/>
      <c r="AZ642" s="1515"/>
    </row>
    <row r="643" s="2099" customFormat="1">
      <c r="A643" s="1179" t="s">
        <v>641</v>
      </c>
      <c r="B643" s="1871"/>
      <c r="C643" s="1871"/>
      <c r="D643" s="1871"/>
      <c r="E643" s="1895">
        <f t="shared" si="2148"/>
        <v>0</v>
      </c>
      <c r="F643" s="1871"/>
      <c r="G643" s="1871"/>
      <c r="H643" s="1871"/>
      <c r="I643" s="1895">
        <f t="shared" si="2166"/>
        <v>0</v>
      </c>
      <c r="J643" s="1896">
        <f t="shared" si="2167"/>
        <v>0</v>
      </c>
      <c r="K643" s="1871"/>
      <c r="L643" s="1871"/>
      <c r="M643" s="1871"/>
      <c r="N643" s="1895">
        <f t="shared" si="2168"/>
        <v>0</v>
      </c>
      <c r="O643" s="1896">
        <f t="shared" si="2169"/>
        <v>0</v>
      </c>
      <c r="P643" s="1871"/>
      <c r="Q643" s="2042"/>
      <c r="R643" s="1871"/>
      <c r="S643" s="1895">
        <f t="shared" si="2134"/>
        <v>0</v>
      </c>
      <c r="T643" s="2135">
        <f t="shared" si="2170"/>
        <v>0</v>
      </c>
      <c r="U643" s="2137"/>
      <c r="V643" s="2138" t="s">
        <v>641</v>
      </c>
      <c r="W643" s="1858"/>
      <c r="X643" s="1858"/>
      <c r="Y643" s="1858"/>
      <c r="Z643" s="1851">
        <f t="shared" si="2149"/>
        <v>0</v>
      </c>
      <c r="AA643" s="1871"/>
      <c r="AB643" s="1871"/>
      <c r="AC643" s="1858"/>
      <c r="AD643" s="1851">
        <f t="shared" si="2150"/>
        <v>0</v>
      </c>
      <c r="AE643" s="2125">
        <f t="shared" si="2151"/>
        <v>0</v>
      </c>
      <c r="AF643" s="1858"/>
      <c r="AG643" s="1858"/>
      <c r="AH643" s="1858"/>
      <c r="AI643" s="1851">
        <f t="shared" si="2152"/>
        <v>0</v>
      </c>
      <c r="AJ643" s="2125">
        <f t="shared" si="2171"/>
        <v>0</v>
      </c>
      <c r="AK643" s="1858"/>
      <c r="AL643" s="1858"/>
      <c r="AM643" s="1858"/>
      <c r="AN643" s="2127">
        <f t="shared" si="2172"/>
        <v>0</v>
      </c>
      <c r="AO643" s="2128">
        <f t="shared" si="2173"/>
        <v>0</v>
      </c>
      <c r="AP643" s="1515"/>
      <c r="AQ643" s="1515"/>
      <c r="AR643" s="1515"/>
      <c r="AS643" s="1515"/>
      <c r="AT643" s="1515"/>
      <c r="AU643" s="1515"/>
      <c r="AV643" s="1515"/>
      <c r="AW643" s="1515"/>
      <c r="AX643" s="1515"/>
      <c r="AY643" s="1515"/>
      <c r="AZ643" s="1515"/>
    </row>
    <row r="644" s="1434" customFormat="1">
      <c r="A644" s="2084" t="s">
        <v>708</v>
      </c>
      <c r="B644" s="1868">
        <v>267</v>
      </c>
      <c r="C644" s="1868">
        <v>114</v>
      </c>
      <c r="D644" s="1868"/>
      <c r="E644" s="1895">
        <f t="shared" si="2148"/>
        <v>381</v>
      </c>
      <c r="F644" s="1868"/>
      <c r="G644" s="1868"/>
      <c r="H644" s="1868"/>
      <c r="I644" s="1895">
        <f t="shared" si="2166"/>
        <v>0</v>
      </c>
      <c r="J644" s="1896">
        <f t="shared" si="2167"/>
        <v>381</v>
      </c>
      <c r="K644" s="1868"/>
      <c r="L644" s="1868"/>
      <c r="M644" s="1868"/>
      <c r="N644" s="1895">
        <f t="shared" si="2168"/>
        <v>0</v>
      </c>
      <c r="O644" s="1896">
        <f t="shared" si="2169"/>
        <v>381</v>
      </c>
      <c r="P644" s="1868"/>
      <c r="Q644" s="1868"/>
      <c r="R644" s="1868"/>
      <c r="S644" s="1895">
        <f t="shared" si="2134"/>
        <v>0</v>
      </c>
      <c r="T644" s="2135">
        <f t="shared" si="2170"/>
        <v>381</v>
      </c>
      <c r="U644" s="1946"/>
      <c r="V644" s="2139" t="s">
        <v>642</v>
      </c>
      <c r="W644" s="1850">
        <v>89</v>
      </c>
      <c r="X644" s="1850">
        <v>328</v>
      </c>
      <c r="Y644" s="1850"/>
      <c r="Z644" s="1851">
        <f t="shared" si="2149"/>
        <v>417</v>
      </c>
      <c r="AA644" s="1868"/>
      <c r="AB644" s="1868"/>
      <c r="AC644" s="1850"/>
      <c r="AD644" s="1851">
        <f t="shared" si="2150"/>
        <v>0</v>
      </c>
      <c r="AE644" s="2125">
        <f t="shared" si="2151"/>
        <v>417</v>
      </c>
      <c r="AF644" s="1850"/>
      <c r="AG644" s="1850"/>
      <c r="AH644" s="1850"/>
      <c r="AI644" s="1851">
        <f t="shared" si="2152"/>
        <v>0</v>
      </c>
      <c r="AJ644" s="2125">
        <f t="shared" si="2171"/>
        <v>417</v>
      </c>
      <c r="AK644" s="1850"/>
      <c r="AL644" s="1850"/>
      <c r="AM644" s="1850"/>
      <c r="AN644" s="2127">
        <f t="shared" si="2172"/>
        <v>0</v>
      </c>
      <c r="AO644" s="2128">
        <f t="shared" si="2173"/>
        <v>417</v>
      </c>
      <c r="AP644" s="1409"/>
      <c r="AQ644" s="1409"/>
      <c r="AR644" s="1409"/>
      <c r="AS644" s="1409"/>
      <c r="AT644" s="1409"/>
      <c r="AU644" s="1409"/>
      <c r="AV644" s="1409"/>
      <c r="AW644" s="1409"/>
      <c r="AX644" s="1409"/>
      <c r="AY644" s="1409"/>
      <c r="AZ644" s="1409"/>
    </row>
    <row r="645" s="2099" customFormat="1">
      <c r="A645" s="2102" t="s">
        <v>22</v>
      </c>
      <c r="B645" s="1871">
        <f>B629+B630+B631+B632+B633+B634+B635+B636+B637+B642+B643+B644</f>
        <v>15726</v>
      </c>
      <c r="C645" s="1871">
        <f t="shared" ref="C645:H645" si="2177">C629+C630+C631+C632+C633+C634+C635+C636+C637+C642+C643+C644</f>
        <v>4130</v>
      </c>
      <c r="D645" s="1871">
        <f t="shared" si="2177"/>
        <v>0</v>
      </c>
      <c r="E645" s="1899">
        <f t="shared" si="2148"/>
        <v>19856</v>
      </c>
      <c r="F645" s="1871">
        <f>F629+F630+F631+F632+F633+F634+F635+F636+F637+F642+F643+F644</f>
        <v>0</v>
      </c>
      <c r="G645" s="1871">
        <f>G629+G630+G631+G632+G633+G634+G635+G636+G637+G642+G643+G644</f>
        <v>0</v>
      </c>
      <c r="H645" s="1871">
        <f t="shared" si="2177"/>
        <v>0</v>
      </c>
      <c r="I645" s="1899">
        <f t="shared" si="2166"/>
        <v>0</v>
      </c>
      <c r="J645" s="1900">
        <f t="shared" si="2167"/>
        <v>19856</v>
      </c>
      <c r="K645" s="1871">
        <f>K629+K630+K631+K632+K633+K634+K635+K636+K637+K642+K643+K644</f>
        <v>0</v>
      </c>
      <c r="L645" s="1871">
        <f>L629+L630+L631+L632+L633+L634+L635+L636+L637+L642+L643+L644</f>
        <v>0</v>
      </c>
      <c r="M645" s="1871">
        <f t="shared" ref="M645:R645" si="2178">M629+M630+M631+M632+M633+M634+M635+M636+M637+M642+M643+M644</f>
        <v>0</v>
      </c>
      <c r="N645" s="1899">
        <f t="shared" si="2168"/>
        <v>0</v>
      </c>
      <c r="O645" s="1900">
        <f t="shared" si="2169"/>
        <v>19856</v>
      </c>
      <c r="P645" s="1871">
        <f t="shared" si="2178"/>
        <v>0</v>
      </c>
      <c r="Q645" s="1871">
        <f t="shared" si="2178"/>
        <v>0</v>
      </c>
      <c r="R645" s="1871">
        <f t="shared" si="2178"/>
        <v>0</v>
      </c>
      <c r="S645" s="1899">
        <f t="shared" si="2134"/>
        <v>0</v>
      </c>
      <c r="T645" s="2132">
        <f t="shared" si="2170"/>
        <v>19856</v>
      </c>
      <c r="U645" s="2133"/>
      <c r="V645" s="2134" t="s">
        <v>22</v>
      </c>
      <c r="W645" s="1858">
        <f>W629+W630+W631+W632+W633+W634+W635+W636+W637+W642+W643+W644</f>
        <v>5242</v>
      </c>
      <c r="X645" s="1858">
        <f>X629+X630+X631+X632+X633+X634+X635+X636+X637+X642+X643+X644</f>
        <v>11894</v>
      </c>
      <c r="Y645" s="1858">
        <f>Y629+Y630+Y631+Y632+Y633+Y634+Y635+Y636+Y637+Y642+Y643+Y644</f>
        <v>0</v>
      </c>
      <c r="Z645" s="1859">
        <f t="shared" si="2149"/>
        <v>17136</v>
      </c>
      <c r="AA645" s="1871">
        <f>AA629+AA630+AA631+AA632+AA633+AA634+AA635+AA636+AA637+AA642+AA643+AA644</f>
        <v>0</v>
      </c>
      <c r="AB645" s="1871">
        <f>AB629+AB630+AB631+AB632+AB633+AB634+AB635+AB636+AB637+AB642+AB643+AB644</f>
        <v>0</v>
      </c>
      <c r="AC645" s="1858">
        <f>AC629+AC630+AC631+AC632+AC633+AC634+AC635+AC636+AC637+AC642+AC643+AC644</f>
        <v>0</v>
      </c>
      <c r="AD645" s="1851">
        <f t="shared" si="2150"/>
        <v>0</v>
      </c>
      <c r="AE645" s="2125">
        <f t="shared" si="2151"/>
        <v>17136</v>
      </c>
      <c r="AF645" s="1858">
        <f>AF629+AF630+AF631+AF632+AF633+AF634+AF635+AF636+AF637+AF642+AF643+AF644</f>
        <v>0</v>
      </c>
      <c r="AG645" s="1858">
        <f>AG629+AG630+AG631+AG632+AG633+AG634+AG635+AG636+AG637+AG642+AG643+AG644</f>
        <v>0</v>
      </c>
      <c r="AH645" s="1858">
        <f>AH629+AH630+AH631+AH632+AH633+AH634+AH635+AH636+AH637+AH642+AH643+AH644</f>
        <v>0</v>
      </c>
      <c r="AI645" s="1851">
        <f t="shared" si="2152"/>
        <v>0</v>
      </c>
      <c r="AJ645" s="2125">
        <f t="shared" si="2171"/>
        <v>17136</v>
      </c>
      <c r="AK645" s="1858">
        <f>AK629+AK630+AK631+AK632+AK633+AK634+AK635+AK636+AK637+AK642+AK643+AK644</f>
        <v>0</v>
      </c>
      <c r="AL645" s="1858">
        <f>AL629+AL630+AL631+AL632+AL633+AL634+AL635+AL636+AL637+AL642+AL643+AL644</f>
        <v>0</v>
      </c>
      <c r="AM645" s="1858">
        <f>AM629+AM630+AM631+AM632+AM633+AM634+AM635+AM636+AM637+AM642+AM643+AM644</f>
        <v>0</v>
      </c>
      <c r="AN645" s="2127">
        <f t="shared" si="2172"/>
        <v>0</v>
      </c>
      <c r="AO645" s="2128">
        <f t="shared" si="2173"/>
        <v>17136</v>
      </c>
      <c r="AP645" s="1515"/>
      <c r="AQ645" s="1515"/>
      <c r="AR645" s="1515"/>
      <c r="AS645" s="1515"/>
      <c r="AT645" s="1515"/>
      <c r="AU645" s="1515"/>
      <c r="AV645" s="1515"/>
      <c r="AW645" s="1515"/>
      <c r="AX645" s="1515"/>
      <c r="AY645" s="1515"/>
      <c r="AZ645" s="1515"/>
    </row>
    <row r="646" s="1434" customFormat="1">
      <c r="A646" s="2084" t="s">
        <v>709</v>
      </c>
      <c r="B646" s="1868">
        <v>4089</v>
      </c>
      <c r="C646" s="1868">
        <v>2228</v>
      </c>
      <c r="D646" s="1868"/>
      <c r="E646" s="1895">
        <f t="shared" si="2148"/>
        <v>6317</v>
      </c>
      <c r="F646" s="1868"/>
      <c r="G646" s="1868"/>
      <c r="H646" s="1868"/>
      <c r="I646" s="1895">
        <f t="shared" si="2166"/>
        <v>0</v>
      </c>
      <c r="J646" s="1896">
        <f t="shared" si="2167"/>
        <v>6317</v>
      </c>
      <c r="K646" s="1868"/>
      <c r="L646" s="1868"/>
      <c r="M646" s="1868"/>
      <c r="N646" s="1895">
        <f t="shared" si="2168"/>
        <v>0</v>
      </c>
      <c r="O646" s="1896">
        <f t="shared" si="2169"/>
        <v>6317</v>
      </c>
      <c r="P646" s="1868"/>
      <c r="Q646" s="1868"/>
      <c r="R646" s="1868"/>
      <c r="S646" s="1895">
        <f t="shared" si="2134"/>
        <v>0</v>
      </c>
      <c r="T646" s="2135">
        <f t="shared" si="2170"/>
        <v>6317</v>
      </c>
      <c r="U646" s="1948"/>
      <c r="V646" s="2136" t="s">
        <v>643</v>
      </c>
      <c r="W646" s="1850">
        <v>1270</v>
      </c>
      <c r="X646" s="1850">
        <v>6815</v>
      </c>
      <c r="Y646" s="1850"/>
      <c r="Z646" s="1851">
        <f t="shared" si="2149"/>
        <v>8085</v>
      </c>
      <c r="AA646" s="1868"/>
      <c r="AB646" s="1868"/>
      <c r="AC646" s="1850"/>
      <c r="AD646" s="1851">
        <f t="shared" si="2150"/>
        <v>0</v>
      </c>
      <c r="AE646" s="2125">
        <f t="shared" si="2151"/>
        <v>8085</v>
      </c>
      <c r="AF646" s="1850"/>
      <c r="AG646" s="1850"/>
      <c r="AH646" s="1850"/>
      <c r="AI646" s="1851">
        <f t="shared" si="2152"/>
        <v>0</v>
      </c>
      <c r="AJ646" s="2125">
        <f t="shared" si="2171"/>
        <v>8085</v>
      </c>
      <c r="AK646" s="1850"/>
      <c r="AL646" s="1850"/>
      <c r="AM646" s="1850"/>
      <c r="AN646" s="2127">
        <f t="shared" si="2172"/>
        <v>0</v>
      </c>
      <c r="AO646" s="2128">
        <f t="shared" si="2173"/>
        <v>8085</v>
      </c>
      <c r="AP646" s="1409"/>
      <c r="AQ646" s="1409"/>
      <c r="AR646" s="1409"/>
      <c r="AS646" s="1409"/>
      <c r="AT646" s="1409"/>
      <c r="AU646" s="1409"/>
      <c r="AV646" s="1409"/>
      <c r="AW646" s="1409"/>
      <c r="AX646" s="1409"/>
      <c r="AY646" s="1409"/>
      <c r="AZ646" s="1409"/>
    </row>
    <row r="647" s="1434" customFormat="1">
      <c r="A647" s="2084" t="s">
        <v>644</v>
      </c>
      <c r="B647" s="1868"/>
      <c r="C647" s="1868"/>
      <c r="D647" s="1868"/>
      <c r="E647" s="1895">
        <f t="shared" si="2148"/>
        <v>0</v>
      </c>
      <c r="F647" s="1868"/>
      <c r="G647" s="1868"/>
      <c r="H647" s="1868"/>
      <c r="I647" s="1895">
        <f t="shared" si="2166"/>
        <v>0</v>
      </c>
      <c r="J647" s="1896">
        <f t="shared" si="2167"/>
        <v>0</v>
      </c>
      <c r="K647" s="1868"/>
      <c r="L647" s="1868"/>
      <c r="M647" s="1868"/>
      <c r="N647" s="1895">
        <f t="shared" si="2168"/>
        <v>0</v>
      </c>
      <c r="O647" s="1896">
        <f t="shared" si="2169"/>
        <v>0</v>
      </c>
      <c r="P647" s="1868"/>
      <c r="Q647" s="1906"/>
      <c r="R647" s="1868"/>
      <c r="S647" s="1895">
        <f t="shared" si="2134"/>
        <v>0</v>
      </c>
      <c r="T647" s="2135">
        <f t="shared" si="2170"/>
        <v>0</v>
      </c>
      <c r="U647" s="1948"/>
      <c r="V647" s="2136" t="s">
        <v>644</v>
      </c>
      <c r="W647" s="1850"/>
      <c r="X647" s="1850"/>
      <c r="Y647" s="1850"/>
      <c r="Z647" s="1851">
        <f t="shared" si="2149"/>
        <v>0</v>
      </c>
      <c r="AA647" s="1868"/>
      <c r="AB647" s="1868"/>
      <c r="AC647" s="1850"/>
      <c r="AD647" s="1851">
        <f t="shared" si="2150"/>
        <v>0</v>
      </c>
      <c r="AE647" s="2125">
        <f t="shared" si="2151"/>
        <v>0</v>
      </c>
      <c r="AF647" s="1850"/>
      <c r="AG647" s="1850"/>
      <c r="AH647" s="1850"/>
      <c r="AI647" s="1851">
        <f t="shared" si="2152"/>
        <v>0</v>
      </c>
      <c r="AJ647" s="2125">
        <f t="shared" si="2171"/>
        <v>0</v>
      </c>
      <c r="AK647" s="1850"/>
      <c r="AL647" s="1850"/>
      <c r="AM647" s="1850"/>
      <c r="AN647" s="2127">
        <f t="shared" si="2172"/>
        <v>0</v>
      </c>
      <c r="AO647" s="2128">
        <f t="shared" si="2173"/>
        <v>0</v>
      </c>
      <c r="AP647" s="1409"/>
      <c r="AQ647" s="1409"/>
      <c r="AR647" s="1409"/>
      <c r="AS647" s="1409"/>
      <c r="AT647" s="1409"/>
      <c r="AU647" s="1409"/>
      <c r="AV647" s="1409"/>
      <c r="AW647" s="1409"/>
      <c r="AX647" s="1409"/>
      <c r="AY647" s="1409"/>
      <c r="AZ647" s="1409"/>
    </row>
    <row r="648" s="1434" customFormat="1">
      <c r="A648" s="2084" t="s">
        <v>303</v>
      </c>
      <c r="B648" s="1868"/>
      <c r="C648" s="1868"/>
      <c r="D648" s="1868"/>
      <c r="E648" s="1895">
        <f t="shared" si="2148"/>
        <v>0</v>
      </c>
      <c r="F648" s="1868"/>
      <c r="G648" s="1868"/>
      <c r="H648" s="1868"/>
      <c r="I648" s="1895">
        <f t="shared" si="2166"/>
        <v>0</v>
      </c>
      <c r="J648" s="1896">
        <f t="shared" si="2167"/>
        <v>0</v>
      </c>
      <c r="K648" s="1868"/>
      <c r="L648" s="1868"/>
      <c r="M648" s="1868"/>
      <c r="N648" s="1895">
        <f t="shared" si="2168"/>
        <v>0</v>
      </c>
      <c r="O648" s="1896">
        <f t="shared" si="2169"/>
        <v>0</v>
      </c>
      <c r="P648" s="1868"/>
      <c r="Q648" s="1906"/>
      <c r="R648" s="1868"/>
      <c r="S648" s="1895">
        <f t="shared" si="2134"/>
        <v>0</v>
      </c>
      <c r="T648" s="2135">
        <f t="shared" si="2170"/>
        <v>0</v>
      </c>
      <c r="U648" s="1948"/>
      <c r="V648" s="2136" t="s">
        <v>303</v>
      </c>
      <c r="W648" s="1850"/>
      <c r="X648" s="1850"/>
      <c r="Y648" s="1850"/>
      <c r="Z648" s="1851">
        <f t="shared" si="2149"/>
        <v>0</v>
      </c>
      <c r="AA648" s="1868"/>
      <c r="AB648" s="1868"/>
      <c r="AC648" s="1850"/>
      <c r="AD648" s="1851">
        <f t="shared" si="2150"/>
        <v>0</v>
      </c>
      <c r="AE648" s="2125">
        <f t="shared" si="2151"/>
        <v>0</v>
      </c>
      <c r="AF648" s="1850"/>
      <c r="AG648" s="1850"/>
      <c r="AH648" s="1850"/>
      <c r="AI648" s="1851">
        <f t="shared" si="2152"/>
        <v>0</v>
      </c>
      <c r="AJ648" s="2125">
        <f t="shared" si="2171"/>
        <v>0</v>
      </c>
      <c r="AK648" s="1850"/>
      <c r="AL648" s="1850"/>
      <c r="AM648" s="1850"/>
      <c r="AN648" s="2127">
        <f t="shared" si="2172"/>
        <v>0</v>
      </c>
      <c r="AO648" s="2128">
        <f t="shared" si="2173"/>
        <v>0</v>
      </c>
      <c r="AP648" s="1409"/>
      <c r="AQ648" s="1409"/>
      <c r="AR648" s="1409"/>
      <c r="AS648" s="1409"/>
      <c r="AT648" s="1409"/>
      <c r="AU648" s="1409"/>
      <c r="AV648" s="1409"/>
      <c r="AW648" s="1409"/>
      <c r="AX648" s="1409"/>
      <c r="AY648" s="1409"/>
      <c r="AZ648" s="1409"/>
    </row>
    <row r="649" s="1434" customFormat="1">
      <c r="A649" s="2140" t="s">
        <v>283</v>
      </c>
      <c r="B649" s="1868"/>
      <c r="C649" s="1868"/>
      <c r="D649" s="1868"/>
      <c r="E649" s="1895">
        <f t="shared" si="2148"/>
        <v>0</v>
      </c>
      <c r="F649" s="1868"/>
      <c r="G649" s="1868"/>
      <c r="H649" s="1868"/>
      <c r="I649" s="1895">
        <f t="shared" si="2166"/>
        <v>0</v>
      </c>
      <c r="J649" s="1896">
        <f t="shared" si="2167"/>
        <v>0</v>
      </c>
      <c r="K649" s="1868"/>
      <c r="L649" s="1868"/>
      <c r="M649" s="1868"/>
      <c r="N649" s="1895">
        <f t="shared" si="2168"/>
        <v>0</v>
      </c>
      <c r="O649" s="1896">
        <f t="shared" si="2169"/>
        <v>0</v>
      </c>
      <c r="P649" s="1868"/>
      <c r="Q649" s="1906"/>
      <c r="R649" s="1868"/>
      <c r="S649" s="1895">
        <f t="shared" si="2134"/>
        <v>0</v>
      </c>
      <c r="T649" s="2135">
        <f t="shared" si="2170"/>
        <v>0</v>
      </c>
      <c r="U649" s="1948"/>
      <c r="V649" s="2136"/>
      <c r="W649" s="1850"/>
      <c r="X649" s="1850"/>
      <c r="Y649" s="1850"/>
      <c r="Z649" s="1851">
        <f t="shared" si="2149"/>
        <v>0</v>
      </c>
      <c r="AA649" s="1868"/>
      <c r="AB649" s="1868"/>
      <c r="AC649" s="1850"/>
      <c r="AD649" s="1851">
        <f t="shared" si="2150"/>
        <v>0</v>
      </c>
      <c r="AE649" s="2125">
        <f t="shared" si="2151"/>
        <v>0</v>
      </c>
      <c r="AF649" s="1850"/>
      <c r="AG649" s="1850"/>
      <c r="AH649" s="1850"/>
      <c r="AI649" s="1851">
        <f t="shared" si="2152"/>
        <v>0</v>
      </c>
      <c r="AJ649" s="2125">
        <f t="shared" si="2171"/>
        <v>0</v>
      </c>
      <c r="AK649" s="1850"/>
      <c r="AL649" s="1850"/>
      <c r="AM649" s="1850"/>
      <c r="AN649" s="2127">
        <f t="shared" si="2172"/>
        <v>0</v>
      </c>
      <c r="AO649" s="2128">
        <f t="shared" si="2173"/>
        <v>0</v>
      </c>
      <c r="AP649" s="1409"/>
      <c r="AQ649" s="1409"/>
      <c r="AR649" s="1409"/>
      <c r="AS649" s="1409"/>
      <c r="AT649" s="1409"/>
      <c r="AU649" s="1409"/>
      <c r="AV649" s="1409"/>
      <c r="AW649" s="1409"/>
      <c r="AX649" s="1409"/>
      <c r="AY649" s="1409"/>
      <c r="AZ649" s="1409"/>
    </row>
    <row r="650" s="2099" customFormat="1">
      <c r="A650" s="2084" t="s">
        <v>645</v>
      </c>
      <c r="B650" s="1871"/>
      <c r="C650" s="1871"/>
      <c r="D650" s="1871"/>
      <c r="E650" s="1895">
        <f t="shared" si="2148"/>
        <v>0</v>
      </c>
      <c r="F650" s="1871"/>
      <c r="G650" s="1871"/>
      <c r="H650" s="1871"/>
      <c r="I650" s="1895">
        <f t="shared" si="2166"/>
        <v>0</v>
      </c>
      <c r="J650" s="1896">
        <f t="shared" si="2167"/>
        <v>0</v>
      </c>
      <c r="K650" s="1871"/>
      <c r="L650" s="1868"/>
      <c r="M650" s="1871"/>
      <c r="N650" s="1895">
        <f t="shared" si="2168"/>
        <v>0</v>
      </c>
      <c r="O650" s="1896">
        <f t="shared" si="2169"/>
        <v>0</v>
      </c>
      <c r="P650" s="1871"/>
      <c r="Q650" s="2042"/>
      <c r="R650" s="1871"/>
      <c r="S650" s="1895">
        <f t="shared" si="2134"/>
        <v>0</v>
      </c>
      <c r="T650" s="2135">
        <f t="shared" si="2170"/>
        <v>0</v>
      </c>
      <c r="U650" s="2137"/>
      <c r="V650" s="2136" t="s">
        <v>645</v>
      </c>
      <c r="W650" s="1858"/>
      <c r="X650" s="1858"/>
      <c r="Y650" s="1858"/>
      <c r="Z650" s="1851">
        <f t="shared" si="2149"/>
        <v>0</v>
      </c>
      <c r="AA650" s="1871"/>
      <c r="AB650" s="1871"/>
      <c r="AC650" s="1858"/>
      <c r="AD650" s="1851">
        <f t="shared" si="2150"/>
        <v>0</v>
      </c>
      <c r="AE650" s="2125">
        <f t="shared" si="2151"/>
        <v>0</v>
      </c>
      <c r="AF650" s="1858"/>
      <c r="AG650" s="1850"/>
      <c r="AH650" s="1858"/>
      <c r="AI650" s="1851">
        <f t="shared" si="2152"/>
        <v>0</v>
      </c>
      <c r="AJ650" s="2125">
        <f t="shared" si="2171"/>
        <v>0</v>
      </c>
      <c r="AK650" s="1858"/>
      <c r="AL650" s="1858"/>
      <c r="AM650" s="1858"/>
      <c r="AN650" s="2127">
        <f t="shared" si="2172"/>
        <v>0</v>
      </c>
      <c r="AO650" s="2128">
        <f t="shared" si="2173"/>
        <v>0</v>
      </c>
      <c r="AP650" s="1515"/>
      <c r="AQ650" s="1515"/>
      <c r="AR650" s="1515"/>
      <c r="AS650" s="1515"/>
      <c r="AT650" s="1515"/>
      <c r="AU650" s="1515"/>
      <c r="AV650" s="1515"/>
      <c r="AW650" s="1515"/>
      <c r="AX650" s="1515"/>
      <c r="AY650" s="1515"/>
      <c r="AZ650" s="1515"/>
    </row>
    <row r="651" s="2099" customFormat="1">
      <c r="A651" s="1904" t="s">
        <v>545</v>
      </c>
      <c r="B651" s="1905">
        <f>B645+B646+B650+B647+B648+B649</f>
        <v>19815</v>
      </c>
      <c r="C651" s="1905">
        <f t="shared" ref="C651:H651" si="2179">C645+C646+C650+C647+C648</f>
        <v>6358</v>
      </c>
      <c r="D651" s="1905">
        <f t="shared" si="2179"/>
        <v>0</v>
      </c>
      <c r="E651" s="1899">
        <f t="shared" si="2148"/>
        <v>26173</v>
      </c>
      <c r="F651" s="1905">
        <f>F645+F646+F650+F647+F648+F649</f>
        <v>0</v>
      </c>
      <c r="G651" s="1905">
        <f>G645+G646+G650+G647+G648</f>
        <v>0</v>
      </c>
      <c r="H651" s="1905">
        <f t="shared" si="2179"/>
        <v>0</v>
      </c>
      <c r="I651" s="1899">
        <f t="shared" si="2166"/>
        <v>0</v>
      </c>
      <c r="J651" s="1899">
        <f t="shared" si="2167"/>
        <v>26173</v>
      </c>
      <c r="K651" s="1905">
        <f>K645+K646+K650+K647+K648</f>
        <v>0</v>
      </c>
      <c r="L651" s="1905">
        <f>L645+L646+L650+L647+L648</f>
        <v>0</v>
      </c>
      <c r="M651" s="1905">
        <f t="shared" ref="M651:R651" si="2180">M645+M646+M650+M647+M648</f>
        <v>0</v>
      </c>
      <c r="N651" s="1899">
        <f t="shared" si="2168"/>
        <v>0</v>
      </c>
      <c r="O651" s="1899">
        <f t="shared" si="2169"/>
        <v>26173</v>
      </c>
      <c r="P651" s="1905">
        <f>P645+P646+P650+P647+P648+P649</f>
        <v>0</v>
      </c>
      <c r="Q651" s="1905">
        <f t="shared" si="2180"/>
        <v>0</v>
      </c>
      <c r="R651" s="1905">
        <f t="shared" si="2180"/>
        <v>0</v>
      </c>
      <c r="S651" s="1899">
        <f t="shared" si="2134"/>
        <v>0</v>
      </c>
      <c r="T651" s="2045">
        <f t="shared" si="2170"/>
        <v>26173</v>
      </c>
      <c r="U651" s="2133"/>
      <c r="V651" s="2134" t="s">
        <v>545</v>
      </c>
      <c r="W651" s="1858">
        <f>W645+W646+W648</f>
        <v>6512</v>
      </c>
      <c r="X651" s="1858">
        <f t="shared" ref="X651:AM651" si="2181">X645+X646+X648</f>
        <v>18709</v>
      </c>
      <c r="Y651" s="1858">
        <f t="shared" si="2181"/>
        <v>0</v>
      </c>
      <c r="Z651" s="1859">
        <f t="shared" si="2149"/>
        <v>25221</v>
      </c>
      <c r="AA651" s="1871">
        <f>AA645+AA646+AA650+AA647+AA648</f>
        <v>0</v>
      </c>
      <c r="AB651" s="1871">
        <f>AB645+AB646+AB650+AB647+AB648</f>
        <v>0</v>
      </c>
      <c r="AC651" s="1858">
        <f t="shared" si="2181"/>
        <v>0</v>
      </c>
      <c r="AD651" s="1851">
        <f t="shared" si="2150"/>
        <v>0</v>
      </c>
      <c r="AE651" s="2125">
        <f t="shared" si="2151"/>
        <v>25221</v>
      </c>
      <c r="AF651" s="1858">
        <f t="shared" si="2181"/>
        <v>0</v>
      </c>
      <c r="AG651" s="1858">
        <f t="shared" si="2181"/>
        <v>0</v>
      </c>
      <c r="AH651" s="1858">
        <f t="shared" si="2181"/>
        <v>0</v>
      </c>
      <c r="AI651" s="1851">
        <f t="shared" si="2152"/>
        <v>0</v>
      </c>
      <c r="AJ651" s="2125">
        <f t="shared" si="2171"/>
        <v>25221</v>
      </c>
      <c r="AK651" s="1858">
        <f t="shared" si="2181"/>
        <v>0</v>
      </c>
      <c r="AL651" s="1858">
        <f>AL645+AL646+AL648</f>
        <v>0</v>
      </c>
      <c r="AM651" s="1858">
        <f t="shared" si="2181"/>
        <v>0</v>
      </c>
      <c r="AN651" s="2127">
        <f t="shared" si="2172"/>
        <v>0</v>
      </c>
      <c r="AO651" s="2128">
        <f t="shared" si="2173"/>
        <v>25221</v>
      </c>
      <c r="AP651" s="1515"/>
      <c r="AQ651" s="1515"/>
      <c r="AR651" s="1515"/>
      <c r="AS651" s="1515"/>
      <c r="AT651" s="1515"/>
      <c r="AU651" s="1515"/>
      <c r="AV651" s="1515"/>
      <c r="AW651" s="1515"/>
      <c r="AX651" s="1515"/>
      <c r="AY651" s="1515"/>
      <c r="AZ651" s="1515"/>
    </row>
    <row r="652" s="1434" customFormat="1">
      <c r="A652" s="2084" t="s">
        <v>710</v>
      </c>
      <c r="B652" s="1868">
        <f>15+282</f>
        <v>297</v>
      </c>
      <c r="C652" s="1850">
        <f>1+115</f>
        <v>116</v>
      </c>
      <c r="D652" s="1868"/>
      <c r="E652" s="1895">
        <f t="shared" si="2148"/>
        <v>413</v>
      </c>
      <c r="F652" s="1850"/>
      <c r="G652" s="1850"/>
      <c r="H652" s="1868"/>
      <c r="I652" s="1895">
        <f t="shared" si="2166"/>
        <v>0</v>
      </c>
      <c r="J652" s="1896">
        <f t="shared" si="2167"/>
        <v>413</v>
      </c>
      <c r="K652" s="1868"/>
      <c r="L652" s="1868"/>
      <c r="M652" s="1868"/>
      <c r="N652" s="1895">
        <f t="shared" si="2168"/>
        <v>0</v>
      </c>
      <c r="O652" s="1896">
        <f t="shared" si="2169"/>
        <v>413</v>
      </c>
      <c r="P652" s="1868"/>
      <c r="Q652" s="1850"/>
      <c r="R652" s="1868"/>
      <c r="S652" s="1895">
        <f t="shared" ref="S652:S715" si="2182">P652+Q652+R652</f>
        <v>0</v>
      </c>
      <c r="T652" s="2135">
        <f t="shared" si="2170"/>
        <v>413</v>
      </c>
      <c r="U652" s="2141"/>
      <c r="V652" s="2136" t="s">
        <v>646</v>
      </c>
      <c r="W652" s="1850">
        <f>5+94</f>
        <v>99</v>
      </c>
      <c r="X652" s="1850">
        <f>3+331</f>
        <v>334</v>
      </c>
      <c r="Y652" s="1850"/>
      <c r="Z652" s="1851">
        <f t="shared" si="2149"/>
        <v>433</v>
      </c>
      <c r="AA652" s="1850"/>
      <c r="AB652" s="1850"/>
      <c r="AC652" s="1850"/>
      <c r="AD652" s="1851">
        <f t="shared" si="2150"/>
        <v>0</v>
      </c>
      <c r="AE652" s="2125">
        <f t="shared" si="2151"/>
        <v>433</v>
      </c>
      <c r="AF652" s="1850"/>
      <c r="AG652" s="1850"/>
      <c r="AH652" s="1850"/>
      <c r="AI652" s="1851">
        <f t="shared" si="2152"/>
        <v>0</v>
      </c>
      <c r="AJ652" s="2125">
        <f t="shared" si="2171"/>
        <v>433</v>
      </c>
      <c r="AK652" s="1850"/>
      <c r="AL652" s="1850"/>
      <c r="AM652" s="1850"/>
      <c r="AN652" s="2127">
        <f t="shared" si="2172"/>
        <v>0</v>
      </c>
      <c r="AO652" s="2128">
        <f t="shared" si="2173"/>
        <v>433</v>
      </c>
      <c r="AP652" s="1409"/>
      <c r="AQ652" s="1409"/>
      <c r="AR652" s="1409"/>
      <c r="AS652" s="1409"/>
      <c r="AT652" s="1409"/>
      <c r="AU652" s="1409"/>
      <c r="AV652" s="1409"/>
      <c r="AW652" s="1409"/>
      <c r="AX652" s="1409"/>
      <c r="AY652" s="1409"/>
      <c r="AZ652" s="1409"/>
    </row>
    <row r="653" s="1434" customFormat="1">
      <c r="A653" s="2084" t="s">
        <v>647</v>
      </c>
      <c r="B653" s="1868"/>
      <c r="C653" s="1850"/>
      <c r="D653" s="1868"/>
      <c r="E653" s="1895">
        <f t="shared" si="2148"/>
        <v>0</v>
      </c>
      <c r="F653" s="1850"/>
      <c r="G653" s="1850"/>
      <c r="H653" s="1868"/>
      <c r="I653" s="1895">
        <f t="shared" si="2166"/>
        <v>0</v>
      </c>
      <c r="J653" s="1896">
        <f t="shared" si="2167"/>
        <v>0</v>
      </c>
      <c r="K653" s="1868"/>
      <c r="L653" s="1868"/>
      <c r="M653" s="1868"/>
      <c r="N653" s="1895">
        <f t="shared" si="2168"/>
        <v>0</v>
      </c>
      <c r="O653" s="1896">
        <f t="shared" si="2169"/>
        <v>0</v>
      </c>
      <c r="P653" s="1868"/>
      <c r="Q653" s="2142"/>
      <c r="R653" s="1868"/>
      <c r="S653" s="1895">
        <f t="shared" si="2182"/>
        <v>0</v>
      </c>
      <c r="T653" s="2135">
        <f t="shared" si="2170"/>
        <v>0</v>
      </c>
      <c r="U653" s="2141"/>
      <c r="V653" s="2136" t="s">
        <v>647</v>
      </c>
      <c r="W653" s="1850"/>
      <c r="X653" s="1850"/>
      <c r="Y653" s="1850"/>
      <c r="Z653" s="1851">
        <f t="shared" si="2149"/>
        <v>0</v>
      </c>
      <c r="AA653" s="1850"/>
      <c r="AB653" s="1850"/>
      <c r="AC653" s="1850"/>
      <c r="AD653" s="1851">
        <f t="shared" si="2150"/>
        <v>0</v>
      </c>
      <c r="AE653" s="2125">
        <f t="shared" si="2151"/>
        <v>0</v>
      </c>
      <c r="AF653" s="1850"/>
      <c r="AG653" s="1850"/>
      <c r="AH653" s="1850"/>
      <c r="AI653" s="1851">
        <f t="shared" si="2152"/>
        <v>0</v>
      </c>
      <c r="AJ653" s="2125">
        <f t="shared" si="2171"/>
        <v>0</v>
      </c>
      <c r="AK653" s="1850"/>
      <c r="AL653" s="1850"/>
      <c r="AM653" s="1850"/>
      <c r="AN653" s="2127">
        <f t="shared" si="2172"/>
        <v>0</v>
      </c>
      <c r="AO653" s="2128">
        <f t="shared" si="2173"/>
        <v>0</v>
      </c>
      <c r="AP653" s="1409"/>
      <c r="AQ653" s="1409"/>
      <c r="AR653" s="1409"/>
      <c r="AS653" s="1409"/>
      <c r="AT653" s="1409"/>
      <c r="AU653" s="1409"/>
      <c r="AV653" s="1409"/>
      <c r="AW653" s="1409"/>
      <c r="AX653" s="1409"/>
      <c r="AY653" s="1409"/>
      <c r="AZ653" s="1409"/>
    </row>
    <row r="654" s="2099" customFormat="1">
      <c r="A654" s="1904" t="s">
        <v>22</v>
      </c>
      <c r="B654" s="1905">
        <f>B651+B652+B653</f>
        <v>20112</v>
      </c>
      <c r="C654" s="1905">
        <f t="shared" ref="C654:H654" si="2183">C651+C652+C653</f>
        <v>6474</v>
      </c>
      <c r="D654" s="1905">
        <f t="shared" si="2183"/>
        <v>0</v>
      </c>
      <c r="E654" s="1899">
        <f t="shared" si="2148"/>
        <v>26586</v>
      </c>
      <c r="F654" s="1905">
        <f>F651+F652+F653</f>
        <v>0</v>
      </c>
      <c r="G654" s="1905">
        <f>G651+G652+G653</f>
        <v>0</v>
      </c>
      <c r="H654" s="1905">
        <f t="shared" si="2183"/>
        <v>0</v>
      </c>
      <c r="I654" s="1899">
        <f t="shared" si="2166"/>
        <v>0</v>
      </c>
      <c r="J654" s="1899">
        <f t="shared" si="2167"/>
        <v>26586</v>
      </c>
      <c r="K654" s="1905">
        <f>K651+K652+K653</f>
        <v>0</v>
      </c>
      <c r="L654" s="1905">
        <f>L651+L652+L653</f>
        <v>0</v>
      </c>
      <c r="M654" s="1905">
        <f t="shared" ref="M654:R654" si="2184">M651+M652+M653</f>
        <v>0</v>
      </c>
      <c r="N654" s="1899">
        <f t="shared" si="2168"/>
        <v>0</v>
      </c>
      <c r="O654" s="1899">
        <f t="shared" si="2169"/>
        <v>26586</v>
      </c>
      <c r="P654" s="1905">
        <f t="shared" si="2184"/>
        <v>0</v>
      </c>
      <c r="Q654" s="1905">
        <f t="shared" si="2184"/>
        <v>0</v>
      </c>
      <c r="R654" s="1905">
        <f t="shared" si="2184"/>
        <v>0</v>
      </c>
      <c r="S654" s="1899">
        <f t="shared" si="2182"/>
        <v>0</v>
      </c>
      <c r="T654" s="2045">
        <f t="shared" si="2170"/>
        <v>26586</v>
      </c>
      <c r="U654" s="2133"/>
      <c r="V654" s="2134" t="s">
        <v>22</v>
      </c>
      <c r="W654" s="1858">
        <f>W651+W652+W653</f>
        <v>6611</v>
      </c>
      <c r="X654" s="1858">
        <f t="shared" ref="X654:AM654" si="2185">X651+X652+X653</f>
        <v>19043</v>
      </c>
      <c r="Y654" s="1858">
        <f t="shared" si="2185"/>
        <v>0</v>
      </c>
      <c r="Z654" s="1859">
        <f t="shared" si="2149"/>
        <v>25654</v>
      </c>
      <c r="AA654" s="1871">
        <f>AA651+AA652+AA653</f>
        <v>0</v>
      </c>
      <c r="AB654" s="1871">
        <f>AB651+AB652+AB653</f>
        <v>0</v>
      </c>
      <c r="AC654" s="1858">
        <f t="shared" si="2185"/>
        <v>0</v>
      </c>
      <c r="AD654" s="1851">
        <f t="shared" si="2150"/>
        <v>0</v>
      </c>
      <c r="AE654" s="2125">
        <f t="shared" si="2151"/>
        <v>25654</v>
      </c>
      <c r="AF654" s="1858">
        <f t="shared" si="2185"/>
        <v>0</v>
      </c>
      <c r="AG654" s="1858">
        <f t="shared" si="2185"/>
        <v>0</v>
      </c>
      <c r="AH654" s="1858">
        <f t="shared" si="2185"/>
        <v>0</v>
      </c>
      <c r="AI654" s="1851">
        <f t="shared" si="2152"/>
        <v>0</v>
      </c>
      <c r="AJ654" s="2125">
        <f t="shared" si="2171"/>
        <v>25654</v>
      </c>
      <c r="AK654" s="1858">
        <f t="shared" si="2185"/>
        <v>0</v>
      </c>
      <c r="AL654" s="1858">
        <f>AL651+AL652+AL653</f>
        <v>0</v>
      </c>
      <c r="AM654" s="1858">
        <f t="shared" si="2185"/>
        <v>0</v>
      </c>
      <c r="AN654" s="2127">
        <f t="shared" si="2172"/>
        <v>0</v>
      </c>
      <c r="AO654" s="2128">
        <f t="shared" si="2173"/>
        <v>25654</v>
      </c>
      <c r="AP654" s="1515"/>
      <c r="AQ654" s="1515"/>
      <c r="AR654" s="1515"/>
      <c r="AS654" s="1515"/>
      <c r="AT654" s="1515"/>
      <c r="AU654" s="1515"/>
      <c r="AV654" s="1515"/>
      <c r="AW654" s="1515"/>
      <c r="AX654" s="1515"/>
      <c r="AY654" s="1515"/>
      <c r="AZ654" s="1515"/>
    </row>
    <row r="655">
      <c r="B655" s="1832"/>
      <c r="C655" s="1834"/>
      <c r="D655" s="1834"/>
      <c r="E655" s="1835"/>
      <c r="F655" s="1410"/>
      <c r="G655" s="1410"/>
      <c r="H655" s="1832"/>
      <c r="I655" s="1833"/>
      <c r="J655" s="1833"/>
      <c r="K655" s="1832"/>
      <c r="L655" s="1834"/>
      <c r="M655" s="1410"/>
      <c r="N655" s="1911"/>
      <c r="O655" s="1911"/>
      <c r="P655" s="1410"/>
      <c r="Q655" s="1410"/>
      <c r="R655" s="1834"/>
      <c r="S655" s="1835"/>
      <c r="T655" s="2143"/>
      <c r="U655" s="1948"/>
      <c r="V655" s="2134"/>
      <c r="W655" s="2144"/>
      <c r="X655" s="1179"/>
      <c r="Y655" s="1179"/>
      <c r="Z655" s="1414"/>
      <c r="AC655" s="2103"/>
      <c r="AD655" s="2145"/>
      <c r="AE655" s="2146"/>
      <c r="AG655" s="1413"/>
      <c r="AH655" s="1409">
        <v>19263</v>
      </c>
    </row>
    <row r="656">
      <c r="B656" s="1832"/>
      <c r="C656" s="1410"/>
      <c r="D656" s="1832"/>
      <c r="E656" s="1833"/>
      <c r="F656" s="1410"/>
      <c r="G656" s="1410"/>
      <c r="H656" s="1832"/>
      <c r="I656" s="1833"/>
      <c r="J656" s="1833"/>
      <c r="K656" s="1832"/>
      <c r="L656" s="1832"/>
      <c r="M656" s="1410"/>
      <c r="N656" s="1911"/>
      <c r="O656" s="1911"/>
      <c r="P656" s="1410"/>
      <c r="Q656" s="1410"/>
      <c r="R656" s="1834"/>
      <c r="S656" s="1835"/>
      <c r="T656" s="2110"/>
      <c r="V656" s="1908"/>
      <c r="W656" s="2103"/>
      <c r="Y656" s="1413"/>
      <c r="Z656" s="1414"/>
      <c r="AC656" s="2103"/>
      <c r="AD656" s="2145"/>
      <c r="AE656" s="2146"/>
      <c r="AG656" s="1863"/>
      <c r="AH656" s="1863">
        <f>AH651-AH655</f>
        <v>-19263</v>
      </c>
    </row>
    <row r="657" ht="46.5" customHeight="1">
      <c r="A657" s="1842" t="s">
        <v>711</v>
      </c>
      <c r="B657" s="1918" t="s">
        <v>607</v>
      </c>
      <c r="C657" s="1888"/>
      <c r="D657" s="1888"/>
      <c r="E657" s="1888"/>
      <c r="F657" s="1888"/>
      <c r="G657" s="1888"/>
      <c r="H657" s="1888"/>
      <c r="I657" s="1888"/>
      <c r="J657" s="1888"/>
      <c r="K657" s="1888"/>
      <c r="L657" s="1888"/>
      <c r="M657" s="1888"/>
      <c r="N657" s="1888"/>
      <c r="O657" s="1888"/>
      <c r="P657" s="1888"/>
      <c r="Q657" s="1888"/>
      <c r="R657" s="1888"/>
      <c r="S657" s="1888"/>
      <c r="T657" s="1889"/>
      <c r="V657" s="1838"/>
      <c r="Z657" s="1418"/>
    </row>
    <row r="658" s="1894" customFormat="1">
      <c r="A658" s="1427" t="s">
        <v>173</v>
      </c>
      <c r="B658" s="1427" t="s">
        <v>6</v>
      </c>
      <c r="C658" s="1427" t="s">
        <v>7</v>
      </c>
      <c r="D658" s="1849" t="s">
        <v>8</v>
      </c>
      <c r="E658" s="1429" t="s">
        <v>9</v>
      </c>
      <c r="F658" s="1421" t="s">
        <v>10</v>
      </c>
      <c r="G658" s="1421" t="s">
        <v>11</v>
      </c>
      <c r="H658" s="1421" t="s">
        <v>12</v>
      </c>
      <c r="I658" s="1425" t="s">
        <v>174</v>
      </c>
      <c r="J658" s="1430" t="s">
        <v>175</v>
      </c>
      <c r="K658" s="1421" t="s">
        <v>14</v>
      </c>
      <c r="L658" s="1421" t="s">
        <v>15</v>
      </c>
      <c r="M658" s="1421" t="s">
        <v>16</v>
      </c>
      <c r="N658" s="1425" t="s">
        <v>17</v>
      </c>
      <c r="O658" s="1430" t="s">
        <v>176</v>
      </c>
      <c r="P658" s="1421" t="s">
        <v>18</v>
      </c>
      <c r="Q658" s="1421" t="s">
        <v>19</v>
      </c>
      <c r="R658" s="1421" t="s">
        <v>20</v>
      </c>
      <c r="S658" s="1448" t="s">
        <v>177</v>
      </c>
      <c r="T658" s="1426" t="s">
        <v>22</v>
      </c>
      <c r="U658" s="1621"/>
      <c r="V658" s="2147"/>
      <c r="W658" s="2148"/>
      <c r="X658" s="1621"/>
      <c r="Y658" s="1621"/>
      <c r="Z658" s="1623"/>
      <c r="AA658" s="1621"/>
      <c r="AB658" s="1621"/>
      <c r="AC658" s="1621"/>
      <c r="AD658" s="2149"/>
      <c r="AE658" s="2150"/>
      <c r="AF658" s="1621"/>
      <c r="AG658" s="1621"/>
      <c r="AH658" s="1621"/>
      <c r="AI658" s="2149"/>
      <c r="AJ658" s="2150"/>
      <c r="AK658" s="1621"/>
      <c r="AL658" s="1622"/>
      <c r="AM658" s="1621"/>
      <c r="AN658" s="2149"/>
      <c r="AO658" s="1623"/>
      <c r="AP658" s="1621"/>
      <c r="AQ658" s="1621"/>
      <c r="AR658" s="1621"/>
      <c r="AS658" s="1621"/>
      <c r="AT658" s="1621"/>
      <c r="AU658" s="1621"/>
      <c r="AV658" s="1621"/>
      <c r="AW658" s="1621"/>
      <c r="AX658" s="1621"/>
      <c r="AY658" s="1621"/>
      <c r="AZ658" s="1621"/>
    </row>
    <row r="659" ht="23.25" customHeight="1">
      <c r="A659" s="1179" t="s">
        <v>178</v>
      </c>
      <c r="B659" s="1868">
        <v>145</v>
      </c>
      <c r="C659" s="1868">
        <v>236</v>
      </c>
      <c r="D659" s="1868"/>
      <c r="E659" s="1895">
        <f t="shared" si="2148"/>
        <v>381</v>
      </c>
      <c r="F659" s="1868"/>
      <c r="G659" s="1868"/>
      <c r="H659" s="1868"/>
      <c r="I659" s="1895">
        <f t="shared" si="2166"/>
        <v>0</v>
      </c>
      <c r="J659" s="1896">
        <f t="shared" si="2167"/>
        <v>381</v>
      </c>
      <c r="K659" s="1868"/>
      <c r="L659" s="1868"/>
      <c r="M659" s="1868"/>
      <c r="N659" s="1895">
        <f t="shared" si="2168"/>
        <v>0</v>
      </c>
      <c r="O659" s="1896">
        <f t="shared" si="2169"/>
        <v>381</v>
      </c>
      <c r="P659" s="1868"/>
      <c r="Q659" s="1868"/>
      <c r="R659" s="1868"/>
      <c r="S659" s="1895">
        <f t="shared" si="2182"/>
        <v>0</v>
      </c>
      <c r="T659" s="1897">
        <f t="shared" si="2170"/>
        <v>381</v>
      </c>
      <c r="V659" s="1908"/>
      <c r="W659" s="2103"/>
      <c r="X659" s="2103"/>
      <c r="Y659" s="2103"/>
      <c r="Z659" s="2151"/>
    </row>
    <row r="660">
      <c r="A660" s="1179" t="s">
        <v>354</v>
      </c>
      <c r="B660" s="1868">
        <v>1102</v>
      </c>
      <c r="C660" s="1868">
        <v>1271</v>
      </c>
      <c r="D660" s="1868"/>
      <c r="E660" s="1895">
        <f t="shared" si="2148"/>
        <v>2373</v>
      </c>
      <c r="F660" s="1868"/>
      <c r="G660" s="1868"/>
      <c r="H660" s="1868"/>
      <c r="I660" s="1895">
        <f t="shared" si="2166"/>
        <v>0</v>
      </c>
      <c r="J660" s="1896">
        <f t="shared" si="2167"/>
        <v>2373</v>
      </c>
      <c r="K660" s="1868"/>
      <c r="L660" s="1868"/>
      <c r="M660" s="1868"/>
      <c r="N660" s="1895">
        <f t="shared" si="2168"/>
        <v>0</v>
      </c>
      <c r="O660" s="1896">
        <f t="shared" si="2169"/>
        <v>2373</v>
      </c>
      <c r="P660" s="1868"/>
      <c r="Q660" s="1868"/>
      <c r="R660" s="1868"/>
      <c r="S660" s="1895">
        <f t="shared" si="2182"/>
        <v>0</v>
      </c>
      <c r="T660" s="1897">
        <f t="shared" si="2170"/>
        <v>2373</v>
      </c>
      <c r="V660" s="1908"/>
      <c r="W660" s="2103"/>
      <c r="X660" s="2103"/>
      <c r="Y660" s="2103"/>
      <c r="Z660" s="2151"/>
    </row>
    <row r="661">
      <c r="A661" s="1179" t="s">
        <v>181</v>
      </c>
      <c r="B661" s="1868">
        <v>362</v>
      </c>
      <c r="C661" s="1868">
        <v>477</v>
      </c>
      <c r="D661" s="1868"/>
      <c r="E661" s="1895">
        <f t="shared" si="2148"/>
        <v>839</v>
      </c>
      <c r="F661" s="1868"/>
      <c r="G661" s="1868"/>
      <c r="H661" s="1868"/>
      <c r="I661" s="1895">
        <f t="shared" si="2166"/>
        <v>0</v>
      </c>
      <c r="J661" s="1896">
        <f t="shared" si="2167"/>
        <v>839</v>
      </c>
      <c r="K661" s="1868"/>
      <c r="L661" s="1868"/>
      <c r="M661" s="1868"/>
      <c r="N661" s="1895">
        <f t="shared" si="2168"/>
        <v>0</v>
      </c>
      <c r="O661" s="1896">
        <f t="shared" si="2169"/>
        <v>839</v>
      </c>
      <c r="P661" s="1868"/>
      <c r="Q661" s="1868"/>
      <c r="R661" s="1868"/>
      <c r="S661" s="1895">
        <f t="shared" si="2182"/>
        <v>0</v>
      </c>
      <c r="T661" s="1897">
        <f t="shared" si="2170"/>
        <v>839</v>
      </c>
      <c r="V661" s="1908"/>
      <c r="W661" s="2103"/>
      <c r="X661" s="2103"/>
      <c r="Y661" s="2103"/>
      <c r="Z661" s="2151"/>
    </row>
    <row r="662">
      <c r="A662" s="1179" t="s">
        <v>182</v>
      </c>
      <c r="B662" s="1868">
        <v>680</v>
      </c>
      <c r="C662" s="1868">
        <v>592</v>
      </c>
      <c r="D662" s="1868"/>
      <c r="E662" s="1895">
        <f t="shared" si="2148"/>
        <v>1272</v>
      </c>
      <c r="F662" s="1868"/>
      <c r="G662" s="1868"/>
      <c r="H662" s="1868"/>
      <c r="I662" s="1895">
        <f t="shared" si="2166"/>
        <v>0</v>
      </c>
      <c r="J662" s="1896">
        <f t="shared" si="2167"/>
        <v>1272</v>
      </c>
      <c r="K662" s="1868"/>
      <c r="L662" s="1868"/>
      <c r="M662" s="1868"/>
      <c r="N662" s="1895">
        <f t="shared" si="2168"/>
        <v>0</v>
      </c>
      <c r="O662" s="1896">
        <f t="shared" si="2169"/>
        <v>1272</v>
      </c>
      <c r="P662" s="1868"/>
      <c r="Q662" s="1868"/>
      <c r="R662" s="1868"/>
      <c r="S662" s="1895">
        <f t="shared" si="2182"/>
        <v>0</v>
      </c>
      <c r="T662" s="1897">
        <f t="shared" si="2170"/>
        <v>1272</v>
      </c>
      <c r="V662" s="1908"/>
      <c r="W662" s="2103"/>
      <c r="X662" s="2103"/>
      <c r="Y662" s="2103"/>
      <c r="Z662" s="2151"/>
    </row>
    <row r="663">
      <c r="A663" s="1179" t="s">
        <v>183</v>
      </c>
      <c r="B663" s="1868">
        <v>375</v>
      </c>
      <c r="C663" s="1868">
        <v>225</v>
      </c>
      <c r="D663" s="1868"/>
      <c r="E663" s="1895">
        <f t="shared" si="2148"/>
        <v>600</v>
      </c>
      <c r="F663" s="1868"/>
      <c r="G663" s="1868"/>
      <c r="H663" s="1868"/>
      <c r="I663" s="1895">
        <f t="shared" si="2166"/>
        <v>0</v>
      </c>
      <c r="J663" s="1896">
        <f t="shared" si="2167"/>
        <v>600</v>
      </c>
      <c r="K663" s="1868"/>
      <c r="L663" s="1868"/>
      <c r="M663" s="1868"/>
      <c r="N663" s="1895">
        <f t="shared" si="2168"/>
        <v>0</v>
      </c>
      <c r="O663" s="1896">
        <f t="shared" si="2169"/>
        <v>600</v>
      </c>
      <c r="P663" s="1868"/>
      <c r="Q663" s="1868"/>
      <c r="R663" s="1868"/>
      <c r="S663" s="1895">
        <f t="shared" si="2182"/>
        <v>0</v>
      </c>
      <c r="T663" s="1897">
        <f t="shared" si="2170"/>
        <v>600</v>
      </c>
      <c r="V663" s="1908"/>
      <c r="W663" s="2103"/>
      <c r="X663" s="2103"/>
      <c r="Y663" s="2103"/>
      <c r="Z663" s="2151"/>
    </row>
    <row r="664">
      <c r="A664" s="1179" t="s">
        <v>712</v>
      </c>
      <c r="B664" s="1868">
        <v>336</v>
      </c>
      <c r="C664" s="1868">
        <v>467</v>
      </c>
      <c r="D664" s="1868"/>
      <c r="E664" s="1895">
        <f t="shared" si="2148"/>
        <v>803</v>
      </c>
      <c r="F664" s="1868"/>
      <c r="G664" s="1868"/>
      <c r="H664" s="1868"/>
      <c r="I664" s="1895">
        <f t="shared" si="2166"/>
        <v>0</v>
      </c>
      <c r="J664" s="1896">
        <f t="shared" si="2167"/>
        <v>803</v>
      </c>
      <c r="K664" s="1868"/>
      <c r="L664" s="1868"/>
      <c r="M664" s="1868"/>
      <c r="N664" s="1895">
        <f t="shared" si="2168"/>
        <v>0</v>
      </c>
      <c r="O664" s="1896">
        <f t="shared" si="2169"/>
        <v>803</v>
      </c>
      <c r="P664" s="1868"/>
      <c r="Q664" s="1868"/>
      <c r="R664" s="1868"/>
      <c r="S664" s="1895">
        <f t="shared" si="2182"/>
        <v>0</v>
      </c>
      <c r="T664" s="1897">
        <f t="shared" si="2170"/>
        <v>803</v>
      </c>
      <c r="V664" s="1908"/>
      <c r="W664" s="2103"/>
      <c r="X664" s="2103"/>
      <c r="Y664" s="2103"/>
      <c r="Z664" s="2151"/>
    </row>
    <row r="665">
      <c r="A665" s="1857" t="s">
        <v>361</v>
      </c>
      <c r="B665" s="1868">
        <v>16</v>
      </c>
      <c r="C665" s="1868">
        <v>31</v>
      </c>
      <c r="D665" s="1868"/>
      <c r="E665" s="1895">
        <f t="shared" si="2148"/>
        <v>47</v>
      </c>
      <c r="F665" s="1868"/>
      <c r="G665" s="1868"/>
      <c r="H665" s="1868"/>
      <c r="I665" s="1895">
        <f t="shared" si="2166"/>
        <v>0</v>
      </c>
      <c r="J665" s="1896">
        <f t="shared" si="2167"/>
        <v>47</v>
      </c>
      <c r="K665" s="1868"/>
      <c r="L665" s="1868"/>
      <c r="M665" s="1868"/>
      <c r="N665" s="1895">
        <f t="shared" si="2168"/>
        <v>0</v>
      </c>
      <c r="O665" s="1896">
        <f t="shared" si="2169"/>
        <v>47</v>
      </c>
      <c r="P665" s="1868"/>
      <c r="Q665" s="1868"/>
      <c r="R665" s="1868"/>
      <c r="S665" s="1895">
        <f t="shared" si="2182"/>
        <v>0</v>
      </c>
      <c r="T665" s="1897">
        <f t="shared" si="2170"/>
        <v>47</v>
      </c>
      <c r="V665" s="1908"/>
      <c r="W665" s="2103"/>
      <c r="X665" s="2103"/>
      <c r="Y665" s="2103"/>
      <c r="Z665" s="2151"/>
    </row>
    <row r="666">
      <c r="A666" s="1179" t="s">
        <v>185</v>
      </c>
      <c r="B666" s="1868">
        <v>197</v>
      </c>
      <c r="C666" s="1868">
        <v>296</v>
      </c>
      <c r="D666" s="1868"/>
      <c r="E666" s="1895">
        <f t="shared" si="2148"/>
        <v>493</v>
      </c>
      <c r="F666" s="1868"/>
      <c r="G666" s="1868"/>
      <c r="H666" s="1868"/>
      <c r="I666" s="1895">
        <f t="shared" si="2166"/>
        <v>0</v>
      </c>
      <c r="J666" s="1896">
        <f t="shared" si="2167"/>
        <v>493</v>
      </c>
      <c r="K666" s="1868"/>
      <c r="L666" s="1868"/>
      <c r="M666" s="1868"/>
      <c r="N666" s="1895">
        <f t="shared" si="2168"/>
        <v>0</v>
      </c>
      <c r="O666" s="1896">
        <f t="shared" si="2169"/>
        <v>493</v>
      </c>
      <c r="P666" s="1868"/>
      <c r="Q666" s="1868"/>
      <c r="R666" s="1868"/>
      <c r="S666" s="1895">
        <f t="shared" si="2182"/>
        <v>0</v>
      </c>
      <c r="T666" s="1897">
        <f t="shared" si="2170"/>
        <v>493</v>
      </c>
      <c r="V666" s="1908"/>
      <c r="W666" s="2103"/>
      <c r="X666" s="2103"/>
      <c r="Y666" s="2103"/>
      <c r="Z666" s="2151"/>
    </row>
    <row r="667" s="1510" customFormat="1">
      <c r="A667" s="1511" t="s">
        <v>363</v>
      </c>
      <c r="B667" s="1871">
        <f>SUM(B659:B666)</f>
        <v>3213</v>
      </c>
      <c r="C667" s="1871">
        <f>SUM(C659:C666)</f>
        <v>3595</v>
      </c>
      <c r="D667" s="1871">
        <f>SUM(D659:D666)</f>
        <v>0</v>
      </c>
      <c r="E667" s="1899">
        <f t="shared" si="2148"/>
        <v>6808</v>
      </c>
      <c r="F667" s="1871">
        <f>SUM(F659:F666)</f>
        <v>0</v>
      </c>
      <c r="G667" s="1871">
        <f>SUM(G659:G666)</f>
        <v>0</v>
      </c>
      <c r="H667" s="1871">
        <f>SUM(H659:H666)</f>
        <v>0</v>
      </c>
      <c r="I667" s="1899">
        <f t="shared" si="2166"/>
        <v>0</v>
      </c>
      <c r="J667" s="1900">
        <f t="shared" si="2167"/>
        <v>6808</v>
      </c>
      <c r="K667" s="1871">
        <f>SUM(K659:K666)</f>
        <v>0</v>
      </c>
      <c r="L667" s="1871">
        <f>SUM(L659:L666)</f>
        <v>0</v>
      </c>
      <c r="M667" s="1871">
        <f>SUM(M659:M666)</f>
        <v>0</v>
      </c>
      <c r="N667" s="1899">
        <f t="shared" si="2168"/>
        <v>0</v>
      </c>
      <c r="O667" s="1900">
        <f t="shared" si="2169"/>
        <v>6808</v>
      </c>
      <c r="P667" s="1871">
        <f>SUM(P659:P666)</f>
        <v>0</v>
      </c>
      <c r="Q667" s="1871">
        <f>SUM(Q659:Q666)</f>
        <v>0</v>
      </c>
      <c r="R667" s="1871">
        <f>SUM(R659:R666)</f>
        <v>0</v>
      </c>
      <c r="S667" s="1899">
        <f t="shared" si="2182"/>
        <v>0</v>
      </c>
      <c r="T667" s="1901">
        <f>SUM(T659:T666)</f>
        <v>6808</v>
      </c>
      <c r="U667" s="1515"/>
      <c r="V667" s="1908"/>
      <c r="W667" s="2103"/>
      <c r="X667" s="2103"/>
      <c r="Y667" s="2103"/>
      <c r="Z667" s="2151"/>
      <c r="AA667" s="1515"/>
      <c r="AB667" s="1515"/>
      <c r="AC667" s="1515"/>
      <c r="AD667" s="2152"/>
      <c r="AE667" s="2153"/>
      <c r="AF667" s="1515"/>
      <c r="AG667" s="1515"/>
      <c r="AH667" s="1515"/>
      <c r="AI667" s="2152"/>
      <c r="AJ667" s="2153"/>
      <c r="AK667" s="1515"/>
      <c r="AL667" s="1886"/>
      <c r="AM667" s="1515"/>
      <c r="AN667" s="2152"/>
      <c r="AO667" s="2062"/>
      <c r="AP667" s="1515"/>
      <c r="AQ667" s="1515"/>
      <c r="AR667" s="1515"/>
      <c r="AS667" s="1515"/>
      <c r="AT667" s="1515"/>
      <c r="AU667" s="1515"/>
      <c r="AV667" s="1515"/>
      <c r="AW667" s="1515"/>
      <c r="AX667" s="1515"/>
      <c r="AY667" s="1515"/>
      <c r="AZ667" s="1515"/>
    </row>
    <row r="668">
      <c r="A668" s="1179" t="s">
        <v>542</v>
      </c>
      <c r="B668" s="1868"/>
      <c r="C668" s="1868"/>
      <c r="D668" s="1868"/>
      <c r="E668" s="1895">
        <f t="shared" si="2148"/>
        <v>0</v>
      </c>
      <c r="F668" s="1868"/>
      <c r="G668" s="1868"/>
      <c r="H668" s="1868"/>
      <c r="I668" s="1895">
        <f t="shared" si="2166"/>
        <v>0</v>
      </c>
      <c r="J668" s="1896">
        <f t="shared" si="2167"/>
        <v>0</v>
      </c>
      <c r="K668" s="1868"/>
      <c r="L668" s="1868"/>
      <c r="M668" s="1868"/>
      <c r="N668" s="1895">
        <f t="shared" si="2168"/>
        <v>0</v>
      </c>
      <c r="O668" s="1896">
        <f t="shared" si="2169"/>
        <v>0</v>
      </c>
      <c r="P668" s="1868"/>
      <c r="Q668" s="1868"/>
      <c r="R668" s="1868"/>
      <c r="S668" s="1895">
        <f t="shared" si="2182"/>
        <v>0</v>
      </c>
      <c r="T668" s="1897">
        <f t="shared" si="2170"/>
        <v>0</v>
      </c>
      <c r="V668" s="1908"/>
      <c r="W668" s="2103"/>
      <c r="X668" s="2103"/>
      <c r="Y668" s="2103"/>
      <c r="Z668" s="2151"/>
    </row>
    <row r="669">
      <c r="A669" s="1179" t="s">
        <v>713</v>
      </c>
      <c r="B669" s="1868">
        <v>335</v>
      </c>
      <c r="C669" s="1868">
        <v>216</v>
      </c>
      <c r="D669" s="1868"/>
      <c r="E669" s="1895">
        <f t="shared" si="2148"/>
        <v>551</v>
      </c>
      <c r="F669" s="1868"/>
      <c r="G669" s="1868"/>
      <c r="H669" s="1868"/>
      <c r="I669" s="1895">
        <f t="shared" si="2166"/>
        <v>0</v>
      </c>
      <c r="J669" s="1896">
        <f t="shared" si="2167"/>
        <v>551</v>
      </c>
      <c r="K669" s="1868"/>
      <c r="L669" s="1868"/>
      <c r="M669" s="1868"/>
      <c r="N669" s="1895">
        <f t="shared" si="2168"/>
        <v>0</v>
      </c>
      <c r="O669" s="1896">
        <f t="shared" si="2169"/>
        <v>551</v>
      </c>
      <c r="P669" s="1868"/>
      <c r="Q669" s="1868"/>
      <c r="R669" s="1868"/>
      <c r="S669" s="1895">
        <f t="shared" si="2182"/>
        <v>0</v>
      </c>
      <c r="T669" s="1897">
        <f t="shared" si="2170"/>
        <v>551</v>
      </c>
      <c r="V669" s="1908"/>
      <c r="W669" s="2103"/>
      <c r="X669" s="2103"/>
      <c r="Y669" s="2103"/>
      <c r="Z669" s="2151"/>
    </row>
    <row r="670">
      <c r="A670" s="1179" t="s">
        <v>196</v>
      </c>
      <c r="B670" s="1868">
        <v>336</v>
      </c>
      <c r="C670" s="1868">
        <v>352</v>
      </c>
      <c r="D670" s="1868"/>
      <c r="E670" s="1895">
        <f t="shared" si="2148"/>
        <v>688</v>
      </c>
      <c r="F670" s="1868"/>
      <c r="G670" s="1868"/>
      <c r="H670" s="1868"/>
      <c r="I670" s="1895">
        <f t="shared" si="2166"/>
        <v>0</v>
      </c>
      <c r="J670" s="1896">
        <f t="shared" si="2167"/>
        <v>688</v>
      </c>
      <c r="K670" s="1868"/>
      <c r="L670" s="1868"/>
      <c r="M670" s="1868"/>
      <c r="N670" s="1895">
        <f t="shared" si="2168"/>
        <v>0</v>
      </c>
      <c r="O670" s="1896">
        <f t="shared" si="2169"/>
        <v>688</v>
      </c>
      <c r="P670" s="1868"/>
      <c r="Q670" s="1868"/>
      <c r="R670" s="1868"/>
      <c r="S670" s="1895">
        <f t="shared" si="2182"/>
        <v>0</v>
      </c>
      <c r="T670" s="1897">
        <f t="shared" si="2170"/>
        <v>688</v>
      </c>
      <c r="V670" s="1908"/>
      <c r="W670" s="2103"/>
      <c r="X670" s="2103"/>
      <c r="Y670" s="2103"/>
      <c r="Z670" s="2151"/>
    </row>
    <row r="671">
      <c r="A671" s="1179" t="s">
        <v>367</v>
      </c>
      <c r="B671" s="1868"/>
      <c r="C671" s="1868"/>
      <c r="D671" s="1868"/>
      <c r="E671" s="1895">
        <f t="shared" si="2148"/>
        <v>0</v>
      </c>
      <c r="F671" s="1868"/>
      <c r="G671" s="1868"/>
      <c r="H671" s="1868"/>
      <c r="I671" s="1895">
        <f t="shared" si="2166"/>
        <v>0</v>
      </c>
      <c r="J671" s="1896">
        <f t="shared" si="2167"/>
        <v>0</v>
      </c>
      <c r="K671" s="1868"/>
      <c r="L671" s="1868"/>
      <c r="M671" s="1868"/>
      <c r="N671" s="1895">
        <f t="shared" si="2168"/>
        <v>0</v>
      </c>
      <c r="O671" s="1896">
        <f t="shared" si="2169"/>
        <v>0</v>
      </c>
      <c r="P671" s="1868"/>
      <c r="Q671" s="1868"/>
      <c r="R671" s="1868"/>
      <c r="S671" s="1895">
        <f t="shared" si="2182"/>
        <v>0</v>
      </c>
      <c r="T671" s="1897">
        <f t="shared" si="2170"/>
        <v>0</v>
      </c>
      <c r="V671" s="1908"/>
      <c r="W671" s="2103"/>
      <c r="X671" s="2103"/>
      <c r="Y671" s="2103"/>
      <c r="Z671" s="2151"/>
    </row>
    <row r="672">
      <c r="A672" s="1179" t="s">
        <v>201</v>
      </c>
      <c r="B672" s="1868">
        <v>191</v>
      </c>
      <c r="C672" s="1868">
        <v>152</v>
      </c>
      <c r="D672" s="1868"/>
      <c r="E672" s="1895">
        <f t="shared" si="2148"/>
        <v>343</v>
      </c>
      <c r="F672" s="1868"/>
      <c r="G672" s="1868"/>
      <c r="H672" s="1868"/>
      <c r="I672" s="1895">
        <f t="shared" si="2166"/>
        <v>0</v>
      </c>
      <c r="J672" s="1896">
        <f t="shared" si="2167"/>
        <v>343</v>
      </c>
      <c r="K672" s="1868"/>
      <c r="L672" s="1868"/>
      <c r="M672" s="1868"/>
      <c r="N672" s="1895">
        <f t="shared" si="2168"/>
        <v>0</v>
      </c>
      <c r="O672" s="1896">
        <f t="shared" si="2169"/>
        <v>343</v>
      </c>
      <c r="P672" s="1868"/>
      <c r="Q672" s="1868"/>
      <c r="R672" s="1868"/>
      <c r="S672" s="1895">
        <f t="shared" si="2182"/>
        <v>0</v>
      </c>
      <c r="T672" s="1897">
        <f t="shared" si="2170"/>
        <v>343</v>
      </c>
      <c r="V672" s="1908"/>
      <c r="W672" s="2103"/>
      <c r="X672" s="2103"/>
      <c r="Y672" s="2103"/>
      <c r="Z672" s="2151"/>
    </row>
    <row r="673">
      <c r="A673" s="1179" t="s">
        <v>203</v>
      </c>
      <c r="B673" s="1868">
        <v>300</v>
      </c>
      <c r="C673" s="1868">
        <v>343</v>
      </c>
      <c r="D673" s="1868"/>
      <c r="E673" s="1895">
        <f t="shared" si="2148"/>
        <v>643</v>
      </c>
      <c r="F673" s="1868"/>
      <c r="G673" s="1868"/>
      <c r="H673" s="1868"/>
      <c r="I673" s="1895">
        <f t="shared" si="2166"/>
        <v>0</v>
      </c>
      <c r="J673" s="1896">
        <f t="shared" si="2167"/>
        <v>643</v>
      </c>
      <c r="K673" s="1868"/>
      <c r="L673" s="1868"/>
      <c r="M673" s="1868"/>
      <c r="N673" s="1895">
        <f t="shared" si="2168"/>
        <v>0</v>
      </c>
      <c r="O673" s="1896">
        <f t="shared" si="2169"/>
        <v>643</v>
      </c>
      <c r="P673" s="1868"/>
      <c r="Q673" s="1868"/>
      <c r="R673" s="1868"/>
      <c r="S673" s="1895">
        <f t="shared" si="2182"/>
        <v>0</v>
      </c>
      <c r="T673" s="1897">
        <f t="shared" si="2170"/>
        <v>643</v>
      </c>
      <c r="V673" s="1908"/>
      <c r="W673" s="2103"/>
      <c r="X673" s="2103"/>
      <c r="Y673" s="2103"/>
      <c r="Z673" s="2151"/>
    </row>
    <row r="674">
      <c r="A674" s="1179" t="s">
        <v>204</v>
      </c>
      <c r="B674" s="1868">
        <v>278</v>
      </c>
      <c r="C674" s="1868">
        <v>305</v>
      </c>
      <c r="D674" s="1868"/>
      <c r="E674" s="1895">
        <f t="shared" si="2148"/>
        <v>583</v>
      </c>
      <c r="F674" s="1868"/>
      <c r="G674" s="1868"/>
      <c r="H674" s="1868"/>
      <c r="I674" s="1895">
        <f t="shared" si="2166"/>
        <v>0</v>
      </c>
      <c r="J674" s="1896">
        <f t="shared" si="2167"/>
        <v>583</v>
      </c>
      <c r="K674" s="1868"/>
      <c r="L674" s="1868"/>
      <c r="M674" s="1868"/>
      <c r="N674" s="1895">
        <f t="shared" si="2168"/>
        <v>0</v>
      </c>
      <c r="O674" s="1896">
        <f t="shared" si="2169"/>
        <v>583</v>
      </c>
      <c r="P674" s="1868"/>
      <c r="Q674" s="1868"/>
      <c r="R674" s="1868"/>
      <c r="S674" s="1895">
        <f t="shared" si="2182"/>
        <v>0</v>
      </c>
      <c r="T674" s="1897">
        <f t="shared" si="2170"/>
        <v>583</v>
      </c>
      <c r="V674" s="1908"/>
      <c r="W674" s="2103"/>
      <c r="X674" s="2103"/>
      <c r="Y674" s="2103"/>
      <c r="Z674" s="2151"/>
    </row>
    <row r="675">
      <c r="A675" s="1179" t="s">
        <v>205</v>
      </c>
      <c r="B675" s="1868">
        <v>319</v>
      </c>
      <c r="C675" s="1868">
        <v>400</v>
      </c>
      <c r="D675" s="1868"/>
      <c r="E675" s="1895">
        <f t="shared" si="2148"/>
        <v>719</v>
      </c>
      <c r="F675" s="1868"/>
      <c r="G675" s="1868"/>
      <c r="H675" s="1868"/>
      <c r="I675" s="1895">
        <f t="shared" si="2166"/>
        <v>0</v>
      </c>
      <c r="J675" s="1896">
        <f t="shared" si="2167"/>
        <v>719</v>
      </c>
      <c r="K675" s="1868"/>
      <c r="L675" s="1868"/>
      <c r="M675" s="1868"/>
      <c r="N675" s="1895">
        <f t="shared" si="2168"/>
        <v>0</v>
      </c>
      <c r="O675" s="1896">
        <f t="shared" si="2169"/>
        <v>719</v>
      </c>
      <c r="P675" s="1868"/>
      <c r="Q675" s="1868"/>
      <c r="R675" s="1868"/>
      <c r="S675" s="1895">
        <f t="shared" si="2182"/>
        <v>0</v>
      </c>
      <c r="T675" s="1897">
        <f t="shared" si="2170"/>
        <v>719</v>
      </c>
      <c r="V675" s="1908"/>
      <c r="W675" s="2103"/>
      <c r="X675" s="2103"/>
      <c r="Y675" s="2103"/>
      <c r="Z675" s="2151"/>
    </row>
    <row r="676">
      <c r="A676" s="1179" t="s">
        <v>206</v>
      </c>
      <c r="B676" s="1868">
        <v>331</v>
      </c>
      <c r="C676" s="1868">
        <v>296</v>
      </c>
      <c r="D676" s="1868"/>
      <c r="E676" s="1895">
        <f t="shared" si="2148"/>
        <v>627</v>
      </c>
      <c r="F676" s="1868"/>
      <c r="G676" s="1868"/>
      <c r="H676" s="1868"/>
      <c r="I676" s="1895">
        <f t="shared" si="2166"/>
        <v>0</v>
      </c>
      <c r="J676" s="1896">
        <f t="shared" si="2167"/>
        <v>627</v>
      </c>
      <c r="K676" s="1868"/>
      <c r="L676" s="1868"/>
      <c r="M676" s="1868"/>
      <c r="N676" s="1895">
        <f t="shared" si="2168"/>
        <v>0</v>
      </c>
      <c r="O676" s="1896">
        <f t="shared" si="2169"/>
        <v>627</v>
      </c>
      <c r="P676" s="1868"/>
      <c r="Q676" s="1868"/>
      <c r="R676" s="1868"/>
      <c r="S676" s="1895">
        <f t="shared" si="2182"/>
        <v>0</v>
      </c>
      <c r="T676" s="1897">
        <f t="shared" si="2170"/>
        <v>627</v>
      </c>
      <c r="V676" s="1908"/>
      <c r="W676" s="2103"/>
      <c r="X676" s="2103"/>
      <c r="Y676" s="2103"/>
      <c r="Z676" s="2151"/>
    </row>
    <row r="677">
      <c r="A677" s="1179" t="s">
        <v>207</v>
      </c>
      <c r="B677" s="1868">
        <v>142</v>
      </c>
      <c r="C677" s="1868">
        <v>175</v>
      </c>
      <c r="D677" s="1868"/>
      <c r="E677" s="1895">
        <f t="shared" si="2148"/>
        <v>317</v>
      </c>
      <c r="F677" s="1868"/>
      <c r="G677" s="1868"/>
      <c r="H677" s="1868"/>
      <c r="I677" s="1895">
        <f t="shared" si="2166"/>
        <v>0</v>
      </c>
      <c r="J677" s="1896">
        <f t="shared" si="2167"/>
        <v>317</v>
      </c>
      <c r="K677" s="1868"/>
      <c r="L677" s="1868"/>
      <c r="M677" s="1868"/>
      <c r="N677" s="1895">
        <f t="shared" si="2168"/>
        <v>0</v>
      </c>
      <c r="O677" s="1896">
        <f t="shared" si="2169"/>
        <v>317</v>
      </c>
      <c r="P677" s="1868"/>
      <c r="Q677" s="1868"/>
      <c r="R677" s="1868"/>
      <c r="S677" s="1895">
        <f t="shared" si="2182"/>
        <v>0</v>
      </c>
      <c r="T677" s="1897">
        <f t="shared" si="2170"/>
        <v>317</v>
      </c>
      <c r="V677" s="1908"/>
      <c r="W677" s="2103"/>
      <c r="X677" s="2103"/>
      <c r="Y677" s="2103"/>
      <c r="Z677" s="2151"/>
    </row>
    <row r="678">
      <c r="A678" s="1179" t="s">
        <v>209</v>
      </c>
      <c r="B678" s="1868">
        <v>123</v>
      </c>
      <c r="C678" s="1868">
        <v>120</v>
      </c>
      <c r="D678" s="1868"/>
      <c r="E678" s="1895">
        <f t="shared" ref="E678:E741" si="2186">B678+C678+D678</f>
        <v>243</v>
      </c>
      <c r="F678" s="1868"/>
      <c r="G678" s="1868"/>
      <c r="H678" s="1868"/>
      <c r="I678" s="1895">
        <f t="shared" si="2166"/>
        <v>0</v>
      </c>
      <c r="J678" s="1896">
        <f t="shared" si="2167"/>
        <v>243</v>
      </c>
      <c r="K678" s="1868"/>
      <c r="L678" s="1868"/>
      <c r="M678" s="1868"/>
      <c r="N678" s="1895">
        <f t="shared" si="2168"/>
        <v>0</v>
      </c>
      <c r="O678" s="1896">
        <f t="shared" si="2169"/>
        <v>243</v>
      </c>
      <c r="P678" s="1868"/>
      <c r="Q678" s="1868"/>
      <c r="R678" s="1868"/>
      <c r="S678" s="1895">
        <f t="shared" si="2182"/>
        <v>0</v>
      </c>
      <c r="T678" s="1897">
        <f t="shared" si="2170"/>
        <v>243</v>
      </c>
      <c r="V678" s="1908"/>
      <c r="W678" s="2103"/>
      <c r="X678" s="2103"/>
      <c r="Y678" s="2103"/>
      <c r="Z678" s="2151"/>
    </row>
    <row r="679">
      <c r="A679" s="1179" t="s">
        <v>714</v>
      </c>
      <c r="B679" s="1868">
        <v>183</v>
      </c>
      <c r="C679" s="1868">
        <v>148</v>
      </c>
      <c r="D679" s="1868"/>
      <c r="E679" s="1895">
        <f t="shared" si="2186"/>
        <v>331</v>
      </c>
      <c r="F679" s="1868"/>
      <c r="G679" s="1868"/>
      <c r="H679" s="1868"/>
      <c r="I679" s="1895">
        <f t="shared" si="2166"/>
        <v>0</v>
      </c>
      <c r="J679" s="1896">
        <f t="shared" si="2167"/>
        <v>331</v>
      </c>
      <c r="K679" s="1868"/>
      <c r="L679" s="1868"/>
      <c r="M679" s="1868"/>
      <c r="N679" s="1895">
        <f t="shared" si="2168"/>
        <v>0</v>
      </c>
      <c r="O679" s="1896">
        <f t="shared" si="2169"/>
        <v>331</v>
      </c>
      <c r="P679" s="1868"/>
      <c r="Q679" s="1868"/>
      <c r="R679" s="1868"/>
      <c r="S679" s="1895">
        <f t="shared" si="2182"/>
        <v>0</v>
      </c>
      <c r="T679" s="1897">
        <f t="shared" si="2170"/>
        <v>331</v>
      </c>
      <c r="V679" s="1908"/>
      <c r="W679" s="2103"/>
      <c r="X679" s="2103"/>
      <c r="Y679" s="2103"/>
      <c r="Z679" s="2151"/>
    </row>
    <row r="680">
      <c r="A680" s="1179" t="s">
        <v>211</v>
      </c>
      <c r="B680" s="1868">
        <v>1145</v>
      </c>
      <c r="C680" s="1868">
        <v>1110</v>
      </c>
      <c r="D680" s="1868"/>
      <c r="E680" s="1895">
        <f t="shared" si="2186"/>
        <v>2255</v>
      </c>
      <c r="F680" s="1868"/>
      <c r="G680" s="1868"/>
      <c r="H680" s="1868"/>
      <c r="I680" s="1895">
        <f t="shared" si="2166"/>
        <v>0</v>
      </c>
      <c r="J680" s="1896">
        <f t="shared" si="2167"/>
        <v>2255</v>
      </c>
      <c r="K680" s="1868"/>
      <c r="L680" s="1868"/>
      <c r="M680" s="1868"/>
      <c r="N680" s="1895">
        <f t="shared" si="2168"/>
        <v>0</v>
      </c>
      <c r="O680" s="1896">
        <f t="shared" si="2169"/>
        <v>2255</v>
      </c>
      <c r="P680" s="1868"/>
      <c r="Q680" s="1868"/>
      <c r="R680" s="1868"/>
      <c r="S680" s="1895">
        <f t="shared" si="2182"/>
        <v>0</v>
      </c>
      <c r="T680" s="1897">
        <f t="shared" si="2170"/>
        <v>2255</v>
      </c>
      <c r="V680" s="1908"/>
      <c r="W680" s="2103"/>
      <c r="X680" s="2103"/>
      <c r="Y680" s="2103"/>
      <c r="Z680" s="2151"/>
    </row>
    <row r="681" s="1510" customFormat="1">
      <c r="A681" s="1511" t="s">
        <v>363</v>
      </c>
      <c r="B681" s="1871">
        <f>SUM(B668:B680)</f>
        <v>3683</v>
      </c>
      <c r="C681" s="1871">
        <f>SUM(C668:C680)</f>
        <v>3617</v>
      </c>
      <c r="D681" s="1871">
        <f>SUM(D668:D680)</f>
        <v>0</v>
      </c>
      <c r="E681" s="1899">
        <f t="shared" si="2186"/>
        <v>7300</v>
      </c>
      <c r="F681" s="1871">
        <f>SUM(F668:F680)</f>
        <v>0</v>
      </c>
      <c r="G681" s="1871">
        <f>SUM(G668:G680)</f>
        <v>0</v>
      </c>
      <c r="H681" s="1871">
        <f>SUM(H668:H680)</f>
        <v>0</v>
      </c>
      <c r="I681" s="1899">
        <f t="shared" si="2166"/>
        <v>0</v>
      </c>
      <c r="J681" s="1900">
        <f t="shared" si="2167"/>
        <v>7300</v>
      </c>
      <c r="K681" s="1871">
        <f>SUM(K668:K680)</f>
        <v>0</v>
      </c>
      <c r="L681" s="1871">
        <f>SUM(L668:L680)</f>
        <v>0</v>
      </c>
      <c r="M681" s="1871">
        <f>SUM(M668:M680)</f>
        <v>0</v>
      </c>
      <c r="N681" s="1899">
        <f t="shared" si="2168"/>
        <v>0</v>
      </c>
      <c r="O681" s="1900">
        <f t="shared" si="2169"/>
        <v>7300</v>
      </c>
      <c r="P681" s="1871">
        <f>SUM(P668:P680)</f>
        <v>0</v>
      </c>
      <c r="Q681" s="1871">
        <f>SUM(Q668:Q680)</f>
        <v>0</v>
      </c>
      <c r="R681" s="1871">
        <f>SUM(R668:R680)</f>
        <v>0</v>
      </c>
      <c r="S681" s="1899">
        <f t="shared" si="2182"/>
        <v>0</v>
      </c>
      <c r="T681" s="1901">
        <f>SUM(T668:T680)</f>
        <v>7300</v>
      </c>
      <c r="U681" s="1515"/>
      <c r="V681" s="1908"/>
      <c r="W681" s="2103"/>
      <c r="X681" s="2103"/>
      <c r="Y681" s="2103"/>
      <c r="Z681" s="2151"/>
      <c r="AA681" s="1515"/>
      <c r="AB681" s="1515"/>
      <c r="AC681" s="1515"/>
      <c r="AD681" s="2152"/>
      <c r="AE681" s="2153"/>
      <c r="AF681" s="1515"/>
      <c r="AG681" s="1515"/>
      <c r="AH681" s="1515"/>
      <c r="AI681" s="2152"/>
      <c r="AJ681" s="2153"/>
      <c r="AK681" s="1515"/>
      <c r="AL681" s="1886"/>
      <c r="AM681" s="1515"/>
      <c r="AN681" s="2152"/>
      <c r="AO681" s="2062"/>
      <c r="AP681" s="1515"/>
      <c r="AQ681" s="1515"/>
      <c r="AR681" s="1515"/>
      <c r="AS681" s="1515"/>
      <c r="AT681" s="1515"/>
      <c r="AU681" s="1515"/>
      <c r="AV681" s="1515"/>
      <c r="AW681" s="1515"/>
      <c r="AX681" s="1515"/>
      <c r="AY681" s="1515"/>
      <c r="AZ681" s="1515"/>
    </row>
    <row r="682">
      <c r="A682" s="1179" t="s">
        <v>715</v>
      </c>
      <c r="B682" s="1868">
        <v>688</v>
      </c>
      <c r="C682" s="1868">
        <v>842</v>
      </c>
      <c r="D682" s="1868"/>
      <c r="E682" s="1895">
        <f t="shared" si="2186"/>
        <v>1530</v>
      </c>
      <c r="F682" s="1868"/>
      <c r="G682" s="1868"/>
      <c r="H682" s="1868"/>
      <c r="I682" s="1895">
        <f t="shared" si="2166"/>
        <v>0</v>
      </c>
      <c r="J682" s="1896">
        <f t="shared" si="2167"/>
        <v>1530</v>
      </c>
      <c r="K682" s="1868"/>
      <c r="L682" s="1868"/>
      <c r="M682" s="1868"/>
      <c r="N682" s="1895">
        <f t="shared" si="2168"/>
        <v>0</v>
      </c>
      <c r="O682" s="1896">
        <f t="shared" si="2169"/>
        <v>1530</v>
      </c>
      <c r="P682" s="1868"/>
      <c r="Q682" s="1868"/>
      <c r="R682" s="1868"/>
      <c r="S682" s="1895">
        <f t="shared" si="2182"/>
        <v>0</v>
      </c>
      <c r="T682" s="1897">
        <f t="shared" si="2170"/>
        <v>1530</v>
      </c>
      <c r="V682" s="1908"/>
      <c r="W682" s="2103"/>
      <c r="X682" s="2103"/>
      <c r="Y682" s="2103"/>
      <c r="Z682" s="2151"/>
    </row>
    <row r="683">
      <c r="A683" s="1179" t="s">
        <v>716</v>
      </c>
      <c r="B683" s="1868"/>
      <c r="C683" s="1868"/>
      <c r="D683" s="1868"/>
      <c r="E683" s="1895">
        <f t="shared" si="2186"/>
        <v>0</v>
      </c>
      <c r="F683" s="1868"/>
      <c r="G683" s="1868"/>
      <c r="H683" s="1868"/>
      <c r="I683" s="1895">
        <f t="shared" si="2166"/>
        <v>0</v>
      </c>
      <c r="J683" s="1896">
        <f t="shared" si="2167"/>
        <v>0</v>
      </c>
      <c r="K683" s="1868"/>
      <c r="L683" s="1868"/>
      <c r="M683" s="1868"/>
      <c r="N683" s="1895">
        <f t="shared" si="2168"/>
        <v>0</v>
      </c>
      <c r="O683" s="1896">
        <f t="shared" si="2169"/>
        <v>0</v>
      </c>
      <c r="P683" s="1868"/>
      <c r="Q683" s="1868"/>
      <c r="R683" s="1868"/>
      <c r="S683" s="1895">
        <f t="shared" si="2182"/>
        <v>0</v>
      </c>
      <c r="T683" s="1897">
        <f t="shared" si="2170"/>
        <v>0</v>
      </c>
      <c r="V683" s="1908"/>
      <c r="W683" s="2103"/>
      <c r="X683" s="2103"/>
      <c r="Y683" s="2103"/>
      <c r="Z683" s="2151"/>
    </row>
    <row r="684">
      <c r="A684" s="1179" t="s">
        <v>547</v>
      </c>
      <c r="B684" s="1868"/>
      <c r="C684" s="1868"/>
      <c r="D684" s="1868"/>
      <c r="E684" s="1895">
        <f t="shared" si="2186"/>
        <v>0</v>
      </c>
      <c r="F684" s="1868"/>
      <c r="G684" s="1868"/>
      <c r="H684" s="1868"/>
      <c r="I684" s="1895">
        <f t="shared" si="2166"/>
        <v>0</v>
      </c>
      <c r="J684" s="1896">
        <f t="shared" si="2167"/>
        <v>0</v>
      </c>
      <c r="K684" s="1868"/>
      <c r="L684" s="1868"/>
      <c r="M684" s="1868"/>
      <c r="N684" s="1895">
        <f t="shared" si="2168"/>
        <v>0</v>
      </c>
      <c r="O684" s="1896">
        <f t="shared" si="2169"/>
        <v>0</v>
      </c>
      <c r="P684" s="1868"/>
      <c r="Q684" s="1868"/>
      <c r="R684" s="1868"/>
      <c r="S684" s="1895">
        <f t="shared" si="2182"/>
        <v>0</v>
      </c>
      <c r="T684" s="1897">
        <f t="shared" si="2170"/>
        <v>0</v>
      </c>
      <c r="V684" s="1908"/>
      <c r="W684" s="2103"/>
      <c r="X684" s="2103"/>
      <c r="Y684" s="2103"/>
      <c r="Z684" s="2151"/>
    </row>
    <row r="685">
      <c r="A685" s="1551" t="s">
        <v>717</v>
      </c>
      <c r="B685" s="1868"/>
      <c r="C685" s="1868">
        <v>186</v>
      </c>
      <c r="D685" s="1868"/>
      <c r="E685" s="1895">
        <f t="shared" si="2186"/>
        <v>186</v>
      </c>
      <c r="F685" s="1868"/>
      <c r="G685" s="1868"/>
      <c r="H685" s="1868"/>
      <c r="I685" s="1895">
        <f t="shared" si="2166"/>
        <v>0</v>
      </c>
      <c r="J685" s="1896">
        <f t="shared" si="2167"/>
        <v>186</v>
      </c>
      <c r="K685" s="1868">
        <v>0</v>
      </c>
      <c r="L685" s="1868"/>
      <c r="M685" s="1868"/>
      <c r="N685" s="1895">
        <f t="shared" si="2168"/>
        <v>0</v>
      </c>
      <c r="O685" s="1896">
        <f t="shared" si="2169"/>
        <v>186</v>
      </c>
      <c r="P685" s="1868"/>
      <c r="Q685" s="1868"/>
      <c r="R685" s="1868"/>
      <c r="S685" s="1895">
        <f t="shared" si="2182"/>
        <v>0</v>
      </c>
      <c r="T685" s="1897">
        <f t="shared" si="2170"/>
        <v>186</v>
      </c>
      <c r="V685" s="1908"/>
      <c r="W685" s="2103"/>
      <c r="X685" s="2103"/>
      <c r="Y685" s="2103"/>
      <c r="Z685" s="2151"/>
    </row>
    <row r="686" s="1510" customFormat="1">
      <c r="A686" s="1511" t="s">
        <v>544</v>
      </c>
      <c r="B686" s="1871">
        <f>SUM(B682:B685)</f>
        <v>688</v>
      </c>
      <c r="C686" s="1871">
        <f>SUM(C682:C685)</f>
        <v>1028</v>
      </c>
      <c r="D686" s="1871">
        <f>SUM(D682:D685)</f>
        <v>0</v>
      </c>
      <c r="E686" s="1899">
        <f t="shared" si="2186"/>
        <v>1716</v>
      </c>
      <c r="F686" s="1871">
        <f>SUM(F682:F685)</f>
        <v>0</v>
      </c>
      <c r="G686" s="1871">
        <f>SUM(G682:G685)</f>
        <v>0</v>
      </c>
      <c r="H686" s="1871">
        <f>SUM(H682:H685)</f>
        <v>0</v>
      </c>
      <c r="I686" s="1899">
        <f t="shared" si="2166"/>
        <v>0</v>
      </c>
      <c r="J686" s="1900">
        <f t="shared" si="2167"/>
        <v>1716</v>
      </c>
      <c r="K686" s="1871">
        <f>SUM(K682:K685)</f>
        <v>0</v>
      </c>
      <c r="L686" s="1871">
        <f>SUM(L682:L685)</f>
        <v>0</v>
      </c>
      <c r="M686" s="1871">
        <f>SUM(M682:M685)</f>
        <v>0</v>
      </c>
      <c r="N686" s="1899">
        <f t="shared" si="2168"/>
        <v>0</v>
      </c>
      <c r="O686" s="1900">
        <f t="shared" si="2169"/>
        <v>1716</v>
      </c>
      <c r="P686" s="1871">
        <f>SUM(P682:P685)</f>
        <v>0</v>
      </c>
      <c r="Q686" s="1871">
        <f>SUM(Q682:Q685)</f>
        <v>0</v>
      </c>
      <c r="R686" s="1871">
        <f>SUM(R682:R685)</f>
        <v>0</v>
      </c>
      <c r="S686" s="1899">
        <f t="shared" si="2182"/>
        <v>0</v>
      </c>
      <c r="T686" s="1901">
        <f>SUM(T682:T685)</f>
        <v>1716</v>
      </c>
      <c r="U686" s="1515"/>
      <c r="V686" s="1908"/>
      <c r="W686" s="2103"/>
      <c r="X686" s="2103"/>
      <c r="Y686" s="2103"/>
      <c r="Z686" s="2151"/>
      <c r="AA686" s="1515"/>
      <c r="AB686" s="1515"/>
      <c r="AC686" s="1515"/>
      <c r="AD686" s="2152"/>
      <c r="AE686" s="2153"/>
      <c r="AF686" s="1515"/>
      <c r="AG686" s="1515"/>
      <c r="AH686" s="1515"/>
      <c r="AI686" s="2152"/>
      <c r="AJ686" s="2153"/>
      <c r="AK686" s="1515"/>
      <c r="AL686" s="1886"/>
      <c r="AM686" s="1515"/>
      <c r="AN686" s="2152"/>
      <c r="AO686" s="2062"/>
      <c r="AP686" s="1515"/>
      <c r="AQ686" s="1515"/>
      <c r="AR686" s="1515"/>
      <c r="AS686" s="1515"/>
      <c r="AT686" s="1515"/>
      <c r="AU686" s="1515"/>
      <c r="AV686" s="1515"/>
      <c r="AW686" s="1515"/>
      <c r="AX686" s="1515"/>
      <c r="AY686" s="1515"/>
      <c r="AZ686" s="1515"/>
    </row>
    <row r="687">
      <c r="A687" s="1179" t="s">
        <v>718</v>
      </c>
      <c r="B687" s="1868">
        <v>981</v>
      </c>
      <c r="C687" s="1868">
        <v>1035</v>
      </c>
      <c r="D687" s="1868"/>
      <c r="E687" s="1895">
        <f t="shared" si="2186"/>
        <v>2016</v>
      </c>
      <c r="F687" s="1868"/>
      <c r="G687" s="1868"/>
      <c r="H687" s="1868"/>
      <c r="I687" s="1895">
        <f t="shared" si="2166"/>
        <v>0</v>
      </c>
      <c r="J687" s="1896">
        <f t="shared" si="2167"/>
        <v>2016</v>
      </c>
      <c r="K687" s="1868"/>
      <c r="L687" s="1868"/>
      <c r="M687" s="1868"/>
      <c r="N687" s="1895">
        <f t="shared" si="2168"/>
        <v>0</v>
      </c>
      <c r="O687" s="1896">
        <f t="shared" si="2169"/>
        <v>2016</v>
      </c>
      <c r="P687" s="1868"/>
      <c r="Q687" s="1868"/>
      <c r="R687" s="1868"/>
      <c r="S687" s="1895">
        <f t="shared" si="2182"/>
        <v>0</v>
      </c>
      <c r="T687" s="1897">
        <f t="shared" si="2170"/>
        <v>2016</v>
      </c>
      <c r="V687" s="1908"/>
      <c r="W687" s="2103"/>
      <c r="X687" s="2103"/>
      <c r="Y687" s="2103"/>
      <c r="Z687" s="2151"/>
    </row>
    <row r="688">
      <c r="A688" s="1179" t="s">
        <v>392</v>
      </c>
      <c r="B688" s="1868">
        <v>728</v>
      </c>
      <c r="C688" s="1868">
        <v>640</v>
      </c>
      <c r="D688" s="1868"/>
      <c r="E688" s="1895">
        <f t="shared" si="2186"/>
        <v>1368</v>
      </c>
      <c r="F688" s="1868"/>
      <c r="G688" s="1868"/>
      <c r="H688" s="1868"/>
      <c r="I688" s="1895">
        <f t="shared" si="2166"/>
        <v>0</v>
      </c>
      <c r="J688" s="1896">
        <f t="shared" si="2167"/>
        <v>1368</v>
      </c>
      <c r="K688" s="1868"/>
      <c r="L688" s="1868"/>
      <c r="M688" s="1868"/>
      <c r="N688" s="1895">
        <f t="shared" si="2168"/>
        <v>0</v>
      </c>
      <c r="O688" s="1896">
        <f t="shared" si="2169"/>
        <v>1368</v>
      </c>
      <c r="P688" s="1868"/>
      <c r="Q688" s="1868"/>
      <c r="R688" s="1868"/>
      <c r="S688" s="1895">
        <f t="shared" si="2182"/>
        <v>0</v>
      </c>
      <c r="T688" s="1897">
        <f t="shared" si="2170"/>
        <v>1368</v>
      </c>
      <c r="V688" s="1908"/>
      <c r="W688" s="2103"/>
      <c r="X688" s="2103"/>
      <c r="Y688" s="2103"/>
      <c r="Z688" s="2151"/>
    </row>
    <row r="689">
      <c r="A689" s="1179" t="s">
        <v>265</v>
      </c>
      <c r="B689" s="1868">
        <v>494</v>
      </c>
      <c r="C689" s="1868">
        <v>704</v>
      </c>
      <c r="D689" s="1868"/>
      <c r="E689" s="1895">
        <f t="shared" si="2186"/>
        <v>1198</v>
      </c>
      <c r="F689" s="1868"/>
      <c r="G689" s="1868"/>
      <c r="H689" s="1868"/>
      <c r="I689" s="1895">
        <f t="shared" si="2166"/>
        <v>0</v>
      </c>
      <c r="J689" s="1896">
        <f t="shared" si="2167"/>
        <v>1198</v>
      </c>
      <c r="K689" s="1868"/>
      <c r="L689" s="1868"/>
      <c r="M689" s="1868"/>
      <c r="N689" s="1895">
        <f t="shared" si="2168"/>
        <v>0</v>
      </c>
      <c r="O689" s="1896">
        <f t="shared" si="2169"/>
        <v>1198</v>
      </c>
      <c r="P689" s="1868"/>
      <c r="Q689" s="1868"/>
      <c r="R689" s="1868"/>
      <c r="S689" s="1895">
        <f t="shared" si="2182"/>
        <v>0</v>
      </c>
      <c r="T689" s="1897">
        <f t="shared" si="2170"/>
        <v>1198</v>
      </c>
      <c r="V689" s="1908"/>
      <c r="W689" s="2103"/>
      <c r="X689" s="2103"/>
      <c r="Y689" s="2103"/>
      <c r="Z689" s="2151"/>
    </row>
    <row r="690" s="1510" customFormat="1">
      <c r="A690" s="1511" t="s">
        <v>394</v>
      </c>
      <c r="B690" s="1871">
        <f>SUM(B687:B689)</f>
        <v>2203</v>
      </c>
      <c r="C690" s="1871">
        <f>SUM(C687:C689)</f>
        <v>2379</v>
      </c>
      <c r="D690" s="1871">
        <f>SUM(D687:D689)</f>
        <v>0</v>
      </c>
      <c r="E690" s="1899">
        <f t="shared" si="2186"/>
        <v>4582</v>
      </c>
      <c r="F690" s="1871">
        <f>SUM(F687:F689)</f>
        <v>0</v>
      </c>
      <c r="G690" s="1871">
        <f>SUM(G687:G689)</f>
        <v>0</v>
      </c>
      <c r="H690" s="1871">
        <f>SUM(H687:H689)</f>
        <v>0</v>
      </c>
      <c r="I690" s="1895">
        <f t="shared" si="2166"/>
        <v>0</v>
      </c>
      <c r="J690" s="1896">
        <f t="shared" si="2167"/>
        <v>4582</v>
      </c>
      <c r="K690" s="1871">
        <f>SUM(K687:K689)</f>
        <v>0</v>
      </c>
      <c r="L690" s="1871">
        <f>SUM(L687:L689)</f>
        <v>0</v>
      </c>
      <c r="M690" s="1871">
        <f>SUM(M687:M689)</f>
        <v>0</v>
      </c>
      <c r="N690" s="1895">
        <f t="shared" si="2168"/>
        <v>0</v>
      </c>
      <c r="O690" s="1896">
        <f t="shared" si="2169"/>
        <v>4582</v>
      </c>
      <c r="P690" s="1871">
        <f>SUM(P687:P689)</f>
        <v>0</v>
      </c>
      <c r="Q690" s="1871">
        <f>SUM(Q687:Q689)</f>
        <v>0</v>
      </c>
      <c r="R690" s="1871">
        <f>SUM(R687:R689)</f>
        <v>0</v>
      </c>
      <c r="S690" s="1899">
        <f t="shared" si="2182"/>
        <v>0</v>
      </c>
      <c r="T690" s="1901">
        <f>SUM(T687:T689)</f>
        <v>4582</v>
      </c>
      <c r="U690" s="1515"/>
      <c r="V690" s="1908"/>
      <c r="W690" s="2103"/>
      <c r="X690" s="2103"/>
      <c r="Y690" s="2103"/>
      <c r="Z690" s="2151"/>
      <c r="AA690" s="1515"/>
      <c r="AB690" s="1515"/>
      <c r="AC690" s="1515"/>
      <c r="AD690" s="2152"/>
      <c r="AE690" s="2153"/>
      <c r="AF690" s="1515"/>
      <c r="AG690" s="1515"/>
      <c r="AH690" s="1515"/>
      <c r="AI690" s="2152"/>
      <c r="AJ690" s="2153"/>
      <c r="AK690" s="1515"/>
      <c r="AL690" s="1886"/>
      <c r="AM690" s="1515"/>
      <c r="AN690" s="2152"/>
      <c r="AO690" s="2062"/>
      <c r="AP690" s="1515"/>
      <c r="AQ690" s="1515"/>
      <c r="AR690" s="1515"/>
      <c r="AS690" s="1515"/>
      <c r="AT690" s="1515"/>
      <c r="AU690" s="1515"/>
      <c r="AV690" s="1515"/>
      <c r="AW690" s="1515"/>
      <c r="AX690" s="1515"/>
      <c r="AY690" s="1515"/>
      <c r="AZ690" s="1515"/>
    </row>
    <row r="691" s="1510" customFormat="1">
      <c r="A691" s="1904" t="s">
        <v>545</v>
      </c>
      <c r="B691" s="1905">
        <f>B667+B681+B686+B690</f>
        <v>9787</v>
      </c>
      <c r="C691" s="1905">
        <f>C667+C681+C686+C690</f>
        <v>10619</v>
      </c>
      <c r="D691" s="1905">
        <f>D667+D681+D686+D690</f>
        <v>0</v>
      </c>
      <c r="E691" s="1899">
        <f t="shared" si="2186"/>
        <v>20406</v>
      </c>
      <c r="F691" s="1905">
        <f>F667+F681+F686+F690</f>
        <v>0</v>
      </c>
      <c r="G691" s="1905">
        <f>G667+G681+G686+G690</f>
        <v>0</v>
      </c>
      <c r="H691" s="1905">
        <f>H667+H681+H686+H690</f>
        <v>0</v>
      </c>
      <c r="I691" s="1895">
        <f t="shared" si="2166"/>
        <v>0</v>
      </c>
      <c r="J691" s="1895">
        <f t="shared" si="2167"/>
        <v>20406</v>
      </c>
      <c r="K691" s="1905">
        <f>K667+K681+K686+K690</f>
        <v>0</v>
      </c>
      <c r="L691" s="1905">
        <f>L667+L681+L686+L690</f>
        <v>0</v>
      </c>
      <c r="M691" s="1905">
        <f>M667+M681+M686+M690</f>
        <v>0</v>
      </c>
      <c r="N691" s="1895">
        <f t="shared" si="2168"/>
        <v>0</v>
      </c>
      <c r="O691" s="1895">
        <f t="shared" si="2169"/>
        <v>20406</v>
      </c>
      <c r="P691" s="1905">
        <f>P667+P681+P686+P690</f>
        <v>0</v>
      </c>
      <c r="Q691" s="1905">
        <f>Q667+Q681+Q686+Q690</f>
        <v>0</v>
      </c>
      <c r="R691" s="1905">
        <f>R667+R681+R686+R690</f>
        <v>0</v>
      </c>
      <c r="S691" s="1905">
        <f>S667+S681+S686+S690</f>
        <v>0</v>
      </c>
      <c r="T691" s="1905">
        <f>T667+T681+T686+T690</f>
        <v>20406</v>
      </c>
      <c r="U691" s="1515"/>
      <c r="V691" s="1908"/>
      <c r="W691" s="2103"/>
      <c r="X691" s="2103"/>
      <c r="Y691" s="2103"/>
      <c r="Z691" s="2151"/>
      <c r="AA691" s="1515"/>
      <c r="AB691" s="1515"/>
      <c r="AC691" s="1515"/>
      <c r="AD691" s="2152"/>
      <c r="AE691" s="2153"/>
      <c r="AF691" s="1515"/>
      <c r="AG691" s="1515"/>
      <c r="AH691" s="1515"/>
      <c r="AI691" s="2152"/>
      <c r="AJ691" s="2153"/>
      <c r="AK691" s="1515"/>
      <c r="AL691" s="1886"/>
      <c r="AM691" s="1515"/>
      <c r="AN691" s="2152"/>
      <c r="AO691" s="2062"/>
      <c r="AP691" s="1515"/>
      <c r="AQ691" s="1515"/>
      <c r="AR691" s="1515"/>
      <c r="AS691" s="1515"/>
      <c r="AT691" s="1515"/>
      <c r="AU691" s="1515"/>
      <c r="AV691" s="1515"/>
      <c r="AW691" s="1515"/>
      <c r="AX691" s="1515"/>
      <c r="AY691" s="1515"/>
      <c r="AZ691" s="1515"/>
    </row>
    <row r="692">
      <c r="A692" s="1179" t="s">
        <v>719</v>
      </c>
      <c r="B692" s="2154">
        <v>158</v>
      </c>
      <c r="C692" s="2154">
        <v>201</v>
      </c>
      <c r="D692" s="2154"/>
      <c r="E692" s="2155">
        <f t="shared" si="2186"/>
        <v>359</v>
      </c>
      <c r="F692" s="2154"/>
      <c r="G692" s="2154"/>
      <c r="H692" s="1868"/>
      <c r="I692" s="2155">
        <f t="shared" si="2166"/>
        <v>0</v>
      </c>
      <c r="J692" s="2156">
        <f t="shared" si="2167"/>
        <v>359</v>
      </c>
      <c r="K692" s="2154"/>
      <c r="L692" s="2154"/>
      <c r="M692" s="2154"/>
      <c r="N692" s="2155">
        <f t="shared" si="2168"/>
        <v>0</v>
      </c>
      <c r="O692" s="2156">
        <f t="shared" si="2169"/>
        <v>359</v>
      </c>
      <c r="P692" s="2154"/>
      <c r="Q692" s="2154"/>
      <c r="R692" s="2154"/>
      <c r="S692" s="2155">
        <f t="shared" si="2182"/>
        <v>0</v>
      </c>
      <c r="T692" s="2157">
        <f t="shared" si="2170"/>
        <v>359</v>
      </c>
      <c r="V692" s="1908"/>
      <c r="W692" s="2103"/>
      <c r="X692" s="2103"/>
      <c r="Y692" s="2103"/>
      <c r="Z692" s="2151"/>
    </row>
    <row r="693" ht="15.75" customHeight="1">
      <c r="A693" s="2158" t="s">
        <v>720</v>
      </c>
      <c r="B693" s="2154"/>
      <c r="C693" s="2154"/>
      <c r="D693" s="2154"/>
      <c r="E693" s="2155">
        <f t="shared" si="2186"/>
        <v>0</v>
      </c>
      <c r="F693" s="2154"/>
      <c r="G693" s="2154"/>
      <c r="H693" s="1868"/>
      <c r="I693" s="2155">
        <f t="shared" si="2166"/>
        <v>0</v>
      </c>
      <c r="J693" s="2156">
        <f t="shared" si="2167"/>
        <v>0</v>
      </c>
      <c r="K693" s="2154"/>
      <c r="L693" s="2154"/>
      <c r="M693" s="2154"/>
      <c r="N693" s="2155">
        <f t="shared" si="2168"/>
        <v>0</v>
      </c>
      <c r="O693" s="2156">
        <f t="shared" si="2169"/>
        <v>0</v>
      </c>
      <c r="P693" s="2154"/>
      <c r="Q693" s="2154"/>
      <c r="R693" s="2154"/>
      <c r="S693" s="2155">
        <f t="shared" si="2182"/>
        <v>0</v>
      </c>
      <c r="T693" s="2157">
        <f t="shared" si="2170"/>
        <v>0</v>
      </c>
      <c r="V693" s="1908"/>
      <c r="W693" s="2103"/>
      <c r="X693" s="2103"/>
      <c r="Y693" s="2103"/>
      <c r="Z693" s="2151"/>
    </row>
    <row r="694">
      <c r="A694" s="1179" t="s">
        <v>721</v>
      </c>
      <c r="B694" s="1868">
        <v>348</v>
      </c>
      <c r="C694" s="1868">
        <v>186</v>
      </c>
      <c r="D694" s="1868"/>
      <c r="E694" s="1895">
        <f t="shared" si="2186"/>
        <v>534</v>
      </c>
      <c r="F694" s="1868"/>
      <c r="G694" s="1868"/>
      <c r="H694" s="1868"/>
      <c r="I694" s="1895">
        <f t="shared" si="2166"/>
        <v>0</v>
      </c>
      <c r="J694" s="1896">
        <f t="shared" si="2167"/>
        <v>534</v>
      </c>
      <c r="K694" s="1868"/>
      <c r="L694" s="1868"/>
      <c r="M694" s="1868"/>
      <c r="N694" s="1895">
        <f t="shared" si="2168"/>
        <v>0</v>
      </c>
      <c r="O694" s="1896">
        <f t="shared" si="2169"/>
        <v>534</v>
      </c>
      <c r="P694" s="1868"/>
      <c r="Q694" s="1868"/>
      <c r="R694" s="1868"/>
      <c r="S694" s="1895">
        <f t="shared" si="2182"/>
        <v>0</v>
      </c>
      <c r="T694" s="1897">
        <f t="shared" si="2170"/>
        <v>534</v>
      </c>
      <c r="V694" s="1908"/>
      <c r="W694" s="2103"/>
      <c r="X694" s="2103"/>
      <c r="Y694" s="2103"/>
      <c r="Z694" s="2151"/>
    </row>
    <row r="695" s="1510" customFormat="1">
      <c r="A695" s="1511" t="s">
        <v>614</v>
      </c>
      <c r="B695" s="1871">
        <f>SUM(B692:B694)</f>
        <v>506</v>
      </c>
      <c r="C695" s="1871">
        <f t="shared" ref="C695:H695" si="2187">SUM(C692:C694)</f>
        <v>387</v>
      </c>
      <c r="D695" s="1871">
        <f t="shared" si="2187"/>
        <v>0</v>
      </c>
      <c r="E695" s="1899">
        <f t="shared" si="2186"/>
        <v>893</v>
      </c>
      <c r="F695" s="1871">
        <f>SUM(F692:F694)</f>
        <v>0</v>
      </c>
      <c r="G695" s="1871">
        <f>SUM(G692:G694)</f>
        <v>0</v>
      </c>
      <c r="H695" s="1871">
        <f t="shared" si="2187"/>
        <v>0</v>
      </c>
      <c r="I695" s="1899">
        <f t="shared" si="2166"/>
        <v>0</v>
      </c>
      <c r="J695" s="1900">
        <f t="shared" si="2167"/>
        <v>893</v>
      </c>
      <c r="K695" s="1871">
        <f>SUM(K692:K694)</f>
        <v>0</v>
      </c>
      <c r="L695" s="1871">
        <f>SUM(L692:L694)</f>
        <v>0</v>
      </c>
      <c r="M695" s="1871">
        <f>SUM(M692:M694)</f>
        <v>0</v>
      </c>
      <c r="N695" s="1899">
        <f t="shared" si="2168"/>
        <v>0</v>
      </c>
      <c r="O695" s="1900">
        <f t="shared" si="2169"/>
        <v>893</v>
      </c>
      <c r="P695" s="1871">
        <f>SUM(P692:P694)</f>
        <v>0</v>
      </c>
      <c r="Q695" s="1871">
        <f>SUM(Q692:Q694)</f>
        <v>0</v>
      </c>
      <c r="R695" s="1871">
        <f>SUM(R692:R694)</f>
        <v>0</v>
      </c>
      <c r="S695" s="1899">
        <f t="shared" si="2182"/>
        <v>0</v>
      </c>
      <c r="T695" s="1901">
        <f>SUM(T692:T694)</f>
        <v>893</v>
      </c>
      <c r="U695" s="1515"/>
      <c r="V695" s="1908"/>
      <c r="W695" s="2103"/>
      <c r="X695" s="2103"/>
      <c r="Y695" s="2103"/>
      <c r="Z695" s="2151"/>
      <c r="AA695" s="1515"/>
      <c r="AB695" s="1515"/>
      <c r="AC695" s="1515"/>
      <c r="AD695" s="2152"/>
      <c r="AE695" s="2153"/>
      <c r="AF695" s="1515"/>
      <c r="AG695" s="1515"/>
      <c r="AH695" s="1515"/>
      <c r="AI695" s="2152"/>
      <c r="AJ695" s="2153"/>
      <c r="AK695" s="1515"/>
      <c r="AL695" s="1886"/>
      <c r="AM695" s="1515"/>
      <c r="AN695" s="2152"/>
      <c r="AO695" s="2062"/>
      <c r="AP695" s="1515"/>
      <c r="AQ695" s="1515"/>
      <c r="AR695" s="1515"/>
      <c r="AS695" s="1515"/>
      <c r="AT695" s="1515"/>
      <c r="AU695" s="1515"/>
      <c r="AV695" s="1515"/>
      <c r="AW695" s="1515"/>
      <c r="AX695" s="1515"/>
      <c r="AY695" s="1515"/>
      <c r="AZ695" s="1515"/>
    </row>
    <row r="696" s="2159" customFormat="1">
      <c r="A696" s="1179" t="s">
        <v>548</v>
      </c>
      <c r="B696" s="1868">
        <v>1475</v>
      </c>
      <c r="C696" s="1868">
        <v>2600</v>
      </c>
      <c r="D696" s="1868"/>
      <c r="E696" s="1895">
        <f t="shared" si="2186"/>
        <v>4075</v>
      </c>
      <c r="F696" s="1868"/>
      <c r="G696" s="1868"/>
      <c r="H696" s="1868"/>
      <c r="I696" s="1895">
        <f t="shared" si="2166"/>
        <v>0</v>
      </c>
      <c r="J696" s="1896">
        <f t="shared" si="2167"/>
        <v>4075</v>
      </c>
      <c r="K696" s="1868"/>
      <c r="L696" s="1868"/>
      <c r="M696" s="1868"/>
      <c r="N696" s="1895">
        <f t="shared" si="2168"/>
        <v>0</v>
      </c>
      <c r="O696" s="1896">
        <f t="shared" si="2169"/>
        <v>4075</v>
      </c>
      <c r="P696" s="1868"/>
      <c r="Q696" s="1868"/>
      <c r="R696" s="1868"/>
      <c r="S696" s="1895">
        <f t="shared" si="2182"/>
        <v>0</v>
      </c>
      <c r="T696" s="1897">
        <f t="shared" si="2170"/>
        <v>4075</v>
      </c>
      <c r="U696" s="1409"/>
      <c r="V696" s="1908"/>
      <c r="W696" s="2103"/>
      <c r="X696" s="2103"/>
      <c r="Y696" s="2103"/>
      <c r="Z696" s="2151"/>
      <c r="AA696" s="1409"/>
      <c r="AB696" s="1409"/>
      <c r="AC696" s="1409"/>
      <c r="AD696" s="1411"/>
      <c r="AE696" s="1416"/>
      <c r="AF696" s="1409"/>
      <c r="AG696" s="1409"/>
      <c r="AH696" s="1409"/>
      <c r="AI696" s="1411"/>
      <c r="AJ696" s="1416"/>
      <c r="AK696" s="1409"/>
      <c r="AL696" s="1417"/>
      <c r="AM696" s="1409"/>
      <c r="AN696" s="1411"/>
      <c r="AO696" s="1418"/>
      <c r="AP696" s="1409"/>
      <c r="AQ696" s="1409"/>
      <c r="AR696" s="1409"/>
      <c r="AS696" s="1409"/>
      <c r="AT696" s="1409"/>
      <c r="AU696" s="1409"/>
      <c r="AV696" s="1409"/>
      <c r="AW696" s="1409"/>
      <c r="AX696" s="1409"/>
      <c r="AY696" s="1409"/>
      <c r="AZ696" s="1409"/>
    </row>
    <row r="697">
      <c r="A697" s="1179" t="s">
        <v>549</v>
      </c>
      <c r="B697" s="1868">
        <v>419</v>
      </c>
      <c r="C697" s="1868">
        <v>905</v>
      </c>
      <c r="D697" s="1868"/>
      <c r="E697" s="1895">
        <f t="shared" si="2186"/>
        <v>1324</v>
      </c>
      <c r="F697" s="1868"/>
      <c r="G697" s="1868"/>
      <c r="H697" s="1868"/>
      <c r="I697" s="1895">
        <f t="shared" si="2166"/>
        <v>0</v>
      </c>
      <c r="J697" s="1896">
        <f t="shared" si="2167"/>
        <v>1324</v>
      </c>
      <c r="K697" s="1868"/>
      <c r="L697" s="1868"/>
      <c r="M697" s="1868"/>
      <c r="N697" s="1895">
        <f t="shared" si="2168"/>
        <v>0</v>
      </c>
      <c r="O697" s="1896">
        <f t="shared" si="2169"/>
        <v>1324</v>
      </c>
      <c r="P697" s="1868"/>
      <c r="Q697" s="1868"/>
      <c r="R697" s="1868"/>
      <c r="S697" s="1895">
        <f t="shared" si="2182"/>
        <v>0</v>
      </c>
      <c r="T697" s="1897">
        <f t="shared" si="2170"/>
        <v>1324</v>
      </c>
      <c r="V697" s="1908"/>
      <c r="W697" s="2103"/>
      <c r="X697" s="2103"/>
      <c r="Y697" s="2103"/>
      <c r="Z697" s="2151"/>
    </row>
    <row r="698" s="1510" customFormat="1">
      <c r="A698" s="1511" t="s">
        <v>22</v>
      </c>
      <c r="B698" s="1871">
        <f>B696+B697</f>
        <v>1894</v>
      </c>
      <c r="C698" s="1871">
        <f t="shared" ref="C698:H698" si="2188">C696+C697</f>
        <v>3505</v>
      </c>
      <c r="D698" s="1871">
        <f t="shared" si="2188"/>
        <v>0</v>
      </c>
      <c r="E698" s="1899">
        <f t="shared" si="2186"/>
        <v>5399</v>
      </c>
      <c r="F698" s="1871">
        <f>F696+F697</f>
        <v>0</v>
      </c>
      <c r="G698" s="1871">
        <f>G696+G697</f>
        <v>0</v>
      </c>
      <c r="H698" s="1871">
        <f t="shared" si="2188"/>
        <v>0</v>
      </c>
      <c r="I698" s="1899">
        <f t="shared" ref="I698:I761" si="2189">F698+G698+H698</f>
        <v>0</v>
      </c>
      <c r="J698" s="1900">
        <f t="shared" ref="J698:J761" si="2190">E698+I698</f>
        <v>5399</v>
      </c>
      <c r="K698" s="1871">
        <f>K696+K697</f>
        <v>0</v>
      </c>
      <c r="L698" s="1871">
        <f>L696+L697</f>
        <v>0</v>
      </c>
      <c r="M698" s="1871">
        <f>M696+M697</f>
        <v>0</v>
      </c>
      <c r="N698" s="1899">
        <f t="shared" si="2168"/>
        <v>0</v>
      </c>
      <c r="O698" s="1900">
        <f t="shared" si="2169"/>
        <v>5399</v>
      </c>
      <c r="P698" s="1871">
        <f>P696+P697</f>
        <v>0</v>
      </c>
      <c r="Q698" s="1871">
        <f>Q696+Q697</f>
        <v>0</v>
      </c>
      <c r="R698" s="1871">
        <f>R696+R697</f>
        <v>0</v>
      </c>
      <c r="S698" s="1899">
        <f t="shared" si="2182"/>
        <v>0</v>
      </c>
      <c r="T698" s="1901">
        <f t="shared" si="2170"/>
        <v>5399</v>
      </c>
      <c r="U698" s="1515"/>
      <c r="V698" s="1908"/>
      <c r="W698" s="2103"/>
      <c r="X698" s="2103"/>
      <c r="Y698" s="2103"/>
      <c r="Z698" s="2151"/>
      <c r="AA698" s="1515"/>
      <c r="AB698" s="1515"/>
      <c r="AC698" s="1515"/>
      <c r="AD698" s="2152"/>
      <c r="AE698" s="2153"/>
      <c r="AF698" s="1515"/>
      <c r="AG698" s="1515"/>
      <c r="AH698" s="1515"/>
      <c r="AI698" s="2152"/>
      <c r="AJ698" s="2153"/>
      <c r="AK698" s="1515"/>
      <c r="AL698" s="1886"/>
      <c r="AM698" s="1515"/>
      <c r="AN698" s="2152"/>
      <c r="AO698" s="2062"/>
      <c r="AP698" s="1515"/>
      <c r="AQ698" s="1515"/>
      <c r="AR698" s="1515"/>
      <c r="AS698" s="1515"/>
      <c r="AT698" s="1515"/>
      <c r="AU698" s="1515"/>
      <c r="AV698" s="1515"/>
      <c r="AW698" s="1515"/>
      <c r="AX698" s="1515"/>
      <c r="AY698" s="1515"/>
      <c r="AZ698" s="1515"/>
    </row>
    <row r="699" s="1510" customFormat="1">
      <c r="A699" s="2160" t="s">
        <v>545</v>
      </c>
      <c r="B699" s="1905">
        <f>B698+B695+B691</f>
        <v>12187</v>
      </c>
      <c r="C699" s="1905">
        <f t="shared" ref="C699:H699" si="2191">C698+C695+C691</f>
        <v>14511</v>
      </c>
      <c r="D699" s="1905">
        <f t="shared" si="2191"/>
        <v>0</v>
      </c>
      <c r="E699" s="1899">
        <f t="shared" si="2186"/>
        <v>26698</v>
      </c>
      <c r="F699" s="1905">
        <f>F698+F695+F691</f>
        <v>0</v>
      </c>
      <c r="G699" s="1905">
        <f>G698+G695+G691</f>
        <v>0</v>
      </c>
      <c r="H699" s="1905">
        <f t="shared" si="2191"/>
        <v>0</v>
      </c>
      <c r="I699" s="1899">
        <f t="shared" si="2189"/>
        <v>0</v>
      </c>
      <c r="J699" s="1899">
        <f t="shared" si="2190"/>
        <v>26698</v>
      </c>
      <c r="K699" s="1905">
        <f>K698+K695+K691</f>
        <v>0</v>
      </c>
      <c r="L699" s="1905">
        <f>L698+L695+L691</f>
        <v>0</v>
      </c>
      <c r="M699" s="1905">
        <f>M698+M695+M691</f>
        <v>0</v>
      </c>
      <c r="N699" s="1899">
        <f t="shared" si="2168"/>
        <v>0</v>
      </c>
      <c r="O699" s="1899">
        <f t="shared" si="2169"/>
        <v>26698</v>
      </c>
      <c r="P699" s="1905">
        <f>P698+P695+P691</f>
        <v>0</v>
      </c>
      <c r="Q699" s="1905">
        <f>Q698+Q695+Q691</f>
        <v>0</v>
      </c>
      <c r="R699" s="1905">
        <f>R698+R695+R691</f>
        <v>0</v>
      </c>
      <c r="S699" s="1899">
        <f t="shared" si="2182"/>
        <v>0</v>
      </c>
      <c r="T699" s="1899">
        <f t="shared" si="2170"/>
        <v>26698</v>
      </c>
      <c r="U699" s="1515"/>
      <c r="V699" s="1908"/>
      <c r="W699" s="2103"/>
      <c r="X699" s="2103"/>
      <c r="Y699" s="2103"/>
      <c r="Z699" s="2151"/>
      <c r="AA699" s="1515"/>
      <c r="AB699" s="1515"/>
      <c r="AC699" s="1515"/>
      <c r="AD699" s="2152"/>
      <c r="AE699" s="2153"/>
      <c r="AF699" s="1515"/>
      <c r="AG699" s="1515"/>
      <c r="AH699" s="1515"/>
      <c r="AI699" s="2152"/>
      <c r="AJ699" s="2153"/>
      <c r="AK699" s="1515"/>
      <c r="AL699" s="1886"/>
      <c r="AM699" s="1515"/>
      <c r="AN699" s="2152"/>
      <c r="AO699" s="2062"/>
      <c r="AP699" s="1515"/>
      <c r="AQ699" s="1515"/>
      <c r="AR699" s="1515"/>
      <c r="AS699" s="1515"/>
      <c r="AT699" s="1515"/>
      <c r="AU699" s="1515"/>
      <c r="AV699" s="1515"/>
      <c r="AW699" s="1515"/>
      <c r="AX699" s="1515"/>
      <c r="AY699" s="1515"/>
      <c r="AZ699" s="1515"/>
    </row>
    <row r="700">
      <c r="A700" s="1179" t="s">
        <v>722</v>
      </c>
      <c r="B700" s="1868"/>
      <c r="C700" s="1868"/>
      <c r="D700" s="1868"/>
      <c r="E700" s="1895">
        <f t="shared" si="2186"/>
        <v>0</v>
      </c>
      <c r="F700" s="1868"/>
      <c r="G700" s="1868"/>
      <c r="H700" s="1868"/>
      <c r="I700" s="1895">
        <f t="shared" si="2189"/>
        <v>0</v>
      </c>
      <c r="J700" s="1896">
        <f t="shared" si="2190"/>
        <v>0</v>
      </c>
      <c r="K700" s="1868"/>
      <c r="L700" s="1868"/>
      <c r="M700" s="1868"/>
      <c r="N700" s="1895">
        <f t="shared" si="2168"/>
        <v>0</v>
      </c>
      <c r="O700" s="1896">
        <f t="shared" si="2169"/>
        <v>0</v>
      </c>
      <c r="P700" s="1868"/>
      <c r="Q700" s="1868"/>
      <c r="R700" s="1868"/>
      <c r="S700" s="1895">
        <f t="shared" si="2182"/>
        <v>0</v>
      </c>
      <c r="T700" s="1897">
        <f t="shared" si="2170"/>
        <v>0</v>
      </c>
      <c r="V700" s="1908"/>
      <c r="W700" s="2103"/>
      <c r="X700" s="2103"/>
      <c r="Y700" s="2103"/>
      <c r="Z700" s="2151"/>
      <c r="AH700" s="1410"/>
      <c r="AI700" s="2161"/>
      <c r="AJ700" s="2162"/>
    </row>
    <row r="701">
      <c r="A701" s="1179" t="s">
        <v>723</v>
      </c>
      <c r="B701" s="1868"/>
      <c r="C701" s="1868"/>
      <c r="D701" s="1868"/>
      <c r="E701" s="1895">
        <f t="shared" si="2186"/>
        <v>0</v>
      </c>
      <c r="F701" s="1868"/>
      <c r="G701" s="1868"/>
      <c r="H701" s="1868"/>
      <c r="I701" s="1895">
        <f t="shared" si="2189"/>
        <v>0</v>
      </c>
      <c r="J701" s="1896">
        <f t="shared" si="2190"/>
        <v>0</v>
      </c>
      <c r="K701" s="1868"/>
      <c r="L701" s="1868"/>
      <c r="M701" s="1868"/>
      <c r="N701" s="1895">
        <f t="shared" si="2168"/>
        <v>0</v>
      </c>
      <c r="O701" s="1896">
        <f t="shared" si="2169"/>
        <v>0</v>
      </c>
      <c r="P701" s="1868"/>
      <c r="Q701" s="1868"/>
      <c r="R701" s="1868"/>
      <c r="S701" s="1895">
        <f t="shared" si="2182"/>
        <v>0</v>
      </c>
      <c r="T701" s="1897">
        <f t="shared" si="2170"/>
        <v>0</v>
      </c>
      <c r="V701" s="1908"/>
      <c r="W701" s="2103"/>
      <c r="X701" s="2103"/>
      <c r="Y701" s="2103"/>
      <c r="Z701" s="2151"/>
      <c r="AH701" s="1410"/>
      <c r="AI701" s="2161"/>
      <c r="AJ701" s="2162"/>
    </row>
    <row r="702">
      <c r="A702" s="1179" t="s">
        <v>632</v>
      </c>
      <c r="B702" s="1868"/>
      <c r="C702" s="1868"/>
      <c r="D702" s="1868"/>
      <c r="E702" s="1895">
        <f t="shared" si="2186"/>
        <v>0</v>
      </c>
      <c r="F702" s="1868"/>
      <c r="G702" s="1868"/>
      <c r="H702" s="1868"/>
      <c r="I702" s="1895">
        <f t="shared" si="2189"/>
        <v>0</v>
      </c>
      <c r="J702" s="1896">
        <f t="shared" si="2190"/>
        <v>0</v>
      </c>
      <c r="K702" s="1868"/>
      <c r="L702" s="1868"/>
      <c r="M702" s="1868"/>
      <c r="N702" s="1895">
        <f t="shared" ref="N702:N765" si="2192">K702+L702+M702</f>
        <v>0</v>
      </c>
      <c r="O702" s="1896">
        <f t="shared" ref="O702:O765" si="2193">J702+N702</f>
        <v>0</v>
      </c>
      <c r="P702" s="1868"/>
      <c r="Q702" s="1868"/>
      <c r="R702" s="1868"/>
      <c r="S702" s="1895">
        <f t="shared" si="2182"/>
        <v>0</v>
      </c>
      <c r="T702" s="1897">
        <f t="shared" si="2170"/>
        <v>0</v>
      </c>
      <c r="V702" s="1908"/>
      <c r="W702" s="2103"/>
      <c r="X702" s="2103"/>
      <c r="Y702" s="2103"/>
      <c r="Z702" s="2151"/>
      <c r="AH702" s="1410"/>
      <c r="AI702" s="2161"/>
      <c r="AJ702" s="2162"/>
    </row>
    <row r="703">
      <c r="A703" s="1179" t="s">
        <v>277</v>
      </c>
      <c r="B703" s="1868"/>
      <c r="C703" s="1868"/>
      <c r="D703" s="1868"/>
      <c r="E703" s="1895">
        <f t="shared" si="2186"/>
        <v>0</v>
      </c>
      <c r="F703" s="1868"/>
      <c r="G703" s="1868"/>
      <c r="H703" s="1868"/>
      <c r="I703" s="1895">
        <f t="shared" si="2189"/>
        <v>0</v>
      </c>
      <c r="J703" s="1896">
        <f t="shared" si="2190"/>
        <v>0</v>
      </c>
      <c r="K703" s="1868"/>
      <c r="L703" s="1868"/>
      <c r="M703" s="1868"/>
      <c r="N703" s="1895">
        <f t="shared" si="2192"/>
        <v>0</v>
      </c>
      <c r="O703" s="1896">
        <f t="shared" si="2193"/>
        <v>0</v>
      </c>
      <c r="P703" s="1868"/>
      <c r="Q703" s="1868"/>
      <c r="R703" s="1868"/>
      <c r="S703" s="1895">
        <f t="shared" si="2182"/>
        <v>0</v>
      </c>
      <c r="T703" s="1897">
        <f t="shared" ref="T703:T766" si="2194">O703+S703</f>
        <v>0</v>
      </c>
      <c r="V703" s="1908"/>
      <c r="W703" s="2103"/>
      <c r="X703" s="2103"/>
      <c r="Y703" s="2103"/>
      <c r="Z703" s="2151"/>
      <c r="AH703" s="1410"/>
      <c r="AI703" s="2161"/>
      <c r="AJ703" s="2162"/>
    </row>
    <row r="704">
      <c r="A704" s="1179" t="s">
        <v>278</v>
      </c>
      <c r="B704" s="1868"/>
      <c r="C704" s="1868"/>
      <c r="D704" s="1868"/>
      <c r="E704" s="1895">
        <f t="shared" si="2186"/>
        <v>0</v>
      </c>
      <c r="F704" s="1868"/>
      <c r="G704" s="1868"/>
      <c r="H704" s="1868"/>
      <c r="I704" s="1895">
        <f t="shared" si="2189"/>
        <v>0</v>
      </c>
      <c r="J704" s="1896">
        <f t="shared" si="2190"/>
        <v>0</v>
      </c>
      <c r="K704" s="1868"/>
      <c r="L704" s="1868"/>
      <c r="M704" s="1868"/>
      <c r="N704" s="1895">
        <f t="shared" si="2192"/>
        <v>0</v>
      </c>
      <c r="O704" s="1896">
        <f t="shared" si="2193"/>
        <v>0</v>
      </c>
      <c r="P704" s="1868"/>
      <c r="Q704" s="1868"/>
      <c r="R704" s="1868"/>
      <c r="S704" s="1895">
        <f t="shared" si="2182"/>
        <v>0</v>
      </c>
      <c r="T704" s="1897">
        <f t="shared" si="2194"/>
        <v>0</v>
      </c>
      <c r="V704" s="1908"/>
      <c r="W704" s="2103"/>
      <c r="X704" s="2103"/>
      <c r="Y704" s="2103"/>
      <c r="Z704" s="2151"/>
      <c r="AH704" s="1410"/>
      <c r="AI704" s="2161"/>
      <c r="AJ704" s="2162"/>
    </row>
    <row r="705">
      <c r="A705" s="1179" t="s">
        <v>667</v>
      </c>
      <c r="B705" s="1868">
        <v>503</v>
      </c>
      <c r="C705" s="1868">
        <v>1289</v>
      </c>
      <c r="D705" s="1868"/>
      <c r="E705" s="1895">
        <f t="shared" si="2186"/>
        <v>1792</v>
      </c>
      <c r="F705" s="1868"/>
      <c r="G705" s="1868"/>
      <c r="H705" s="1868"/>
      <c r="I705" s="1895">
        <f t="shared" si="2189"/>
        <v>0</v>
      </c>
      <c r="J705" s="1896">
        <f t="shared" si="2190"/>
        <v>1792</v>
      </c>
      <c r="K705" s="1868"/>
      <c r="L705" s="1868"/>
      <c r="M705" s="1868"/>
      <c r="N705" s="1895">
        <f t="shared" si="2192"/>
        <v>0</v>
      </c>
      <c r="O705" s="1896">
        <f t="shared" si="2193"/>
        <v>1792</v>
      </c>
      <c r="P705" s="1868"/>
      <c r="Q705" s="1868"/>
      <c r="R705" s="1868"/>
      <c r="S705" s="1895">
        <f t="shared" si="2182"/>
        <v>0</v>
      </c>
      <c r="T705" s="1897">
        <f t="shared" si="2194"/>
        <v>1792</v>
      </c>
      <c r="V705" s="1908"/>
      <c r="W705" s="2103"/>
      <c r="X705" s="2103"/>
      <c r="Y705" s="2103"/>
      <c r="Z705" s="2151"/>
      <c r="AH705" s="1410"/>
      <c r="AI705" s="2161"/>
      <c r="AJ705" s="2162"/>
    </row>
    <row r="706">
      <c r="A706" s="1179" t="s">
        <v>724</v>
      </c>
      <c r="B706" s="1868"/>
      <c r="C706" s="1868"/>
      <c r="D706" s="1868"/>
      <c r="E706" s="1895">
        <f t="shared" si="2186"/>
        <v>0</v>
      </c>
      <c r="F706" s="1868"/>
      <c r="G706" s="1868"/>
      <c r="H706" s="1868"/>
      <c r="I706" s="1895">
        <f t="shared" si="2189"/>
        <v>0</v>
      </c>
      <c r="J706" s="1896">
        <f t="shared" si="2190"/>
        <v>0</v>
      </c>
      <c r="K706" s="1868"/>
      <c r="L706" s="1868"/>
      <c r="M706" s="1868"/>
      <c r="N706" s="1895">
        <f t="shared" si="2192"/>
        <v>0</v>
      </c>
      <c r="O706" s="1896">
        <f t="shared" si="2193"/>
        <v>0</v>
      </c>
      <c r="P706" s="1868"/>
      <c r="Q706" s="1868"/>
      <c r="R706" s="1868"/>
      <c r="S706" s="1895">
        <f t="shared" si="2182"/>
        <v>0</v>
      </c>
      <c r="T706" s="1897">
        <f t="shared" si="2194"/>
        <v>0</v>
      </c>
      <c r="V706" s="1908"/>
      <c r="W706" s="2103"/>
      <c r="X706" s="2103"/>
      <c r="Y706" s="2103"/>
      <c r="Z706" s="2151"/>
      <c r="AH706" s="1410"/>
      <c r="AI706" s="2161"/>
      <c r="AJ706" s="2162"/>
    </row>
    <row r="707">
      <c r="A707" s="2163" t="s">
        <v>725</v>
      </c>
      <c r="B707" s="1868"/>
      <c r="C707" s="1868"/>
      <c r="D707" s="1868"/>
      <c r="E707" s="1895">
        <f t="shared" si="2186"/>
        <v>0</v>
      </c>
      <c r="F707" s="1868"/>
      <c r="G707" s="1868"/>
      <c r="H707" s="1868"/>
      <c r="I707" s="1895">
        <f t="shared" si="2189"/>
        <v>0</v>
      </c>
      <c r="J707" s="1896">
        <f t="shared" si="2190"/>
        <v>0</v>
      </c>
      <c r="K707" s="1868"/>
      <c r="L707" s="1868"/>
      <c r="M707" s="1868"/>
      <c r="N707" s="1895">
        <f t="shared" si="2192"/>
        <v>0</v>
      </c>
      <c r="O707" s="1896">
        <f t="shared" si="2193"/>
        <v>0</v>
      </c>
      <c r="P707" s="1868"/>
      <c r="Q707" s="1868"/>
      <c r="R707" s="1868"/>
      <c r="S707" s="1895">
        <f t="shared" si="2182"/>
        <v>0</v>
      </c>
      <c r="T707" s="1897">
        <f t="shared" si="2194"/>
        <v>0</v>
      </c>
      <c r="V707" s="1908"/>
      <c r="W707" s="2103"/>
      <c r="X707" s="2103"/>
      <c r="Y707" s="2103"/>
      <c r="Z707" s="2151"/>
      <c r="AH707" s="1410"/>
      <c r="AI707" s="2161"/>
      <c r="AJ707" s="2162"/>
    </row>
    <row r="708" ht="17.25" customHeight="1">
      <c r="A708" s="1179" t="s">
        <v>726</v>
      </c>
      <c r="B708" s="1868">
        <v>1237</v>
      </c>
      <c r="C708" s="1868">
        <v>2407</v>
      </c>
      <c r="D708" s="1868"/>
      <c r="E708" s="1895">
        <f t="shared" si="2186"/>
        <v>3644</v>
      </c>
      <c r="F708" s="1868"/>
      <c r="G708" s="1868"/>
      <c r="H708" s="1868"/>
      <c r="I708" s="1895">
        <f t="shared" si="2189"/>
        <v>0</v>
      </c>
      <c r="J708" s="1896">
        <f t="shared" si="2190"/>
        <v>3644</v>
      </c>
      <c r="K708" s="1868"/>
      <c r="L708" s="1868"/>
      <c r="M708" s="1868"/>
      <c r="N708" s="1895">
        <f t="shared" si="2192"/>
        <v>0</v>
      </c>
      <c r="O708" s="1896">
        <f t="shared" si="2193"/>
        <v>3644</v>
      </c>
      <c r="P708" s="1868"/>
      <c r="Q708" s="1868"/>
      <c r="R708" s="1868"/>
      <c r="S708" s="1895">
        <f t="shared" si="2182"/>
        <v>0</v>
      </c>
      <c r="T708" s="1897">
        <f t="shared" si="2194"/>
        <v>3644</v>
      </c>
      <c r="V708" s="1908"/>
      <c r="W708" s="2103"/>
      <c r="X708" s="2103"/>
      <c r="Y708" s="2103"/>
      <c r="Z708" s="2151"/>
      <c r="AH708" s="1410"/>
      <c r="AI708" s="2161"/>
      <c r="AJ708" s="2162"/>
    </row>
    <row r="709">
      <c r="A709" s="1179" t="s">
        <v>727</v>
      </c>
      <c r="B709" s="1868">
        <f>276+36</f>
        <v>312</v>
      </c>
      <c r="C709" s="1868">
        <f>525+28</f>
        <v>553</v>
      </c>
      <c r="D709" s="1868"/>
      <c r="E709" s="1895">
        <f t="shared" si="2186"/>
        <v>865</v>
      </c>
      <c r="F709" s="1868"/>
      <c r="G709" s="1868"/>
      <c r="H709" s="1868"/>
      <c r="I709" s="1895">
        <f t="shared" si="2189"/>
        <v>0</v>
      </c>
      <c r="J709" s="1896">
        <f t="shared" si="2190"/>
        <v>865</v>
      </c>
      <c r="K709" s="1868"/>
      <c r="L709" s="1868"/>
      <c r="M709" s="1868"/>
      <c r="N709" s="1895">
        <f t="shared" si="2192"/>
        <v>0</v>
      </c>
      <c r="O709" s="1896">
        <f t="shared" si="2193"/>
        <v>865</v>
      </c>
      <c r="P709" s="1868"/>
      <c r="Q709" s="1868"/>
      <c r="R709" s="1868"/>
      <c r="S709" s="1895">
        <f t="shared" si="2182"/>
        <v>0</v>
      </c>
      <c r="T709" s="1897">
        <f t="shared" si="2194"/>
        <v>865</v>
      </c>
      <c r="V709" s="1908"/>
      <c r="W709" s="2103"/>
      <c r="X709" s="2103"/>
      <c r="Y709" s="2103"/>
      <c r="Z709" s="2151"/>
      <c r="AH709" s="1410"/>
      <c r="AI709" s="2161"/>
      <c r="AJ709" s="2162"/>
    </row>
    <row r="710">
      <c r="A710" s="1179" t="s">
        <v>318</v>
      </c>
      <c r="B710" s="1868">
        <v>728</v>
      </c>
      <c r="C710" s="1868">
        <v>1355</v>
      </c>
      <c r="D710" s="1868"/>
      <c r="E710" s="1895">
        <f t="shared" si="2186"/>
        <v>2083</v>
      </c>
      <c r="F710" s="1868"/>
      <c r="G710" s="1868"/>
      <c r="H710" s="1868"/>
      <c r="I710" s="1895">
        <f t="shared" si="2189"/>
        <v>0</v>
      </c>
      <c r="J710" s="1896">
        <f t="shared" si="2190"/>
        <v>2083</v>
      </c>
      <c r="K710" s="1868"/>
      <c r="L710" s="1868"/>
      <c r="M710" s="1868"/>
      <c r="N710" s="1895">
        <f t="shared" si="2192"/>
        <v>0</v>
      </c>
      <c r="O710" s="1896">
        <f t="shared" si="2193"/>
        <v>2083</v>
      </c>
      <c r="P710" s="1868"/>
      <c r="Q710" s="1868"/>
      <c r="R710" s="1868"/>
      <c r="S710" s="1895">
        <f t="shared" si="2182"/>
        <v>0</v>
      </c>
      <c r="T710" s="1897">
        <f t="shared" si="2194"/>
        <v>2083</v>
      </c>
      <c r="V710" s="1908"/>
      <c r="W710" s="2103"/>
      <c r="X710" s="2103"/>
      <c r="Y710" s="2103"/>
      <c r="Z710" s="2151"/>
      <c r="AH710" s="1410"/>
      <c r="AI710" s="2161"/>
      <c r="AJ710" s="2162"/>
    </row>
    <row r="711">
      <c r="A711" s="1179" t="s">
        <v>728</v>
      </c>
      <c r="B711" s="1868">
        <v>216</v>
      </c>
      <c r="C711" s="1868">
        <v>187</v>
      </c>
      <c r="D711" s="1868"/>
      <c r="E711" s="1895">
        <f t="shared" si="2186"/>
        <v>403</v>
      </c>
      <c r="F711" s="1868"/>
      <c r="G711" s="1868"/>
      <c r="H711" s="1868"/>
      <c r="I711" s="1895">
        <f t="shared" si="2189"/>
        <v>0</v>
      </c>
      <c r="J711" s="1896">
        <f t="shared" si="2190"/>
        <v>403</v>
      </c>
      <c r="K711" s="1868"/>
      <c r="L711" s="1868"/>
      <c r="M711" s="1868"/>
      <c r="N711" s="1895">
        <f t="shared" si="2192"/>
        <v>0</v>
      </c>
      <c r="O711" s="1896">
        <f t="shared" si="2193"/>
        <v>403</v>
      </c>
      <c r="P711" s="1868"/>
      <c r="Q711" s="1868"/>
      <c r="R711" s="1868"/>
      <c r="S711" s="1895">
        <f t="shared" si="2182"/>
        <v>0</v>
      </c>
      <c r="T711" s="1897">
        <f t="shared" si="2194"/>
        <v>403</v>
      </c>
      <c r="V711" s="1908"/>
      <c r="W711" s="2103"/>
      <c r="X711" s="2103"/>
      <c r="Y711" s="2103"/>
      <c r="Z711" s="2151"/>
      <c r="AH711" s="1410"/>
      <c r="AI711" s="2161"/>
      <c r="AJ711" s="2162"/>
    </row>
    <row r="712" s="1510" customFormat="1">
      <c r="A712" s="1511" t="s">
        <v>640</v>
      </c>
      <c r="B712" s="1871">
        <f>B708+B709+B710+B711</f>
        <v>2493</v>
      </c>
      <c r="C712" s="1871">
        <f t="shared" ref="C712:H712" si="2195">C708+C709+C710+C711</f>
        <v>4502</v>
      </c>
      <c r="D712" s="1871">
        <f t="shared" si="2195"/>
        <v>0</v>
      </c>
      <c r="E712" s="1899">
        <f t="shared" si="2186"/>
        <v>6995</v>
      </c>
      <c r="F712" s="1871">
        <f>F708+F709+F710+F711</f>
        <v>0</v>
      </c>
      <c r="G712" s="1871">
        <f>G708+G709+G710+G711</f>
        <v>0</v>
      </c>
      <c r="H712" s="1871">
        <f t="shared" si="2195"/>
        <v>0</v>
      </c>
      <c r="I712" s="1899">
        <f t="shared" si="2189"/>
        <v>0</v>
      </c>
      <c r="J712" s="1900">
        <f t="shared" si="2190"/>
        <v>6995</v>
      </c>
      <c r="K712" s="1871">
        <f>K708+K709+K710+K711</f>
        <v>0</v>
      </c>
      <c r="L712" s="1871">
        <f>L708+L709+L710+L711</f>
        <v>0</v>
      </c>
      <c r="M712" s="1871">
        <f>M708+M709+M710+M711</f>
        <v>0</v>
      </c>
      <c r="N712" s="1899">
        <f t="shared" si="2192"/>
        <v>0</v>
      </c>
      <c r="O712" s="1900">
        <f t="shared" si="2193"/>
        <v>6995</v>
      </c>
      <c r="P712" s="1871">
        <f>P708+P709+P710+P711</f>
        <v>0</v>
      </c>
      <c r="Q712" s="1871">
        <f>Q708+Q709+Q710+Q711</f>
        <v>0</v>
      </c>
      <c r="R712" s="1871">
        <f>R708+R709+R710+R711</f>
        <v>0</v>
      </c>
      <c r="S712" s="1899">
        <f t="shared" si="2182"/>
        <v>0</v>
      </c>
      <c r="T712" s="1901">
        <f>SUM(T708:T711)</f>
        <v>6995</v>
      </c>
      <c r="U712" s="1515"/>
      <c r="V712" s="1908"/>
      <c r="W712" s="2103"/>
      <c r="X712" s="2103"/>
      <c r="Y712" s="2103"/>
      <c r="Z712" s="2151"/>
      <c r="AA712" s="1515"/>
      <c r="AB712" s="1515"/>
      <c r="AC712" s="1515"/>
      <c r="AD712" s="2152"/>
      <c r="AE712" s="2153"/>
      <c r="AF712" s="1515"/>
      <c r="AG712" s="1515"/>
      <c r="AH712" s="1838"/>
      <c r="AI712" s="2164"/>
      <c r="AJ712" s="2165"/>
      <c r="AK712" s="1515"/>
      <c r="AL712" s="1886"/>
      <c r="AM712" s="1515"/>
      <c r="AN712" s="2152"/>
      <c r="AO712" s="2062"/>
      <c r="AP712" s="1515"/>
      <c r="AQ712" s="1515"/>
      <c r="AR712" s="1515"/>
      <c r="AS712" s="1515"/>
      <c r="AT712" s="1515"/>
      <c r="AU712" s="1515"/>
      <c r="AV712" s="1515"/>
      <c r="AW712" s="1515"/>
      <c r="AX712" s="1515"/>
      <c r="AY712" s="1515"/>
      <c r="AZ712" s="1515"/>
    </row>
    <row r="713" s="1510" customFormat="1">
      <c r="A713" s="1179" t="s">
        <v>729</v>
      </c>
      <c r="B713" s="1868">
        <f>624+56</f>
        <v>680</v>
      </c>
      <c r="C713" s="1868">
        <f>848+396</f>
        <v>1244</v>
      </c>
      <c r="D713" s="1868"/>
      <c r="E713" s="1895">
        <f t="shared" si="2186"/>
        <v>1924</v>
      </c>
      <c r="F713" s="1868"/>
      <c r="G713" s="1868"/>
      <c r="H713" s="1868"/>
      <c r="I713" s="1895">
        <f t="shared" si="2189"/>
        <v>0</v>
      </c>
      <c r="J713" s="1896">
        <f t="shared" si="2190"/>
        <v>1924</v>
      </c>
      <c r="K713" s="1868"/>
      <c r="L713" s="1868"/>
      <c r="M713" s="1868"/>
      <c r="N713" s="1895">
        <f t="shared" si="2192"/>
        <v>0</v>
      </c>
      <c r="O713" s="1896">
        <f t="shared" si="2193"/>
        <v>1924</v>
      </c>
      <c r="P713" s="1868"/>
      <c r="Q713" s="1868"/>
      <c r="R713" s="1868"/>
      <c r="S713" s="1895">
        <f t="shared" si="2182"/>
        <v>0</v>
      </c>
      <c r="T713" s="1897">
        <f t="shared" si="2194"/>
        <v>1924</v>
      </c>
      <c r="U713" s="1515"/>
      <c r="V713" s="1908"/>
      <c r="W713" s="2103"/>
      <c r="X713" s="2103"/>
      <c r="Y713" s="2103"/>
      <c r="Z713" s="2151"/>
      <c r="AA713" s="1515"/>
      <c r="AB713" s="1515"/>
      <c r="AC713" s="1515"/>
      <c r="AD713" s="2152"/>
      <c r="AE713" s="2153"/>
      <c r="AF713" s="1515"/>
      <c r="AG713" s="1515"/>
      <c r="AH713" s="1838"/>
      <c r="AI713" s="2164"/>
      <c r="AJ713" s="2165"/>
      <c r="AK713" s="1515"/>
      <c r="AL713" s="1886"/>
      <c r="AM713" s="1515"/>
      <c r="AN713" s="2152"/>
      <c r="AO713" s="2062"/>
      <c r="AP713" s="1515"/>
      <c r="AQ713" s="1515"/>
      <c r="AR713" s="1515"/>
      <c r="AS713" s="1515"/>
      <c r="AT713" s="1515"/>
      <c r="AU713" s="1515"/>
      <c r="AV713" s="1515"/>
      <c r="AW713" s="1515"/>
      <c r="AX713" s="1515"/>
      <c r="AY713" s="1515"/>
      <c r="AZ713" s="1515"/>
    </row>
    <row r="714" s="1510" customFormat="1">
      <c r="A714" s="2084" t="s">
        <v>642</v>
      </c>
      <c r="B714" s="1871"/>
      <c r="C714" s="1868"/>
      <c r="D714" s="1868"/>
      <c r="E714" s="1895">
        <f t="shared" si="2186"/>
        <v>0</v>
      </c>
      <c r="F714" s="1868"/>
      <c r="G714" s="1868"/>
      <c r="H714" s="1868"/>
      <c r="I714" s="1895">
        <f t="shared" si="2189"/>
        <v>0</v>
      </c>
      <c r="J714" s="1896">
        <f t="shared" si="2190"/>
        <v>0</v>
      </c>
      <c r="K714" s="1868"/>
      <c r="L714" s="1868"/>
      <c r="M714" s="1868"/>
      <c r="N714" s="1895">
        <f t="shared" si="2192"/>
        <v>0</v>
      </c>
      <c r="O714" s="1896">
        <f t="shared" si="2193"/>
        <v>0</v>
      </c>
      <c r="P714" s="1868"/>
      <c r="Q714" s="1868"/>
      <c r="R714" s="1868"/>
      <c r="S714" s="1895">
        <f t="shared" si="2182"/>
        <v>0</v>
      </c>
      <c r="T714" s="1897">
        <f t="shared" si="2194"/>
        <v>0</v>
      </c>
      <c r="U714" s="1515"/>
      <c r="V714" s="1908"/>
      <c r="W714" s="2103"/>
      <c r="X714" s="2103"/>
      <c r="Y714" s="2103"/>
      <c r="Z714" s="2151"/>
      <c r="AA714" s="1515"/>
      <c r="AB714" s="1515"/>
      <c r="AC714" s="1515"/>
      <c r="AD714" s="2152"/>
      <c r="AE714" s="2153"/>
      <c r="AF714" s="1515"/>
      <c r="AG714" s="1515"/>
      <c r="AH714" s="1838"/>
      <c r="AI714" s="2164"/>
      <c r="AJ714" s="2165"/>
      <c r="AK714" s="1515"/>
      <c r="AL714" s="1886"/>
      <c r="AM714" s="1515"/>
      <c r="AN714" s="2152"/>
      <c r="AO714" s="2062"/>
      <c r="AP714" s="1515"/>
      <c r="AQ714" s="1515"/>
      <c r="AR714" s="1515"/>
      <c r="AS714" s="1515"/>
      <c r="AT714" s="1515"/>
      <c r="AU714" s="1515"/>
      <c r="AV714" s="1515"/>
      <c r="AW714" s="1515"/>
      <c r="AX714" s="1515"/>
      <c r="AY714" s="1515"/>
      <c r="AZ714" s="1515"/>
    </row>
    <row r="715" s="1510" customFormat="1">
      <c r="A715" s="2102" t="s">
        <v>22</v>
      </c>
      <c r="B715" s="1871">
        <f>B714+B713+B712+B707+B706+B705+B704+B703+B702+B701+B700+B699</f>
        <v>15863</v>
      </c>
      <c r="C715" s="1871">
        <f>C714+C713+C712+C707+C706+C705+C704+C703+C702+C701+C700+C699</f>
        <v>21546</v>
      </c>
      <c r="D715" s="1871">
        <f>D714+D713+D712+D707+D706+D705+D704+D703+D702+D701+D700+D699</f>
        <v>0</v>
      </c>
      <c r="E715" s="1899">
        <f t="shared" si="2186"/>
        <v>37409</v>
      </c>
      <c r="F715" s="1871">
        <f>F714+F713+F712+F707+F706+F705+F704+F703+F702+F701+F700+F699</f>
        <v>0</v>
      </c>
      <c r="G715" s="1871">
        <f>G714+G713+G712+G707+G706+G705+G704+G703+G702+G701+G700+G699</f>
        <v>0</v>
      </c>
      <c r="H715" s="1871">
        <f>H714+H713+H712+H707+H706+H705+H704+H703+H702+H701+H700+H699</f>
        <v>0</v>
      </c>
      <c r="I715" s="1899">
        <f t="shared" si="2189"/>
        <v>0</v>
      </c>
      <c r="J715" s="1900">
        <f t="shared" si="2190"/>
        <v>37409</v>
      </c>
      <c r="K715" s="1871">
        <f>K714+K713+K712+K707+K706+K705+K704+K703+K702+K701+K700+K699</f>
        <v>0</v>
      </c>
      <c r="L715" s="1871">
        <f>L714+L713+L712+L707+L706+L705+L704+L703+L702+L701+L700+L699</f>
        <v>0</v>
      </c>
      <c r="M715" s="1871">
        <f>M714+M713+M712+M707+M706+M705+M704+M703+M702+M701+M700+M699</f>
        <v>0</v>
      </c>
      <c r="N715" s="1899">
        <f t="shared" si="2192"/>
        <v>0</v>
      </c>
      <c r="O715" s="1900">
        <f t="shared" si="2193"/>
        <v>37409</v>
      </c>
      <c r="P715" s="1871">
        <f>P714+P713+P712+P707+P706+P705+P704+P703+P702+P701+P700+P699</f>
        <v>0</v>
      </c>
      <c r="Q715" s="1871">
        <f>Q714+Q713+Q712+Q707+Q706+Q705+Q704+Q703+Q702+Q701+Q700+Q699</f>
        <v>0</v>
      </c>
      <c r="R715" s="1871">
        <f>R714+R713+R712+R707+R706+R705+R704+R703+R702+R701+R700+R699</f>
        <v>0</v>
      </c>
      <c r="S715" s="1895">
        <f t="shared" si="2182"/>
        <v>0</v>
      </c>
      <c r="T715" s="1871">
        <f>T714+T713+T712+T707+T706+T705+T704+T703+T702+T701+T700+T699</f>
        <v>37409</v>
      </c>
      <c r="U715" s="1515"/>
      <c r="V715" s="1908"/>
      <c r="W715" s="2103"/>
      <c r="X715" s="2103"/>
      <c r="Y715" s="2103"/>
      <c r="Z715" s="2151"/>
      <c r="AA715" s="1515"/>
      <c r="AB715" s="1515"/>
      <c r="AC715" s="1515"/>
      <c r="AD715" s="2152"/>
      <c r="AE715" s="2153"/>
      <c r="AF715" s="1515"/>
      <c r="AG715" s="1515"/>
      <c r="AH715" s="1838"/>
      <c r="AI715" s="2164"/>
      <c r="AJ715" s="2165"/>
      <c r="AK715" s="1515"/>
      <c r="AL715" s="1886"/>
      <c r="AM715" s="1515"/>
      <c r="AN715" s="2152"/>
      <c r="AO715" s="2062"/>
      <c r="AP715" s="1515"/>
      <c r="AQ715" s="1515"/>
      <c r="AR715" s="1515"/>
      <c r="AS715" s="1515"/>
      <c r="AT715" s="1515"/>
      <c r="AU715" s="1515"/>
      <c r="AV715" s="1515"/>
      <c r="AW715" s="1515"/>
      <c r="AX715" s="1515"/>
      <c r="AY715" s="1515"/>
      <c r="AZ715" s="1515"/>
    </row>
    <row r="716" s="1510" customFormat="1">
      <c r="A716" s="2084" t="s">
        <v>643</v>
      </c>
      <c r="B716" s="1871"/>
      <c r="C716" s="1871"/>
      <c r="D716" s="1871"/>
      <c r="E716" s="1895">
        <f t="shared" si="2186"/>
        <v>0</v>
      </c>
      <c r="F716" s="1871"/>
      <c r="G716" s="1871"/>
      <c r="H716" s="1868"/>
      <c r="I716" s="1895">
        <f t="shared" si="2189"/>
        <v>0</v>
      </c>
      <c r="J716" s="1896">
        <f t="shared" si="2190"/>
        <v>0</v>
      </c>
      <c r="K716" s="1871"/>
      <c r="L716" s="1871"/>
      <c r="M716" s="1871"/>
      <c r="N716" s="1895">
        <f t="shared" si="2192"/>
        <v>0</v>
      </c>
      <c r="O716" s="1896">
        <f t="shared" si="2193"/>
        <v>0</v>
      </c>
      <c r="P716" s="1871"/>
      <c r="Q716" s="1871"/>
      <c r="R716" s="1871"/>
      <c r="S716" s="1895">
        <f t="shared" ref="S716:S779" si="2196">P716+Q716+R716</f>
        <v>0</v>
      </c>
      <c r="T716" s="1897">
        <f t="shared" si="2194"/>
        <v>0</v>
      </c>
      <c r="U716" s="1515"/>
      <c r="V716" s="1908"/>
      <c r="W716" s="2103"/>
      <c r="X716" s="2103"/>
      <c r="Y716" s="2103"/>
      <c r="Z716" s="2151"/>
      <c r="AA716" s="1515"/>
      <c r="AB716" s="1515"/>
      <c r="AC716" s="1515"/>
      <c r="AD716" s="2152"/>
      <c r="AE716" s="2153"/>
      <c r="AF716" s="1515"/>
      <c r="AG716" s="1515"/>
      <c r="AH716" s="1838"/>
      <c r="AI716" s="2164"/>
      <c r="AJ716" s="2165"/>
      <c r="AK716" s="1515"/>
      <c r="AL716" s="1886"/>
      <c r="AM716" s="1515"/>
      <c r="AN716" s="2152"/>
      <c r="AO716" s="2062"/>
      <c r="AP716" s="1515"/>
      <c r="AQ716" s="1515"/>
      <c r="AR716" s="1515"/>
      <c r="AS716" s="1515"/>
      <c r="AT716" s="1515"/>
      <c r="AU716" s="1515"/>
      <c r="AV716" s="1515"/>
      <c r="AW716" s="1515"/>
      <c r="AX716" s="1515"/>
      <c r="AY716" s="1515"/>
      <c r="AZ716" s="1515"/>
    </row>
    <row r="717" s="1510" customFormat="1">
      <c r="A717" s="2084" t="s">
        <v>644</v>
      </c>
      <c r="B717" s="1868">
        <v>335</v>
      </c>
      <c r="C717" s="1868">
        <v>195</v>
      </c>
      <c r="D717" s="1868"/>
      <c r="E717" s="1895">
        <f t="shared" si="2186"/>
        <v>530</v>
      </c>
      <c r="F717" s="1868"/>
      <c r="G717" s="1868"/>
      <c r="H717" s="1868"/>
      <c r="I717" s="1895">
        <f t="shared" si="2189"/>
        <v>0</v>
      </c>
      <c r="J717" s="1896">
        <f t="shared" si="2190"/>
        <v>530</v>
      </c>
      <c r="K717" s="1868"/>
      <c r="L717" s="1868"/>
      <c r="M717" s="1868"/>
      <c r="N717" s="1895">
        <f t="shared" si="2192"/>
        <v>0</v>
      </c>
      <c r="O717" s="1896">
        <f t="shared" si="2193"/>
        <v>530</v>
      </c>
      <c r="P717" s="1868"/>
      <c r="Q717" s="1868"/>
      <c r="R717" s="1868"/>
      <c r="S717" s="1895">
        <f t="shared" si="2196"/>
        <v>0</v>
      </c>
      <c r="T717" s="1897">
        <f t="shared" si="2194"/>
        <v>530</v>
      </c>
      <c r="U717" s="2166" t="s">
        <v>730</v>
      </c>
      <c r="V717" s="1908"/>
      <c r="W717" s="2103"/>
      <c r="X717" s="2103"/>
      <c r="Y717" s="2103"/>
      <c r="Z717" s="2151"/>
      <c r="AA717" s="1515"/>
      <c r="AB717" s="1515"/>
      <c r="AC717" s="1515"/>
      <c r="AD717" s="2152"/>
      <c r="AE717" s="2153"/>
      <c r="AF717" s="1515"/>
      <c r="AG717" s="1515"/>
      <c r="AH717" s="1838"/>
      <c r="AI717" s="2164"/>
      <c r="AJ717" s="2165"/>
      <c r="AK717" s="1515"/>
      <c r="AL717" s="1886"/>
      <c r="AM717" s="1515"/>
      <c r="AN717" s="2152"/>
      <c r="AO717" s="2062"/>
      <c r="AP717" s="1515"/>
      <c r="AQ717" s="1515"/>
      <c r="AR717" s="1515"/>
      <c r="AS717" s="1515"/>
      <c r="AT717" s="1515"/>
      <c r="AU717" s="1515"/>
      <c r="AV717" s="1515"/>
      <c r="AW717" s="1515"/>
      <c r="AX717" s="1515"/>
      <c r="AY717" s="1515"/>
      <c r="AZ717" s="1515"/>
    </row>
    <row r="718" s="1510" customFormat="1">
      <c r="A718" s="2084" t="s">
        <v>303</v>
      </c>
      <c r="B718" s="1868"/>
      <c r="C718" s="1868"/>
      <c r="D718" s="1868"/>
      <c r="E718" s="1895">
        <f t="shared" si="2186"/>
        <v>0</v>
      </c>
      <c r="F718" s="1871"/>
      <c r="G718" s="1871"/>
      <c r="H718" s="1868"/>
      <c r="I718" s="1895">
        <f t="shared" si="2189"/>
        <v>0</v>
      </c>
      <c r="J718" s="1896">
        <f t="shared" si="2190"/>
        <v>0</v>
      </c>
      <c r="K718" s="1871"/>
      <c r="L718" s="1871"/>
      <c r="M718" s="1871"/>
      <c r="N718" s="1895">
        <f t="shared" si="2192"/>
        <v>0</v>
      </c>
      <c r="O718" s="1896">
        <f t="shared" si="2193"/>
        <v>0</v>
      </c>
      <c r="P718" s="1871"/>
      <c r="Q718" s="1871"/>
      <c r="R718" s="1871"/>
      <c r="S718" s="1895">
        <f t="shared" si="2196"/>
        <v>0</v>
      </c>
      <c r="T718" s="1897">
        <f t="shared" si="2194"/>
        <v>0</v>
      </c>
      <c r="U718" s="1515"/>
      <c r="V718" s="1908"/>
      <c r="W718" s="2103"/>
      <c r="X718" s="2103"/>
      <c r="Y718" s="2103"/>
      <c r="Z718" s="2151"/>
      <c r="AA718" s="1515"/>
      <c r="AB718" s="1515"/>
      <c r="AC718" s="1515"/>
      <c r="AD718" s="2152"/>
      <c r="AE718" s="2153"/>
      <c r="AF718" s="1515"/>
      <c r="AG718" s="1515"/>
      <c r="AH718" s="1838"/>
      <c r="AI718" s="2164"/>
      <c r="AJ718" s="2165"/>
      <c r="AK718" s="1515"/>
      <c r="AL718" s="1886"/>
      <c r="AM718" s="1515"/>
      <c r="AN718" s="2152"/>
      <c r="AO718" s="2062"/>
      <c r="AP718" s="1515"/>
      <c r="AQ718" s="1515"/>
      <c r="AR718" s="1515"/>
      <c r="AS718" s="1515"/>
      <c r="AT718" s="1515"/>
      <c r="AU718" s="1515"/>
      <c r="AV718" s="1515"/>
      <c r="AW718" s="1515"/>
      <c r="AX718" s="1515"/>
      <c r="AY718" s="1515"/>
      <c r="AZ718" s="1515"/>
    </row>
    <row r="719" s="1510" customFormat="1">
      <c r="A719" s="2084" t="s">
        <v>304</v>
      </c>
      <c r="B719" s="1871"/>
      <c r="C719" s="1871"/>
      <c r="D719" s="1871"/>
      <c r="E719" s="1895">
        <f t="shared" si="2186"/>
        <v>0</v>
      </c>
      <c r="F719" s="1871"/>
      <c r="G719" s="1871"/>
      <c r="H719" s="1871"/>
      <c r="I719" s="1895">
        <f t="shared" si="2189"/>
        <v>0</v>
      </c>
      <c r="J719" s="1896">
        <f t="shared" si="2190"/>
        <v>0</v>
      </c>
      <c r="K719" s="1871"/>
      <c r="L719" s="1871"/>
      <c r="M719" s="1871"/>
      <c r="N719" s="1895">
        <f t="shared" si="2192"/>
        <v>0</v>
      </c>
      <c r="O719" s="1896">
        <f t="shared" si="2193"/>
        <v>0</v>
      </c>
      <c r="P719" s="1871"/>
      <c r="Q719" s="1871"/>
      <c r="R719" s="1871"/>
      <c r="S719" s="1895">
        <f t="shared" si="2196"/>
        <v>0</v>
      </c>
      <c r="T719" s="1897">
        <f t="shared" si="2194"/>
        <v>0</v>
      </c>
      <c r="U719" s="1515"/>
      <c r="V719" s="1908"/>
      <c r="W719" s="2103"/>
      <c r="X719" s="2103"/>
      <c r="Y719" s="2103"/>
      <c r="Z719" s="2151"/>
      <c r="AA719" s="1515"/>
      <c r="AB719" s="1515"/>
      <c r="AC719" s="1515"/>
      <c r="AD719" s="2152"/>
      <c r="AE719" s="2153"/>
      <c r="AF719" s="1515"/>
      <c r="AG719" s="1515"/>
      <c r="AH719" s="1838"/>
      <c r="AI719" s="2164"/>
      <c r="AJ719" s="2165"/>
      <c r="AK719" s="1515"/>
      <c r="AL719" s="1886"/>
      <c r="AM719" s="1515"/>
      <c r="AN719" s="2152"/>
      <c r="AO719" s="2062"/>
      <c r="AP719" s="1515"/>
      <c r="AQ719" s="1515"/>
      <c r="AR719" s="1515"/>
      <c r="AS719" s="1515"/>
      <c r="AT719" s="1515"/>
      <c r="AU719" s="1515"/>
      <c r="AV719" s="1515"/>
      <c r="AW719" s="1515"/>
      <c r="AX719" s="1515"/>
      <c r="AY719" s="1515"/>
      <c r="AZ719" s="1515"/>
    </row>
    <row r="720" s="1510" customFormat="1">
      <c r="A720" s="2140" t="s">
        <v>283</v>
      </c>
      <c r="B720" s="1871"/>
      <c r="C720" s="1871"/>
      <c r="D720" s="1871"/>
      <c r="E720" s="1895">
        <f t="shared" si="2186"/>
        <v>0</v>
      </c>
      <c r="F720" s="1871"/>
      <c r="G720" s="1871"/>
      <c r="H720" s="1871"/>
      <c r="I720" s="1895">
        <f t="shared" si="2189"/>
        <v>0</v>
      </c>
      <c r="J720" s="1896">
        <f t="shared" si="2190"/>
        <v>0</v>
      </c>
      <c r="K720" s="1871"/>
      <c r="L720" s="1871"/>
      <c r="M720" s="1871"/>
      <c r="N720" s="1895">
        <f t="shared" si="2192"/>
        <v>0</v>
      </c>
      <c r="O720" s="1896">
        <f t="shared" si="2193"/>
        <v>0</v>
      </c>
      <c r="P720" s="1871"/>
      <c r="Q720" s="1868"/>
      <c r="R720" s="1871"/>
      <c r="S720" s="1895">
        <f t="shared" si="2196"/>
        <v>0</v>
      </c>
      <c r="T720" s="1897">
        <f t="shared" si="2194"/>
        <v>0</v>
      </c>
      <c r="U720" s="1515"/>
      <c r="V720" s="1908"/>
      <c r="W720" s="2103"/>
      <c r="X720" s="2103"/>
      <c r="Y720" s="2103"/>
      <c r="Z720" s="2151"/>
      <c r="AA720" s="1515"/>
      <c r="AB720" s="1515"/>
      <c r="AC720" s="1515"/>
      <c r="AD720" s="2152"/>
      <c r="AE720" s="2153"/>
      <c r="AF720" s="1515"/>
      <c r="AG720" s="1515"/>
      <c r="AH720" s="1838"/>
      <c r="AI720" s="2164"/>
      <c r="AJ720" s="2165"/>
      <c r="AK720" s="1515"/>
      <c r="AL720" s="1886"/>
      <c r="AM720" s="1515"/>
      <c r="AN720" s="2152"/>
      <c r="AO720" s="2062"/>
      <c r="AP720" s="1515"/>
      <c r="AQ720" s="1515"/>
      <c r="AR720" s="1515"/>
      <c r="AS720" s="1515"/>
      <c r="AT720" s="1515"/>
      <c r="AU720" s="1515"/>
      <c r="AV720" s="1515"/>
      <c r="AW720" s="1515"/>
      <c r="AX720" s="1515"/>
      <c r="AY720" s="1515"/>
      <c r="AZ720" s="1515"/>
    </row>
    <row r="721" s="1510" customFormat="1">
      <c r="A721" s="2084" t="s">
        <v>645</v>
      </c>
      <c r="B721" s="1871"/>
      <c r="C721" s="1871"/>
      <c r="D721" s="1871"/>
      <c r="E721" s="1895">
        <f t="shared" si="2186"/>
        <v>0</v>
      </c>
      <c r="F721" s="1871"/>
      <c r="G721" s="1871"/>
      <c r="H721" s="1871"/>
      <c r="I721" s="1895">
        <f t="shared" si="2189"/>
        <v>0</v>
      </c>
      <c r="J721" s="1896">
        <f t="shared" si="2190"/>
        <v>0</v>
      </c>
      <c r="K721" s="1871"/>
      <c r="L721" s="1871"/>
      <c r="M721" s="1871"/>
      <c r="N721" s="1895">
        <f t="shared" si="2192"/>
        <v>0</v>
      </c>
      <c r="O721" s="1896">
        <f t="shared" si="2193"/>
        <v>0</v>
      </c>
      <c r="P721" s="1871"/>
      <c r="Q721" s="1871"/>
      <c r="R721" s="1871"/>
      <c r="S721" s="1895">
        <f t="shared" si="2196"/>
        <v>0</v>
      </c>
      <c r="T721" s="1897">
        <f t="shared" si="2194"/>
        <v>0</v>
      </c>
      <c r="U721" s="1515"/>
      <c r="V721" s="1908"/>
      <c r="W721" s="2103"/>
      <c r="X721" s="2103"/>
      <c r="Y721" s="2103"/>
      <c r="Z721" s="2151"/>
      <c r="AA721" s="1515"/>
      <c r="AB721" s="1515"/>
      <c r="AC721" s="1515"/>
      <c r="AD721" s="2152"/>
      <c r="AE721" s="2153"/>
      <c r="AF721" s="1515"/>
      <c r="AG721" s="1515"/>
      <c r="AH721" s="1838"/>
      <c r="AI721" s="2164"/>
      <c r="AJ721" s="2165"/>
      <c r="AK721" s="1515"/>
      <c r="AL721" s="1886"/>
      <c r="AM721" s="1515"/>
      <c r="AN721" s="2152"/>
      <c r="AO721" s="2062"/>
      <c r="AP721" s="1515"/>
      <c r="AQ721" s="1515"/>
      <c r="AR721" s="1515"/>
      <c r="AS721" s="1515"/>
      <c r="AT721" s="1515"/>
      <c r="AU721" s="1515"/>
      <c r="AV721" s="1515"/>
      <c r="AW721" s="1515"/>
      <c r="AX721" s="1515"/>
      <c r="AY721" s="1515"/>
      <c r="AZ721" s="1515"/>
    </row>
    <row r="722" s="1510" customFormat="1">
      <c r="A722" s="1904" t="s">
        <v>545</v>
      </c>
      <c r="B722" s="1905">
        <f>B715+B716+B721+B717+B718+B719+B720</f>
        <v>16198</v>
      </c>
      <c r="C722" s="1905">
        <f>C715+C716+C721+C717+C718+C719+C720</f>
        <v>21741</v>
      </c>
      <c r="D722" s="1905">
        <f>D715+D716+D721+D717+D718+D719+D720</f>
        <v>0</v>
      </c>
      <c r="E722" s="1899">
        <f t="shared" si="2186"/>
        <v>37939</v>
      </c>
      <c r="F722" s="1905">
        <f>F715+F716+F721+F717+F718+F719+F720</f>
        <v>0</v>
      </c>
      <c r="G722" s="1905">
        <f>G715+G716+G721+G717+G718+G719+G720</f>
        <v>0</v>
      </c>
      <c r="H722" s="1905">
        <f>H715+H716+H721+H717+H718+H719+H720</f>
        <v>0</v>
      </c>
      <c r="I722" s="1899">
        <f t="shared" si="2189"/>
        <v>0</v>
      </c>
      <c r="J722" s="1899">
        <f t="shared" si="2190"/>
        <v>37939</v>
      </c>
      <c r="K722" s="1905">
        <f>K715+K716+K721+K717+K718+K719+K720</f>
        <v>0</v>
      </c>
      <c r="L722" s="1905">
        <f>L715+L716+L721+L717+L718+L719+L720</f>
        <v>0</v>
      </c>
      <c r="M722" s="1905">
        <f>M715+M716+M721+M717+M718+M719+M720</f>
        <v>0</v>
      </c>
      <c r="N722" s="1899">
        <f t="shared" si="2192"/>
        <v>0</v>
      </c>
      <c r="O722" s="1899">
        <f t="shared" si="2193"/>
        <v>37939</v>
      </c>
      <c r="P722" s="1905">
        <f>P715+P716+P721+P717+P718+P719+P720</f>
        <v>0</v>
      </c>
      <c r="Q722" s="1905">
        <f>Q715+Q716+Q721+Q717+Q718+Q719+Q720</f>
        <v>0</v>
      </c>
      <c r="R722" s="1905">
        <f>R715+R716+R721+R717+R718+R719+R720</f>
        <v>0</v>
      </c>
      <c r="S722" s="1899">
        <f t="shared" si="2196"/>
        <v>0</v>
      </c>
      <c r="T722" s="1899">
        <f t="shared" si="2194"/>
        <v>37939</v>
      </c>
      <c r="U722" s="1515"/>
      <c r="V722" s="1908"/>
      <c r="W722" s="2103"/>
      <c r="X722" s="2103"/>
      <c r="Y722" s="2103"/>
      <c r="Z722" s="2151"/>
      <c r="AA722" s="1515"/>
      <c r="AB722" s="1515"/>
      <c r="AC722" s="1515"/>
      <c r="AD722" s="2152"/>
      <c r="AE722" s="2153"/>
      <c r="AF722" s="1515"/>
      <c r="AG722" s="1515"/>
      <c r="AH722" s="1838"/>
      <c r="AI722" s="2164"/>
      <c r="AJ722" s="2165"/>
      <c r="AK722" s="1515"/>
      <c r="AL722" s="1886"/>
      <c r="AM722" s="1515"/>
      <c r="AN722" s="2152"/>
      <c r="AO722" s="2062"/>
      <c r="AP722" s="1515"/>
      <c r="AQ722" s="1515"/>
      <c r="AR722" s="1515"/>
      <c r="AS722" s="1515"/>
      <c r="AT722" s="1515"/>
      <c r="AU722" s="1515"/>
      <c r="AV722" s="1515"/>
      <c r="AW722" s="1515"/>
      <c r="AX722" s="1515"/>
      <c r="AY722" s="1515"/>
      <c r="AZ722" s="1515"/>
    </row>
    <row r="723">
      <c r="A723" s="1179" t="s">
        <v>731</v>
      </c>
      <c r="B723" s="1868">
        <v>124</v>
      </c>
      <c r="C723" s="1868">
        <v>299</v>
      </c>
      <c r="D723" s="1868"/>
      <c r="E723" s="1895">
        <f t="shared" si="2186"/>
        <v>423</v>
      </c>
      <c r="F723" s="1868"/>
      <c r="G723" s="1868"/>
      <c r="H723" s="1868"/>
      <c r="I723" s="1895">
        <f t="shared" si="2189"/>
        <v>0</v>
      </c>
      <c r="J723" s="1896">
        <f t="shared" si="2190"/>
        <v>423</v>
      </c>
      <c r="K723" s="1868"/>
      <c r="L723" s="1868"/>
      <c r="M723" s="1868"/>
      <c r="N723" s="1895">
        <f t="shared" si="2192"/>
        <v>0</v>
      </c>
      <c r="O723" s="1896">
        <f t="shared" si="2193"/>
        <v>423</v>
      </c>
      <c r="P723" s="1868"/>
      <c r="Q723" s="1868"/>
      <c r="R723" s="1868"/>
      <c r="S723" s="1895">
        <f t="shared" si="2196"/>
        <v>0</v>
      </c>
      <c r="T723" s="1897">
        <f t="shared" si="2194"/>
        <v>423</v>
      </c>
      <c r="U723" s="2103"/>
      <c r="V723" s="1908"/>
      <c r="W723" s="2103"/>
      <c r="X723" s="2103"/>
      <c r="Y723" s="2103"/>
      <c r="Z723" s="2151"/>
      <c r="AH723" s="1410"/>
      <c r="AI723" s="2161"/>
      <c r="AJ723" s="2162"/>
    </row>
    <row r="724">
      <c r="A724" s="1179" t="s">
        <v>647</v>
      </c>
      <c r="B724" s="1868"/>
      <c r="C724" s="1868"/>
      <c r="D724" s="1868"/>
      <c r="E724" s="1895">
        <f t="shared" si="2186"/>
        <v>0</v>
      </c>
      <c r="F724" s="1868"/>
      <c r="G724" s="1868"/>
      <c r="H724" s="1868"/>
      <c r="I724" s="1895">
        <f t="shared" si="2189"/>
        <v>0</v>
      </c>
      <c r="J724" s="1896">
        <f t="shared" si="2190"/>
        <v>0</v>
      </c>
      <c r="K724" s="1868"/>
      <c r="L724" s="1868"/>
      <c r="M724" s="1868"/>
      <c r="N724" s="1895">
        <f t="shared" si="2192"/>
        <v>0</v>
      </c>
      <c r="O724" s="1896">
        <f t="shared" si="2193"/>
        <v>0</v>
      </c>
      <c r="P724" s="1868"/>
      <c r="Q724" s="1868"/>
      <c r="R724" s="1868"/>
      <c r="S724" s="1895">
        <f t="shared" si="2196"/>
        <v>0</v>
      </c>
      <c r="T724" s="1897">
        <f t="shared" si="2194"/>
        <v>0</v>
      </c>
      <c r="V724" s="1908"/>
      <c r="W724" s="2103"/>
      <c r="X724" s="2103"/>
      <c r="Y724" s="2103"/>
      <c r="Z724" s="2151"/>
      <c r="AH724" s="1410"/>
      <c r="AI724" s="2161"/>
      <c r="AJ724" s="2162"/>
    </row>
    <row r="725" s="1510" customFormat="1">
      <c r="A725" s="1904" t="s">
        <v>545</v>
      </c>
      <c r="B725" s="1905">
        <f>B722+B723+B724</f>
        <v>16322</v>
      </c>
      <c r="C725" s="1905">
        <f t="shared" ref="C725:H725" si="2197">C722+C723+C724</f>
        <v>22040</v>
      </c>
      <c r="D725" s="1905">
        <f t="shared" si="2197"/>
        <v>0</v>
      </c>
      <c r="E725" s="1899">
        <f t="shared" si="2186"/>
        <v>38362</v>
      </c>
      <c r="F725" s="1905">
        <f>F722+F723+F724</f>
        <v>0</v>
      </c>
      <c r="G725" s="1905">
        <f>G722+G723+G724</f>
        <v>0</v>
      </c>
      <c r="H725" s="1905">
        <f t="shared" si="2197"/>
        <v>0</v>
      </c>
      <c r="I725" s="1899">
        <f t="shared" si="2189"/>
        <v>0</v>
      </c>
      <c r="J725" s="1899">
        <f t="shared" si="2190"/>
        <v>38362</v>
      </c>
      <c r="K725" s="1905">
        <f>K722+K723+K724</f>
        <v>0</v>
      </c>
      <c r="L725" s="1905">
        <f>L722+L723+L724</f>
        <v>0</v>
      </c>
      <c r="M725" s="1905">
        <f t="shared" ref="M725:R725" si="2198">M722+M723+M724</f>
        <v>0</v>
      </c>
      <c r="N725" s="1899">
        <f t="shared" si="2192"/>
        <v>0</v>
      </c>
      <c r="O725" s="1899">
        <f t="shared" si="2193"/>
        <v>38362</v>
      </c>
      <c r="P725" s="1905">
        <f t="shared" si="2198"/>
        <v>0</v>
      </c>
      <c r="Q725" s="1905">
        <f t="shared" si="2198"/>
        <v>0</v>
      </c>
      <c r="R725" s="1905">
        <f t="shared" si="2198"/>
        <v>0</v>
      </c>
      <c r="S725" s="1899">
        <f t="shared" si="2196"/>
        <v>0</v>
      </c>
      <c r="T725" s="1899">
        <f t="shared" si="2194"/>
        <v>38362</v>
      </c>
      <c r="U725" s="2085"/>
      <c r="V725" s="1908"/>
      <c r="W725" s="2103"/>
      <c r="X725" s="2103"/>
      <c r="Y725" s="2103"/>
      <c r="Z725" s="2151"/>
      <c r="AA725" s="2085"/>
      <c r="AB725" s="2085"/>
      <c r="AC725" s="1515"/>
      <c r="AD725" s="2152"/>
      <c r="AE725" s="2153"/>
      <c r="AF725" s="1515"/>
      <c r="AG725" s="1515"/>
      <c r="AH725" s="1515"/>
      <c r="AI725" s="2152"/>
      <c r="AJ725" s="2153"/>
      <c r="AK725" s="1515"/>
      <c r="AL725" s="1886"/>
      <c r="AM725" s="1515"/>
      <c r="AN725" s="2152"/>
      <c r="AO725" s="2062"/>
      <c r="AP725" s="1515"/>
      <c r="AQ725" s="1515"/>
      <c r="AR725" s="1515"/>
      <c r="AS725" s="1515"/>
      <c r="AT725" s="1515"/>
      <c r="AU725" s="1515"/>
      <c r="AV725" s="1515"/>
      <c r="AW725" s="1515"/>
      <c r="AX725" s="1515"/>
      <c r="AY725" s="1515"/>
      <c r="AZ725" s="1515"/>
    </row>
    <row r="726" s="1510" customFormat="1">
      <c r="A726" s="1515"/>
      <c r="B726" s="1908"/>
      <c r="C726" s="1908"/>
      <c r="D726" s="1908"/>
      <c r="E726" s="1910"/>
      <c r="F726" s="1908"/>
      <c r="G726" s="1908"/>
      <c r="H726" s="1908"/>
      <c r="I726" s="1910"/>
      <c r="J726" s="1910"/>
      <c r="K726" s="1872"/>
      <c r="L726" s="1908"/>
      <c r="M726" s="1908"/>
      <c r="N726" s="1910"/>
      <c r="O726" s="1910"/>
      <c r="P726" s="1908"/>
      <c r="Q726" s="1908"/>
      <c r="R726" s="1872"/>
      <c r="S726" s="1836"/>
      <c r="T726" s="1836"/>
      <c r="U726" s="2085"/>
      <c r="V726" s="1908"/>
      <c r="W726" s="2103"/>
      <c r="X726" s="2103"/>
      <c r="Y726" s="2103"/>
      <c r="Z726" s="2151"/>
      <c r="AA726" s="1515"/>
      <c r="AB726" s="2085"/>
      <c r="AC726" s="1515"/>
      <c r="AD726" s="2152"/>
      <c r="AE726" s="2153"/>
      <c r="AF726" s="1515"/>
      <c r="AG726" s="1515"/>
      <c r="AH726" s="1515"/>
      <c r="AI726" s="2152"/>
      <c r="AJ726" s="2153"/>
      <c r="AK726" s="1515"/>
      <c r="AL726" s="1886"/>
      <c r="AM726" s="1515"/>
      <c r="AN726" s="2152"/>
      <c r="AO726" s="2062"/>
      <c r="AP726" s="1515"/>
      <c r="AQ726" s="1515"/>
      <c r="AR726" s="1515"/>
      <c r="AS726" s="1515"/>
      <c r="AT726" s="1515"/>
      <c r="AU726" s="1515"/>
      <c r="AV726" s="1515"/>
      <c r="AW726" s="1515"/>
      <c r="AX726" s="1515"/>
      <c r="AY726" s="1515"/>
      <c r="AZ726" s="1515"/>
    </row>
    <row r="727" s="1510" customFormat="1" ht="15.75" customHeight="1">
      <c r="A727" s="1515"/>
      <c r="B727" s="1908"/>
      <c r="C727" s="1908"/>
      <c r="D727" s="1908"/>
      <c r="E727" s="1910"/>
      <c r="F727" s="1908"/>
      <c r="G727" s="1908"/>
      <c r="H727" s="1908"/>
      <c r="I727" s="1910"/>
      <c r="J727" s="1910"/>
      <c r="K727" s="1908"/>
      <c r="L727" s="1908"/>
      <c r="M727" s="1908"/>
      <c r="N727" s="1910"/>
      <c r="O727" s="1910"/>
      <c r="P727" s="1908"/>
      <c r="Q727" s="1908"/>
      <c r="R727" s="1872"/>
      <c r="S727" s="1836"/>
      <c r="T727" s="1836"/>
      <c r="U727" s="2085"/>
      <c r="V727" s="1908"/>
      <c r="W727" s="2103"/>
      <c r="X727" s="2103"/>
      <c r="Y727" s="2103"/>
      <c r="Z727" s="2151"/>
      <c r="AA727" s="1515"/>
      <c r="AB727" s="2085"/>
      <c r="AC727" s="1515"/>
      <c r="AD727" s="2152"/>
      <c r="AE727" s="2153"/>
      <c r="AF727" s="1515"/>
      <c r="AG727" s="1515"/>
      <c r="AH727" s="1515"/>
      <c r="AI727" s="2152"/>
      <c r="AJ727" s="2153"/>
      <c r="AK727" s="1515"/>
      <c r="AL727" s="1886"/>
      <c r="AM727" s="1515"/>
      <c r="AN727" s="2152"/>
      <c r="AO727" s="2062"/>
      <c r="AP727" s="1515"/>
      <c r="AQ727" s="1515"/>
      <c r="AR727" s="1515"/>
      <c r="AS727" s="1515"/>
      <c r="AT727" s="1515"/>
      <c r="AU727" s="1515"/>
      <c r="AV727" s="1515"/>
      <c r="AW727" s="1515"/>
      <c r="AX727" s="1515"/>
      <c r="AY727" s="1515"/>
      <c r="AZ727" s="1515"/>
    </row>
    <row r="728" s="1510" customFormat="1" ht="75.75" customHeight="1">
      <c r="A728" s="1842" t="s">
        <v>732</v>
      </c>
      <c r="B728" s="1887" t="s">
        <v>733</v>
      </c>
      <c r="C728" s="1888"/>
      <c r="D728" s="1888"/>
      <c r="E728" s="1888"/>
      <c r="F728" s="1888"/>
      <c r="G728" s="1888"/>
      <c r="H728" s="1888"/>
      <c r="I728" s="1888"/>
      <c r="J728" s="1888"/>
      <c r="K728" s="1888"/>
      <c r="L728" s="1888"/>
      <c r="M728" s="1888"/>
      <c r="N728" s="1888"/>
      <c r="O728" s="1888"/>
      <c r="P728" s="1888"/>
      <c r="Q728" s="1888"/>
      <c r="R728" s="1888"/>
      <c r="S728" s="1888"/>
      <c r="T728" s="1889"/>
      <c r="U728" s="2085"/>
      <c r="V728" s="1908"/>
      <c r="W728" s="2103"/>
      <c r="X728" s="2103"/>
      <c r="Y728" s="2103"/>
      <c r="Z728" s="2151"/>
      <c r="AA728" s="1515"/>
      <c r="AB728" s="2085"/>
      <c r="AC728" s="1515"/>
      <c r="AD728" s="2152"/>
      <c r="AE728" s="2153"/>
      <c r="AF728" s="1515"/>
      <c r="AG728" s="1515"/>
      <c r="AH728" s="1515"/>
      <c r="AI728" s="2152"/>
      <c r="AJ728" s="2153"/>
      <c r="AK728" s="1515"/>
      <c r="AL728" s="1886"/>
      <c r="AM728" s="1515"/>
      <c r="AN728" s="2152"/>
      <c r="AO728" s="2062"/>
      <c r="AP728" s="1515"/>
      <c r="AQ728" s="1515"/>
      <c r="AR728" s="1515"/>
      <c r="AS728" s="1515"/>
      <c r="AT728" s="1515"/>
      <c r="AU728" s="1515"/>
      <c r="AV728" s="1515"/>
      <c r="AW728" s="1515"/>
      <c r="AX728" s="1515"/>
      <c r="AY728" s="1515"/>
      <c r="AZ728" s="1515"/>
    </row>
    <row r="729" s="2167" customFormat="1" ht="15.75" customHeight="1">
      <c r="A729" s="1427" t="s">
        <v>173</v>
      </c>
      <c r="B729" s="1427" t="s">
        <v>6</v>
      </c>
      <c r="C729" s="1427" t="s">
        <v>7</v>
      </c>
      <c r="D729" s="1849" t="s">
        <v>8</v>
      </c>
      <c r="E729" s="2168" t="s">
        <v>9</v>
      </c>
      <c r="F729" s="1421" t="s">
        <v>10</v>
      </c>
      <c r="G729" s="1421" t="s">
        <v>11</v>
      </c>
      <c r="H729" s="1421" t="s">
        <v>12</v>
      </c>
      <c r="I729" s="1425" t="s">
        <v>174</v>
      </c>
      <c r="J729" s="1430" t="s">
        <v>175</v>
      </c>
      <c r="K729" s="1421" t="s">
        <v>14</v>
      </c>
      <c r="L729" s="1421" t="s">
        <v>15</v>
      </c>
      <c r="M729" s="1421" t="s">
        <v>16</v>
      </c>
      <c r="N729" s="1425" t="s">
        <v>17</v>
      </c>
      <c r="O729" s="1430" t="s">
        <v>176</v>
      </c>
      <c r="P729" s="1421" t="s">
        <v>18</v>
      </c>
      <c r="Q729" s="1421" t="s">
        <v>19</v>
      </c>
      <c r="R729" s="1421" t="s">
        <v>20</v>
      </c>
      <c r="S729" s="1448" t="s">
        <v>177</v>
      </c>
      <c r="T729" s="1426" t="s">
        <v>22</v>
      </c>
      <c r="U729" s="2169"/>
      <c r="V729" s="2169"/>
      <c r="W729" s="2148"/>
      <c r="X729" s="2148"/>
      <c r="Y729" s="2148"/>
      <c r="Z729" s="2170"/>
      <c r="AA729" s="2147"/>
      <c r="AB729" s="2169"/>
      <c r="AC729" s="2147"/>
      <c r="AD729" s="2171"/>
      <c r="AE729" s="2172"/>
      <c r="AF729" s="2147"/>
      <c r="AG729" s="2147"/>
      <c r="AH729" s="2147"/>
      <c r="AI729" s="2171"/>
      <c r="AJ729" s="2172"/>
      <c r="AK729" s="2147"/>
      <c r="AL729" s="2173"/>
      <c r="AM729" s="2147"/>
      <c r="AN729" s="2171"/>
      <c r="AO729" s="2174"/>
      <c r="AP729" s="2147"/>
      <c r="AQ729" s="2147"/>
      <c r="AR729" s="2147"/>
      <c r="AS729" s="2147"/>
      <c r="AT729" s="2147"/>
      <c r="AU729" s="2147"/>
      <c r="AV729" s="2147"/>
      <c r="AW729" s="2147"/>
      <c r="AX729" s="2147"/>
      <c r="AY729" s="2147"/>
      <c r="AZ729" s="2147"/>
    </row>
    <row r="730" s="1510" customFormat="1" ht="15.75" hidden="1" customHeight="1">
      <c r="A730" s="1179" t="s">
        <v>178</v>
      </c>
      <c r="B730" s="1868">
        <f t="shared" ref="B730:D735" si="2199">B659+B518+B446</f>
        <v>3090</v>
      </c>
      <c r="C730" s="1868">
        <f t="shared" si="2199"/>
        <v>2797</v>
      </c>
      <c r="D730" s="1868">
        <f t="shared" si="2199"/>
        <v>0</v>
      </c>
      <c r="E730" s="1895">
        <f t="shared" si="2186"/>
        <v>5887</v>
      </c>
      <c r="F730" s="1868">
        <f t="shared" ref="F730:H735" si="2200">F659+F518+F446</f>
        <v>0</v>
      </c>
      <c r="G730" s="1868">
        <f t="shared" si="2200"/>
        <v>0</v>
      </c>
      <c r="H730" s="1868">
        <f t="shared" si="2200"/>
        <v>0</v>
      </c>
      <c r="I730" s="1895">
        <f t="shared" si="2189"/>
        <v>0</v>
      </c>
      <c r="J730" s="1896">
        <f t="shared" si="2190"/>
        <v>5887</v>
      </c>
      <c r="K730" s="1868">
        <f t="shared" ref="K730:M735" si="2201">K659+K518+K446</f>
        <v>0</v>
      </c>
      <c r="L730" s="1868">
        <f t="shared" si="2201"/>
        <v>0</v>
      </c>
      <c r="M730" s="1868">
        <f t="shared" si="2201"/>
        <v>0</v>
      </c>
      <c r="N730" s="1895">
        <f t="shared" si="2192"/>
        <v>0</v>
      </c>
      <c r="O730" s="1896">
        <f t="shared" si="2193"/>
        <v>5887</v>
      </c>
      <c r="P730" s="1868">
        <f t="shared" ref="P730:R735" si="2202">P659+P518+P446</f>
        <v>0</v>
      </c>
      <c r="Q730" s="1868">
        <f t="shared" si="2202"/>
        <v>0</v>
      </c>
      <c r="R730" s="1868">
        <f t="shared" si="2202"/>
        <v>0</v>
      </c>
      <c r="S730" s="1895">
        <f t="shared" si="2196"/>
        <v>0</v>
      </c>
      <c r="T730" s="1897">
        <f t="shared" si="2194"/>
        <v>5887</v>
      </c>
      <c r="U730" s="2085"/>
      <c r="V730" s="1908"/>
      <c r="W730" s="2103"/>
      <c r="X730" s="2103"/>
      <c r="Y730" s="2103"/>
      <c r="Z730" s="2151"/>
      <c r="AA730" s="1515"/>
      <c r="AB730" s="2085"/>
      <c r="AC730" s="1515"/>
      <c r="AD730" s="2152"/>
      <c r="AE730" s="2153"/>
      <c r="AF730" s="1515"/>
      <c r="AG730" s="1515"/>
      <c r="AH730" s="1515"/>
      <c r="AI730" s="2152"/>
      <c r="AJ730" s="2153"/>
      <c r="AK730" s="1515"/>
      <c r="AL730" s="1886"/>
      <c r="AM730" s="1515"/>
      <c r="AN730" s="2152"/>
      <c r="AO730" s="2062"/>
      <c r="AP730" s="1515"/>
      <c r="AQ730" s="1515"/>
      <c r="AR730" s="1515"/>
      <c r="AS730" s="1515"/>
      <c r="AT730" s="1515"/>
      <c r="AU730" s="1515"/>
      <c r="AV730" s="1515"/>
      <c r="AW730" s="1515"/>
      <c r="AX730" s="1515"/>
      <c r="AY730" s="1515"/>
      <c r="AZ730" s="1515"/>
    </row>
    <row r="731" s="1510" customFormat="1" ht="15.75" hidden="1" customHeight="1">
      <c r="A731" s="1179" t="s">
        <v>354</v>
      </c>
      <c r="B731" s="1868">
        <f t="shared" si="2199"/>
        <v>5915</v>
      </c>
      <c r="C731" s="1868">
        <f t="shared" si="2199"/>
        <v>7343</v>
      </c>
      <c r="D731" s="1868">
        <f t="shared" si="2199"/>
        <v>0</v>
      </c>
      <c r="E731" s="1895">
        <f t="shared" si="2186"/>
        <v>13258</v>
      </c>
      <c r="F731" s="1868">
        <f t="shared" si="2200"/>
        <v>0</v>
      </c>
      <c r="G731" s="1868">
        <f t="shared" si="2200"/>
        <v>0</v>
      </c>
      <c r="H731" s="1868">
        <f t="shared" si="2200"/>
        <v>0</v>
      </c>
      <c r="I731" s="1895">
        <f t="shared" si="2189"/>
        <v>0</v>
      </c>
      <c r="J731" s="1896">
        <f t="shared" si="2190"/>
        <v>13258</v>
      </c>
      <c r="K731" s="1868">
        <f t="shared" si="2201"/>
        <v>0</v>
      </c>
      <c r="L731" s="1868">
        <f t="shared" si="2201"/>
        <v>0</v>
      </c>
      <c r="M731" s="1868">
        <f t="shared" si="2201"/>
        <v>0</v>
      </c>
      <c r="N731" s="1895">
        <f t="shared" si="2192"/>
        <v>0</v>
      </c>
      <c r="O731" s="1896">
        <f t="shared" si="2193"/>
        <v>13258</v>
      </c>
      <c r="P731" s="1868">
        <f t="shared" si="2202"/>
        <v>0</v>
      </c>
      <c r="Q731" s="1868">
        <f t="shared" si="2202"/>
        <v>0</v>
      </c>
      <c r="R731" s="1868">
        <f t="shared" si="2202"/>
        <v>0</v>
      </c>
      <c r="S731" s="1895">
        <f t="shared" si="2196"/>
        <v>0</v>
      </c>
      <c r="T731" s="1897">
        <f t="shared" si="2194"/>
        <v>13258</v>
      </c>
      <c r="U731" s="2085"/>
      <c r="V731" s="1908"/>
      <c r="W731" s="2103"/>
      <c r="X731" s="2103"/>
      <c r="Y731" s="2103"/>
      <c r="Z731" s="2151"/>
      <c r="AA731" s="1515"/>
      <c r="AB731" s="2085"/>
      <c r="AC731" s="1515"/>
      <c r="AD731" s="2152"/>
      <c r="AE731" s="2153"/>
      <c r="AF731" s="1515"/>
      <c r="AG731" s="1515"/>
      <c r="AH731" s="1515"/>
      <c r="AI731" s="2152"/>
      <c r="AJ731" s="2153"/>
      <c r="AK731" s="1515"/>
      <c r="AL731" s="1886"/>
      <c r="AM731" s="1515"/>
      <c r="AN731" s="2152"/>
      <c r="AO731" s="2062"/>
      <c r="AP731" s="1515"/>
      <c r="AQ731" s="1515"/>
      <c r="AR731" s="1515"/>
      <c r="AS731" s="1515"/>
      <c r="AT731" s="1515"/>
      <c r="AU731" s="1515"/>
      <c r="AV731" s="1515"/>
      <c r="AW731" s="1515"/>
      <c r="AX731" s="1515"/>
      <c r="AY731" s="1515"/>
      <c r="AZ731" s="1515"/>
    </row>
    <row r="732" s="1510" customFormat="1" ht="15.75" hidden="1" customHeight="1">
      <c r="A732" s="1179" t="s">
        <v>181</v>
      </c>
      <c r="B732" s="1868">
        <f t="shared" si="2199"/>
        <v>6453</v>
      </c>
      <c r="C732" s="1868">
        <f t="shared" si="2199"/>
        <v>6370</v>
      </c>
      <c r="D732" s="1868">
        <f t="shared" si="2199"/>
        <v>0</v>
      </c>
      <c r="E732" s="1895">
        <f t="shared" si="2186"/>
        <v>12823</v>
      </c>
      <c r="F732" s="1868">
        <f t="shared" si="2200"/>
        <v>0</v>
      </c>
      <c r="G732" s="1868">
        <f t="shared" si="2200"/>
        <v>0</v>
      </c>
      <c r="H732" s="1868">
        <f t="shared" si="2200"/>
        <v>0</v>
      </c>
      <c r="I732" s="1895">
        <f t="shared" si="2189"/>
        <v>0</v>
      </c>
      <c r="J732" s="1896">
        <f t="shared" si="2190"/>
        <v>12823</v>
      </c>
      <c r="K732" s="1868">
        <f t="shared" si="2201"/>
        <v>0</v>
      </c>
      <c r="L732" s="1868">
        <f t="shared" si="2201"/>
        <v>0</v>
      </c>
      <c r="M732" s="1868">
        <f t="shared" si="2201"/>
        <v>0</v>
      </c>
      <c r="N732" s="1895">
        <f t="shared" si="2192"/>
        <v>0</v>
      </c>
      <c r="O732" s="1896">
        <f t="shared" si="2193"/>
        <v>12823</v>
      </c>
      <c r="P732" s="1868">
        <f t="shared" si="2202"/>
        <v>0</v>
      </c>
      <c r="Q732" s="1868">
        <f t="shared" si="2202"/>
        <v>0</v>
      </c>
      <c r="R732" s="1868">
        <f t="shared" si="2202"/>
        <v>0</v>
      </c>
      <c r="S732" s="1895">
        <f t="shared" si="2196"/>
        <v>0</v>
      </c>
      <c r="T732" s="1897">
        <f t="shared" si="2194"/>
        <v>12823</v>
      </c>
      <c r="U732" s="2085"/>
      <c r="V732" s="1908"/>
      <c r="W732" s="2103"/>
      <c r="X732" s="2103"/>
      <c r="Y732" s="2103"/>
      <c r="Z732" s="2151"/>
      <c r="AA732" s="1515"/>
      <c r="AB732" s="2085"/>
      <c r="AC732" s="1515"/>
      <c r="AD732" s="2152"/>
      <c r="AE732" s="2153"/>
      <c r="AF732" s="1515"/>
      <c r="AG732" s="1515"/>
      <c r="AH732" s="1515"/>
      <c r="AI732" s="2152"/>
      <c r="AJ732" s="2153"/>
      <c r="AK732" s="1515"/>
      <c r="AL732" s="1886"/>
      <c r="AM732" s="1515"/>
      <c r="AN732" s="2152"/>
      <c r="AO732" s="2062"/>
      <c r="AP732" s="1515"/>
      <c r="AQ732" s="1515"/>
      <c r="AR732" s="1515"/>
      <c r="AS732" s="1515"/>
      <c r="AT732" s="1515"/>
      <c r="AU732" s="1515"/>
      <c r="AV732" s="1515"/>
      <c r="AW732" s="1515"/>
      <c r="AX732" s="1515"/>
      <c r="AY732" s="1515"/>
      <c r="AZ732" s="1515"/>
    </row>
    <row r="733" s="1510" customFormat="1" ht="15.75" hidden="1" customHeight="1">
      <c r="A733" s="1179" t="s">
        <v>182</v>
      </c>
      <c r="B733" s="1868">
        <f t="shared" si="2199"/>
        <v>2882</v>
      </c>
      <c r="C733" s="1868">
        <f t="shared" si="2199"/>
        <v>2565</v>
      </c>
      <c r="D733" s="1868">
        <f t="shared" si="2199"/>
        <v>0</v>
      </c>
      <c r="E733" s="1895">
        <f t="shared" si="2186"/>
        <v>5447</v>
      </c>
      <c r="F733" s="1868">
        <f t="shared" si="2200"/>
        <v>0</v>
      </c>
      <c r="G733" s="1868">
        <f t="shared" si="2200"/>
        <v>0</v>
      </c>
      <c r="H733" s="1868">
        <f t="shared" si="2200"/>
        <v>0</v>
      </c>
      <c r="I733" s="1895">
        <f t="shared" si="2189"/>
        <v>0</v>
      </c>
      <c r="J733" s="1896">
        <f t="shared" si="2190"/>
        <v>5447</v>
      </c>
      <c r="K733" s="1868">
        <f t="shared" si="2201"/>
        <v>0</v>
      </c>
      <c r="L733" s="1868">
        <f t="shared" si="2201"/>
        <v>0</v>
      </c>
      <c r="M733" s="1868">
        <f t="shared" si="2201"/>
        <v>0</v>
      </c>
      <c r="N733" s="1895">
        <f t="shared" si="2192"/>
        <v>0</v>
      </c>
      <c r="O733" s="1896">
        <f t="shared" si="2193"/>
        <v>5447</v>
      </c>
      <c r="P733" s="1868">
        <f t="shared" si="2202"/>
        <v>0</v>
      </c>
      <c r="Q733" s="1868">
        <f t="shared" si="2202"/>
        <v>0</v>
      </c>
      <c r="R733" s="1868">
        <f t="shared" si="2202"/>
        <v>0</v>
      </c>
      <c r="S733" s="1895">
        <f t="shared" si="2196"/>
        <v>0</v>
      </c>
      <c r="T733" s="1897">
        <f t="shared" si="2194"/>
        <v>5447</v>
      </c>
      <c r="U733" s="2085"/>
      <c r="V733" s="1908"/>
      <c r="W733" s="2103"/>
      <c r="X733" s="2103"/>
      <c r="Y733" s="2103"/>
      <c r="Z733" s="2151"/>
      <c r="AA733" s="1515"/>
      <c r="AB733" s="2085"/>
      <c r="AC733" s="1515"/>
      <c r="AD733" s="2152"/>
      <c r="AE733" s="2153"/>
      <c r="AF733" s="1515"/>
      <c r="AG733" s="1515"/>
      <c r="AH733" s="1515"/>
      <c r="AI733" s="2152"/>
      <c r="AJ733" s="2153"/>
      <c r="AK733" s="1515"/>
      <c r="AL733" s="1886"/>
      <c r="AM733" s="1515"/>
      <c r="AN733" s="2152"/>
      <c r="AO733" s="2062"/>
      <c r="AP733" s="1515"/>
      <c r="AQ733" s="1515"/>
      <c r="AR733" s="1515"/>
      <c r="AS733" s="1515"/>
      <c r="AT733" s="1515"/>
      <c r="AU733" s="1515"/>
      <c r="AV733" s="1515"/>
      <c r="AW733" s="1515"/>
      <c r="AX733" s="1515"/>
      <c r="AY733" s="1515"/>
      <c r="AZ733" s="1515"/>
    </row>
    <row r="734" s="1510" customFormat="1" ht="15.75" hidden="1" customHeight="1">
      <c r="A734" s="1179" t="s">
        <v>183</v>
      </c>
      <c r="B734" s="1868">
        <f t="shared" si="2199"/>
        <v>3539</v>
      </c>
      <c r="C734" s="1868">
        <f t="shared" si="2199"/>
        <v>2902</v>
      </c>
      <c r="D734" s="1868">
        <f t="shared" si="2199"/>
        <v>0</v>
      </c>
      <c r="E734" s="1895">
        <f t="shared" si="2186"/>
        <v>6441</v>
      </c>
      <c r="F734" s="1868">
        <f t="shared" si="2200"/>
        <v>0</v>
      </c>
      <c r="G734" s="1868">
        <f t="shared" si="2200"/>
        <v>0</v>
      </c>
      <c r="H734" s="1868">
        <f t="shared" si="2200"/>
        <v>0</v>
      </c>
      <c r="I734" s="1895">
        <f t="shared" si="2189"/>
        <v>0</v>
      </c>
      <c r="J734" s="1896">
        <f t="shared" si="2190"/>
        <v>6441</v>
      </c>
      <c r="K734" s="1868">
        <f t="shared" si="2201"/>
        <v>0</v>
      </c>
      <c r="L734" s="1868">
        <f t="shared" si="2201"/>
        <v>0</v>
      </c>
      <c r="M734" s="1868">
        <f t="shared" si="2201"/>
        <v>0</v>
      </c>
      <c r="N734" s="1895">
        <f t="shared" si="2192"/>
        <v>0</v>
      </c>
      <c r="O734" s="1896">
        <f t="shared" si="2193"/>
        <v>6441</v>
      </c>
      <c r="P734" s="1868">
        <f t="shared" si="2202"/>
        <v>0</v>
      </c>
      <c r="Q734" s="1868">
        <f t="shared" si="2202"/>
        <v>0</v>
      </c>
      <c r="R734" s="1868">
        <f t="shared" si="2202"/>
        <v>0</v>
      </c>
      <c r="S734" s="1895">
        <f t="shared" si="2196"/>
        <v>0</v>
      </c>
      <c r="T734" s="1897">
        <f t="shared" si="2194"/>
        <v>6441</v>
      </c>
      <c r="U734" s="2085"/>
      <c r="V734" s="1908"/>
      <c r="W734" s="2103"/>
      <c r="X734" s="2103"/>
      <c r="Y734" s="2103"/>
      <c r="Z734" s="2151"/>
      <c r="AA734" s="1515"/>
      <c r="AB734" s="2085"/>
      <c r="AC734" s="1515"/>
      <c r="AD734" s="2152"/>
      <c r="AE734" s="2153"/>
      <c r="AF734" s="1515"/>
      <c r="AG734" s="1515"/>
      <c r="AH734" s="1515"/>
      <c r="AI734" s="2152"/>
      <c r="AJ734" s="2153"/>
      <c r="AK734" s="1515"/>
      <c r="AL734" s="1886"/>
      <c r="AM734" s="1515"/>
      <c r="AN734" s="2152"/>
      <c r="AO734" s="2062"/>
      <c r="AP734" s="1515"/>
      <c r="AQ734" s="1515"/>
      <c r="AR734" s="1515"/>
      <c r="AS734" s="1515"/>
      <c r="AT734" s="1515"/>
      <c r="AU734" s="1515"/>
      <c r="AV734" s="1515"/>
      <c r="AW734" s="1515"/>
      <c r="AX734" s="1515"/>
      <c r="AY734" s="1515"/>
      <c r="AZ734" s="1515"/>
    </row>
    <row r="735" s="1510" customFormat="1" ht="15.75" hidden="1" customHeight="1">
      <c r="A735" s="1179" t="s">
        <v>184</v>
      </c>
      <c r="B735" s="1868">
        <f t="shared" si="2199"/>
        <v>983</v>
      </c>
      <c r="C735" s="1868">
        <f t="shared" si="2199"/>
        <v>1513</v>
      </c>
      <c r="D735" s="1868">
        <f t="shared" si="2199"/>
        <v>0</v>
      </c>
      <c r="E735" s="1895">
        <f t="shared" si="2186"/>
        <v>2496</v>
      </c>
      <c r="F735" s="1868">
        <f t="shared" si="2200"/>
        <v>0</v>
      </c>
      <c r="G735" s="1868">
        <f t="shared" si="2200"/>
        <v>0</v>
      </c>
      <c r="H735" s="1868">
        <f t="shared" si="2200"/>
        <v>0</v>
      </c>
      <c r="I735" s="1895">
        <f t="shared" si="2189"/>
        <v>0</v>
      </c>
      <c r="J735" s="1896">
        <f t="shared" si="2190"/>
        <v>2496</v>
      </c>
      <c r="K735" s="1868">
        <f t="shared" si="2201"/>
        <v>0</v>
      </c>
      <c r="L735" s="1868">
        <f t="shared" si="2201"/>
        <v>0</v>
      </c>
      <c r="M735" s="1868">
        <f t="shared" si="2201"/>
        <v>0</v>
      </c>
      <c r="N735" s="1895">
        <f t="shared" si="2192"/>
        <v>0</v>
      </c>
      <c r="O735" s="1896">
        <f t="shared" si="2193"/>
        <v>2496</v>
      </c>
      <c r="P735" s="1868">
        <f t="shared" si="2202"/>
        <v>0</v>
      </c>
      <c r="Q735" s="1868">
        <f t="shared" si="2202"/>
        <v>0</v>
      </c>
      <c r="R735" s="1868">
        <f t="shared" si="2202"/>
        <v>0</v>
      </c>
      <c r="S735" s="1895">
        <f t="shared" si="2196"/>
        <v>0</v>
      </c>
      <c r="T735" s="1897">
        <f t="shared" si="2194"/>
        <v>2496</v>
      </c>
      <c r="U735" s="2085"/>
      <c r="V735" s="1908"/>
      <c r="W735" s="2103"/>
      <c r="X735" s="2103"/>
      <c r="Y735" s="2103"/>
      <c r="Z735" s="2151"/>
      <c r="AA735" s="1515"/>
      <c r="AB735" s="2085"/>
      <c r="AC735" s="1515"/>
      <c r="AD735" s="2152"/>
      <c r="AE735" s="2153"/>
      <c r="AF735" s="1515"/>
      <c r="AG735" s="1515"/>
      <c r="AH735" s="1515"/>
      <c r="AI735" s="2152"/>
      <c r="AJ735" s="2153"/>
      <c r="AK735" s="1515"/>
      <c r="AL735" s="1886"/>
      <c r="AM735" s="1515"/>
      <c r="AN735" s="2152"/>
      <c r="AO735" s="2062"/>
      <c r="AP735" s="1515"/>
      <c r="AQ735" s="1515"/>
      <c r="AR735" s="1515"/>
      <c r="AS735" s="1515"/>
      <c r="AT735" s="1515"/>
      <c r="AU735" s="1515"/>
      <c r="AV735" s="1515"/>
      <c r="AW735" s="1515"/>
      <c r="AX735" s="1515"/>
      <c r="AY735" s="1515"/>
      <c r="AZ735" s="1515"/>
    </row>
    <row r="736" s="1510" customFormat="1" ht="15.75" hidden="1" customHeight="1">
      <c r="A736" s="1179" t="s">
        <v>185</v>
      </c>
      <c r="B736" s="1868">
        <f t="shared" ref="B736:D794" si="2203">B666+B525+B453</f>
        <v>652</v>
      </c>
      <c r="C736" s="1868">
        <f t="shared" si="2203"/>
        <v>1235</v>
      </c>
      <c r="D736" s="1868">
        <f t="shared" si="2203"/>
        <v>0</v>
      </c>
      <c r="E736" s="1895">
        <f t="shared" si="2186"/>
        <v>1887</v>
      </c>
      <c r="F736" s="1868">
        <f t="shared" ref="F736:H794" si="2204">F666+F525+F453</f>
        <v>0</v>
      </c>
      <c r="G736" s="1868">
        <f t="shared" si="2204"/>
        <v>0</v>
      </c>
      <c r="H736" s="1868">
        <f t="shared" si="2204"/>
        <v>0</v>
      </c>
      <c r="I736" s="1895">
        <f t="shared" si="2189"/>
        <v>0</v>
      </c>
      <c r="J736" s="1896">
        <f t="shared" si="2190"/>
        <v>1887</v>
      </c>
      <c r="K736" s="1868">
        <f t="shared" ref="K736:M794" si="2205">K666+K525+K453</f>
        <v>0</v>
      </c>
      <c r="L736" s="1868">
        <f t="shared" si="2205"/>
        <v>0</v>
      </c>
      <c r="M736" s="1868">
        <f t="shared" si="2205"/>
        <v>0</v>
      </c>
      <c r="N736" s="1895">
        <f t="shared" si="2192"/>
        <v>0</v>
      </c>
      <c r="O736" s="1896">
        <f t="shared" si="2193"/>
        <v>1887</v>
      </c>
      <c r="P736" s="1868">
        <f t="shared" ref="P736:R794" si="2206">P666+P525+P453</f>
        <v>0</v>
      </c>
      <c r="Q736" s="1868">
        <f t="shared" si="2206"/>
        <v>0</v>
      </c>
      <c r="R736" s="1868">
        <f t="shared" si="2206"/>
        <v>0</v>
      </c>
      <c r="S736" s="1895">
        <f t="shared" si="2196"/>
        <v>0</v>
      </c>
      <c r="T736" s="1897">
        <f t="shared" si="2194"/>
        <v>1887</v>
      </c>
      <c r="U736" s="2085"/>
      <c r="V736" s="1908"/>
      <c r="W736" s="2103"/>
      <c r="X736" s="2103"/>
      <c r="Y736" s="2103"/>
      <c r="Z736" s="2151"/>
      <c r="AA736" s="1515"/>
      <c r="AB736" s="2085"/>
      <c r="AC736" s="1515"/>
      <c r="AD736" s="2152"/>
      <c r="AE736" s="2153"/>
      <c r="AF736" s="1515"/>
      <c r="AG736" s="1515"/>
      <c r="AH736" s="1515"/>
      <c r="AI736" s="2152"/>
      <c r="AJ736" s="2153"/>
      <c r="AK736" s="1515"/>
      <c r="AL736" s="1886"/>
      <c r="AM736" s="1515"/>
      <c r="AN736" s="2152"/>
      <c r="AO736" s="2062"/>
      <c r="AP736" s="1515"/>
      <c r="AQ736" s="1515"/>
      <c r="AR736" s="1515"/>
      <c r="AS736" s="1515"/>
      <c r="AT736" s="1515"/>
      <c r="AU736" s="1515"/>
      <c r="AV736" s="1515"/>
      <c r="AW736" s="1515"/>
      <c r="AX736" s="1515"/>
      <c r="AY736" s="1515"/>
      <c r="AZ736" s="1515"/>
    </row>
    <row r="737" s="1510" customFormat="1" ht="15.75" hidden="1" customHeight="1">
      <c r="A737" s="1511" t="s">
        <v>363</v>
      </c>
      <c r="B737" s="1871">
        <f t="shared" si="2203"/>
        <v>24330</v>
      </c>
      <c r="C737" s="1871">
        <f t="shared" si="2203"/>
        <v>25600</v>
      </c>
      <c r="D737" s="1871">
        <f t="shared" si="2203"/>
        <v>0</v>
      </c>
      <c r="E737" s="1899">
        <f t="shared" si="2186"/>
        <v>49930</v>
      </c>
      <c r="F737" s="1871">
        <f t="shared" si="2204"/>
        <v>0</v>
      </c>
      <c r="G737" s="1871">
        <f t="shared" si="2204"/>
        <v>0</v>
      </c>
      <c r="H737" s="1871">
        <f t="shared" si="2204"/>
        <v>0</v>
      </c>
      <c r="I737" s="1899">
        <f t="shared" si="2189"/>
        <v>0</v>
      </c>
      <c r="J737" s="1900">
        <f t="shared" si="2190"/>
        <v>49930</v>
      </c>
      <c r="K737" s="1871">
        <f t="shared" si="2205"/>
        <v>0</v>
      </c>
      <c r="L737" s="1871">
        <f t="shared" si="2205"/>
        <v>0</v>
      </c>
      <c r="M737" s="1871">
        <f t="shared" si="2205"/>
        <v>0</v>
      </c>
      <c r="N737" s="1899">
        <f t="shared" si="2192"/>
        <v>0</v>
      </c>
      <c r="O737" s="1900">
        <f t="shared" si="2193"/>
        <v>49930</v>
      </c>
      <c r="P737" s="1871">
        <f t="shared" si="2206"/>
        <v>0</v>
      </c>
      <c r="Q737" s="1871">
        <f t="shared" si="2206"/>
        <v>0</v>
      </c>
      <c r="R737" s="1871">
        <f t="shared" si="2206"/>
        <v>0</v>
      </c>
      <c r="S737" s="1899">
        <f t="shared" si="2196"/>
        <v>0</v>
      </c>
      <c r="T737" s="1901">
        <f t="shared" si="2194"/>
        <v>49930</v>
      </c>
      <c r="U737" s="2085"/>
      <c r="V737" s="1908"/>
      <c r="W737" s="2103"/>
      <c r="X737" s="2103"/>
      <c r="Y737" s="2103"/>
      <c r="Z737" s="2151"/>
      <c r="AA737" s="1515"/>
      <c r="AB737" s="2085"/>
      <c r="AC737" s="1515"/>
      <c r="AD737" s="2152"/>
      <c r="AE737" s="2153"/>
      <c r="AF737" s="1515"/>
      <c r="AG737" s="1515"/>
      <c r="AH737" s="1515"/>
      <c r="AI737" s="2152"/>
      <c r="AJ737" s="2153"/>
      <c r="AK737" s="1515"/>
      <c r="AL737" s="1886"/>
      <c r="AM737" s="1515"/>
      <c r="AN737" s="2152"/>
      <c r="AO737" s="2062"/>
      <c r="AP737" s="1515"/>
      <c r="AQ737" s="1515"/>
      <c r="AR737" s="1515"/>
      <c r="AS737" s="1515"/>
      <c r="AT737" s="1515"/>
      <c r="AU737" s="1515"/>
      <c r="AV737" s="1515"/>
      <c r="AW737" s="1515"/>
      <c r="AX737" s="1515"/>
      <c r="AY737" s="1515"/>
      <c r="AZ737" s="1515"/>
    </row>
    <row r="738" s="1510" customFormat="1" ht="15.75" hidden="1" customHeight="1">
      <c r="A738" s="1179" t="s">
        <v>542</v>
      </c>
      <c r="B738" s="1868">
        <f t="shared" si="2203"/>
        <v>0</v>
      </c>
      <c r="C738" s="1868">
        <f t="shared" si="2203"/>
        <v>0</v>
      </c>
      <c r="D738" s="1868">
        <f t="shared" si="2203"/>
        <v>0</v>
      </c>
      <c r="E738" s="1895">
        <f t="shared" si="2186"/>
        <v>0</v>
      </c>
      <c r="F738" s="1868">
        <f t="shared" si="2204"/>
        <v>0</v>
      </c>
      <c r="G738" s="1868">
        <f t="shared" si="2204"/>
        <v>0</v>
      </c>
      <c r="H738" s="1868">
        <f t="shared" si="2204"/>
        <v>0</v>
      </c>
      <c r="I738" s="1895">
        <f t="shared" si="2189"/>
        <v>0</v>
      </c>
      <c r="J738" s="1896">
        <f t="shared" si="2190"/>
        <v>0</v>
      </c>
      <c r="K738" s="1868">
        <f t="shared" si="2205"/>
        <v>0</v>
      </c>
      <c r="L738" s="1868">
        <f t="shared" si="2205"/>
        <v>0</v>
      </c>
      <c r="M738" s="1868">
        <f t="shared" si="2205"/>
        <v>0</v>
      </c>
      <c r="N738" s="1895">
        <f t="shared" si="2192"/>
        <v>0</v>
      </c>
      <c r="O738" s="1896">
        <f t="shared" si="2193"/>
        <v>0</v>
      </c>
      <c r="P738" s="1868">
        <f t="shared" si="2206"/>
        <v>0</v>
      </c>
      <c r="Q738" s="1868">
        <f t="shared" si="2206"/>
        <v>0</v>
      </c>
      <c r="R738" s="1868">
        <f t="shared" si="2206"/>
        <v>0</v>
      </c>
      <c r="S738" s="1895">
        <f t="shared" si="2196"/>
        <v>0</v>
      </c>
      <c r="T738" s="1897">
        <f t="shared" si="2194"/>
        <v>0</v>
      </c>
      <c r="U738" s="2085"/>
      <c r="V738" s="1908"/>
      <c r="W738" s="2103"/>
      <c r="X738" s="2103"/>
      <c r="Y738" s="2103"/>
      <c r="Z738" s="2151"/>
      <c r="AA738" s="1515"/>
      <c r="AB738" s="2085"/>
      <c r="AC738" s="1515"/>
      <c r="AD738" s="2152"/>
      <c r="AE738" s="2153"/>
      <c r="AF738" s="1515"/>
      <c r="AG738" s="1515"/>
      <c r="AH738" s="1515"/>
      <c r="AI738" s="2152"/>
      <c r="AJ738" s="2153"/>
      <c r="AK738" s="1515"/>
      <c r="AL738" s="1886"/>
      <c r="AM738" s="1515"/>
      <c r="AN738" s="2152"/>
      <c r="AO738" s="2062"/>
      <c r="AP738" s="1515"/>
      <c r="AQ738" s="1515"/>
      <c r="AR738" s="1515"/>
      <c r="AS738" s="1515"/>
      <c r="AT738" s="1515"/>
      <c r="AU738" s="1515"/>
      <c r="AV738" s="1515"/>
      <c r="AW738" s="1515"/>
      <c r="AX738" s="1515"/>
      <c r="AY738" s="1515"/>
      <c r="AZ738" s="1515"/>
    </row>
    <row r="739" s="1510" customFormat="1" ht="15.75" hidden="1" customHeight="1">
      <c r="A739" s="1179" t="s">
        <v>195</v>
      </c>
      <c r="B739" s="1868">
        <f t="shared" si="2203"/>
        <v>5439</v>
      </c>
      <c r="C739" s="1868">
        <f t="shared" si="2203"/>
        <v>4032</v>
      </c>
      <c r="D739" s="1868">
        <f t="shared" si="2203"/>
        <v>0</v>
      </c>
      <c r="E739" s="1895">
        <f t="shared" si="2186"/>
        <v>9471</v>
      </c>
      <c r="F739" s="1868">
        <f t="shared" si="2204"/>
        <v>0</v>
      </c>
      <c r="G739" s="1868">
        <f t="shared" si="2204"/>
        <v>0</v>
      </c>
      <c r="H739" s="1868">
        <f t="shared" si="2204"/>
        <v>0</v>
      </c>
      <c r="I739" s="1895">
        <f t="shared" si="2189"/>
        <v>0</v>
      </c>
      <c r="J739" s="1896">
        <f t="shared" si="2190"/>
        <v>9471</v>
      </c>
      <c r="K739" s="1868">
        <f t="shared" si="2205"/>
        <v>0</v>
      </c>
      <c r="L739" s="1868">
        <f t="shared" si="2205"/>
        <v>0</v>
      </c>
      <c r="M739" s="1868">
        <f t="shared" si="2205"/>
        <v>0</v>
      </c>
      <c r="N739" s="1895">
        <f t="shared" si="2192"/>
        <v>0</v>
      </c>
      <c r="O739" s="1896">
        <f t="shared" si="2193"/>
        <v>9471</v>
      </c>
      <c r="P739" s="1868">
        <f t="shared" si="2206"/>
        <v>0</v>
      </c>
      <c r="Q739" s="1868">
        <f t="shared" si="2206"/>
        <v>0</v>
      </c>
      <c r="R739" s="1868">
        <f t="shared" si="2206"/>
        <v>0</v>
      </c>
      <c r="S739" s="1895">
        <f t="shared" si="2196"/>
        <v>0</v>
      </c>
      <c r="T739" s="1897">
        <f t="shared" si="2194"/>
        <v>9471</v>
      </c>
      <c r="U739" s="2085"/>
      <c r="V739" s="1908"/>
      <c r="W739" s="2103"/>
      <c r="X739" s="2103"/>
      <c r="Y739" s="2103"/>
      <c r="Z739" s="2151"/>
      <c r="AA739" s="1515"/>
      <c r="AB739" s="2085"/>
      <c r="AC739" s="1515"/>
      <c r="AD739" s="2152"/>
      <c r="AE739" s="2153"/>
      <c r="AF739" s="1515"/>
      <c r="AG739" s="1515"/>
      <c r="AH739" s="1515"/>
      <c r="AI739" s="2152"/>
      <c r="AJ739" s="2153"/>
      <c r="AK739" s="1515"/>
      <c r="AL739" s="1886"/>
      <c r="AM739" s="1515"/>
      <c r="AN739" s="2152"/>
      <c r="AO739" s="2062"/>
      <c r="AP739" s="1515"/>
      <c r="AQ739" s="1515"/>
      <c r="AR739" s="1515"/>
      <c r="AS739" s="1515"/>
      <c r="AT739" s="1515"/>
      <c r="AU739" s="1515"/>
      <c r="AV739" s="1515"/>
      <c r="AW739" s="1515"/>
      <c r="AX739" s="1515"/>
      <c r="AY739" s="1515"/>
      <c r="AZ739" s="1515"/>
    </row>
    <row r="740" s="1510" customFormat="1" ht="15.75" hidden="1" customHeight="1">
      <c r="A740" s="1179" t="s">
        <v>196</v>
      </c>
      <c r="B740" s="1868">
        <f t="shared" si="2203"/>
        <v>2499</v>
      </c>
      <c r="C740" s="1868">
        <f t="shared" si="2203"/>
        <v>3193</v>
      </c>
      <c r="D740" s="1868">
        <f t="shared" si="2203"/>
        <v>0</v>
      </c>
      <c r="E740" s="1895">
        <f t="shared" si="2186"/>
        <v>5692</v>
      </c>
      <c r="F740" s="1868">
        <f t="shared" si="2204"/>
        <v>0</v>
      </c>
      <c r="G740" s="1868">
        <f t="shared" si="2204"/>
        <v>0</v>
      </c>
      <c r="H740" s="1868">
        <f t="shared" si="2204"/>
        <v>0</v>
      </c>
      <c r="I740" s="1895">
        <f t="shared" si="2189"/>
        <v>0</v>
      </c>
      <c r="J740" s="1896">
        <f t="shared" si="2190"/>
        <v>5692</v>
      </c>
      <c r="K740" s="1868">
        <f t="shared" si="2205"/>
        <v>0</v>
      </c>
      <c r="L740" s="1868">
        <f t="shared" si="2205"/>
        <v>0</v>
      </c>
      <c r="M740" s="1868">
        <f t="shared" si="2205"/>
        <v>0</v>
      </c>
      <c r="N740" s="1895">
        <f t="shared" si="2192"/>
        <v>0</v>
      </c>
      <c r="O740" s="1896">
        <f t="shared" si="2193"/>
        <v>5692</v>
      </c>
      <c r="P740" s="1868">
        <f t="shared" si="2206"/>
        <v>0</v>
      </c>
      <c r="Q740" s="1868">
        <f t="shared" si="2206"/>
        <v>0</v>
      </c>
      <c r="R740" s="1868">
        <f t="shared" si="2206"/>
        <v>0</v>
      </c>
      <c r="S740" s="1895">
        <f t="shared" si="2196"/>
        <v>0</v>
      </c>
      <c r="T740" s="1897">
        <f t="shared" si="2194"/>
        <v>5692</v>
      </c>
      <c r="U740" s="2085"/>
      <c r="V740" s="1908"/>
      <c r="W740" s="2103"/>
      <c r="X740" s="2103"/>
      <c r="Y740" s="2103"/>
      <c r="Z740" s="2151"/>
      <c r="AA740" s="1515"/>
      <c r="AB740" s="2085"/>
      <c r="AC740" s="1515"/>
      <c r="AD740" s="2152"/>
      <c r="AE740" s="2153"/>
      <c r="AF740" s="1515"/>
      <c r="AG740" s="1515"/>
      <c r="AH740" s="1515"/>
      <c r="AI740" s="2152"/>
      <c r="AJ740" s="2153"/>
      <c r="AK740" s="1515"/>
      <c r="AL740" s="1886"/>
      <c r="AM740" s="1515"/>
      <c r="AN740" s="2152"/>
      <c r="AO740" s="2062"/>
      <c r="AP740" s="1515"/>
      <c r="AQ740" s="1515"/>
      <c r="AR740" s="1515"/>
      <c r="AS740" s="1515"/>
      <c r="AT740" s="1515"/>
      <c r="AU740" s="1515"/>
      <c r="AV740" s="1515"/>
      <c r="AW740" s="1515"/>
      <c r="AX740" s="1515"/>
      <c r="AY740" s="1515"/>
      <c r="AZ740" s="1515"/>
    </row>
    <row r="741" s="1510" customFormat="1" ht="15.75" hidden="1" customHeight="1">
      <c r="A741" s="1179" t="s">
        <v>367</v>
      </c>
      <c r="B741" s="1868">
        <f t="shared" si="2203"/>
        <v>0</v>
      </c>
      <c r="C741" s="1868">
        <f t="shared" si="2203"/>
        <v>0</v>
      </c>
      <c r="D741" s="1868">
        <f t="shared" si="2203"/>
        <v>0</v>
      </c>
      <c r="E741" s="1895">
        <f t="shared" si="2186"/>
        <v>0</v>
      </c>
      <c r="F741" s="1868">
        <f t="shared" si="2204"/>
        <v>0</v>
      </c>
      <c r="G741" s="1868">
        <f t="shared" si="2204"/>
        <v>0</v>
      </c>
      <c r="H741" s="1868">
        <f t="shared" si="2204"/>
        <v>0</v>
      </c>
      <c r="I741" s="1895">
        <f t="shared" si="2189"/>
        <v>0</v>
      </c>
      <c r="J741" s="1896">
        <f t="shared" si="2190"/>
        <v>0</v>
      </c>
      <c r="K741" s="1868">
        <f t="shared" si="2205"/>
        <v>0</v>
      </c>
      <c r="L741" s="1868">
        <f t="shared" si="2205"/>
        <v>0</v>
      </c>
      <c r="M741" s="1868">
        <f t="shared" si="2205"/>
        <v>0</v>
      </c>
      <c r="N741" s="1895">
        <f t="shared" si="2192"/>
        <v>0</v>
      </c>
      <c r="O741" s="1896">
        <f t="shared" si="2193"/>
        <v>0</v>
      </c>
      <c r="P741" s="1868">
        <f t="shared" si="2206"/>
        <v>0</v>
      </c>
      <c r="Q741" s="1868">
        <f t="shared" si="2206"/>
        <v>0</v>
      </c>
      <c r="R741" s="1868">
        <f t="shared" si="2206"/>
        <v>0</v>
      </c>
      <c r="S741" s="1895">
        <f t="shared" si="2196"/>
        <v>0</v>
      </c>
      <c r="T741" s="1897">
        <f t="shared" si="2194"/>
        <v>0</v>
      </c>
      <c r="U741" s="2085"/>
      <c r="V741" s="1908"/>
      <c r="W741" s="2103"/>
      <c r="X741" s="2103"/>
      <c r="Y741" s="2103"/>
      <c r="Z741" s="2151"/>
      <c r="AA741" s="1515"/>
      <c r="AB741" s="2085"/>
      <c r="AC741" s="1515"/>
      <c r="AD741" s="2152"/>
      <c r="AE741" s="2153"/>
      <c r="AF741" s="1515"/>
      <c r="AG741" s="1515"/>
      <c r="AH741" s="1515"/>
      <c r="AI741" s="2152"/>
      <c r="AJ741" s="2153"/>
      <c r="AK741" s="1515"/>
      <c r="AL741" s="1886"/>
      <c r="AM741" s="1515"/>
      <c r="AN741" s="2152"/>
      <c r="AO741" s="2062"/>
      <c r="AP741" s="1515"/>
      <c r="AQ741" s="1515"/>
      <c r="AR741" s="1515"/>
      <c r="AS741" s="1515"/>
      <c r="AT741" s="1515"/>
      <c r="AU741" s="1515"/>
      <c r="AV741" s="1515"/>
      <c r="AW741" s="1515"/>
      <c r="AX741" s="1515"/>
      <c r="AY741" s="1515"/>
      <c r="AZ741" s="1515"/>
    </row>
    <row r="742" s="1510" customFormat="1" ht="15.75" hidden="1" customHeight="1">
      <c r="A742" s="1179" t="s">
        <v>201</v>
      </c>
      <c r="B742" s="1868">
        <f t="shared" si="2203"/>
        <v>1623</v>
      </c>
      <c r="C742" s="1868">
        <f t="shared" si="2203"/>
        <v>1809</v>
      </c>
      <c r="D742" s="1868">
        <f t="shared" si="2203"/>
        <v>0</v>
      </c>
      <c r="E742" s="1895">
        <f t="shared" ref="E742:E805" si="2207">B742+C742+D742</f>
        <v>3432</v>
      </c>
      <c r="F742" s="1868">
        <f t="shared" si="2204"/>
        <v>0</v>
      </c>
      <c r="G742" s="1868">
        <f t="shared" si="2204"/>
        <v>0</v>
      </c>
      <c r="H742" s="1868">
        <f t="shared" si="2204"/>
        <v>0</v>
      </c>
      <c r="I742" s="1895">
        <f t="shared" si="2189"/>
        <v>0</v>
      </c>
      <c r="J742" s="1896">
        <f t="shared" si="2190"/>
        <v>3432</v>
      </c>
      <c r="K742" s="1868">
        <f t="shared" si="2205"/>
        <v>0</v>
      </c>
      <c r="L742" s="1868">
        <f t="shared" si="2205"/>
        <v>0</v>
      </c>
      <c r="M742" s="1868">
        <f t="shared" si="2205"/>
        <v>0</v>
      </c>
      <c r="N742" s="1895">
        <f t="shared" si="2192"/>
        <v>0</v>
      </c>
      <c r="O742" s="1896">
        <f t="shared" si="2193"/>
        <v>3432</v>
      </c>
      <c r="P742" s="1868">
        <f t="shared" si="2206"/>
        <v>0</v>
      </c>
      <c r="Q742" s="1868">
        <f t="shared" si="2206"/>
        <v>0</v>
      </c>
      <c r="R742" s="1868">
        <f t="shared" si="2206"/>
        <v>0</v>
      </c>
      <c r="S742" s="1895">
        <f t="shared" si="2196"/>
        <v>0</v>
      </c>
      <c r="T742" s="1897">
        <f t="shared" si="2194"/>
        <v>3432</v>
      </c>
      <c r="U742" s="2085"/>
      <c r="V742" s="1908"/>
      <c r="W742" s="2103"/>
      <c r="X742" s="2103"/>
      <c r="Y742" s="2103"/>
      <c r="Z742" s="2151"/>
      <c r="AA742" s="1515"/>
      <c r="AB742" s="2085"/>
      <c r="AC742" s="1515"/>
      <c r="AD742" s="2152"/>
      <c r="AE742" s="2153"/>
      <c r="AF742" s="1515"/>
      <c r="AG742" s="1515"/>
      <c r="AH742" s="1515"/>
      <c r="AI742" s="2152"/>
      <c r="AJ742" s="2153"/>
      <c r="AK742" s="1515"/>
      <c r="AL742" s="1886"/>
      <c r="AM742" s="1515"/>
      <c r="AN742" s="2152"/>
      <c r="AO742" s="2062"/>
      <c r="AP742" s="1515"/>
      <c r="AQ742" s="1515"/>
      <c r="AR742" s="1515"/>
      <c r="AS742" s="1515"/>
      <c r="AT742" s="1515"/>
      <c r="AU742" s="1515"/>
      <c r="AV742" s="1515"/>
      <c r="AW742" s="1515"/>
      <c r="AX742" s="1515"/>
      <c r="AY742" s="1515"/>
      <c r="AZ742" s="1515"/>
    </row>
    <row r="743" s="1510" customFormat="1" ht="15.75" hidden="1" customHeight="1">
      <c r="A743" s="1179" t="s">
        <v>203</v>
      </c>
      <c r="B743" s="1868">
        <f t="shared" si="2203"/>
        <v>1252</v>
      </c>
      <c r="C743" s="1868">
        <f t="shared" si="2203"/>
        <v>1465</v>
      </c>
      <c r="D743" s="1868">
        <f t="shared" si="2203"/>
        <v>0</v>
      </c>
      <c r="E743" s="1895">
        <f t="shared" si="2207"/>
        <v>2717</v>
      </c>
      <c r="F743" s="1868">
        <f t="shared" si="2204"/>
        <v>0</v>
      </c>
      <c r="G743" s="1868">
        <f t="shared" si="2204"/>
        <v>0</v>
      </c>
      <c r="H743" s="1868">
        <f t="shared" si="2204"/>
        <v>0</v>
      </c>
      <c r="I743" s="1895">
        <f t="shared" si="2189"/>
        <v>0</v>
      </c>
      <c r="J743" s="1896">
        <f t="shared" si="2190"/>
        <v>2717</v>
      </c>
      <c r="K743" s="1868">
        <f t="shared" si="2205"/>
        <v>0</v>
      </c>
      <c r="L743" s="1868">
        <f t="shared" si="2205"/>
        <v>0</v>
      </c>
      <c r="M743" s="1868">
        <f t="shared" si="2205"/>
        <v>0</v>
      </c>
      <c r="N743" s="1895">
        <f t="shared" si="2192"/>
        <v>0</v>
      </c>
      <c r="O743" s="1896">
        <f t="shared" si="2193"/>
        <v>2717</v>
      </c>
      <c r="P743" s="1868">
        <f t="shared" si="2206"/>
        <v>0</v>
      </c>
      <c r="Q743" s="1868">
        <f t="shared" si="2206"/>
        <v>0</v>
      </c>
      <c r="R743" s="1868">
        <f t="shared" si="2206"/>
        <v>0</v>
      </c>
      <c r="S743" s="1895">
        <f t="shared" si="2196"/>
        <v>0</v>
      </c>
      <c r="T743" s="1897">
        <f t="shared" si="2194"/>
        <v>2717</v>
      </c>
      <c r="U743" s="2085"/>
      <c r="V743" s="1908"/>
      <c r="W743" s="2103"/>
      <c r="X743" s="2103"/>
      <c r="Y743" s="2103"/>
      <c r="Z743" s="2151"/>
      <c r="AA743" s="1515"/>
      <c r="AB743" s="2085"/>
      <c r="AC743" s="1515"/>
      <c r="AD743" s="2152"/>
      <c r="AE743" s="2153"/>
      <c r="AF743" s="1515"/>
      <c r="AG743" s="1515"/>
      <c r="AH743" s="1515"/>
      <c r="AI743" s="2152"/>
      <c r="AJ743" s="2153"/>
      <c r="AK743" s="1515"/>
      <c r="AL743" s="1886"/>
      <c r="AM743" s="1515"/>
      <c r="AN743" s="2152"/>
      <c r="AO743" s="2062"/>
      <c r="AP743" s="1515"/>
      <c r="AQ743" s="1515"/>
      <c r="AR743" s="1515"/>
      <c r="AS743" s="1515"/>
      <c r="AT743" s="1515"/>
      <c r="AU743" s="1515"/>
      <c r="AV743" s="1515"/>
      <c r="AW743" s="1515"/>
      <c r="AX743" s="1515"/>
      <c r="AY743" s="1515"/>
      <c r="AZ743" s="1515"/>
    </row>
    <row r="744" s="1510" customFormat="1" ht="15.75" hidden="1" customHeight="1">
      <c r="A744" s="1179" t="s">
        <v>204</v>
      </c>
      <c r="B744" s="1868">
        <f t="shared" si="2203"/>
        <v>611</v>
      </c>
      <c r="C744" s="1868">
        <f t="shared" si="2203"/>
        <v>680</v>
      </c>
      <c r="D744" s="1868">
        <f t="shared" si="2203"/>
        <v>0</v>
      </c>
      <c r="E744" s="1895">
        <f t="shared" si="2207"/>
        <v>1291</v>
      </c>
      <c r="F744" s="1868">
        <f t="shared" si="2204"/>
        <v>0</v>
      </c>
      <c r="G744" s="1868">
        <f t="shared" si="2204"/>
        <v>0</v>
      </c>
      <c r="H744" s="1868">
        <f t="shared" si="2204"/>
        <v>0</v>
      </c>
      <c r="I744" s="1895">
        <f t="shared" si="2189"/>
        <v>0</v>
      </c>
      <c r="J744" s="1896">
        <f t="shared" si="2190"/>
        <v>1291</v>
      </c>
      <c r="K744" s="1868">
        <f t="shared" si="2205"/>
        <v>0</v>
      </c>
      <c r="L744" s="1868">
        <f t="shared" si="2205"/>
        <v>0</v>
      </c>
      <c r="M744" s="1868">
        <f t="shared" si="2205"/>
        <v>0</v>
      </c>
      <c r="N744" s="1895">
        <f t="shared" si="2192"/>
        <v>0</v>
      </c>
      <c r="O744" s="1896">
        <f t="shared" si="2193"/>
        <v>1291</v>
      </c>
      <c r="P744" s="1868">
        <f t="shared" si="2206"/>
        <v>0</v>
      </c>
      <c r="Q744" s="1868">
        <f t="shared" si="2206"/>
        <v>0</v>
      </c>
      <c r="R744" s="1868">
        <f t="shared" si="2206"/>
        <v>0</v>
      </c>
      <c r="S744" s="1895">
        <f t="shared" si="2196"/>
        <v>0</v>
      </c>
      <c r="T744" s="1897">
        <f t="shared" si="2194"/>
        <v>1291</v>
      </c>
      <c r="U744" s="2085"/>
      <c r="V744" s="1908"/>
      <c r="W744" s="2103"/>
      <c r="X744" s="2103"/>
      <c r="Y744" s="2103"/>
      <c r="Z744" s="2151"/>
      <c r="AA744" s="1515"/>
      <c r="AB744" s="2085"/>
      <c r="AC744" s="1515"/>
      <c r="AD744" s="2152"/>
      <c r="AE744" s="2153"/>
      <c r="AF744" s="1515"/>
      <c r="AG744" s="1515"/>
      <c r="AH744" s="1515"/>
      <c r="AI744" s="2152"/>
      <c r="AJ744" s="2153"/>
      <c r="AK744" s="1515"/>
      <c r="AL744" s="1886"/>
      <c r="AM744" s="1515"/>
      <c r="AN744" s="2152"/>
      <c r="AO744" s="2062"/>
      <c r="AP744" s="1515"/>
      <c r="AQ744" s="1515"/>
      <c r="AR744" s="1515"/>
      <c r="AS744" s="1515"/>
      <c r="AT744" s="1515"/>
      <c r="AU744" s="1515"/>
      <c r="AV744" s="1515"/>
      <c r="AW744" s="1515"/>
      <c r="AX744" s="1515"/>
      <c r="AY744" s="1515"/>
      <c r="AZ744" s="1515"/>
    </row>
    <row r="745" s="1510" customFormat="1" ht="15.75" hidden="1" customHeight="1">
      <c r="A745" s="1179" t="s">
        <v>205</v>
      </c>
      <c r="B745" s="1868">
        <f t="shared" si="2203"/>
        <v>3269</v>
      </c>
      <c r="C745" s="1868">
        <f t="shared" si="2203"/>
        <v>2462</v>
      </c>
      <c r="D745" s="1868">
        <f t="shared" si="2203"/>
        <v>0</v>
      </c>
      <c r="E745" s="1895">
        <f t="shared" si="2207"/>
        <v>5731</v>
      </c>
      <c r="F745" s="1868">
        <f t="shared" si="2204"/>
        <v>0</v>
      </c>
      <c r="G745" s="1868">
        <f t="shared" si="2204"/>
        <v>0</v>
      </c>
      <c r="H745" s="1868">
        <f t="shared" si="2204"/>
        <v>0</v>
      </c>
      <c r="I745" s="1895">
        <f t="shared" si="2189"/>
        <v>0</v>
      </c>
      <c r="J745" s="1896">
        <f t="shared" si="2190"/>
        <v>5731</v>
      </c>
      <c r="K745" s="1868">
        <f t="shared" si="2205"/>
        <v>0</v>
      </c>
      <c r="L745" s="1868">
        <f t="shared" si="2205"/>
        <v>0</v>
      </c>
      <c r="M745" s="1868">
        <f t="shared" si="2205"/>
        <v>0</v>
      </c>
      <c r="N745" s="1895">
        <f t="shared" si="2192"/>
        <v>0</v>
      </c>
      <c r="O745" s="1896">
        <f t="shared" si="2193"/>
        <v>5731</v>
      </c>
      <c r="P745" s="1868">
        <f t="shared" si="2206"/>
        <v>0</v>
      </c>
      <c r="Q745" s="1868">
        <f t="shared" si="2206"/>
        <v>0</v>
      </c>
      <c r="R745" s="1868">
        <f t="shared" si="2206"/>
        <v>0</v>
      </c>
      <c r="S745" s="1895">
        <f t="shared" si="2196"/>
        <v>0</v>
      </c>
      <c r="T745" s="1897">
        <f t="shared" si="2194"/>
        <v>5731</v>
      </c>
      <c r="U745" s="2085"/>
      <c r="V745" s="1908"/>
      <c r="W745" s="2103"/>
      <c r="X745" s="2103"/>
      <c r="Y745" s="2103"/>
      <c r="Z745" s="2151"/>
      <c r="AA745" s="1515"/>
      <c r="AB745" s="2085"/>
      <c r="AC745" s="1515"/>
      <c r="AD745" s="2152"/>
      <c r="AE745" s="2153"/>
      <c r="AF745" s="1515"/>
      <c r="AG745" s="1515"/>
      <c r="AH745" s="1515"/>
      <c r="AI745" s="2152"/>
      <c r="AJ745" s="2153"/>
      <c r="AK745" s="1515"/>
      <c r="AL745" s="1886"/>
      <c r="AM745" s="1515"/>
      <c r="AN745" s="2152"/>
      <c r="AO745" s="2062"/>
      <c r="AP745" s="1515"/>
      <c r="AQ745" s="1515"/>
      <c r="AR745" s="1515"/>
      <c r="AS745" s="1515"/>
      <c r="AT745" s="1515"/>
      <c r="AU745" s="1515"/>
      <c r="AV745" s="1515"/>
      <c r="AW745" s="1515"/>
      <c r="AX745" s="1515"/>
      <c r="AY745" s="1515"/>
      <c r="AZ745" s="1515"/>
    </row>
    <row r="746" s="1510" customFormat="1" ht="15.75" hidden="1" customHeight="1">
      <c r="A746" s="1179" t="s">
        <v>206</v>
      </c>
      <c r="B746" s="1868">
        <f t="shared" si="2203"/>
        <v>2842</v>
      </c>
      <c r="C746" s="1868">
        <f t="shared" si="2203"/>
        <v>2503</v>
      </c>
      <c r="D746" s="1868">
        <f t="shared" si="2203"/>
        <v>0</v>
      </c>
      <c r="E746" s="1895">
        <f t="shared" si="2207"/>
        <v>5345</v>
      </c>
      <c r="F746" s="1868">
        <f t="shared" si="2204"/>
        <v>0</v>
      </c>
      <c r="G746" s="1868">
        <f t="shared" si="2204"/>
        <v>0</v>
      </c>
      <c r="H746" s="1868">
        <f t="shared" si="2204"/>
        <v>0</v>
      </c>
      <c r="I746" s="1895">
        <f t="shared" si="2189"/>
        <v>0</v>
      </c>
      <c r="J746" s="1896">
        <f t="shared" si="2190"/>
        <v>5345</v>
      </c>
      <c r="K746" s="1868">
        <f t="shared" si="2205"/>
        <v>0</v>
      </c>
      <c r="L746" s="1868">
        <f t="shared" si="2205"/>
        <v>0</v>
      </c>
      <c r="M746" s="1868">
        <f t="shared" si="2205"/>
        <v>0</v>
      </c>
      <c r="N746" s="1895">
        <f t="shared" si="2192"/>
        <v>0</v>
      </c>
      <c r="O746" s="1896">
        <f t="shared" si="2193"/>
        <v>5345</v>
      </c>
      <c r="P746" s="1868">
        <f t="shared" si="2206"/>
        <v>0</v>
      </c>
      <c r="Q746" s="1868">
        <f t="shared" si="2206"/>
        <v>0</v>
      </c>
      <c r="R746" s="1868">
        <f t="shared" si="2206"/>
        <v>0</v>
      </c>
      <c r="S746" s="1895">
        <f t="shared" si="2196"/>
        <v>0</v>
      </c>
      <c r="T746" s="1897">
        <f t="shared" si="2194"/>
        <v>5345</v>
      </c>
      <c r="U746" s="2085"/>
      <c r="V746" s="1908"/>
      <c r="W746" s="2103"/>
      <c r="X746" s="2103"/>
      <c r="Y746" s="2103"/>
      <c r="Z746" s="2151"/>
      <c r="AA746" s="1515"/>
      <c r="AB746" s="2085"/>
      <c r="AC746" s="1515"/>
      <c r="AD746" s="2152"/>
      <c r="AE746" s="2153"/>
      <c r="AF746" s="1515"/>
      <c r="AG746" s="1515"/>
      <c r="AH746" s="1515"/>
      <c r="AI746" s="2152"/>
      <c r="AJ746" s="2153"/>
      <c r="AK746" s="1515"/>
      <c r="AL746" s="1886"/>
      <c r="AM746" s="1515"/>
      <c r="AN746" s="2152"/>
      <c r="AO746" s="2062"/>
      <c r="AP746" s="1515"/>
      <c r="AQ746" s="1515"/>
      <c r="AR746" s="1515"/>
      <c r="AS746" s="1515"/>
      <c r="AT746" s="1515"/>
      <c r="AU746" s="1515"/>
      <c r="AV746" s="1515"/>
      <c r="AW746" s="1515"/>
      <c r="AX746" s="1515"/>
      <c r="AY746" s="1515"/>
      <c r="AZ746" s="1515"/>
    </row>
    <row r="747" s="1510" customFormat="1" ht="15.75" hidden="1" customHeight="1">
      <c r="A747" s="1179" t="s">
        <v>207</v>
      </c>
      <c r="B747" s="1868">
        <f t="shared" si="2203"/>
        <v>1409</v>
      </c>
      <c r="C747" s="1868">
        <f t="shared" si="2203"/>
        <v>1704</v>
      </c>
      <c r="D747" s="1868">
        <f t="shared" si="2203"/>
        <v>0</v>
      </c>
      <c r="E747" s="1895">
        <f t="shared" si="2207"/>
        <v>3113</v>
      </c>
      <c r="F747" s="1868">
        <f t="shared" si="2204"/>
        <v>0</v>
      </c>
      <c r="G747" s="1868">
        <f t="shared" si="2204"/>
        <v>0</v>
      </c>
      <c r="H747" s="1868">
        <f t="shared" si="2204"/>
        <v>0</v>
      </c>
      <c r="I747" s="1895">
        <f t="shared" si="2189"/>
        <v>0</v>
      </c>
      <c r="J747" s="1896">
        <f t="shared" si="2190"/>
        <v>3113</v>
      </c>
      <c r="K747" s="1868">
        <f t="shared" si="2205"/>
        <v>0</v>
      </c>
      <c r="L747" s="1868">
        <f t="shared" si="2205"/>
        <v>0</v>
      </c>
      <c r="M747" s="1868">
        <f t="shared" si="2205"/>
        <v>0</v>
      </c>
      <c r="N747" s="1895">
        <f t="shared" si="2192"/>
        <v>0</v>
      </c>
      <c r="O747" s="1896">
        <f t="shared" si="2193"/>
        <v>3113</v>
      </c>
      <c r="P747" s="1868">
        <f t="shared" si="2206"/>
        <v>0</v>
      </c>
      <c r="Q747" s="1868">
        <f t="shared" si="2206"/>
        <v>0</v>
      </c>
      <c r="R747" s="1868">
        <f t="shared" si="2206"/>
        <v>0</v>
      </c>
      <c r="S747" s="1895">
        <f t="shared" si="2196"/>
        <v>0</v>
      </c>
      <c r="T747" s="1897">
        <f t="shared" si="2194"/>
        <v>3113</v>
      </c>
      <c r="U747" s="2085"/>
      <c r="V747" s="1908"/>
      <c r="W747" s="2103"/>
      <c r="X747" s="2103"/>
      <c r="Y747" s="2103"/>
      <c r="Z747" s="2151"/>
      <c r="AA747" s="1515"/>
      <c r="AB747" s="2085"/>
      <c r="AC747" s="1515"/>
      <c r="AD747" s="2152"/>
      <c r="AE747" s="2153"/>
      <c r="AF747" s="1515"/>
      <c r="AG747" s="1515"/>
      <c r="AH747" s="1515"/>
      <c r="AI747" s="2152"/>
      <c r="AJ747" s="2153"/>
      <c r="AK747" s="1515"/>
      <c r="AL747" s="1886"/>
      <c r="AM747" s="1515"/>
      <c r="AN747" s="2152"/>
      <c r="AO747" s="2062"/>
      <c r="AP747" s="1515"/>
      <c r="AQ747" s="1515"/>
      <c r="AR747" s="1515"/>
      <c r="AS747" s="1515"/>
      <c r="AT747" s="1515"/>
      <c r="AU747" s="1515"/>
      <c r="AV747" s="1515"/>
      <c r="AW747" s="1515"/>
      <c r="AX747" s="1515"/>
      <c r="AY747" s="1515"/>
      <c r="AZ747" s="1515"/>
    </row>
    <row r="748" s="1510" customFormat="1" ht="15.75" hidden="1" customHeight="1">
      <c r="A748" s="1179" t="s">
        <v>209</v>
      </c>
      <c r="B748" s="1868">
        <f t="shared" si="2203"/>
        <v>1510</v>
      </c>
      <c r="C748" s="1868">
        <f t="shared" si="2203"/>
        <v>722</v>
      </c>
      <c r="D748" s="1868">
        <f t="shared" si="2203"/>
        <v>0</v>
      </c>
      <c r="E748" s="1895">
        <f t="shared" si="2207"/>
        <v>2232</v>
      </c>
      <c r="F748" s="1868">
        <f t="shared" si="2204"/>
        <v>0</v>
      </c>
      <c r="G748" s="1868">
        <f t="shared" si="2204"/>
        <v>0</v>
      </c>
      <c r="H748" s="1868">
        <f t="shared" si="2204"/>
        <v>0</v>
      </c>
      <c r="I748" s="1895">
        <f t="shared" si="2189"/>
        <v>0</v>
      </c>
      <c r="J748" s="1896">
        <f t="shared" si="2190"/>
        <v>2232</v>
      </c>
      <c r="K748" s="1868">
        <f t="shared" si="2205"/>
        <v>0</v>
      </c>
      <c r="L748" s="1868">
        <f t="shared" si="2205"/>
        <v>0</v>
      </c>
      <c r="M748" s="1868">
        <f t="shared" si="2205"/>
        <v>0</v>
      </c>
      <c r="N748" s="1895">
        <f t="shared" si="2192"/>
        <v>0</v>
      </c>
      <c r="O748" s="1896">
        <f t="shared" si="2193"/>
        <v>2232</v>
      </c>
      <c r="P748" s="1868">
        <f t="shared" si="2206"/>
        <v>0</v>
      </c>
      <c r="Q748" s="1868">
        <f t="shared" si="2206"/>
        <v>0</v>
      </c>
      <c r="R748" s="1868">
        <f t="shared" si="2206"/>
        <v>0</v>
      </c>
      <c r="S748" s="1895">
        <f t="shared" si="2196"/>
        <v>0</v>
      </c>
      <c r="T748" s="1897">
        <f t="shared" si="2194"/>
        <v>2232</v>
      </c>
      <c r="U748" s="2085"/>
      <c r="V748" s="1908"/>
      <c r="W748" s="2103"/>
      <c r="X748" s="2103"/>
      <c r="Y748" s="2103"/>
      <c r="Z748" s="2151"/>
      <c r="AA748" s="1515"/>
      <c r="AB748" s="2085"/>
      <c r="AC748" s="1515"/>
      <c r="AD748" s="2152"/>
      <c r="AE748" s="2153"/>
      <c r="AF748" s="1515"/>
      <c r="AG748" s="1515"/>
      <c r="AH748" s="1515"/>
      <c r="AI748" s="2152"/>
      <c r="AJ748" s="2153"/>
      <c r="AK748" s="1515"/>
      <c r="AL748" s="1886"/>
      <c r="AM748" s="1515"/>
      <c r="AN748" s="2152"/>
      <c r="AO748" s="2062"/>
      <c r="AP748" s="1515"/>
      <c r="AQ748" s="1515"/>
      <c r="AR748" s="1515"/>
      <c r="AS748" s="1515"/>
      <c r="AT748" s="1515"/>
      <c r="AU748" s="1515"/>
      <c r="AV748" s="1515"/>
      <c r="AW748" s="1515"/>
      <c r="AX748" s="1515"/>
      <c r="AY748" s="1515"/>
      <c r="AZ748" s="1515"/>
    </row>
    <row r="749" s="1510" customFormat="1" ht="15.75" hidden="1" customHeight="1">
      <c r="A749" s="1179" t="s">
        <v>210</v>
      </c>
      <c r="B749" s="1868">
        <f t="shared" si="2203"/>
        <v>1425</v>
      </c>
      <c r="C749" s="1868">
        <f t="shared" si="2203"/>
        <v>1108</v>
      </c>
      <c r="D749" s="1868">
        <f t="shared" si="2203"/>
        <v>0</v>
      </c>
      <c r="E749" s="1895">
        <f t="shared" si="2207"/>
        <v>2533</v>
      </c>
      <c r="F749" s="1868">
        <f t="shared" si="2204"/>
        <v>0</v>
      </c>
      <c r="G749" s="1868">
        <f t="shared" si="2204"/>
        <v>0</v>
      </c>
      <c r="H749" s="1868">
        <f t="shared" si="2204"/>
        <v>0</v>
      </c>
      <c r="I749" s="1895">
        <f t="shared" si="2189"/>
        <v>0</v>
      </c>
      <c r="J749" s="1896">
        <f t="shared" si="2190"/>
        <v>2533</v>
      </c>
      <c r="K749" s="1868">
        <f t="shared" si="2205"/>
        <v>0</v>
      </c>
      <c r="L749" s="1868">
        <f t="shared" si="2205"/>
        <v>0</v>
      </c>
      <c r="M749" s="1868">
        <f t="shared" si="2205"/>
        <v>0</v>
      </c>
      <c r="N749" s="1895">
        <f t="shared" si="2192"/>
        <v>0</v>
      </c>
      <c r="O749" s="1896">
        <f t="shared" si="2193"/>
        <v>2533</v>
      </c>
      <c r="P749" s="1868">
        <f t="shared" si="2206"/>
        <v>0</v>
      </c>
      <c r="Q749" s="1868">
        <f t="shared" si="2206"/>
        <v>0</v>
      </c>
      <c r="R749" s="1868">
        <f t="shared" si="2206"/>
        <v>0</v>
      </c>
      <c r="S749" s="1895">
        <f t="shared" si="2196"/>
        <v>0</v>
      </c>
      <c r="T749" s="1897">
        <f t="shared" si="2194"/>
        <v>2533</v>
      </c>
      <c r="U749" s="2085"/>
      <c r="V749" s="1908"/>
      <c r="W749" s="2103"/>
      <c r="X749" s="2103"/>
      <c r="Y749" s="2103"/>
      <c r="Z749" s="2151"/>
      <c r="AA749" s="1515"/>
      <c r="AB749" s="2085"/>
      <c r="AC749" s="1515"/>
      <c r="AD749" s="2152"/>
      <c r="AE749" s="2153"/>
      <c r="AF749" s="1515"/>
      <c r="AG749" s="1515"/>
      <c r="AH749" s="1515"/>
      <c r="AI749" s="2152"/>
      <c r="AJ749" s="2153"/>
      <c r="AK749" s="1515"/>
      <c r="AL749" s="1886"/>
      <c r="AM749" s="1515"/>
      <c r="AN749" s="2152"/>
      <c r="AO749" s="2062"/>
      <c r="AP749" s="1515"/>
      <c r="AQ749" s="1515"/>
      <c r="AR749" s="1515"/>
      <c r="AS749" s="1515"/>
      <c r="AT749" s="1515"/>
      <c r="AU749" s="1515"/>
      <c r="AV749" s="1515"/>
      <c r="AW749" s="1515"/>
      <c r="AX749" s="1515"/>
      <c r="AY749" s="1515"/>
      <c r="AZ749" s="1515"/>
    </row>
    <row r="750" s="1510" customFormat="1" ht="15.75" hidden="1" customHeight="1">
      <c r="A750" s="1179" t="s">
        <v>211</v>
      </c>
      <c r="B750" s="1868">
        <f t="shared" si="2203"/>
        <v>5320</v>
      </c>
      <c r="C750" s="1868">
        <f t="shared" si="2203"/>
        <v>4063</v>
      </c>
      <c r="D750" s="1868">
        <f t="shared" si="2203"/>
        <v>0</v>
      </c>
      <c r="E750" s="1895">
        <f t="shared" si="2207"/>
        <v>9383</v>
      </c>
      <c r="F750" s="1868">
        <f t="shared" si="2204"/>
        <v>0</v>
      </c>
      <c r="G750" s="1868">
        <f t="shared" si="2204"/>
        <v>0</v>
      </c>
      <c r="H750" s="1868">
        <f t="shared" si="2204"/>
        <v>0</v>
      </c>
      <c r="I750" s="1895">
        <f t="shared" si="2189"/>
        <v>0</v>
      </c>
      <c r="J750" s="1896">
        <f t="shared" si="2190"/>
        <v>9383</v>
      </c>
      <c r="K750" s="1868">
        <f t="shared" si="2205"/>
        <v>0</v>
      </c>
      <c r="L750" s="1868">
        <f t="shared" si="2205"/>
        <v>0</v>
      </c>
      <c r="M750" s="1868">
        <f t="shared" si="2205"/>
        <v>0</v>
      </c>
      <c r="N750" s="1895">
        <f t="shared" si="2192"/>
        <v>0</v>
      </c>
      <c r="O750" s="1896">
        <f t="shared" si="2193"/>
        <v>9383</v>
      </c>
      <c r="P750" s="1868">
        <f t="shared" si="2206"/>
        <v>0</v>
      </c>
      <c r="Q750" s="1868">
        <f t="shared" si="2206"/>
        <v>0</v>
      </c>
      <c r="R750" s="1868">
        <f t="shared" si="2206"/>
        <v>0</v>
      </c>
      <c r="S750" s="1895">
        <f t="shared" si="2196"/>
        <v>0</v>
      </c>
      <c r="T750" s="1897">
        <f t="shared" si="2194"/>
        <v>9383</v>
      </c>
      <c r="U750" s="2085"/>
      <c r="V750" s="1908"/>
      <c r="W750" s="2103"/>
      <c r="X750" s="2103"/>
      <c r="Y750" s="2103"/>
      <c r="Z750" s="2151"/>
      <c r="AA750" s="1515"/>
      <c r="AB750" s="2085"/>
      <c r="AC750" s="1515"/>
      <c r="AD750" s="2152"/>
      <c r="AE750" s="2153"/>
      <c r="AF750" s="1515"/>
      <c r="AG750" s="1515"/>
      <c r="AH750" s="1515"/>
      <c r="AI750" s="2152"/>
      <c r="AJ750" s="2153"/>
      <c r="AK750" s="1515"/>
      <c r="AL750" s="1886"/>
      <c r="AM750" s="1515"/>
      <c r="AN750" s="2152"/>
      <c r="AO750" s="2062"/>
      <c r="AP750" s="1515"/>
      <c r="AQ750" s="1515"/>
      <c r="AR750" s="1515"/>
      <c r="AS750" s="1515"/>
      <c r="AT750" s="1515"/>
      <c r="AU750" s="1515"/>
      <c r="AV750" s="1515"/>
      <c r="AW750" s="1515"/>
      <c r="AX750" s="1515"/>
      <c r="AY750" s="1515"/>
      <c r="AZ750" s="1515"/>
    </row>
    <row r="751" s="1510" customFormat="1" ht="15.75" hidden="1" customHeight="1">
      <c r="A751" s="1511" t="s">
        <v>363</v>
      </c>
      <c r="B751" s="1871">
        <f t="shared" si="2203"/>
        <v>27199</v>
      </c>
      <c r="C751" s="1871">
        <f t="shared" si="2203"/>
        <v>23741</v>
      </c>
      <c r="D751" s="1871">
        <f t="shared" si="2203"/>
        <v>0</v>
      </c>
      <c r="E751" s="1899">
        <f t="shared" si="2207"/>
        <v>50940</v>
      </c>
      <c r="F751" s="1871">
        <f t="shared" si="2204"/>
        <v>0</v>
      </c>
      <c r="G751" s="1871">
        <f t="shared" si="2204"/>
        <v>0</v>
      </c>
      <c r="H751" s="1871">
        <f t="shared" si="2204"/>
        <v>0</v>
      </c>
      <c r="I751" s="1899">
        <f t="shared" si="2189"/>
        <v>0</v>
      </c>
      <c r="J751" s="1900">
        <f t="shared" si="2190"/>
        <v>50940</v>
      </c>
      <c r="K751" s="1871">
        <f t="shared" si="2205"/>
        <v>0</v>
      </c>
      <c r="L751" s="1871">
        <f t="shared" si="2205"/>
        <v>0</v>
      </c>
      <c r="M751" s="1871">
        <f t="shared" si="2205"/>
        <v>0</v>
      </c>
      <c r="N751" s="1899">
        <f t="shared" si="2192"/>
        <v>0</v>
      </c>
      <c r="O751" s="1900">
        <f t="shared" si="2193"/>
        <v>50940</v>
      </c>
      <c r="P751" s="1871">
        <f t="shared" si="2206"/>
        <v>0</v>
      </c>
      <c r="Q751" s="1871">
        <f t="shared" si="2206"/>
        <v>0</v>
      </c>
      <c r="R751" s="1871">
        <f t="shared" si="2206"/>
        <v>0</v>
      </c>
      <c r="S751" s="1899">
        <f t="shared" si="2196"/>
        <v>0</v>
      </c>
      <c r="T751" s="1901">
        <f t="shared" si="2194"/>
        <v>50940</v>
      </c>
      <c r="U751" s="2085"/>
      <c r="V751" s="1908"/>
      <c r="W751" s="2103"/>
      <c r="X751" s="2103"/>
      <c r="Y751" s="2103"/>
      <c r="Z751" s="2151"/>
      <c r="AA751" s="1515"/>
      <c r="AB751" s="2085"/>
      <c r="AC751" s="1515"/>
      <c r="AD751" s="2152"/>
      <c r="AE751" s="2153"/>
      <c r="AF751" s="1515"/>
      <c r="AG751" s="1515"/>
      <c r="AH751" s="1515"/>
      <c r="AI751" s="2152"/>
      <c r="AJ751" s="2153"/>
      <c r="AK751" s="1515"/>
      <c r="AL751" s="1886"/>
      <c r="AM751" s="1515"/>
      <c r="AN751" s="2152"/>
      <c r="AO751" s="2062"/>
      <c r="AP751" s="1515"/>
      <c r="AQ751" s="1515"/>
      <c r="AR751" s="1515"/>
      <c r="AS751" s="1515"/>
      <c r="AT751" s="1515"/>
      <c r="AU751" s="1515"/>
      <c r="AV751" s="1515"/>
      <c r="AW751" s="1515"/>
      <c r="AX751" s="1515"/>
      <c r="AY751" s="1515"/>
      <c r="AZ751" s="1515"/>
    </row>
    <row r="752" s="1510" customFormat="1" ht="15.75" hidden="1" customHeight="1">
      <c r="A752" s="1179" t="s">
        <v>379</v>
      </c>
      <c r="B752" s="1868">
        <f t="shared" si="2203"/>
        <v>2564</v>
      </c>
      <c r="C752" s="1868">
        <f t="shared" si="2203"/>
        <v>2853</v>
      </c>
      <c r="D752" s="1868">
        <f t="shared" si="2203"/>
        <v>0</v>
      </c>
      <c r="E752" s="1895">
        <f t="shared" si="2207"/>
        <v>5417</v>
      </c>
      <c r="F752" s="1868">
        <f t="shared" si="2204"/>
        <v>0</v>
      </c>
      <c r="G752" s="1868">
        <f t="shared" si="2204"/>
        <v>0</v>
      </c>
      <c r="H752" s="1868">
        <f t="shared" si="2204"/>
        <v>0</v>
      </c>
      <c r="I752" s="1895">
        <f t="shared" si="2189"/>
        <v>0</v>
      </c>
      <c r="J752" s="1896">
        <f t="shared" si="2190"/>
        <v>5417</v>
      </c>
      <c r="K752" s="1868">
        <f t="shared" si="2205"/>
        <v>0</v>
      </c>
      <c r="L752" s="1868">
        <f t="shared" si="2205"/>
        <v>0</v>
      </c>
      <c r="M752" s="1868">
        <f t="shared" si="2205"/>
        <v>0</v>
      </c>
      <c r="N752" s="1895">
        <f t="shared" si="2192"/>
        <v>0</v>
      </c>
      <c r="O752" s="1896">
        <f t="shared" si="2193"/>
        <v>5417</v>
      </c>
      <c r="P752" s="1868">
        <f t="shared" si="2206"/>
        <v>0</v>
      </c>
      <c r="Q752" s="1868">
        <f t="shared" si="2206"/>
        <v>0</v>
      </c>
      <c r="R752" s="1868">
        <f t="shared" si="2206"/>
        <v>0</v>
      </c>
      <c r="S752" s="1895">
        <f t="shared" si="2196"/>
        <v>0</v>
      </c>
      <c r="T752" s="1897">
        <f t="shared" si="2194"/>
        <v>5417</v>
      </c>
      <c r="U752" s="2085"/>
      <c r="V752" s="1908"/>
      <c r="W752" s="2103"/>
      <c r="X752" s="2103"/>
      <c r="Y752" s="2103"/>
      <c r="Z752" s="2151"/>
      <c r="AA752" s="1515"/>
      <c r="AB752" s="2085"/>
      <c r="AC752" s="1515"/>
      <c r="AD752" s="2152"/>
      <c r="AE752" s="2153"/>
      <c r="AF752" s="1515"/>
      <c r="AG752" s="1515"/>
      <c r="AH752" s="1515"/>
      <c r="AI752" s="2152"/>
      <c r="AJ752" s="2153"/>
      <c r="AK752" s="1515"/>
      <c r="AL752" s="1886"/>
      <c r="AM752" s="1515"/>
      <c r="AN752" s="2152"/>
      <c r="AO752" s="2062"/>
      <c r="AP752" s="1515"/>
      <c r="AQ752" s="1515"/>
      <c r="AR752" s="1515"/>
      <c r="AS752" s="1515"/>
      <c r="AT752" s="1515"/>
      <c r="AU752" s="1515"/>
      <c r="AV752" s="1515"/>
      <c r="AW752" s="1515"/>
      <c r="AX752" s="1515"/>
      <c r="AY752" s="1515"/>
      <c r="AZ752" s="1515"/>
    </row>
    <row r="753" s="1510" customFormat="1" ht="15.75" hidden="1" customHeight="1">
      <c r="A753" s="1179" t="s">
        <v>734</v>
      </c>
      <c r="B753" s="1868">
        <f t="shared" si="2203"/>
        <v>3955</v>
      </c>
      <c r="C753" s="1868">
        <f t="shared" si="2203"/>
        <v>5365</v>
      </c>
      <c r="D753" s="1868">
        <f t="shared" si="2203"/>
        <v>0</v>
      </c>
      <c r="E753" s="1895">
        <f t="shared" si="2207"/>
        <v>9320</v>
      </c>
      <c r="F753" s="1868">
        <f t="shared" si="2204"/>
        <v>0</v>
      </c>
      <c r="G753" s="1868">
        <f t="shared" si="2204"/>
        <v>0</v>
      </c>
      <c r="H753" s="1868">
        <f t="shared" si="2204"/>
        <v>0</v>
      </c>
      <c r="I753" s="1895">
        <f t="shared" si="2189"/>
        <v>0</v>
      </c>
      <c r="J753" s="1896">
        <f t="shared" si="2190"/>
        <v>9320</v>
      </c>
      <c r="K753" s="1868">
        <f t="shared" si="2205"/>
        <v>0</v>
      </c>
      <c r="L753" s="1868">
        <f t="shared" si="2205"/>
        <v>0</v>
      </c>
      <c r="M753" s="1868">
        <f t="shared" si="2205"/>
        <v>0</v>
      </c>
      <c r="N753" s="1895">
        <f t="shared" si="2192"/>
        <v>0</v>
      </c>
      <c r="O753" s="1896">
        <f t="shared" si="2193"/>
        <v>9320</v>
      </c>
      <c r="P753" s="1868">
        <f t="shared" si="2206"/>
        <v>0</v>
      </c>
      <c r="Q753" s="1868">
        <f t="shared" si="2206"/>
        <v>0</v>
      </c>
      <c r="R753" s="1868">
        <f t="shared" si="2206"/>
        <v>0</v>
      </c>
      <c r="S753" s="1895">
        <f t="shared" si="2196"/>
        <v>0</v>
      </c>
      <c r="T753" s="1897">
        <f t="shared" si="2194"/>
        <v>9320</v>
      </c>
      <c r="U753" s="2085"/>
      <c r="V753" s="1908"/>
      <c r="W753" s="2103"/>
      <c r="X753" s="2103"/>
      <c r="Y753" s="2103"/>
      <c r="Z753" s="2151"/>
      <c r="AA753" s="1515"/>
      <c r="AB753" s="2085"/>
      <c r="AC753" s="1515"/>
      <c r="AD753" s="2152"/>
      <c r="AE753" s="2153"/>
      <c r="AF753" s="1515"/>
      <c r="AG753" s="1515"/>
      <c r="AH753" s="1515"/>
      <c r="AI753" s="2152"/>
      <c r="AJ753" s="2153"/>
      <c r="AK753" s="1515"/>
      <c r="AL753" s="1886"/>
      <c r="AM753" s="1515"/>
      <c r="AN753" s="2152"/>
      <c r="AO753" s="2062"/>
      <c r="AP753" s="1515"/>
      <c r="AQ753" s="1515"/>
      <c r="AR753" s="1515"/>
      <c r="AS753" s="1515"/>
      <c r="AT753" s="1515"/>
      <c r="AU753" s="1515"/>
      <c r="AV753" s="1515"/>
      <c r="AW753" s="1515"/>
      <c r="AX753" s="1515"/>
      <c r="AY753" s="1515"/>
      <c r="AZ753" s="1515"/>
    </row>
    <row r="754" s="1510" customFormat="1" ht="15.75" hidden="1" customHeight="1">
      <c r="A754" s="1179" t="s">
        <v>547</v>
      </c>
      <c r="B754" s="1868">
        <f t="shared" si="2203"/>
        <v>3843</v>
      </c>
      <c r="C754" s="1868">
        <f t="shared" si="2203"/>
        <v>3899</v>
      </c>
      <c r="D754" s="1868">
        <f t="shared" si="2203"/>
        <v>0</v>
      </c>
      <c r="E754" s="1895">
        <f t="shared" si="2207"/>
        <v>7742</v>
      </c>
      <c r="F754" s="1868">
        <f t="shared" si="2204"/>
        <v>0</v>
      </c>
      <c r="G754" s="1868">
        <f t="shared" si="2204"/>
        <v>0</v>
      </c>
      <c r="H754" s="1868">
        <f t="shared" si="2204"/>
        <v>0</v>
      </c>
      <c r="I754" s="1895">
        <f t="shared" si="2189"/>
        <v>0</v>
      </c>
      <c r="J754" s="1896">
        <f t="shared" si="2190"/>
        <v>7742</v>
      </c>
      <c r="K754" s="1868">
        <f t="shared" si="2205"/>
        <v>0</v>
      </c>
      <c r="L754" s="1868">
        <f t="shared" si="2205"/>
        <v>0</v>
      </c>
      <c r="M754" s="1868">
        <f t="shared" si="2205"/>
        <v>0</v>
      </c>
      <c r="N754" s="1895">
        <f t="shared" si="2192"/>
        <v>0</v>
      </c>
      <c r="O754" s="1896">
        <f t="shared" si="2193"/>
        <v>7742</v>
      </c>
      <c r="P754" s="1868">
        <f t="shared" si="2206"/>
        <v>0</v>
      </c>
      <c r="Q754" s="1868">
        <f t="shared" si="2206"/>
        <v>0</v>
      </c>
      <c r="R754" s="1868">
        <f t="shared" si="2206"/>
        <v>0</v>
      </c>
      <c r="S754" s="1895">
        <f t="shared" si="2196"/>
        <v>0</v>
      </c>
      <c r="T754" s="1897">
        <f t="shared" si="2194"/>
        <v>7742</v>
      </c>
      <c r="U754" s="2085"/>
      <c r="V754" s="1908"/>
      <c r="W754" s="2103"/>
      <c r="X754" s="2103"/>
      <c r="Y754" s="2103"/>
      <c r="Z754" s="2151"/>
      <c r="AA754" s="1515"/>
      <c r="AB754" s="2085"/>
      <c r="AC754" s="1515"/>
      <c r="AD754" s="2152"/>
      <c r="AE754" s="2153"/>
      <c r="AF754" s="1515"/>
      <c r="AG754" s="1515"/>
      <c r="AH754" s="1515"/>
      <c r="AI754" s="2152"/>
      <c r="AJ754" s="2153"/>
      <c r="AK754" s="1515"/>
      <c r="AL754" s="1886"/>
      <c r="AM754" s="1515"/>
      <c r="AN754" s="2152"/>
      <c r="AO754" s="2062"/>
      <c r="AP754" s="1515"/>
      <c r="AQ754" s="1515"/>
      <c r="AR754" s="1515"/>
      <c r="AS754" s="1515"/>
      <c r="AT754" s="1515"/>
      <c r="AU754" s="1515"/>
      <c r="AV754" s="1515"/>
      <c r="AW754" s="1515"/>
      <c r="AX754" s="1515"/>
      <c r="AY754" s="1515"/>
      <c r="AZ754" s="1515"/>
    </row>
    <row r="755" s="1510" customFormat="1" ht="15.75" hidden="1" customHeight="1">
      <c r="A755" s="1551" t="s">
        <v>543</v>
      </c>
      <c r="B755" s="1868">
        <f t="shared" si="2203"/>
        <v>1948</v>
      </c>
      <c r="C755" s="1868">
        <f t="shared" si="2203"/>
        <v>2178</v>
      </c>
      <c r="D755" s="1868">
        <f t="shared" si="2203"/>
        <v>0</v>
      </c>
      <c r="E755" s="1895">
        <f t="shared" si="2207"/>
        <v>4126</v>
      </c>
      <c r="F755" s="1868">
        <f t="shared" si="2204"/>
        <v>0</v>
      </c>
      <c r="G755" s="1868">
        <f t="shared" si="2204"/>
        <v>0</v>
      </c>
      <c r="H755" s="1868">
        <f t="shared" si="2204"/>
        <v>0</v>
      </c>
      <c r="I755" s="1895">
        <f t="shared" si="2189"/>
        <v>0</v>
      </c>
      <c r="J755" s="1896">
        <f t="shared" si="2190"/>
        <v>4126</v>
      </c>
      <c r="K755" s="1868">
        <f t="shared" si="2205"/>
        <v>0</v>
      </c>
      <c r="L755" s="1868">
        <f t="shared" si="2205"/>
        <v>0</v>
      </c>
      <c r="M755" s="1868">
        <f t="shared" si="2205"/>
        <v>0</v>
      </c>
      <c r="N755" s="1895">
        <f t="shared" si="2192"/>
        <v>0</v>
      </c>
      <c r="O755" s="1896">
        <f t="shared" si="2193"/>
        <v>4126</v>
      </c>
      <c r="P755" s="1868">
        <f t="shared" si="2206"/>
        <v>0</v>
      </c>
      <c r="Q755" s="1868">
        <f t="shared" si="2206"/>
        <v>0</v>
      </c>
      <c r="R755" s="1868">
        <f t="shared" si="2206"/>
        <v>0</v>
      </c>
      <c r="S755" s="1895">
        <f t="shared" si="2196"/>
        <v>0</v>
      </c>
      <c r="T755" s="1897">
        <f t="shared" si="2194"/>
        <v>4126</v>
      </c>
      <c r="U755" s="2085"/>
      <c r="V755" s="1908"/>
      <c r="W755" s="2103"/>
      <c r="X755" s="2103"/>
      <c r="Y755" s="2103"/>
      <c r="Z755" s="2151"/>
      <c r="AA755" s="1515"/>
      <c r="AB755" s="2085"/>
      <c r="AC755" s="1515"/>
      <c r="AD755" s="2152"/>
      <c r="AE755" s="2153"/>
      <c r="AF755" s="1515"/>
      <c r="AG755" s="1515"/>
      <c r="AH755" s="1515"/>
      <c r="AI755" s="2152"/>
      <c r="AJ755" s="2153"/>
      <c r="AK755" s="1515"/>
      <c r="AL755" s="1886"/>
      <c r="AM755" s="1515"/>
      <c r="AN755" s="2152"/>
      <c r="AO755" s="2062"/>
      <c r="AP755" s="1515"/>
      <c r="AQ755" s="1515"/>
      <c r="AR755" s="1515"/>
      <c r="AS755" s="1515"/>
      <c r="AT755" s="1515"/>
      <c r="AU755" s="1515"/>
      <c r="AV755" s="1515"/>
      <c r="AW755" s="1515"/>
      <c r="AX755" s="1515"/>
      <c r="AY755" s="1515"/>
      <c r="AZ755" s="1515"/>
    </row>
    <row r="756" s="1510" customFormat="1" ht="15.75" hidden="1" customHeight="1">
      <c r="A756" s="1511" t="s">
        <v>544</v>
      </c>
      <c r="B756" s="1871">
        <f t="shared" si="2203"/>
        <v>12310</v>
      </c>
      <c r="C756" s="1871">
        <f t="shared" si="2203"/>
        <v>14295</v>
      </c>
      <c r="D756" s="1871">
        <f t="shared" si="2203"/>
        <v>0</v>
      </c>
      <c r="E756" s="1899">
        <f t="shared" si="2207"/>
        <v>26605</v>
      </c>
      <c r="F756" s="1871">
        <f t="shared" si="2204"/>
        <v>0</v>
      </c>
      <c r="G756" s="1871">
        <f t="shared" si="2204"/>
        <v>0</v>
      </c>
      <c r="H756" s="1871">
        <f t="shared" si="2204"/>
        <v>0</v>
      </c>
      <c r="I756" s="1899">
        <f t="shared" si="2189"/>
        <v>0</v>
      </c>
      <c r="J756" s="1900">
        <f t="shared" si="2190"/>
        <v>26605</v>
      </c>
      <c r="K756" s="1871">
        <f t="shared" si="2205"/>
        <v>0</v>
      </c>
      <c r="L756" s="1871">
        <f t="shared" si="2205"/>
        <v>0</v>
      </c>
      <c r="M756" s="1871">
        <f t="shared" si="2205"/>
        <v>0</v>
      </c>
      <c r="N756" s="1899">
        <f t="shared" si="2192"/>
        <v>0</v>
      </c>
      <c r="O756" s="1900">
        <f t="shared" si="2193"/>
        <v>26605</v>
      </c>
      <c r="P756" s="1871">
        <f t="shared" si="2206"/>
        <v>0</v>
      </c>
      <c r="Q756" s="1871">
        <f t="shared" si="2206"/>
        <v>0</v>
      </c>
      <c r="R756" s="1871">
        <f t="shared" si="2206"/>
        <v>0</v>
      </c>
      <c r="S756" s="1899">
        <f t="shared" si="2196"/>
        <v>0</v>
      </c>
      <c r="T756" s="1901">
        <f t="shared" si="2194"/>
        <v>26605</v>
      </c>
      <c r="U756" s="2085"/>
      <c r="V756" s="1908"/>
      <c r="W756" s="2103"/>
      <c r="X756" s="2103"/>
      <c r="Y756" s="2103"/>
      <c r="Z756" s="2151"/>
      <c r="AA756" s="1515"/>
      <c r="AB756" s="2085"/>
      <c r="AC756" s="1515"/>
      <c r="AD756" s="2152"/>
      <c r="AE756" s="2153"/>
      <c r="AF756" s="1515"/>
      <c r="AG756" s="1515"/>
      <c r="AH756" s="1515"/>
      <c r="AI756" s="2152"/>
      <c r="AJ756" s="2153"/>
      <c r="AK756" s="1515"/>
      <c r="AL756" s="1886"/>
      <c r="AM756" s="1515"/>
      <c r="AN756" s="2152"/>
      <c r="AO756" s="2062"/>
      <c r="AP756" s="1515"/>
      <c r="AQ756" s="1515"/>
      <c r="AR756" s="1515"/>
      <c r="AS756" s="1515"/>
      <c r="AT756" s="1515"/>
      <c r="AU756" s="1515"/>
      <c r="AV756" s="1515"/>
      <c r="AW756" s="1515"/>
      <c r="AX756" s="1515"/>
      <c r="AY756" s="1515"/>
      <c r="AZ756" s="1515"/>
    </row>
    <row r="757" s="1510" customFormat="1" ht="15.75" hidden="1" customHeight="1">
      <c r="A757" s="1179" t="s">
        <v>390</v>
      </c>
      <c r="B757" s="1868">
        <f t="shared" si="2203"/>
        <v>18809</v>
      </c>
      <c r="C757" s="1868">
        <f t="shared" si="2203"/>
        <v>14836</v>
      </c>
      <c r="D757" s="1868">
        <f t="shared" si="2203"/>
        <v>0</v>
      </c>
      <c r="E757" s="1895">
        <f t="shared" si="2207"/>
        <v>33645</v>
      </c>
      <c r="F757" s="1868">
        <f t="shared" si="2204"/>
        <v>0</v>
      </c>
      <c r="G757" s="1868">
        <f t="shared" si="2204"/>
        <v>0</v>
      </c>
      <c r="H757" s="1868">
        <f t="shared" si="2204"/>
        <v>0</v>
      </c>
      <c r="I757" s="1895">
        <f t="shared" si="2189"/>
        <v>0</v>
      </c>
      <c r="J757" s="1896">
        <f t="shared" si="2190"/>
        <v>33645</v>
      </c>
      <c r="K757" s="1868">
        <f t="shared" si="2205"/>
        <v>0</v>
      </c>
      <c r="L757" s="1868">
        <f t="shared" si="2205"/>
        <v>0</v>
      </c>
      <c r="M757" s="1868">
        <f t="shared" si="2205"/>
        <v>0</v>
      </c>
      <c r="N757" s="1895">
        <f t="shared" si="2192"/>
        <v>0</v>
      </c>
      <c r="O757" s="1896">
        <f t="shared" si="2193"/>
        <v>33645</v>
      </c>
      <c r="P757" s="1868">
        <f t="shared" si="2206"/>
        <v>0</v>
      </c>
      <c r="Q757" s="1868">
        <f t="shared" si="2206"/>
        <v>0</v>
      </c>
      <c r="R757" s="1868">
        <f t="shared" si="2206"/>
        <v>0</v>
      </c>
      <c r="S757" s="1895">
        <f t="shared" si="2196"/>
        <v>0</v>
      </c>
      <c r="T757" s="1897">
        <f t="shared" si="2194"/>
        <v>33645</v>
      </c>
      <c r="U757" s="2085"/>
      <c r="V757" s="1908"/>
      <c r="W757" s="2103"/>
      <c r="X757" s="2103"/>
      <c r="Y757" s="2103"/>
      <c r="Z757" s="2151"/>
      <c r="AA757" s="1515"/>
      <c r="AB757" s="2085"/>
      <c r="AC757" s="1515"/>
      <c r="AD757" s="2152"/>
      <c r="AE757" s="2153"/>
      <c r="AF757" s="1515"/>
      <c r="AG757" s="1515"/>
      <c r="AH757" s="1515"/>
      <c r="AI757" s="2152"/>
      <c r="AJ757" s="2153"/>
      <c r="AK757" s="1515"/>
      <c r="AL757" s="1886"/>
      <c r="AM757" s="1515"/>
      <c r="AN757" s="2152"/>
      <c r="AO757" s="2062"/>
      <c r="AP757" s="1515"/>
      <c r="AQ757" s="1515"/>
      <c r="AR757" s="1515"/>
      <c r="AS757" s="1515"/>
      <c r="AT757" s="1515"/>
      <c r="AU757" s="1515"/>
      <c r="AV757" s="1515"/>
      <c r="AW757" s="1515"/>
      <c r="AX757" s="1515"/>
      <c r="AY757" s="1515"/>
      <c r="AZ757" s="1515"/>
    </row>
    <row r="758" s="1510" customFormat="1" ht="15.75" hidden="1" customHeight="1">
      <c r="A758" s="1179" t="s">
        <v>392</v>
      </c>
      <c r="B758" s="1868">
        <f t="shared" si="2203"/>
        <v>5987</v>
      </c>
      <c r="C758" s="1868">
        <f t="shared" si="2203"/>
        <v>5278</v>
      </c>
      <c r="D758" s="1868">
        <f t="shared" si="2203"/>
        <v>0</v>
      </c>
      <c r="E758" s="1895">
        <f t="shared" si="2207"/>
        <v>11265</v>
      </c>
      <c r="F758" s="1868">
        <f t="shared" si="2204"/>
        <v>0</v>
      </c>
      <c r="G758" s="1868">
        <f t="shared" si="2204"/>
        <v>0</v>
      </c>
      <c r="H758" s="1868">
        <f t="shared" si="2204"/>
        <v>0</v>
      </c>
      <c r="I758" s="1895">
        <f t="shared" si="2189"/>
        <v>0</v>
      </c>
      <c r="J758" s="1896">
        <f t="shared" si="2190"/>
        <v>11265</v>
      </c>
      <c r="K758" s="1868">
        <f t="shared" si="2205"/>
        <v>0</v>
      </c>
      <c r="L758" s="1868">
        <f t="shared" si="2205"/>
        <v>0</v>
      </c>
      <c r="M758" s="1868">
        <f t="shared" si="2205"/>
        <v>0</v>
      </c>
      <c r="N758" s="1895">
        <f t="shared" si="2192"/>
        <v>0</v>
      </c>
      <c r="O758" s="1896">
        <f t="shared" si="2193"/>
        <v>11265</v>
      </c>
      <c r="P758" s="1868">
        <f t="shared" si="2206"/>
        <v>0</v>
      </c>
      <c r="Q758" s="1868">
        <f t="shared" si="2206"/>
        <v>0</v>
      </c>
      <c r="R758" s="1868">
        <f t="shared" si="2206"/>
        <v>0</v>
      </c>
      <c r="S758" s="1895">
        <f t="shared" si="2196"/>
        <v>0</v>
      </c>
      <c r="T758" s="1897">
        <f t="shared" si="2194"/>
        <v>11265</v>
      </c>
      <c r="U758" s="2085"/>
      <c r="V758" s="1908"/>
      <c r="W758" s="2103"/>
      <c r="X758" s="2103"/>
      <c r="Y758" s="2103"/>
      <c r="Z758" s="2151"/>
      <c r="AA758" s="1515"/>
      <c r="AB758" s="2085"/>
      <c r="AC758" s="1515"/>
      <c r="AD758" s="2152"/>
      <c r="AE758" s="2153"/>
      <c r="AF758" s="1515"/>
      <c r="AG758" s="1515"/>
      <c r="AH758" s="1515"/>
      <c r="AI758" s="2152"/>
      <c r="AJ758" s="2153"/>
      <c r="AK758" s="1515"/>
      <c r="AL758" s="1886"/>
      <c r="AM758" s="1515"/>
      <c r="AN758" s="2152"/>
      <c r="AO758" s="2062"/>
      <c r="AP758" s="1515"/>
      <c r="AQ758" s="1515"/>
      <c r="AR758" s="1515"/>
      <c r="AS758" s="1515"/>
      <c r="AT758" s="1515"/>
      <c r="AU758" s="1515"/>
      <c r="AV758" s="1515"/>
      <c r="AW758" s="1515"/>
      <c r="AX758" s="1515"/>
      <c r="AY758" s="1515"/>
      <c r="AZ758" s="1515"/>
    </row>
    <row r="759" s="1510" customFormat="1" ht="15.75" hidden="1" customHeight="1">
      <c r="A759" s="1179" t="s">
        <v>265</v>
      </c>
      <c r="B759" s="1868">
        <f t="shared" si="2203"/>
        <v>6401</v>
      </c>
      <c r="C759" s="1868">
        <f t="shared" si="2203"/>
        <v>4416</v>
      </c>
      <c r="D759" s="1868">
        <f t="shared" si="2203"/>
        <v>0</v>
      </c>
      <c r="E759" s="1895">
        <f t="shared" si="2207"/>
        <v>10817</v>
      </c>
      <c r="F759" s="1868">
        <f t="shared" si="2204"/>
        <v>0</v>
      </c>
      <c r="G759" s="1868">
        <f t="shared" si="2204"/>
        <v>0</v>
      </c>
      <c r="H759" s="1868">
        <f t="shared" si="2204"/>
        <v>0</v>
      </c>
      <c r="I759" s="1895">
        <f t="shared" si="2189"/>
        <v>0</v>
      </c>
      <c r="J759" s="1896">
        <f t="shared" si="2190"/>
        <v>10817</v>
      </c>
      <c r="K759" s="1868">
        <f t="shared" si="2205"/>
        <v>0</v>
      </c>
      <c r="L759" s="1868">
        <f t="shared" si="2205"/>
        <v>0</v>
      </c>
      <c r="M759" s="1868">
        <f t="shared" si="2205"/>
        <v>0</v>
      </c>
      <c r="N759" s="1895">
        <f t="shared" si="2192"/>
        <v>0</v>
      </c>
      <c r="O759" s="1896">
        <f t="shared" si="2193"/>
        <v>10817</v>
      </c>
      <c r="P759" s="1868">
        <f t="shared" si="2206"/>
        <v>0</v>
      </c>
      <c r="Q759" s="1868">
        <f t="shared" si="2206"/>
        <v>0</v>
      </c>
      <c r="R759" s="1868">
        <f t="shared" si="2206"/>
        <v>0</v>
      </c>
      <c r="S759" s="1895">
        <f t="shared" si="2196"/>
        <v>0</v>
      </c>
      <c r="T759" s="1897">
        <f t="shared" si="2194"/>
        <v>10817</v>
      </c>
      <c r="U759" s="2085"/>
      <c r="V759" s="1908"/>
      <c r="W759" s="2103"/>
      <c r="X759" s="2103"/>
      <c r="Y759" s="2103"/>
      <c r="Z759" s="2151"/>
      <c r="AA759" s="1515"/>
      <c r="AB759" s="2085"/>
      <c r="AC759" s="1515"/>
      <c r="AD759" s="2152"/>
      <c r="AE759" s="2153"/>
      <c r="AF759" s="1515"/>
      <c r="AG759" s="1515"/>
      <c r="AH759" s="1515"/>
      <c r="AI759" s="2152"/>
      <c r="AJ759" s="2153"/>
      <c r="AK759" s="1515"/>
      <c r="AL759" s="1886"/>
      <c r="AM759" s="1515"/>
      <c r="AN759" s="2152"/>
      <c r="AO759" s="2062"/>
      <c r="AP759" s="1515"/>
      <c r="AQ759" s="1515"/>
      <c r="AR759" s="1515"/>
      <c r="AS759" s="1515"/>
      <c r="AT759" s="1515"/>
      <c r="AU759" s="1515"/>
      <c r="AV759" s="1515"/>
      <c r="AW759" s="1515"/>
      <c r="AX759" s="1515"/>
      <c r="AY759" s="1515"/>
      <c r="AZ759" s="1515"/>
    </row>
    <row r="760" s="1510" customFormat="1" ht="15.75" hidden="1" customHeight="1">
      <c r="A760" s="1511" t="s">
        <v>394</v>
      </c>
      <c r="B760" s="1871">
        <f t="shared" si="2203"/>
        <v>31197</v>
      </c>
      <c r="C760" s="1871">
        <f t="shared" si="2203"/>
        <v>24530</v>
      </c>
      <c r="D760" s="1871">
        <f t="shared" si="2203"/>
        <v>0</v>
      </c>
      <c r="E760" s="1899">
        <f t="shared" si="2207"/>
        <v>55727</v>
      </c>
      <c r="F760" s="1871">
        <f t="shared" si="2204"/>
        <v>0</v>
      </c>
      <c r="G760" s="1871">
        <f t="shared" si="2204"/>
        <v>0</v>
      </c>
      <c r="H760" s="1871">
        <f t="shared" si="2204"/>
        <v>0</v>
      </c>
      <c r="I760" s="1899">
        <f t="shared" si="2189"/>
        <v>0</v>
      </c>
      <c r="J760" s="1900">
        <f t="shared" si="2190"/>
        <v>55727</v>
      </c>
      <c r="K760" s="1871">
        <f t="shared" si="2205"/>
        <v>0</v>
      </c>
      <c r="L760" s="1871">
        <f t="shared" si="2205"/>
        <v>0</v>
      </c>
      <c r="M760" s="1871">
        <f t="shared" si="2205"/>
        <v>0</v>
      </c>
      <c r="N760" s="1899">
        <f t="shared" si="2192"/>
        <v>0</v>
      </c>
      <c r="O760" s="1900">
        <f t="shared" si="2193"/>
        <v>55727</v>
      </c>
      <c r="P760" s="1871">
        <f t="shared" si="2206"/>
        <v>0</v>
      </c>
      <c r="Q760" s="1871">
        <f t="shared" si="2206"/>
        <v>0</v>
      </c>
      <c r="R760" s="1871">
        <f t="shared" si="2206"/>
        <v>0</v>
      </c>
      <c r="S760" s="1899">
        <f t="shared" si="2196"/>
        <v>0</v>
      </c>
      <c r="T760" s="1901">
        <f t="shared" si="2194"/>
        <v>55727</v>
      </c>
      <c r="U760" s="2085"/>
      <c r="V760" s="1908"/>
      <c r="W760" s="2103"/>
      <c r="X760" s="2103"/>
      <c r="Y760" s="2103"/>
      <c r="Z760" s="2151"/>
      <c r="AA760" s="1515"/>
      <c r="AB760" s="2085"/>
      <c r="AC760" s="1515"/>
      <c r="AD760" s="2152"/>
      <c r="AE760" s="2153"/>
      <c r="AF760" s="1515"/>
      <c r="AG760" s="1515"/>
      <c r="AH760" s="1515"/>
      <c r="AI760" s="2152"/>
      <c r="AJ760" s="2153"/>
      <c r="AK760" s="1515"/>
      <c r="AL760" s="1886"/>
      <c r="AM760" s="1515"/>
      <c r="AN760" s="2152"/>
      <c r="AO760" s="2062"/>
      <c r="AP760" s="1515"/>
      <c r="AQ760" s="1515"/>
      <c r="AR760" s="1515"/>
      <c r="AS760" s="1515"/>
      <c r="AT760" s="1515"/>
      <c r="AU760" s="1515"/>
      <c r="AV760" s="1515"/>
      <c r="AW760" s="1515"/>
      <c r="AX760" s="1515"/>
      <c r="AY760" s="1515"/>
      <c r="AZ760" s="1515"/>
    </row>
    <row r="761" s="1510" customFormat="1" ht="15.75" hidden="1" customHeight="1">
      <c r="A761" s="1511" t="s">
        <v>545</v>
      </c>
      <c r="B761" s="1871">
        <f t="shared" si="2203"/>
        <v>95036</v>
      </c>
      <c r="C761" s="1871">
        <f t="shared" si="2203"/>
        <v>88166</v>
      </c>
      <c r="D761" s="1871">
        <f t="shared" si="2203"/>
        <v>0</v>
      </c>
      <c r="E761" s="1899">
        <f t="shared" si="2207"/>
        <v>183202</v>
      </c>
      <c r="F761" s="1871">
        <f t="shared" si="2204"/>
        <v>0</v>
      </c>
      <c r="G761" s="1871">
        <f t="shared" si="2204"/>
        <v>0</v>
      </c>
      <c r="H761" s="1871">
        <f t="shared" si="2204"/>
        <v>0</v>
      </c>
      <c r="I761" s="1899">
        <f t="shared" si="2189"/>
        <v>0</v>
      </c>
      <c r="J761" s="1900">
        <f t="shared" si="2190"/>
        <v>183202</v>
      </c>
      <c r="K761" s="1871">
        <f t="shared" si="2205"/>
        <v>0</v>
      </c>
      <c r="L761" s="1871">
        <f t="shared" si="2205"/>
        <v>0</v>
      </c>
      <c r="M761" s="1871">
        <f t="shared" si="2205"/>
        <v>0</v>
      </c>
      <c r="N761" s="1899">
        <f t="shared" si="2192"/>
        <v>0</v>
      </c>
      <c r="O761" s="1900">
        <f t="shared" si="2193"/>
        <v>183202</v>
      </c>
      <c r="P761" s="1871">
        <f t="shared" si="2206"/>
        <v>0</v>
      </c>
      <c r="Q761" s="1871">
        <f t="shared" si="2206"/>
        <v>0</v>
      </c>
      <c r="R761" s="1871">
        <f t="shared" si="2206"/>
        <v>0</v>
      </c>
      <c r="S761" s="1899">
        <f t="shared" si="2196"/>
        <v>0</v>
      </c>
      <c r="T761" s="1901">
        <f t="shared" si="2194"/>
        <v>183202</v>
      </c>
      <c r="U761" s="2085"/>
      <c r="V761" s="1908"/>
      <c r="W761" s="2103"/>
      <c r="X761" s="2103"/>
      <c r="Y761" s="2103"/>
      <c r="Z761" s="2151"/>
      <c r="AA761" s="1515"/>
      <c r="AB761" s="2085"/>
      <c r="AC761" s="1515"/>
      <c r="AD761" s="2152"/>
      <c r="AE761" s="2153"/>
      <c r="AF761" s="1515"/>
      <c r="AG761" s="1515"/>
      <c r="AH761" s="1515"/>
      <c r="AI761" s="2152"/>
      <c r="AJ761" s="2153"/>
      <c r="AK761" s="1515"/>
      <c r="AL761" s="1886"/>
      <c r="AM761" s="1515"/>
      <c r="AN761" s="2152"/>
      <c r="AO761" s="2062"/>
      <c r="AP761" s="1515"/>
      <c r="AQ761" s="1515"/>
      <c r="AR761" s="1515"/>
      <c r="AS761" s="1515"/>
      <c r="AT761" s="1515"/>
      <c r="AU761" s="1515"/>
      <c r="AV761" s="1515"/>
      <c r="AW761" s="1515"/>
      <c r="AX761" s="1515"/>
      <c r="AY761" s="1515"/>
      <c r="AZ761" s="1515"/>
    </row>
    <row r="762" s="1510" customFormat="1" ht="15.75" hidden="1" customHeight="1">
      <c r="A762" s="1179" t="s">
        <v>50</v>
      </c>
      <c r="B762" s="1868">
        <f t="shared" si="2203"/>
        <v>9660</v>
      </c>
      <c r="C762" s="1868">
        <f t="shared" si="2203"/>
        <v>5780</v>
      </c>
      <c r="D762" s="1868">
        <f t="shared" si="2203"/>
        <v>0</v>
      </c>
      <c r="E762" s="1895">
        <f t="shared" si="2207"/>
        <v>15440</v>
      </c>
      <c r="F762" s="1868">
        <f t="shared" si="2204"/>
        <v>0</v>
      </c>
      <c r="G762" s="1868">
        <f t="shared" si="2204"/>
        <v>0</v>
      </c>
      <c r="H762" s="1868">
        <f t="shared" si="2204"/>
        <v>0</v>
      </c>
      <c r="I762" s="1895">
        <f t="shared" ref="I762:I825" si="2208">F762+G762+H762</f>
        <v>0</v>
      </c>
      <c r="J762" s="1896">
        <f t="shared" ref="J762:J825" si="2209">E762+I762</f>
        <v>15440</v>
      </c>
      <c r="K762" s="1868">
        <f t="shared" si="2205"/>
        <v>0</v>
      </c>
      <c r="L762" s="1868">
        <f t="shared" si="2205"/>
        <v>0</v>
      </c>
      <c r="M762" s="1868">
        <f t="shared" si="2205"/>
        <v>0</v>
      </c>
      <c r="N762" s="1895">
        <f t="shared" si="2192"/>
        <v>0</v>
      </c>
      <c r="O762" s="1896">
        <f t="shared" si="2193"/>
        <v>15440</v>
      </c>
      <c r="P762" s="1868">
        <f t="shared" si="2206"/>
        <v>0</v>
      </c>
      <c r="Q762" s="1868">
        <f t="shared" si="2206"/>
        <v>0</v>
      </c>
      <c r="R762" s="1868">
        <f t="shared" si="2206"/>
        <v>0</v>
      </c>
      <c r="S762" s="1895">
        <f t="shared" si="2196"/>
        <v>0</v>
      </c>
      <c r="T762" s="1897">
        <f t="shared" si="2194"/>
        <v>15440</v>
      </c>
      <c r="U762" s="2085"/>
      <c r="V762" s="1908"/>
      <c r="W762" s="2103"/>
      <c r="X762" s="2103"/>
      <c r="Y762" s="2103"/>
      <c r="Z762" s="2151"/>
      <c r="AA762" s="1515"/>
      <c r="AB762" s="2085"/>
      <c r="AC762" s="1515"/>
      <c r="AD762" s="2152"/>
      <c r="AE762" s="2153"/>
      <c r="AF762" s="1515"/>
      <c r="AG762" s="1515"/>
      <c r="AH762" s="1515"/>
      <c r="AI762" s="2152"/>
      <c r="AJ762" s="2153"/>
      <c r="AK762" s="1515"/>
      <c r="AL762" s="1886"/>
      <c r="AM762" s="1515"/>
      <c r="AN762" s="2152"/>
      <c r="AO762" s="2062"/>
      <c r="AP762" s="1515"/>
      <c r="AQ762" s="1515"/>
      <c r="AR762" s="1515"/>
      <c r="AS762" s="1515"/>
      <c r="AT762" s="1515"/>
      <c r="AU762" s="1515"/>
      <c r="AV762" s="1515"/>
      <c r="AW762" s="1515"/>
      <c r="AX762" s="1515"/>
      <c r="AY762" s="1515"/>
      <c r="AZ762" s="1515"/>
    </row>
    <row r="763" s="1510" customFormat="1" ht="15.75" hidden="1" customHeight="1">
      <c r="A763" s="1179" t="s">
        <v>397</v>
      </c>
      <c r="B763" s="1868">
        <f t="shared" si="2203"/>
        <v>1027</v>
      </c>
      <c r="C763" s="1868">
        <f t="shared" si="2203"/>
        <v>1306</v>
      </c>
      <c r="D763" s="1868">
        <f t="shared" si="2203"/>
        <v>0</v>
      </c>
      <c r="E763" s="1895">
        <f t="shared" si="2207"/>
        <v>2333</v>
      </c>
      <c r="F763" s="1868">
        <f t="shared" si="2204"/>
        <v>0</v>
      </c>
      <c r="G763" s="1868">
        <f t="shared" si="2204"/>
        <v>0</v>
      </c>
      <c r="H763" s="1868">
        <f t="shared" si="2204"/>
        <v>0</v>
      </c>
      <c r="I763" s="1895">
        <f t="shared" si="2208"/>
        <v>0</v>
      </c>
      <c r="J763" s="1896">
        <f t="shared" si="2209"/>
        <v>2333</v>
      </c>
      <c r="K763" s="1868">
        <f t="shared" si="2205"/>
        <v>0</v>
      </c>
      <c r="L763" s="1868">
        <f t="shared" si="2205"/>
        <v>0</v>
      </c>
      <c r="M763" s="1868">
        <f t="shared" si="2205"/>
        <v>0</v>
      </c>
      <c r="N763" s="1895">
        <f t="shared" si="2192"/>
        <v>0</v>
      </c>
      <c r="O763" s="1896">
        <f t="shared" si="2193"/>
        <v>2333</v>
      </c>
      <c r="P763" s="1868">
        <f t="shared" si="2206"/>
        <v>0</v>
      </c>
      <c r="Q763" s="1868">
        <f t="shared" si="2206"/>
        <v>0</v>
      </c>
      <c r="R763" s="1868">
        <f t="shared" si="2206"/>
        <v>0</v>
      </c>
      <c r="S763" s="1895">
        <f t="shared" si="2196"/>
        <v>0</v>
      </c>
      <c r="T763" s="1897">
        <f t="shared" si="2194"/>
        <v>2333</v>
      </c>
      <c r="U763" s="2085"/>
      <c r="V763" s="1908"/>
      <c r="W763" s="2103"/>
      <c r="X763" s="2103"/>
      <c r="Y763" s="2103"/>
      <c r="Z763" s="2151"/>
      <c r="AA763" s="1515"/>
      <c r="AB763" s="2085"/>
      <c r="AC763" s="1515"/>
      <c r="AD763" s="2152"/>
      <c r="AE763" s="2153"/>
      <c r="AF763" s="1515"/>
      <c r="AG763" s="1515"/>
      <c r="AH763" s="1515"/>
      <c r="AI763" s="2152"/>
      <c r="AJ763" s="2153"/>
      <c r="AK763" s="1515"/>
      <c r="AL763" s="1886"/>
      <c r="AM763" s="1515"/>
      <c r="AN763" s="2152"/>
      <c r="AO763" s="2062"/>
      <c r="AP763" s="1515"/>
      <c r="AQ763" s="1515"/>
      <c r="AR763" s="1515"/>
      <c r="AS763" s="1515"/>
      <c r="AT763" s="1515"/>
      <c r="AU763" s="1515"/>
      <c r="AV763" s="1515"/>
      <c r="AW763" s="1515"/>
      <c r="AX763" s="1515"/>
      <c r="AY763" s="1515"/>
      <c r="AZ763" s="1515"/>
    </row>
    <row r="764" s="1510" customFormat="1" ht="15.75" hidden="1" customHeight="1">
      <c r="A764" s="1179" t="s">
        <v>546</v>
      </c>
      <c r="B764" s="1868">
        <f t="shared" si="2203"/>
        <v>2599</v>
      </c>
      <c r="C764" s="1868">
        <f t="shared" si="2203"/>
        <v>2651</v>
      </c>
      <c r="D764" s="1868">
        <f t="shared" si="2203"/>
        <v>0</v>
      </c>
      <c r="E764" s="1895">
        <f t="shared" si="2207"/>
        <v>5250</v>
      </c>
      <c r="F764" s="1868">
        <f t="shared" si="2204"/>
        <v>0</v>
      </c>
      <c r="G764" s="1868">
        <f t="shared" si="2204"/>
        <v>0</v>
      </c>
      <c r="H764" s="1868">
        <f t="shared" si="2204"/>
        <v>0</v>
      </c>
      <c r="I764" s="1895">
        <f t="shared" si="2208"/>
        <v>0</v>
      </c>
      <c r="J764" s="1896">
        <f t="shared" si="2209"/>
        <v>5250</v>
      </c>
      <c r="K764" s="1868">
        <f t="shared" si="2205"/>
        <v>0</v>
      </c>
      <c r="L764" s="1868">
        <f t="shared" si="2205"/>
        <v>0</v>
      </c>
      <c r="M764" s="1868">
        <f t="shared" si="2205"/>
        <v>0</v>
      </c>
      <c r="N764" s="1895">
        <f t="shared" si="2192"/>
        <v>0</v>
      </c>
      <c r="O764" s="1896">
        <f t="shared" si="2193"/>
        <v>5250</v>
      </c>
      <c r="P764" s="1868">
        <f t="shared" si="2206"/>
        <v>0</v>
      </c>
      <c r="Q764" s="1868">
        <f t="shared" si="2206"/>
        <v>0</v>
      </c>
      <c r="R764" s="1868">
        <f t="shared" si="2206"/>
        <v>0</v>
      </c>
      <c r="S764" s="1895">
        <f t="shared" si="2196"/>
        <v>0</v>
      </c>
      <c r="T764" s="1897">
        <f t="shared" si="2194"/>
        <v>5250</v>
      </c>
      <c r="U764" s="2085"/>
      <c r="V764" s="1908"/>
      <c r="W764" s="2103"/>
      <c r="X764" s="2103"/>
      <c r="Y764" s="2103"/>
      <c r="Z764" s="2151"/>
      <c r="AA764" s="1515"/>
      <c r="AB764" s="2085"/>
      <c r="AC764" s="1515"/>
      <c r="AD764" s="2152"/>
      <c r="AE764" s="2153"/>
      <c r="AF764" s="1515"/>
      <c r="AG764" s="1515"/>
      <c r="AH764" s="1515"/>
      <c r="AI764" s="2152"/>
      <c r="AJ764" s="2153"/>
      <c r="AK764" s="1515"/>
      <c r="AL764" s="1886"/>
      <c r="AM764" s="1515"/>
      <c r="AN764" s="2152"/>
      <c r="AO764" s="2062"/>
      <c r="AP764" s="1515"/>
      <c r="AQ764" s="1515"/>
      <c r="AR764" s="1515"/>
      <c r="AS764" s="1515"/>
      <c r="AT764" s="1515"/>
      <c r="AU764" s="1515"/>
      <c r="AV764" s="1515"/>
      <c r="AW764" s="1515"/>
      <c r="AX764" s="1515"/>
      <c r="AY764" s="1515"/>
      <c r="AZ764" s="1515"/>
    </row>
    <row r="765" s="1510" customFormat="1" ht="15.75" hidden="1" customHeight="1">
      <c r="A765" s="1511" t="s">
        <v>614</v>
      </c>
      <c r="B765" s="1871">
        <f t="shared" si="2203"/>
        <v>13286</v>
      </c>
      <c r="C765" s="1871">
        <f t="shared" si="2203"/>
        <v>9737</v>
      </c>
      <c r="D765" s="1871">
        <f t="shared" si="2203"/>
        <v>0</v>
      </c>
      <c r="E765" s="1899">
        <f t="shared" si="2207"/>
        <v>23023</v>
      </c>
      <c r="F765" s="1871">
        <f t="shared" si="2204"/>
        <v>0</v>
      </c>
      <c r="G765" s="1871">
        <f t="shared" si="2204"/>
        <v>0</v>
      </c>
      <c r="H765" s="1871">
        <f t="shared" si="2204"/>
        <v>0</v>
      </c>
      <c r="I765" s="1899">
        <f t="shared" si="2208"/>
        <v>0</v>
      </c>
      <c r="J765" s="1900">
        <f t="shared" si="2209"/>
        <v>23023</v>
      </c>
      <c r="K765" s="1871">
        <f t="shared" si="2205"/>
        <v>0</v>
      </c>
      <c r="L765" s="1871">
        <f t="shared" si="2205"/>
        <v>0</v>
      </c>
      <c r="M765" s="1871">
        <f t="shared" si="2205"/>
        <v>0</v>
      </c>
      <c r="N765" s="1899">
        <f t="shared" si="2192"/>
        <v>0</v>
      </c>
      <c r="O765" s="1900">
        <f t="shared" si="2193"/>
        <v>23023</v>
      </c>
      <c r="P765" s="1871">
        <f t="shared" si="2206"/>
        <v>0</v>
      </c>
      <c r="Q765" s="1871">
        <f t="shared" si="2206"/>
        <v>0</v>
      </c>
      <c r="R765" s="1871">
        <f t="shared" si="2206"/>
        <v>0</v>
      </c>
      <c r="S765" s="1899">
        <f t="shared" si="2196"/>
        <v>0</v>
      </c>
      <c r="T765" s="1901">
        <f t="shared" si="2194"/>
        <v>23023</v>
      </c>
      <c r="U765" s="2085"/>
      <c r="V765" s="1908"/>
      <c r="W765" s="2103"/>
      <c r="X765" s="2103"/>
      <c r="Y765" s="2103"/>
      <c r="Z765" s="2151"/>
      <c r="AA765" s="1515"/>
      <c r="AB765" s="2085"/>
      <c r="AC765" s="1515"/>
      <c r="AD765" s="2152"/>
      <c r="AE765" s="2153"/>
      <c r="AF765" s="1515"/>
      <c r="AG765" s="1515"/>
      <c r="AH765" s="1515"/>
      <c r="AI765" s="2152"/>
      <c r="AJ765" s="2153"/>
      <c r="AK765" s="1515"/>
      <c r="AL765" s="1886"/>
      <c r="AM765" s="1515"/>
      <c r="AN765" s="2152"/>
      <c r="AO765" s="2062"/>
      <c r="AP765" s="1515"/>
      <c r="AQ765" s="1515"/>
      <c r="AR765" s="1515"/>
      <c r="AS765" s="1515"/>
      <c r="AT765" s="1515"/>
      <c r="AU765" s="1515"/>
      <c r="AV765" s="1515"/>
      <c r="AW765" s="1515"/>
      <c r="AX765" s="1515"/>
      <c r="AY765" s="1515"/>
      <c r="AZ765" s="1515"/>
    </row>
    <row r="766" s="1510" customFormat="1" ht="15.75" hidden="1" customHeight="1">
      <c r="A766" s="1179" t="s">
        <v>548</v>
      </c>
      <c r="B766" s="1868">
        <f t="shared" si="2203"/>
        <v>5574</v>
      </c>
      <c r="C766" s="1868">
        <f t="shared" si="2203"/>
        <v>8894</v>
      </c>
      <c r="D766" s="1868">
        <f t="shared" si="2203"/>
        <v>0</v>
      </c>
      <c r="E766" s="1895">
        <f t="shared" si="2207"/>
        <v>14468</v>
      </c>
      <c r="F766" s="1868">
        <f t="shared" si="2204"/>
        <v>0</v>
      </c>
      <c r="G766" s="1868">
        <f t="shared" si="2204"/>
        <v>0</v>
      </c>
      <c r="H766" s="1868">
        <f t="shared" si="2204"/>
        <v>0</v>
      </c>
      <c r="I766" s="1895">
        <f t="shared" si="2208"/>
        <v>0</v>
      </c>
      <c r="J766" s="1896">
        <f t="shared" si="2209"/>
        <v>14468</v>
      </c>
      <c r="K766" s="1868">
        <f t="shared" si="2205"/>
        <v>0</v>
      </c>
      <c r="L766" s="1868">
        <f t="shared" si="2205"/>
        <v>0</v>
      </c>
      <c r="M766" s="1868">
        <f t="shared" si="2205"/>
        <v>0</v>
      </c>
      <c r="N766" s="1895">
        <f t="shared" ref="N766:N829" si="2210">K766+L766+M766</f>
        <v>0</v>
      </c>
      <c r="O766" s="1896">
        <f t="shared" ref="O766:O829" si="2211">J766+N766</f>
        <v>14468</v>
      </c>
      <c r="P766" s="1868">
        <f t="shared" si="2206"/>
        <v>0</v>
      </c>
      <c r="Q766" s="1868">
        <f t="shared" si="2206"/>
        <v>0</v>
      </c>
      <c r="R766" s="1868">
        <f t="shared" si="2206"/>
        <v>0</v>
      </c>
      <c r="S766" s="1895">
        <f t="shared" si="2196"/>
        <v>0</v>
      </c>
      <c r="T766" s="1897">
        <f t="shared" si="2194"/>
        <v>14468</v>
      </c>
      <c r="U766" s="2085"/>
      <c r="V766" s="1908"/>
      <c r="W766" s="2103"/>
      <c r="X766" s="2103"/>
      <c r="Y766" s="2103"/>
      <c r="Z766" s="2151"/>
      <c r="AA766" s="1515"/>
      <c r="AB766" s="2085"/>
      <c r="AC766" s="1515"/>
      <c r="AD766" s="2152"/>
      <c r="AE766" s="2153"/>
      <c r="AF766" s="1515"/>
      <c r="AG766" s="1515"/>
      <c r="AH766" s="1515"/>
      <c r="AI766" s="2152"/>
      <c r="AJ766" s="2153"/>
      <c r="AK766" s="1515"/>
      <c r="AL766" s="1886"/>
      <c r="AM766" s="1515"/>
      <c r="AN766" s="2152"/>
      <c r="AO766" s="2062"/>
      <c r="AP766" s="1515"/>
      <c r="AQ766" s="1515"/>
      <c r="AR766" s="1515"/>
      <c r="AS766" s="1515"/>
      <c r="AT766" s="1515"/>
      <c r="AU766" s="1515"/>
      <c r="AV766" s="1515"/>
      <c r="AW766" s="1515"/>
      <c r="AX766" s="1515"/>
      <c r="AY766" s="1515"/>
      <c r="AZ766" s="1515"/>
    </row>
    <row r="767" s="1510" customFormat="1" ht="15.75" hidden="1" customHeight="1">
      <c r="A767" s="1179" t="s">
        <v>549</v>
      </c>
      <c r="B767" s="1868">
        <f t="shared" si="2203"/>
        <v>1522</v>
      </c>
      <c r="C767" s="1868">
        <f t="shared" si="2203"/>
        <v>2744</v>
      </c>
      <c r="D767" s="1868">
        <f t="shared" si="2203"/>
        <v>0</v>
      </c>
      <c r="E767" s="1895">
        <f t="shared" si="2207"/>
        <v>4266</v>
      </c>
      <c r="F767" s="1868">
        <f t="shared" si="2204"/>
        <v>0</v>
      </c>
      <c r="G767" s="1868">
        <f t="shared" si="2204"/>
        <v>0</v>
      </c>
      <c r="H767" s="1868">
        <f t="shared" si="2204"/>
        <v>0</v>
      </c>
      <c r="I767" s="1895">
        <f t="shared" si="2208"/>
        <v>0</v>
      </c>
      <c r="J767" s="1896">
        <f t="shared" si="2209"/>
        <v>4266</v>
      </c>
      <c r="K767" s="1868">
        <f t="shared" si="2205"/>
        <v>0</v>
      </c>
      <c r="L767" s="1868">
        <f t="shared" si="2205"/>
        <v>0</v>
      </c>
      <c r="M767" s="1868">
        <f t="shared" si="2205"/>
        <v>0</v>
      </c>
      <c r="N767" s="1895">
        <f t="shared" si="2210"/>
        <v>0</v>
      </c>
      <c r="O767" s="1896">
        <f t="shared" si="2211"/>
        <v>4266</v>
      </c>
      <c r="P767" s="1868">
        <f t="shared" si="2206"/>
        <v>0</v>
      </c>
      <c r="Q767" s="1868">
        <f t="shared" si="2206"/>
        <v>0</v>
      </c>
      <c r="R767" s="1868">
        <f t="shared" si="2206"/>
        <v>0</v>
      </c>
      <c r="S767" s="1895">
        <f t="shared" si="2196"/>
        <v>0</v>
      </c>
      <c r="T767" s="1897">
        <f t="shared" ref="T767:T830" si="2212">O767+S767</f>
        <v>4266</v>
      </c>
      <c r="U767" s="2085"/>
      <c r="V767" s="1908"/>
      <c r="W767" s="2103"/>
      <c r="X767" s="2103"/>
      <c r="Y767" s="2103"/>
      <c r="Z767" s="2151"/>
      <c r="AA767" s="1515"/>
      <c r="AB767" s="2085"/>
      <c r="AC767" s="1515"/>
      <c r="AD767" s="2152"/>
      <c r="AE767" s="2153"/>
      <c r="AF767" s="1515"/>
      <c r="AG767" s="1515"/>
      <c r="AH767" s="1515"/>
      <c r="AI767" s="2152"/>
      <c r="AJ767" s="2153"/>
      <c r="AK767" s="1515"/>
      <c r="AL767" s="1886"/>
      <c r="AM767" s="1515"/>
      <c r="AN767" s="2152"/>
      <c r="AO767" s="2062"/>
      <c r="AP767" s="1515"/>
      <c r="AQ767" s="1515"/>
      <c r="AR767" s="1515"/>
      <c r="AS767" s="1515"/>
      <c r="AT767" s="1515"/>
      <c r="AU767" s="1515"/>
      <c r="AV767" s="1515"/>
      <c r="AW767" s="1515"/>
      <c r="AX767" s="1515"/>
      <c r="AY767" s="1515"/>
      <c r="AZ767" s="1515"/>
    </row>
    <row r="768" s="1510" customFormat="1" ht="15.75" hidden="1" customHeight="1">
      <c r="A768" s="1511" t="s">
        <v>22</v>
      </c>
      <c r="B768" s="1871">
        <f t="shared" si="2203"/>
        <v>7096</v>
      </c>
      <c r="C768" s="1871">
        <f t="shared" si="2203"/>
        <v>11638</v>
      </c>
      <c r="D768" s="1871">
        <f t="shared" si="2203"/>
        <v>0</v>
      </c>
      <c r="E768" s="1899">
        <f t="shared" si="2207"/>
        <v>18734</v>
      </c>
      <c r="F768" s="1871">
        <f t="shared" si="2204"/>
        <v>0</v>
      </c>
      <c r="G768" s="1871">
        <f t="shared" si="2204"/>
        <v>0</v>
      </c>
      <c r="H768" s="1871">
        <f t="shared" si="2204"/>
        <v>0</v>
      </c>
      <c r="I768" s="1899">
        <f t="shared" si="2208"/>
        <v>0</v>
      </c>
      <c r="J768" s="1900">
        <f t="shared" si="2209"/>
        <v>18734</v>
      </c>
      <c r="K768" s="1871">
        <f t="shared" si="2205"/>
        <v>0</v>
      </c>
      <c r="L768" s="1871">
        <f t="shared" si="2205"/>
        <v>0</v>
      </c>
      <c r="M768" s="1871">
        <f t="shared" si="2205"/>
        <v>0</v>
      </c>
      <c r="N768" s="1899">
        <f t="shared" si="2210"/>
        <v>0</v>
      </c>
      <c r="O768" s="1900">
        <f t="shared" si="2211"/>
        <v>18734</v>
      </c>
      <c r="P768" s="1871">
        <f t="shared" si="2206"/>
        <v>0</v>
      </c>
      <c r="Q768" s="1871">
        <f t="shared" si="2206"/>
        <v>0</v>
      </c>
      <c r="R768" s="1871">
        <f t="shared" si="2206"/>
        <v>0</v>
      </c>
      <c r="S768" s="1899">
        <f t="shared" si="2196"/>
        <v>0</v>
      </c>
      <c r="T768" s="1901">
        <f t="shared" si="2212"/>
        <v>18734</v>
      </c>
      <c r="U768" s="2085"/>
      <c r="V768" s="1908"/>
      <c r="W768" s="2103"/>
      <c r="X768" s="2103"/>
      <c r="Y768" s="2103"/>
      <c r="Z768" s="2151"/>
      <c r="AA768" s="1515"/>
      <c r="AB768" s="2085"/>
      <c r="AC768" s="1515"/>
      <c r="AD768" s="2152"/>
      <c r="AE768" s="2153"/>
      <c r="AF768" s="1515"/>
      <c r="AG768" s="1515"/>
      <c r="AH768" s="1515"/>
      <c r="AI768" s="2152"/>
      <c r="AJ768" s="2153"/>
      <c r="AK768" s="1515"/>
      <c r="AL768" s="1886"/>
      <c r="AM768" s="1515"/>
      <c r="AN768" s="2152"/>
      <c r="AO768" s="2062"/>
      <c r="AP768" s="1515"/>
      <c r="AQ768" s="1515"/>
      <c r="AR768" s="1515"/>
      <c r="AS768" s="1515"/>
      <c r="AT768" s="1515"/>
      <c r="AU768" s="1515"/>
      <c r="AV768" s="1515"/>
      <c r="AW768" s="1515"/>
      <c r="AX768" s="1515"/>
      <c r="AY768" s="1515"/>
      <c r="AZ768" s="1515"/>
    </row>
    <row r="769" s="1510" customFormat="1" ht="15.75" hidden="1" customHeight="1">
      <c r="A769" s="2175" t="s">
        <v>545</v>
      </c>
      <c r="B769" s="1871">
        <f t="shared" si="2203"/>
        <v>115418</v>
      </c>
      <c r="C769" s="1871">
        <f t="shared" si="2203"/>
        <v>109541</v>
      </c>
      <c r="D769" s="1871">
        <f t="shared" si="2203"/>
        <v>0</v>
      </c>
      <c r="E769" s="1899">
        <f t="shared" si="2207"/>
        <v>224959</v>
      </c>
      <c r="F769" s="1871">
        <f t="shared" si="2204"/>
        <v>0</v>
      </c>
      <c r="G769" s="1871">
        <f t="shared" si="2204"/>
        <v>0</v>
      </c>
      <c r="H769" s="1871">
        <f t="shared" si="2204"/>
        <v>0</v>
      </c>
      <c r="I769" s="1899">
        <f t="shared" si="2208"/>
        <v>0</v>
      </c>
      <c r="J769" s="1900">
        <f t="shared" si="2209"/>
        <v>224959</v>
      </c>
      <c r="K769" s="1871">
        <f t="shared" si="2205"/>
        <v>0</v>
      </c>
      <c r="L769" s="1871">
        <f t="shared" si="2205"/>
        <v>0</v>
      </c>
      <c r="M769" s="1871">
        <f t="shared" si="2205"/>
        <v>0</v>
      </c>
      <c r="N769" s="1899">
        <f t="shared" si="2210"/>
        <v>0</v>
      </c>
      <c r="O769" s="1900">
        <f t="shared" si="2211"/>
        <v>224959</v>
      </c>
      <c r="P769" s="1871">
        <f t="shared" si="2206"/>
        <v>0</v>
      </c>
      <c r="Q769" s="1871">
        <f t="shared" si="2206"/>
        <v>0</v>
      </c>
      <c r="R769" s="1871">
        <f t="shared" si="2206"/>
        <v>0</v>
      </c>
      <c r="S769" s="1899">
        <f t="shared" si="2196"/>
        <v>0</v>
      </c>
      <c r="T769" s="1901">
        <f t="shared" si="2212"/>
        <v>224959</v>
      </c>
      <c r="U769" s="2085"/>
      <c r="V769" s="1908"/>
      <c r="W769" s="2103"/>
      <c r="X769" s="2103"/>
      <c r="Y769" s="2103"/>
      <c r="Z769" s="2151"/>
      <c r="AA769" s="1515"/>
      <c r="AB769" s="2085"/>
      <c r="AC769" s="1515"/>
      <c r="AD769" s="2152"/>
      <c r="AE769" s="2153"/>
      <c r="AF769" s="1515"/>
      <c r="AG769" s="1515"/>
      <c r="AH769" s="1515"/>
      <c r="AI769" s="2152"/>
      <c r="AJ769" s="2153"/>
      <c r="AK769" s="1515"/>
      <c r="AL769" s="1886"/>
      <c r="AM769" s="1515"/>
      <c r="AN769" s="2152"/>
      <c r="AO769" s="2062"/>
      <c r="AP769" s="1515"/>
      <c r="AQ769" s="1515"/>
      <c r="AR769" s="1515"/>
      <c r="AS769" s="1515"/>
      <c r="AT769" s="1515"/>
      <c r="AU769" s="1515"/>
      <c r="AV769" s="1515"/>
      <c r="AW769" s="1515"/>
      <c r="AX769" s="1515"/>
      <c r="AY769" s="1515"/>
      <c r="AZ769" s="1515"/>
    </row>
    <row r="770" s="1510" customFormat="1" ht="15.75" hidden="1" customHeight="1">
      <c r="A770" s="1179" t="s">
        <v>735</v>
      </c>
      <c r="B770" s="1868">
        <f t="shared" si="2203"/>
        <v>22893</v>
      </c>
      <c r="C770" s="1868">
        <f t="shared" si="2203"/>
        <v>16869</v>
      </c>
      <c r="D770" s="1868">
        <f t="shared" si="2203"/>
        <v>0</v>
      </c>
      <c r="E770" s="1895">
        <f t="shared" si="2207"/>
        <v>39762</v>
      </c>
      <c r="F770" s="1868">
        <f t="shared" si="2204"/>
        <v>0</v>
      </c>
      <c r="G770" s="1868">
        <f t="shared" si="2204"/>
        <v>0</v>
      </c>
      <c r="H770" s="1868">
        <f t="shared" si="2204"/>
        <v>0</v>
      </c>
      <c r="I770" s="1895">
        <f t="shared" si="2208"/>
        <v>0</v>
      </c>
      <c r="J770" s="1896">
        <f t="shared" si="2209"/>
        <v>39762</v>
      </c>
      <c r="K770" s="1868">
        <f t="shared" si="2205"/>
        <v>0</v>
      </c>
      <c r="L770" s="1868">
        <f t="shared" si="2205"/>
        <v>0</v>
      </c>
      <c r="M770" s="1868">
        <f t="shared" si="2205"/>
        <v>0</v>
      </c>
      <c r="N770" s="1895">
        <f t="shared" si="2210"/>
        <v>0</v>
      </c>
      <c r="O770" s="1896">
        <f t="shared" si="2211"/>
        <v>39762</v>
      </c>
      <c r="P770" s="1868">
        <f t="shared" si="2206"/>
        <v>0</v>
      </c>
      <c r="Q770" s="1868">
        <f t="shared" si="2206"/>
        <v>0</v>
      </c>
      <c r="R770" s="1868">
        <f t="shared" si="2206"/>
        <v>0</v>
      </c>
      <c r="S770" s="1895">
        <f t="shared" si="2196"/>
        <v>0</v>
      </c>
      <c r="T770" s="1897">
        <f t="shared" si="2212"/>
        <v>39762</v>
      </c>
      <c r="U770" s="2085"/>
      <c r="V770" s="1908"/>
      <c r="W770" s="2103"/>
      <c r="X770" s="2103"/>
      <c r="Y770" s="2103"/>
      <c r="Z770" s="2151"/>
      <c r="AA770" s="1515"/>
      <c r="AB770" s="2085"/>
      <c r="AC770" s="1515"/>
      <c r="AD770" s="2152"/>
      <c r="AE770" s="2153"/>
      <c r="AF770" s="1515"/>
      <c r="AG770" s="1515"/>
      <c r="AH770" s="1515"/>
      <c r="AI770" s="2152"/>
      <c r="AJ770" s="2153"/>
      <c r="AK770" s="1515"/>
      <c r="AL770" s="1886"/>
      <c r="AM770" s="1515"/>
      <c r="AN770" s="2152"/>
      <c r="AO770" s="2062"/>
      <c r="AP770" s="1515"/>
      <c r="AQ770" s="1515"/>
      <c r="AR770" s="1515"/>
      <c r="AS770" s="1515"/>
      <c r="AT770" s="1515"/>
      <c r="AU770" s="1515"/>
      <c r="AV770" s="1515"/>
      <c r="AW770" s="1515"/>
      <c r="AX770" s="1515"/>
      <c r="AY770" s="1515"/>
      <c r="AZ770" s="1515"/>
    </row>
    <row r="771" s="1510" customFormat="1" ht="15.75" hidden="1" customHeight="1">
      <c r="A771" s="1179" t="s">
        <v>736</v>
      </c>
      <c r="B771" s="1868">
        <f t="shared" si="2203"/>
        <v>8412</v>
      </c>
      <c r="C771" s="1868">
        <f t="shared" si="2203"/>
        <v>10972</v>
      </c>
      <c r="D771" s="1868">
        <f t="shared" si="2203"/>
        <v>0</v>
      </c>
      <c r="E771" s="1895">
        <f t="shared" si="2207"/>
        <v>19384</v>
      </c>
      <c r="F771" s="1868">
        <f t="shared" si="2204"/>
        <v>0</v>
      </c>
      <c r="G771" s="1868">
        <f t="shared" si="2204"/>
        <v>0</v>
      </c>
      <c r="H771" s="1868">
        <f t="shared" si="2204"/>
        <v>0</v>
      </c>
      <c r="I771" s="1895">
        <f t="shared" si="2208"/>
        <v>0</v>
      </c>
      <c r="J771" s="1896">
        <f t="shared" si="2209"/>
        <v>19384</v>
      </c>
      <c r="K771" s="1868">
        <f t="shared" si="2205"/>
        <v>0</v>
      </c>
      <c r="L771" s="1868">
        <f t="shared" si="2205"/>
        <v>0</v>
      </c>
      <c r="M771" s="1868">
        <f t="shared" si="2205"/>
        <v>0</v>
      </c>
      <c r="N771" s="1895">
        <f t="shared" si="2210"/>
        <v>0</v>
      </c>
      <c r="O771" s="1896">
        <f t="shared" si="2211"/>
        <v>19384</v>
      </c>
      <c r="P771" s="1868">
        <f t="shared" si="2206"/>
        <v>0</v>
      </c>
      <c r="Q771" s="1868">
        <f t="shared" si="2206"/>
        <v>0</v>
      </c>
      <c r="R771" s="1868">
        <f t="shared" si="2206"/>
        <v>0</v>
      </c>
      <c r="S771" s="1895">
        <f t="shared" si="2196"/>
        <v>0</v>
      </c>
      <c r="T771" s="1897">
        <f t="shared" si="2212"/>
        <v>19384</v>
      </c>
      <c r="U771" s="2085"/>
      <c r="V771" s="1908"/>
      <c r="W771" s="2103"/>
      <c r="X771" s="2103"/>
      <c r="Y771" s="2103"/>
      <c r="Z771" s="2151"/>
      <c r="AA771" s="1515"/>
      <c r="AB771" s="2085"/>
      <c r="AC771" s="1515"/>
      <c r="AD771" s="2152"/>
      <c r="AE771" s="2153"/>
      <c r="AF771" s="1515"/>
      <c r="AG771" s="1515"/>
      <c r="AH771" s="1515"/>
      <c r="AI771" s="2152"/>
      <c r="AJ771" s="2153"/>
      <c r="AK771" s="1515"/>
      <c r="AL771" s="1886"/>
      <c r="AM771" s="1515"/>
      <c r="AN771" s="2152"/>
      <c r="AO771" s="2062"/>
      <c r="AP771" s="1515"/>
      <c r="AQ771" s="1515"/>
      <c r="AR771" s="1515"/>
      <c r="AS771" s="1515"/>
      <c r="AT771" s="1515"/>
      <c r="AU771" s="1515"/>
      <c r="AV771" s="1515"/>
      <c r="AW771" s="1515"/>
      <c r="AX771" s="1515"/>
      <c r="AY771" s="1515"/>
      <c r="AZ771" s="1515"/>
    </row>
    <row r="772" s="1510" customFormat="1" ht="15.75" hidden="1" customHeight="1">
      <c r="A772" s="1179" t="s">
        <v>632</v>
      </c>
      <c r="B772" s="1868">
        <f t="shared" si="2203"/>
        <v>170</v>
      </c>
      <c r="C772" s="1868">
        <f t="shared" si="2203"/>
        <v>0</v>
      </c>
      <c r="D772" s="1868">
        <f t="shared" si="2203"/>
        <v>0</v>
      </c>
      <c r="E772" s="1895">
        <f t="shared" si="2207"/>
        <v>170</v>
      </c>
      <c r="F772" s="1868">
        <f t="shared" si="2204"/>
        <v>0</v>
      </c>
      <c r="G772" s="1868">
        <f t="shared" si="2204"/>
        <v>0</v>
      </c>
      <c r="H772" s="1868">
        <f t="shared" si="2204"/>
        <v>0</v>
      </c>
      <c r="I772" s="1895">
        <f t="shared" si="2208"/>
        <v>0</v>
      </c>
      <c r="J772" s="1896">
        <f t="shared" si="2209"/>
        <v>170</v>
      </c>
      <c r="K772" s="1868">
        <f t="shared" si="2205"/>
        <v>0</v>
      </c>
      <c r="L772" s="1868">
        <f t="shared" si="2205"/>
        <v>0</v>
      </c>
      <c r="M772" s="1868">
        <f t="shared" si="2205"/>
        <v>0</v>
      </c>
      <c r="N772" s="1895">
        <f t="shared" si="2210"/>
        <v>0</v>
      </c>
      <c r="O772" s="1896">
        <f t="shared" si="2211"/>
        <v>170</v>
      </c>
      <c r="P772" s="1868">
        <f t="shared" si="2206"/>
        <v>0</v>
      </c>
      <c r="Q772" s="1868">
        <f t="shared" si="2206"/>
        <v>0</v>
      </c>
      <c r="R772" s="1868">
        <f t="shared" si="2206"/>
        <v>0</v>
      </c>
      <c r="S772" s="1895">
        <f t="shared" si="2196"/>
        <v>0</v>
      </c>
      <c r="T772" s="1897">
        <f t="shared" si="2212"/>
        <v>170</v>
      </c>
      <c r="U772" s="2085"/>
      <c r="V772" s="1908"/>
      <c r="W772" s="2103"/>
      <c r="X772" s="2103"/>
      <c r="Y772" s="2103"/>
      <c r="Z772" s="2151"/>
      <c r="AA772" s="1515"/>
      <c r="AB772" s="2085"/>
      <c r="AC772" s="1515"/>
      <c r="AD772" s="2152"/>
      <c r="AE772" s="2153"/>
      <c r="AF772" s="1515"/>
      <c r="AG772" s="1515"/>
      <c r="AH772" s="1515"/>
      <c r="AI772" s="2152"/>
      <c r="AJ772" s="2153"/>
      <c r="AK772" s="1515"/>
      <c r="AL772" s="1886"/>
      <c r="AM772" s="1515"/>
      <c r="AN772" s="2152"/>
      <c r="AO772" s="2062"/>
      <c r="AP772" s="1515"/>
      <c r="AQ772" s="1515"/>
      <c r="AR772" s="1515"/>
      <c r="AS772" s="1515"/>
      <c r="AT772" s="1515"/>
      <c r="AU772" s="1515"/>
      <c r="AV772" s="1515"/>
      <c r="AW772" s="1515"/>
      <c r="AX772" s="1515"/>
      <c r="AY772" s="1515"/>
      <c r="AZ772" s="1515"/>
    </row>
    <row r="773" s="1510" customFormat="1" ht="15.75" hidden="1" customHeight="1">
      <c r="A773" s="1179" t="s">
        <v>277</v>
      </c>
      <c r="B773" s="1868">
        <f t="shared" si="2203"/>
        <v>0</v>
      </c>
      <c r="C773" s="1868">
        <f t="shared" si="2203"/>
        <v>0</v>
      </c>
      <c r="D773" s="1868">
        <f t="shared" si="2203"/>
        <v>0</v>
      </c>
      <c r="E773" s="1895">
        <f t="shared" si="2207"/>
        <v>0</v>
      </c>
      <c r="F773" s="1868">
        <f t="shared" si="2204"/>
        <v>0</v>
      </c>
      <c r="G773" s="1868">
        <f t="shared" si="2204"/>
        <v>0</v>
      </c>
      <c r="H773" s="1868">
        <f t="shared" si="2204"/>
        <v>0</v>
      </c>
      <c r="I773" s="1895">
        <f t="shared" si="2208"/>
        <v>0</v>
      </c>
      <c r="J773" s="1896">
        <f t="shared" si="2209"/>
        <v>0</v>
      </c>
      <c r="K773" s="1868">
        <f t="shared" si="2205"/>
        <v>0</v>
      </c>
      <c r="L773" s="1868">
        <f t="shared" si="2205"/>
        <v>0</v>
      </c>
      <c r="M773" s="1868">
        <f t="shared" si="2205"/>
        <v>0</v>
      </c>
      <c r="N773" s="1895">
        <f t="shared" si="2210"/>
        <v>0</v>
      </c>
      <c r="O773" s="1896">
        <f t="shared" si="2211"/>
        <v>0</v>
      </c>
      <c r="P773" s="1868">
        <f t="shared" si="2206"/>
        <v>0</v>
      </c>
      <c r="Q773" s="1868">
        <f t="shared" si="2206"/>
        <v>0</v>
      </c>
      <c r="R773" s="1868">
        <f t="shared" si="2206"/>
        <v>0</v>
      </c>
      <c r="S773" s="1895">
        <f t="shared" si="2196"/>
        <v>0</v>
      </c>
      <c r="T773" s="1897">
        <f t="shared" si="2212"/>
        <v>0</v>
      </c>
      <c r="U773" s="2085"/>
      <c r="V773" s="1908"/>
      <c r="W773" s="2103"/>
      <c r="X773" s="2103"/>
      <c r="Y773" s="2103"/>
      <c r="Z773" s="2151"/>
      <c r="AA773" s="1515"/>
      <c r="AB773" s="2085"/>
      <c r="AC773" s="1515"/>
      <c r="AD773" s="2152"/>
      <c r="AE773" s="2153"/>
      <c r="AF773" s="1515"/>
      <c r="AG773" s="1515"/>
      <c r="AH773" s="1515"/>
      <c r="AI773" s="2152"/>
      <c r="AJ773" s="2153"/>
      <c r="AK773" s="1515"/>
      <c r="AL773" s="1886"/>
      <c r="AM773" s="1515"/>
      <c r="AN773" s="2152"/>
      <c r="AO773" s="2062"/>
      <c r="AP773" s="1515"/>
      <c r="AQ773" s="1515"/>
      <c r="AR773" s="1515"/>
      <c r="AS773" s="1515"/>
      <c r="AT773" s="1515"/>
      <c r="AU773" s="1515"/>
      <c r="AV773" s="1515"/>
      <c r="AW773" s="1515"/>
      <c r="AX773" s="1515"/>
      <c r="AY773" s="1515"/>
      <c r="AZ773" s="1515"/>
    </row>
    <row r="774" s="1510" customFormat="1" ht="15.75" hidden="1" customHeight="1">
      <c r="A774" s="1179" t="s">
        <v>278</v>
      </c>
      <c r="B774" s="1868">
        <f t="shared" si="2203"/>
        <v>2188</v>
      </c>
      <c r="C774" s="1868">
        <f t="shared" si="2203"/>
        <v>2258</v>
      </c>
      <c r="D774" s="1868">
        <f t="shared" si="2203"/>
        <v>0</v>
      </c>
      <c r="E774" s="1895">
        <f t="shared" si="2207"/>
        <v>4446</v>
      </c>
      <c r="F774" s="1868">
        <f t="shared" si="2204"/>
        <v>0</v>
      </c>
      <c r="G774" s="1868">
        <f t="shared" si="2204"/>
        <v>0</v>
      </c>
      <c r="H774" s="1868">
        <f t="shared" si="2204"/>
        <v>0</v>
      </c>
      <c r="I774" s="1895">
        <f t="shared" si="2208"/>
        <v>0</v>
      </c>
      <c r="J774" s="1896">
        <f t="shared" si="2209"/>
        <v>4446</v>
      </c>
      <c r="K774" s="1868">
        <f t="shared" si="2205"/>
        <v>0</v>
      </c>
      <c r="L774" s="1868">
        <f t="shared" si="2205"/>
        <v>0</v>
      </c>
      <c r="M774" s="1868">
        <f t="shared" si="2205"/>
        <v>0</v>
      </c>
      <c r="N774" s="1895">
        <f t="shared" si="2210"/>
        <v>0</v>
      </c>
      <c r="O774" s="1896">
        <f t="shared" si="2211"/>
        <v>4446</v>
      </c>
      <c r="P774" s="1868">
        <f t="shared" si="2206"/>
        <v>0</v>
      </c>
      <c r="Q774" s="1868">
        <f t="shared" si="2206"/>
        <v>0</v>
      </c>
      <c r="R774" s="1868">
        <f t="shared" si="2206"/>
        <v>0</v>
      </c>
      <c r="S774" s="1895">
        <f t="shared" si="2196"/>
        <v>0</v>
      </c>
      <c r="T774" s="1897">
        <f t="shared" si="2212"/>
        <v>4446</v>
      </c>
      <c r="U774" s="2085"/>
      <c r="V774" s="1908"/>
      <c r="W774" s="2103"/>
      <c r="X774" s="2103"/>
      <c r="Y774" s="2103"/>
      <c r="Z774" s="2151"/>
      <c r="AA774" s="1515"/>
      <c r="AB774" s="2085"/>
      <c r="AC774" s="1515"/>
      <c r="AD774" s="2152"/>
      <c r="AE774" s="2153"/>
      <c r="AF774" s="1515"/>
      <c r="AG774" s="1515"/>
      <c r="AH774" s="1515"/>
      <c r="AI774" s="2152"/>
      <c r="AJ774" s="2153"/>
      <c r="AK774" s="1515"/>
      <c r="AL774" s="1886"/>
      <c r="AM774" s="1515"/>
      <c r="AN774" s="2152"/>
      <c r="AO774" s="2062"/>
      <c r="AP774" s="1515"/>
      <c r="AQ774" s="1515"/>
      <c r="AR774" s="1515"/>
      <c r="AS774" s="1515"/>
      <c r="AT774" s="1515"/>
      <c r="AU774" s="1515"/>
      <c r="AV774" s="1515"/>
      <c r="AW774" s="1515"/>
      <c r="AX774" s="1515"/>
      <c r="AY774" s="1515"/>
      <c r="AZ774" s="1515"/>
    </row>
    <row r="775" s="1510" customFormat="1" ht="15.75" hidden="1" customHeight="1">
      <c r="A775" s="1179" t="s">
        <v>230</v>
      </c>
      <c r="B775" s="1868">
        <f t="shared" si="2203"/>
        <v>529</v>
      </c>
      <c r="C775" s="1868">
        <f t="shared" si="2203"/>
        <v>1377</v>
      </c>
      <c r="D775" s="1868">
        <f t="shared" si="2203"/>
        <v>0</v>
      </c>
      <c r="E775" s="1895">
        <f t="shared" si="2207"/>
        <v>1906</v>
      </c>
      <c r="F775" s="1868">
        <f t="shared" si="2204"/>
        <v>0</v>
      </c>
      <c r="G775" s="1868">
        <f t="shared" si="2204"/>
        <v>0</v>
      </c>
      <c r="H775" s="1868">
        <f t="shared" si="2204"/>
        <v>0</v>
      </c>
      <c r="I775" s="1895">
        <f t="shared" si="2208"/>
        <v>0</v>
      </c>
      <c r="J775" s="1896">
        <f t="shared" si="2209"/>
        <v>1906</v>
      </c>
      <c r="K775" s="1868">
        <f t="shared" si="2205"/>
        <v>0</v>
      </c>
      <c r="L775" s="1868">
        <f t="shared" si="2205"/>
        <v>0</v>
      </c>
      <c r="M775" s="1868">
        <f t="shared" si="2205"/>
        <v>0</v>
      </c>
      <c r="N775" s="1895">
        <f t="shared" si="2210"/>
        <v>0</v>
      </c>
      <c r="O775" s="1896">
        <f t="shared" si="2211"/>
        <v>1906</v>
      </c>
      <c r="P775" s="1868">
        <f t="shared" si="2206"/>
        <v>0</v>
      </c>
      <c r="Q775" s="1868">
        <f t="shared" si="2206"/>
        <v>0</v>
      </c>
      <c r="R775" s="1868">
        <f t="shared" si="2206"/>
        <v>0</v>
      </c>
      <c r="S775" s="1895">
        <f t="shared" si="2196"/>
        <v>0</v>
      </c>
      <c r="T775" s="1897">
        <f t="shared" si="2212"/>
        <v>1906</v>
      </c>
      <c r="U775" s="2085"/>
      <c r="V775" s="1908"/>
      <c r="W775" s="2103"/>
      <c r="X775" s="2103"/>
      <c r="Y775" s="2103"/>
      <c r="Z775" s="2151"/>
      <c r="AA775" s="1515"/>
      <c r="AB775" s="2085"/>
      <c r="AC775" s="1515"/>
      <c r="AD775" s="2152"/>
      <c r="AE775" s="2153"/>
      <c r="AF775" s="1515"/>
      <c r="AG775" s="1515"/>
      <c r="AH775" s="1515"/>
      <c r="AI775" s="2152"/>
      <c r="AJ775" s="2153"/>
      <c r="AK775" s="1515"/>
      <c r="AL775" s="1886"/>
      <c r="AM775" s="1515"/>
      <c r="AN775" s="2152"/>
      <c r="AO775" s="2062"/>
      <c r="AP775" s="1515"/>
      <c r="AQ775" s="1515"/>
      <c r="AR775" s="1515"/>
      <c r="AS775" s="1515"/>
      <c r="AT775" s="1515"/>
      <c r="AU775" s="1515"/>
      <c r="AV775" s="1515"/>
      <c r="AW775" s="1515"/>
      <c r="AX775" s="1515"/>
      <c r="AY775" s="1515"/>
      <c r="AZ775" s="1515"/>
    </row>
    <row r="776" s="1510" customFormat="1" ht="15.75" hidden="1" customHeight="1">
      <c r="A776" s="1179" t="s">
        <v>724</v>
      </c>
      <c r="B776" s="1868">
        <f t="shared" si="2203"/>
        <v>0</v>
      </c>
      <c r="C776" s="1868">
        <f t="shared" si="2203"/>
        <v>0</v>
      </c>
      <c r="D776" s="1868">
        <f t="shared" si="2203"/>
        <v>0</v>
      </c>
      <c r="E776" s="1895">
        <f t="shared" si="2207"/>
        <v>0</v>
      </c>
      <c r="F776" s="1868">
        <f t="shared" si="2204"/>
        <v>0</v>
      </c>
      <c r="G776" s="1868">
        <f t="shared" si="2204"/>
        <v>0</v>
      </c>
      <c r="H776" s="1868">
        <f t="shared" si="2204"/>
        <v>0</v>
      </c>
      <c r="I776" s="1895">
        <f t="shared" si="2208"/>
        <v>0</v>
      </c>
      <c r="J776" s="1896">
        <f t="shared" si="2209"/>
        <v>0</v>
      </c>
      <c r="K776" s="1868">
        <f t="shared" si="2205"/>
        <v>0</v>
      </c>
      <c r="L776" s="1868">
        <f t="shared" si="2205"/>
        <v>0</v>
      </c>
      <c r="M776" s="1868">
        <f t="shared" si="2205"/>
        <v>0</v>
      </c>
      <c r="N776" s="1895">
        <f t="shared" si="2210"/>
        <v>0</v>
      </c>
      <c r="O776" s="1896">
        <f t="shared" si="2211"/>
        <v>0</v>
      </c>
      <c r="P776" s="1868">
        <f t="shared" si="2206"/>
        <v>0</v>
      </c>
      <c r="Q776" s="1868">
        <f t="shared" si="2206"/>
        <v>0</v>
      </c>
      <c r="R776" s="1868">
        <f t="shared" si="2206"/>
        <v>0</v>
      </c>
      <c r="S776" s="1895">
        <f t="shared" si="2196"/>
        <v>0</v>
      </c>
      <c r="T776" s="1897">
        <f t="shared" si="2212"/>
        <v>0</v>
      </c>
      <c r="U776" s="2085"/>
      <c r="V776" s="1908"/>
      <c r="W776" s="2103"/>
      <c r="X776" s="2103"/>
      <c r="Y776" s="2103"/>
      <c r="Z776" s="2151"/>
      <c r="AA776" s="1515"/>
      <c r="AB776" s="2085"/>
      <c r="AC776" s="1515"/>
      <c r="AD776" s="2152"/>
      <c r="AE776" s="2153"/>
      <c r="AF776" s="1515"/>
      <c r="AG776" s="1515"/>
      <c r="AH776" s="1515"/>
      <c r="AI776" s="2152"/>
      <c r="AJ776" s="2153"/>
      <c r="AK776" s="1515"/>
      <c r="AL776" s="1886"/>
      <c r="AM776" s="1515"/>
      <c r="AN776" s="2152"/>
      <c r="AO776" s="2062"/>
      <c r="AP776" s="1515"/>
      <c r="AQ776" s="1515"/>
      <c r="AR776" s="1515"/>
      <c r="AS776" s="1515"/>
      <c r="AT776" s="1515"/>
      <c r="AU776" s="1515"/>
      <c r="AV776" s="1515"/>
      <c r="AW776" s="1515"/>
      <c r="AX776" s="1515"/>
      <c r="AY776" s="1515"/>
      <c r="AZ776" s="1515"/>
    </row>
    <row r="777" s="1510" customFormat="1" ht="15.75" hidden="1" customHeight="1">
      <c r="A777" s="1179" t="s">
        <v>635</v>
      </c>
      <c r="B777" s="1868">
        <f t="shared" si="2203"/>
        <v>13</v>
      </c>
      <c r="C777" s="1868">
        <f t="shared" si="2203"/>
        <v>0</v>
      </c>
      <c r="D777" s="1868">
        <f t="shared" si="2203"/>
        <v>0</v>
      </c>
      <c r="E777" s="1895">
        <f t="shared" si="2207"/>
        <v>13</v>
      </c>
      <c r="F777" s="1868">
        <f t="shared" si="2204"/>
        <v>0</v>
      </c>
      <c r="G777" s="1868">
        <f t="shared" si="2204"/>
        <v>0</v>
      </c>
      <c r="H777" s="1868">
        <f t="shared" si="2204"/>
        <v>0</v>
      </c>
      <c r="I777" s="1895">
        <f t="shared" si="2208"/>
        <v>0</v>
      </c>
      <c r="J777" s="1896">
        <f t="shared" si="2209"/>
        <v>13</v>
      </c>
      <c r="K777" s="1868">
        <f t="shared" si="2205"/>
        <v>0</v>
      </c>
      <c r="L777" s="1868">
        <f t="shared" si="2205"/>
        <v>0</v>
      </c>
      <c r="M777" s="1868">
        <f t="shared" si="2205"/>
        <v>0</v>
      </c>
      <c r="N777" s="1895">
        <f t="shared" si="2210"/>
        <v>0</v>
      </c>
      <c r="O777" s="1896">
        <f t="shared" si="2211"/>
        <v>13</v>
      </c>
      <c r="P777" s="1868">
        <f t="shared" si="2206"/>
        <v>0</v>
      </c>
      <c r="Q777" s="1868">
        <f t="shared" si="2206"/>
        <v>0</v>
      </c>
      <c r="R777" s="1868">
        <f t="shared" si="2206"/>
        <v>0</v>
      </c>
      <c r="S777" s="1895">
        <f t="shared" si="2196"/>
        <v>0</v>
      </c>
      <c r="T777" s="1897">
        <f t="shared" si="2212"/>
        <v>13</v>
      </c>
      <c r="U777" s="2085"/>
      <c r="V777" s="1908"/>
      <c r="W777" s="2103"/>
      <c r="X777" s="2103"/>
      <c r="Y777" s="2103"/>
      <c r="Z777" s="2151"/>
      <c r="AA777" s="1515"/>
      <c r="AB777" s="2085"/>
      <c r="AC777" s="1515"/>
      <c r="AD777" s="2152"/>
      <c r="AE777" s="2153"/>
      <c r="AF777" s="1515"/>
      <c r="AG777" s="1515"/>
      <c r="AH777" s="1515"/>
      <c r="AI777" s="2152"/>
      <c r="AJ777" s="2153"/>
      <c r="AK777" s="1515"/>
      <c r="AL777" s="1886"/>
      <c r="AM777" s="1515"/>
      <c r="AN777" s="2152"/>
      <c r="AO777" s="2062"/>
      <c r="AP777" s="1515"/>
      <c r="AQ777" s="1515"/>
      <c r="AR777" s="1515"/>
      <c r="AS777" s="1515"/>
      <c r="AT777" s="1515"/>
      <c r="AU777" s="1515"/>
      <c r="AV777" s="1515"/>
      <c r="AW777" s="1515"/>
      <c r="AX777" s="1515"/>
      <c r="AY777" s="1515"/>
      <c r="AZ777" s="1515"/>
    </row>
    <row r="778" s="1510" customFormat="1" ht="15.75" hidden="1" customHeight="1">
      <c r="A778" s="1179" t="s">
        <v>316</v>
      </c>
      <c r="B778" s="1868">
        <f t="shared" si="2203"/>
        <v>11231</v>
      </c>
      <c r="C778" s="1868">
        <f t="shared" si="2203"/>
        <v>16446</v>
      </c>
      <c r="D778" s="1868">
        <f t="shared" si="2203"/>
        <v>0</v>
      </c>
      <c r="E778" s="1895">
        <f t="shared" si="2207"/>
        <v>27677</v>
      </c>
      <c r="F778" s="1868">
        <f t="shared" si="2204"/>
        <v>0</v>
      </c>
      <c r="G778" s="1868">
        <f t="shared" si="2204"/>
        <v>0</v>
      </c>
      <c r="H778" s="1868">
        <f t="shared" si="2204"/>
        <v>0</v>
      </c>
      <c r="I778" s="1895">
        <f t="shared" si="2208"/>
        <v>0</v>
      </c>
      <c r="J778" s="1896">
        <f t="shared" si="2209"/>
        <v>27677</v>
      </c>
      <c r="K778" s="1868">
        <f t="shared" si="2205"/>
        <v>0</v>
      </c>
      <c r="L778" s="1868">
        <f t="shared" si="2205"/>
        <v>0</v>
      </c>
      <c r="M778" s="1868">
        <f t="shared" si="2205"/>
        <v>0</v>
      </c>
      <c r="N778" s="1895">
        <f t="shared" si="2210"/>
        <v>0</v>
      </c>
      <c r="O778" s="1896">
        <f t="shared" si="2211"/>
        <v>27677</v>
      </c>
      <c r="P778" s="1868">
        <f t="shared" si="2206"/>
        <v>0</v>
      </c>
      <c r="Q778" s="1868">
        <f t="shared" si="2206"/>
        <v>0</v>
      </c>
      <c r="R778" s="1868">
        <f t="shared" si="2206"/>
        <v>0</v>
      </c>
      <c r="S778" s="1895">
        <f t="shared" si="2196"/>
        <v>0</v>
      </c>
      <c r="T778" s="1897">
        <f t="shared" si="2212"/>
        <v>27677</v>
      </c>
      <c r="U778" s="2085"/>
      <c r="V778" s="1908"/>
      <c r="W778" s="2103"/>
      <c r="X778" s="2103"/>
      <c r="Y778" s="2103"/>
      <c r="Z778" s="2151"/>
      <c r="AA778" s="1515"/>
      <c r="AB778" s="2085"/>
      <c r="AC778" s="1515"/>
      <c r="AD778" s="2152"/>
      <c r="AE778" s="2153"/>
      <c r="AF778" s="1515"/>
      <c r="AG778" s="1515"/>
      <c r="AH778" s="1515"/>
      <c r="AI778" s="2152"/>
      <c r="AJ778" s="2153"/>
      <c r="AK778" s="1515"/>
      <c r="AL778" s="1886"/>
      <c r="AM778" s="1515"/>
      <c r="AN778" s="2152"/>
      <c r="AO778" s="2062"/>
      <c r="AP778" s="1515"/>
      <c r="AQ778" s="1515"/>
      <c r="AR778" s="1515"/>
      <c r="AS778" s="1515"/>
      <c r="AT778" s="1515"/>
      <c r="AU778" s="1515"/>
      <c r="AV778" s="1515"/>
      <c r="AW778" s="1515"/>
      <c r="AX778" s="1515"/>
      <c r="AY778" s="1515"/>
      <c r="AZ778" s="1515"/>
    </row>
    <row r="779" s="1510" customFormat="1" ht="15.75" hidden="1" customHeight="1">
      <c r="A779" s="1179" t="s">
        <v>637</v>
      </c>
      <c r="B779" s="1868">
        <f t="shared" si="2203"/>
        <v>1001</v>
      </c>
      <c r="C779" s="1868">
        <f t="shared" si="2203"/>
        <v>2720</v>
      </c>
      <c r="D779" s="1868">
        <f t="shared" si="2203"/>
        <v>0</v>
      </c>
      <c r="E779" s="1895">
        <f t="shared" si="2207"/>
        <v>3721</v>
      </c>
      <c r="F779" s="1868">
        <f t="shared" si="2204"/>
        <v>0</v>
      </c>
      <c r="G779" s="1868">
        <f t="shared" si="2204"/>
        <v>0</v>
      </c>
      <c r="H779" s="1868">
        <f t="shared" si="2204"/>
        <v>0</v>
      </c>
      <c r="I779" s="1895">
        <f t="shared" si="2208"/>
        <v>0</v>
      </c>
      <c r="J779" s="1896">
        <f t="shared" si="2209"/>
        <v>3721</v>
      </c>
      <c r="K779" s="1868">
        <f t="shared" si="2205"/>
        <v>0</v>
      </c>
      <c r="L779" s="1868">
        <f t="shared" si="2205"/>
        <v>0</v>
      </c>
      <c r="M779" s="1868">
        <f t="shared" si="2205"/>
        <v>0</v>
      </c>
      <c r="N779" s="1895">
        <f t="shared" si="2210"/>
        <v>0</v>
      </c>
      <c r="O779" s="1896">
        <f t="shared" si="2211"/>
        <v>3721</v>
      </c>
      <c r="P779" s="1868">
        <f t="shared" si="2206"/>
        <v>0</v>
      </c>
      <c r="Q779" s="1868">
        <f t="shared" si="2206"/>
        <v>0</v>
      </c>
      <c r="R779" s="1868">
        <f t="shared" si="2206"/>
        <v>0</v>
      </c>
      <c r="S779" s="1895">
        <f t="shared" si="2196"/>
        <v>0</v>
      </c>
      <c r="T779" s="1897">
        <f t="shared" si="2212"/>
        <v>3721</v>
      </c>
      <c r="U779" s="2085"/>
      <c r="V779" s="1908"/>
      <c r="W779" s="2103"/>
      <c r="X779" s="2103"/>
      <c r="Y779" s="2103"/>
      <c r="Z779" s="2151"/>
      <c r="AA779" s="1515"/>
      <c r="AB779" s="2085"/>
      <c r="AC779" s="1515"/>
      <c r="AD779" s="2152"/>
      <c r="AE779" s="2153"/>
      <c r="AF779" s="1515"/>
      <c r="AG779" s="1515"/>
      <c r="AH779" s="1515"/>
      <c r="AI779" s="2152"/>
      <c r="AJ779" s="2153"/>
      <c r="AK779" s="1515"/>
      <c r="AL779" s="1886"/>
      <c r="AM779" s="1515"/>
      <c r="AN779" s="2152"/>
      <c r="AO779" s="2062"/>
      <c r="AP779" s="1515"/>
      <c r="AQ779" s="1515"/>
      <c r="AR779" s="1515"/>
      <c r="AS779" s="1515"/>
      <c r="AT779" s="1515"/>
      <c r="AU779" s="1515"/>
      <c r="AV779" s="1515"/>
      <c r="AW779" s="1515"/>
      <c r="AX779" s="1515"/>
      <c r="AY779" s="1515"/>
      <c r="AZ779" s="1515"/>
    </row>
    <row r="780" s="1510" customFormat="1" ht="15.75" hidden="1" customHeight="1">
      <c r="A780" s="1179" t="s">
        <v>638</v>
      </c>
      <c r="B780" s="1868">
        <f t="shared" si="2203"/>
        <v>3942</v>
      </c>
      <c r="C780" s="1868">
        <f t="shared" si="2203"/>
        <v>6105</v>
      </c>
      <c r="D780" s="1868">
        <f t="shared" si="2203"/>
        <v>0</v>
      </c>
      <c r="E780" s="1895">
        <f t="shared" si="2207"/>
        <v>10047</v>
      </c>
      <c r="F780" s="1868">
        <f t="shared" si="2204"/>
        <v>0</v>
      </c>
      <c r="G780" s="1868">
        <f t="shared" si="2204"/>
        <v>0</v>
      </c>
      <c r="H780" s="1868">
        <f t="shared" si="2204"/>
        <v>0</v>
      </c>
      <c r="I780" s="1895">
        <f t="shared" si="2208"/>
        <v>0</v>
      </c>
      <c r="J780" s="1896">
        <f t="shared" si="2209"/>
        <v>10047</v>
      </c>
      <c r="K780" s="1868">
        <f t="shared" si="2205"/>
        <v>0</v>
      </c>
      <c r="L780" s="1868">
        <f t="shared" si="2205"/>
        <v>0</v>
      </c>
      <c r="M780" s="1868">
        <f t="shared" si="2205"/>
        <v>0</v>
      </c>
      <c r="N780" s="1895">
        <f t="shared" si="2210"/>
        <v>0</v>
      </c>
      <c r="O780" s="1896">
        <f t="shared" si="2211"/>
        <v>10047</v>
      </c>
      <c r="P780" s="1868">
        <f t="shared" si="2206"/>
        <v>0</v>
      </c>
      <c r="Q780" s="1868">
        <f t="shared" si="2206"/>
        <v>0</v>
      </c>
      <c r="R780" s="1868">
        <f t="shared" si="2206"/>
        <v>0</v>
      </c>
      <c r="S780" s="1895">
        <f t="shared" ref="S780:S843" si="2213">P780+Q780+R780</f>
        <v>0</v>
      </c>
      <c r="T780" s="1897">
        <f t="shared" si="2212"/>
        <v>10047</v>
      </c>
      <c r="U780" s="2085"/>
      <c r="V780" s="1908"/>
      <c r="W780" s="2103"/>
      <c r="X780" s="2103"/>
      <c r="Y780" s="2103"/>
      <c r="Z780" s="2151"/>
      <c r="AA780" s="1515"/>
      <c r="AB780" s="2085"/>
      <c r="AC780" s="1515"/>
      <c r="AD780" s="2152"/>
      <c r="AE780" s="2153"/>
      <c r="AF780" s="1515"/>
      <c r="AG780" s="1515"/>
      <c r="AH780" s="1515"/>
      <c r="AI780" s="2152"/>
      <c r="AJ780" s="2153"/>
      <c r="AK780" s="1515"/>
      <c r="AL780" s="1886"/>
      <c r="AM780" s="1515"/>
      <c r="AN780" s="2152"/>
      <c r="AO780" s="2062"/>
      <c r="AP780" s="1515"/>
      <c r="AQ780" s="1515"/>
      <c r="AR780" s="1515"/>
      <c r="AS780" s="1515"/>
      <c r="AT780" s="1515"/>
      <c r="AU780" s="1515"/>
      <c r="AV780" s="1515"/>
      <c r="AW780" s="1515"/>
      <c r="AX780" s="1515"/>
      <c r="AY780" s="1515"/>
      <c r="AZ780" s="1515"/>
    </row>
    <row r="781" s="1510" customFormat="1" ht="15.75" hidden="1" customHeight="1">
      <c r="A781" s="1179" t="s">
        <v>639</v>
      </c>
      <c r="B781" s="1868">
        <f t="shared" si="2203"/>
        <v>822</v>
      </c>
      <c r="C781" s="1868">
        <f t="shared" si="2203"/>
        <v>1136</v>
      </c>
      <c r="D781" s="1868">
        <f t="shared" si="2203"/>
        <v>0</v>
      </c>
      <c r="E781" s="1895">
        <f t="shared" si="2207"/>
        <v>1958</v>
      </c>
      <c r="F781" s="1868">
        <f t="shared" si="2204"/>
        <v>0</v>
      </c>
      <c r="G781" s="1868">
        <f t="shared" si="2204"/>
        <v>0</v>
      </c>
      <c r="H781" s="1868">
        <f t="shared" si="2204"/>
        <v>0</v>
      </c>
      <c r="I781" s="1895">
        <f t="shared" si="2208"/>
        <v>0</v>
      </c>
      <c r="J781" s="1896">
        <f t="shared" si="2209"/>
        <v>1958</v>
      </c>
      <c r="K781" s="1868">
        <f t="shared" si="2205"/>
        <v>0</v>
      </c>
      <c r="L781" s="1868">
        <f t="shared" si="2205"/>
        <v>0</v>
      </c>
      <c r="M781" s="1868">
        <f t="shared" si="2205"/>
        <v>0</v>
      </c>
      <c r="N781" s="1895">
        <f t="shared" si="2210"/>
        <v>0</v>
      </c>
      <c r="O781" s="1896">
        <f t="shared" si="2211"/>
        <v>1958</v>
      </c>
      <c r="P781" s="1868">
        <f t="shared" si="2206"/>
        <v>0</v>
      </c>
      <c r="Q781" s="1868">
        <f t="shared" si="2206"/>
        <v>0</v>
      </c>
      <c r="R781" s="1868">
        <f t="shared" si="2206"/>
        <v>0</v>
      </c>
      <c r="S781" s="1895">
        <f t="shared" si="2213"/>
        <v>0</v>
      </c>
      <c r="T781" s="1897">
        <f t="shared" si="2212"/>
        <v>1958</v>
      </c>
      <c r="U781" s="2085"/>
      <c r="V781" s="1908"/>
      <c r="W781" s="2103"/>
      <c r="X781" s="2103"/>
      <c r="Y781" s="2103"/>
      <c r="Z781" s="2151"/>
      <c r="AA781" s="1515"/>
      <c r="AB781" s="2085"/>
      <c r="AC781" s="1515"/>
      <c r="AD781" s="2152"/>
      <c r="AE781" s="2153"/>
      <c r="AF781" s="1515"/>
      <c r="AG781" s="1515"/>
      <c r="AH781" s="1515"/>
      <c r="AI781" s="2152"/>
      <c r="AJ781" s="2153"/>
      <c r="AK781" s="1515"/>
      <c r="AL781" s="1886"/>
      <c r="AM781" s="1515"/>
      <c r="AN781" s="2152"/>
      <c r="AO781" s="2062"/>
      <c r="AP781" s="1515"/>
      <c r="AQ781" s="1515"/>
      <c r="AR781" s="1515"/>
      <c r="AS781" s="1515"/>
      <c r="AT781" s="1515"/>
      <c r="AU781" s="1515"/>
      <c r="AV781" s="1515"/>
      <c r="AW781" s="1515"/>
      <c r="AX781" s="1515"/>
      <c r="AY781" s="1515"/>
      <c r="AZ781" s="1515"/>
    </row>
    <row r="782" s="1510" customFormat="1" ht="15.75" hidden="1" customHeight="1">
      <c r="A782" s="1511" t="s">
        <v>640</v>
      </c>
      <c r="B782" s="1871">
        <f t="shared" si="2203"/>
        <v>16996</v>
      </c>
      <c r="C782" s="1871">
        <f t="shared" si="2203"/>
        <v>26407</v>
      </c>
      <c r="D782" s="1871">
        <f t="shared" si="2203"/>
        <v>0</v>
      </c>
      <c r="E782" s="1899">
        <f t="shared" si="2207"/>
        <v>43403</v>
      </c>
      <c r="F782" s="1871">
        <f t="shared" si="2204"/>
        <v>0</v>
      </c>
      <c r="G782" s="1871">
        <f t="shared" si="2204"/>
        <v>0</v>
      </c>
      <c r="H782" s="1871">
        <f t="shared" si="2204"/>
        <v>0</v>
      </c>
      <c r="I782" s="1899">
        <f t="shared" si="2208"/>
        <v>0</v>
      </c>
      <c r="J782" s="1900">
        <f t="shared" si="2209"/>
        <v>43403</v>
      </c>
      <c r="K782" s="1871">
        <f t="shared" si="2205"/>
        <v>0</v>
      </c>
      <c r="L782" s="1871">
        <f t="shared" si="2205"/>
        <v>0</v>
      </c>
      <c r="M782" s="1871">
        <f t="shared" si="2205"/>
        <v>0</v>
      </c>
      <c r="N782" s="1899">
        <f t="shared" si="2210"/>
        <v>0</v>
      </c>
      <c r="O782" s="1900">
        <f t="shared" si="2211"/>
        <v>43403</v>
      </c>
      <c r="P782" s="1871">
        <f t="shared" si="2206"/>
        <v>0</v>
      </c>
      <c r="Q782" s="1871">
        <f t="shared" si="2206"/>
        <v>0</v>
      </c>
      <c r="R782" s="1871">
        <f t="shared" si="2206"/>
        <v>0</v>
      </c>
      <c r="S782" s="1899">
        <f t="shared" si="2213"/>
        <v>0</v>
      </c>
      <c r="T782" s="1901">
        <f t="shared" si="2212"/>
        <v>43403</v>
      </c>
      <c r="U782" s="2085"/>
      <c r="V782" s="1908"/>
      <c r="W782" s="2103"/>
      <c r="X782" s="2103"/>
      <c r="Y782" s="2103"/>
      <c r="Z782" s="2151"/>
      <c r="AA782" s="1515"/>
      <c r="AB782" s="2085"/>
      <c r="AC782" s="1515"/>
      <c r="AD782" s="2152"/>
      <c r="AE782" s="2153"/>
      <c r="AF782" s="1515"/>
      <c r="AG782" s="1515"/>
      <c r="AH782" s="1515"/>
      <c r="AI782" s="2152"/>
      <c r="AJ782" s="2153"/>
      <c r="AK782" s="1515"/>
      <c r="AL782" s="1886"/>
      <c r="AM782" s="1515"/>
      <c r="AN782" s="2152"/>
      <c r="AO782" s="2062"/>
      <c r="AP782" s="1515"/>
      <c r="AQ782" s="1515"/>
      <c r="AR782" s="1515"/>
      <c r="AS782" s="1515"/>
      <c r="AT782" s="1515"/>
      <c r="AU782" s="1515"/>
      <c r="AV782" s="1515"/>
      <c r="AW782" s="1515"/>
      <c r="AX782" s="1515"/>
      <c r="AY782" s="1515"/>
      <c r="AZ782" s="1515"/>
    </row>
    <row r="783" s="1510" customFormat="1" ht="15.75" hidden="1" customHeight="1">
      <c r="A783" s="1179" t="s">
        <v>641</v>
      </c>
      <c r="B783" s="1868">
        <f t="shared" si="2203"/>
        <v>680</v>
      </c>
      <c r="C783" s="1868">
        <f t="shared" si="2203"/>
        <v>1244</v>
      </c>
      <c r="D783" s="1868">
        <f t="shared" si="2203"/>
        <v>0</v>
      </c>
      <c r="E783" s="1895">
        <f t="shared" si="2207"/>
        <v>1924</v>
      </c>
      <c r="F783" s="1868">
        <f t="shared" si="2204"/>
        <v>0</v>
      </c>
      <c r="G783" s="1868">
        <f t="shared" si="2204"/>
        <v>0</v>
      </c>
      <c r="H783" s="1868">
        <f t="shared" si="2204"/>
        <v>0</v>
      </c>
      <c r="I783" s="1895">
        <f t="shared" si="2208"/>
        <v>0</v>
      </c>
      <c r="J783" s="1896">
        <f t="shared" si="2209"/>
        <v>1924</v>
      </c>
      <c r="K783" s="1868">
        <f t="shared" si="2205"/>
        <v>0</v>
      </c>
      <c r="L783" s="1868">
        <f t="shared" si="2205"/>
        <v>0</v>
      </c>
      <c r="M783" s="1868">
        <f t="shared" si="2205"/>
        <v>0</v>
      </c>
      <c r="N783" s="1895">
        <f t="shared" si="2210"/>
        <v>0</v>
      </c>
      <c r="O783" s="1896">
        <f t="shared" si="2211"/>
        <v>1924</v>
      </c>
      <c r="P783" s="1868">
        <f t="shared" si="2206"/>
        <v>0</v>
      </c>
      <c r="Q783" s="1868">
        <f t="shared" si="2206"/>
        <v>0</v>
      </c>
      <c r="R783" s="1868">
        <f t="shared" si="2206"/>
        <v>0</v>
      </c>
      <c r="S783" s="1895">
        <f t="shared" si="2213"/>
        <v>0</v>
      </c>
      <c r="T783" s="1897">
        <f t="shared" si="2212"/>
        <v>1924</v>
      </c>
      <c r="U783" s="2085"/>
      <c r="V783" s="1908"/>
      <c r="W783" s="2103"/>
      <c r="X783" s="2103"/>
      <c r="Y783" s="2103"/>
      <c r="Z783" s="2151"/>
      <c r="AA783" s="1515"/>
      <c r="AB783" s="2085"/>
      <c r="AC783" s="1515"/>
      <c r="AD783" s="2152"/>
      <c r="AE783" s="2153"/>
      <c r="AF783" s="1515"/>
      <c r="AG783" s="1515"/>
      <c r="AH783" s="1515"/>
      <c r="AI783" s="2152"/>
      <c r="AJ783" s="2153"/>
      <c r="AK783" s="1515"/>
      <c r="AL783" s="1886"/>
      <c r="AM783" s="1515"/>
      <c r="AN783" s="2152"/>
      <c r="AO783" s="2062"/>
      <c r="AP783" s="1515"/>
      <c r="AQ783" s="1515"/>
      <c r="AR783" s="1515"/>
      <c r="AS783" s="1515"/>
      <c r="AT783" s="1515"/>
      <c r="AU783" s="1515"/>
      <c r="AV783" s="1515"/>
      <c r="AW783" s="1515"/>
      <c r="AX783" s="1515"/>
      <c r="AY783" s="1515"/>
      <c r="AZ783" s="1515"/>
    </row>
    <row r="784" s="1510" customFormat="1" ht="15.75" hidden="1" customHeight="1">
      <c r="A784" s="2084" t="s">
        <v>642</v>
      </c>
      <c r="B784" s="1868">
        <f t="shared" si="2203"/>
        <v>0</v>
      </c>
      <c r="C784" s="1868">
        <f t="shared" si="2203"/>
        <v>0</v>
      </c>
      <c r="D784" s="1868">
        <f t="shared" si="2203"/>
        <v>0</v>
      </c>
      <c r="E784" s="1895">
        <f t="shared" si="2207"/>
        <v>0</v>
      </c>
      <c r="F784" s="1868">
        <f t="shared" si="2204"/>
        <v>0</v>
      </c>
      <c r="G784" s="1868">
        <f t="shared" si="2204"/>
        <v>0</v>
      </c>
      <c r="H784" s="1868">
        <f t="shared" si="2204"/>
        <v>0</v>
      </c>
      <c r="I784" s="1895">
        <f t="shared" si="2208"/>
        <v>0</v>
      </c>
      <c r="J784" s="1896">
        <f t="shared" si="2209"/>
        <v>0</v>
      </c>
      <c r="K784" s="1868">
        <f t="shared" si="2205"/>
        <v>0</v>
      </c>
      <c r="L784" s="1868">
        <f t="shared" si="2205"/>
        <v>0</v>
      </c>
      <c r="M784" s="1868">
        <f t="shared" si="2205"/>
        <v>0</v>
      </c>
      <c r="N784" s="1895">
        <f t="shared" si="2210"/>
        <v>0</v>
      </c>
      <c r="O784" s="1896">
        <f t="shared" si="2211"/>
        <v>0</v>
      </c>
      <c r="P784" s="1868">
        <f t="shared" si="2206"/>
        <v>0</v>
      </c>
      <c r="Q784" s="1868">
        <f t="shared" si="2206"/>
        <v>0</v>
      </c>
      <c r="R784" s="1868">
        <f t="shared" si="2206"/>
        <v>0</v>
      </c>
      <c r="S784" s="1895">
        <f t="shared" si="2213"/>
        <v>0</v>
      </c>
      <c r="T784" s="1897">
        <f t="shared" si="2212"/>
        <v>0</v>
      </c>
      <c r="U784" s="2085"/>
      <c r="V784" s="1908"/>
      <c r="W784" s="2103"/>
      <c r="X784" s="2103"/>
      <c r="Y784" s="2103"/>
      <c r="Z784" s="2151"/>
      <c r="AA784" s="1515"/>
      <c r="AB784" s="2085"/>
      <c r="AC784" s="1515"/>
      <c r="AD784" s="2152"/>
      <c r="AE784" s="2153"/>
      <c r="AF784" s="1515"/>
      <c r="AG784" s="1515"/>
      <c r="AH784" s="1515"/>
      <c r="AI784" s="2152"/>
      <c r="AJ784" s="2153"/>
      <c r="AK784" s="1515"/>
      <c r="AL784" s="1886"/>
      <c r="AM784" s="1515"/>
      <c r="AN784" s="2152"/>
      <c r="AO784" s="2062"/>
      <c r="AP784" s="1515"/>
      <c r="AQ784" s="1515"/>
      <c r="AR784" s="1515"/>
      <c r="AS784" s="1515"/>
      <c r="AT784" s="1515"/>
      <c r="AU784" s="1515"/>
      <c r="AV784" s="1515"/>
      <c r="AW784" s="1515"/>
      <c r="AX784" s="1515"/>
      <c r="AY784" s="1515"/>
      <c r="AZ784" s="1515"/>
    </row>
    <row r="785" s="1510" customFormat="1" ht="15.75" hidden="1" customHeight="1">
      <c r="A785" s="2102" t="s">
        <v>22</v>
      </c>
      <c r="B785" s="1871">
        <f t="shared" si="2203"/>
        <v>167299</v>
      </c>
      <c r="C785" s="1871">
        <f t="shared" si="2203"/>
        <v>168668</v>
      </c>
      <c r="D785" s="1871">
        <f t="shared" si="2203"/>
        <v>0</v>
      </c>
      <c r="E785" s="1899">
        <f t="shared" si="2207"/>
        <v>335967</v>
      </c>
      <c r="F785" s="1871">
        <f t="shared" si="2204"/>
        <v>0</v>
      </c>
      <c r="G785" s="1871">
        <f t="shared" si="2204"/>
        <v>0</v>
      </c>
      <c r="H785" s="1871">
        <f t="shared" si="2204"/>
        <v>0</v>
      </c>
      <c r="I785" s="1899">
        <f t="shared" si="2208"/>
        <v>0</v>
      </c>
      <c r="J785" s="1900">
        <f t="shared" si="2209"/>
        <v>335967</v>
      </c>
      <c r="K785" s="1871">
        <f t="shared" si="2205"/>
        <v>0</v>
      </c>
      <c r="L785" s="1871">
        <f t="shared" si="2205"/>
        <v>0</v>
      </c>
      <c r="M785" s="1871">
        <f t="shared" si="2205"/>
        <v>0</v>
      </c>
      <c r="N785" s="1899">
        <f t="shared" si="2210"/>
        <v>0</v>
      </c>
      <c r="O785" s="1900">
        <f t="shared" si="2211"/>
        <v>335967</v>
      </c>
      <c r="P785" s="1871">
        <f t="shared" si="2206"/>
        <v>0</v>
      </c>
      <c r="Q785" s="1871">
        <f t="shared" si="2206"/>
        <v>0</v>
      </c>
      <c r="R785" s="1871">
        <f t="shared" si="2206"/>
        <v>0</v>
      </c>
      <c r="S785" s="1899">
        <f t="shared" si="2213"/>
        <v>0</v>
      </c>
      <c r="T785" s="1901">
        <f t="shared" si="2212"/>
        <v>335967</v>
      </c>
      <c r="U785" s="2085"/>
      <c r="V785" s="1908"/>
      <c r="W785" s="2103"/>
      <c r="X785" s="2103"/>
      <c r="Y785" s="2103"/>
      <c r="Z785" s="2151"/>
      <c r="AA785" s="1515"/>
      <c r="AB785" s="2085"/>
      <c r="AC785" s="1515"/>
      <c r="AD785" s="2152"/>
      <c r="AE785" s="2153"/>
      <c r="AF785" s="1515"/>
      <c r="AG785" s="1515"/>
      <c r="AH785" s="1515"/>
      <c r="AI785" s="2152"/>
      <c r="AJ785" s="2153"/>
      <c r="AK785" s="1515"/>
      <c r="AL785" s="1886"/>
      <c r="AM785" s="1515"/>
      <c r="AN785" s="2152"/>
      <c r="AO785" s="2062"/>
      <c r="AP785" s="1515"/>
      <c r="AQ785" s="1515"/>
      <c r="AR785" s="1515"/>
      <c r="AS785" s="1515"/>
      <c r="AT785" s="1515"/>
      <c r="AU785" s="1515"/>
      <c r="AV785" s="1515"/>
      <c r="AW785" s="1515"/>
      <c r="AX785" s="1515"/>
      <c r="AY785" s="1515"/>
      <c r="AZ785" s="1515"/>
    </row>
    <row r="786" s="1510" customFormat="1" ht="15.75" hidden="1" customHeight="1">
      <c r="A786" s="2084" t="s">
        <v>643</v>
      </c>
      <c r="B786" s="1868">
        <f t="shared" si="2203"/>
        <v>0</v>
      </c>
      <c r="C786" s="1868">
        <f t="shared" si="2203"/>
        <v>0</v>
      </c>
      <c r="D786" s="1868">
        <f t="shared" si="2203"/>
        <v>0</v>
      </c>
      <c r="E786" s="1895">
        <f t="shared" si="2207"/>
        <v>0</v>
      </c>
      <c r="F786" s="1868">
        <f t="shared" si="2204"/>
        <v>0</v>
      </c>
      <c r="G786" s="1868">
        <f t="shared" si="2204"/>
        <v>0</v>
      </c>
      <c r="H786" s="1868">
        <f t="shared" si="2204"/>
        <v>0</v>
      </c>
      <c r="I786" s="1895">
        <f t="shared" si="2208"/>
        <v>0</v>
      </c>
      <c r="J786" s="1896">
        <f t="shared" si="2209"/>
        <v>0</v>
      </c>
      <c r="K786" s="1868">
        <f t="shared" si="2205"/>
        <v>0</v>
      </c>
      <c r="L786" s="1868">
        <f t="shared" si="2205"/>
        <v>0</v>
      </c>
      <c r="M786" s="1868">
        <f t="shared" si="2205"/>
        <v>0</v>
      </c>
      <c r="N786" s="1895">
        <f t="shared" si="2210"/>
        <v>0</v>
      </c>
      <c r="O786" s="1896">
        <f t="shared" si="2211"/>
        <v>0</v>
      </c>
      <c r="P786" s="1868">
        <f t="shared" si="2206"/>
        <v>0</v>
      </c>
      <c r="Q786" s="1868">
        <f t="shared" si="2206"/>
        <v>0</v>
      </c>
      <c r="R786" s="1868">
        <f t="shared" si="2206"/>
        <v>0</v>
      </c>
      <c r="S786" s="1895">
        <f t="shared" si="2213"/>
        <v>0</v>
      </c>
      <c r="T786" s="1897">
        <f t="shared" si="2212"/>
        <v>0</v>
      </c>
      <c r="U786" s="2085"/>
      <c r="V786" s="1908"/>
      <c r="W786" s="2103"/>
      <c r="X786" s="2103"/>
      <c r="Y786" s="2103"/>
      <c r="Z786" s="2151"/>
      <c r="AA786" s="1515"/>
      <c r="AB786" s="2085"/>
      <c r="AC786" s="1515"/>
      <c r="AD786" s="2152"/>
      <c r="AE786" s="2153"/>
      <c r="AF786" s="1515"/>
      <c r="AG786" s="1515"/>
      <c r="AH786" s="1515"/>
      <c r="AI786" s="2152"/>
      <c r="AJ786" s="2153"/>
      <c r="AK786" s="1515"/>
      <c r="AL786" s="1886"/>
      <c r="AM786" s="1515"/>
      <c r="AN786" s="2152"/>
      <c r="AO786" s="2062"/>
      <c r="AP786" s="1515"/>
      <c r="AQ786" s="1515"/>
      <c r="AR786" s="1515"/>
      <c r="AS786" s="1515"/>
      <c r="AT786" s="1515"/>
      <c r="AU786" s="1515"/>
      <c r="AV786" s="1515"/>
      <c r="AW786" s="1515"/>
      <c r="AX786" s="1515"/>
      <c r="AY786" s="1515"/>
      <c r="AZ786" s="1515"/>
    </row>
    <row r="787" s="1510" customFormat="1" ht="15.75" hidden="1" customHeight="1">
      <c r="A787" s="2084" t="s">
        <v>644</v>
      </c>
      <c r="B787" s="1868">
        <f t="shared" si="2203"/>
        <v>335</v>
      </c>
      <c r="C787" s="1868">
        <f t="shared" si="2203"/>
        <v>195</v>
      </c>
      <c r="D787" s="1868">
        <f t="shared" si="2203"/>
        <v>0</v>
      </c>
      <c r="E787" s="1895">
        <f t="shared" si="2207"/>
        <v>530</v>
      </c>
      <c r="F787" s="1868">
        <f t="shared" si="2204"/>
        <v>0</v>
      </c>
      <c r="G787" s="1868">
        <f t="shared" si="2204"/>
        <v>0</v>
      </c>
      <c r="H787" s="1868">
        <f t="shared" si="2204"/>
        <v>0</v>
      </c>
      <c r="I787" s="1895">
        <f t="shared" si="2208"/>
        <v>0</v>
      </c>
      <c r="J787" s="1896">
        <f t="shared" si="2209"/>
        <v>530</v>
      </c>
      <c r="K787" s="1868">
        <f t="shared" si="2205"/>
        <v>0</v>
      </c>
      <c r="L787" s="1868">
        <f t="shared" si="2205"/>
        <v>0</v>
      </c>
      <c r="M787" s="1868">
        <f t="shared" si="2205"/>
        <v>0</v>
      </c>
      <c r="N787" s="1895">
        <f t="shared" si="2210"/>
        <v>0</v>
      </c>
      <c r="O787" s="1896">
        <f t="shared" si="2211"/>
        <v>530</v>
      </c>
      <c r="P787" s="1868">
        <f t="shared" si="2206"/>
        <v>0</v>
      </c>
      <c r="Q787" s="1868">
        <f t="shared" si="2206"/>
        <v>0</v>
      </c>
      <c r="R787" s="1868">
        <f t="shared" si="2206"/>
        <v>0</v>
      </c>
      <c r="S787" s="1895">
        <f t="shared" si="2213"/>
        <v>0</v>
      </c>
      <c r="T787" s="1897">
        <f t="shared" si="2212"/>
        <v>530</v>
      </c>
      <c r="U787" s="2085"/>
      <c r="V787" s="1908"/>
      <c r="W787" s="2103"/>
      <c r="X787" s="2103"/>
      <c r="Y787" s="2103"/>
      <c r="Z787" s="2151"/>
      <c r="AA787" s="1515"/>
      <c r="AB787" s="2085"/>
      <c r="AC787" s="1515"/>
      <c r="AD787" s="2152"/>
      <c r="AE787" s="2153"/>
      <c r="AF787" s="1515"/>
      <c r="AG787" s="1515"/>
      <c r="AH787" s="1515"/>
      <c r="AI787" s="2152"/>
      <c r="AJ787" s="2153"/>
      <c r="AK787" s="1515"/>
      <c r="AL787" s="1886"/>
      <c r="AM787" s="1515"/>
      <c r="AN787" s="2152"/>
      <c r="AO787" s="2062"/>
      <c r="AP787" s="1515"/>
      <c r="AQ787" s="1515"/>
      <c r="AR787" s="1515"/>
      <c r="AS787" s="1515"/>
      <c r="AT787" s="1515"/>
      <c r="AU787" s="1515"/>
      <c r="AV787" s="1515"/>
      <c r="AW787" s="1515"/>
      <c r="AX787" s="1515"/>
      <c r="AY787" s="1515"/>
      <c r="AZ787" s="1515"/>
    </row>
    <row r="788" s="1510" customFormat="1" ht="15.75" hidden="1" customHeight="1">
      <c r="A788" s="2084" t="s">
        <v>303</v>
      </c>
      <c r="B788" s="1868">
        <f t="shared" si="2203"/>
        <v>0</v>
      </c>
      <c r="C788" s="1868">
        <f t="shared" si="2203"/>
        <v>0</v>
      </c>
      <c r="D788" s="1868">
        <f t="shared" si="2203"/>
        <v>0</v>
      </c>
      <c r="E788" s="1895">
        <f t="shared" si="2207"/>
        <v>0</v>
      </c>
      <c r="F788" s="1868">
        <f t="shared" si="2204"/>
        <v>0</v>
      </c>
      <c r="G788" s="1868">
        <f t="shared" si="2204"/>
        <v>0</v>
      </c>
      <c r="H788" s="1868">
        <f t="shared" si="2204"/>
        <v>0</v>
      </c>
      <c r="I788" s="1895">
        <f t="shared" si="2208"/>
        <v>0</v>
      </c>
      <c r="J788" s="1896">
        <f t="shared" si="2209"/>
        <v>0</v>
      </c>
      <c r="K788" s="1868">
        <f t="shared" si="2205"/>
        <v>0</v>
      </c>
      <c r="L788" s="1868">
        <f t="shared" si="2205"/>
        <v>0</v>
      </c>
      <c r="M788" s="1868">
        <f t="shared" si="2205"/>
        <v>0</v>
      </c>
      <c r="N788" s="1895">
        <f t="shared" si="2210"/>
        <v>0</v>
      </c>
      <c r="O788" s="1896">
        <f t="shared" si="2211"/>
        <v>0</v>
      </c>
      <c r="P788" s="1868">
        <f t="shared" si="2206"/>
        <v>0</v>
      </c>
      <c r="Q788" s="1868">
        <f t="shared" si="2206"/>
        <v>0</v>
      </c>
      <c r="R788" s="1868">
        <f t="shared" si="2206"/>
        <v>0</v>
      </c>
      <c r="S788" s="1895">
        <f t="shared" si="2213"/>
        <v>0</v>
      </c>
      <c r="T788" s="1897">
        <f t="shared" si="2212"/>
        <v>0</v>
      </c>
      <c r="U788" s="2085"/>
      <c r="V788" s="1908"/>
      <c r="W788" s="2103"/>
      <c r="X788" s="2103"/>
      <c r="Y788" s="2103"/>
      <c r="Z788" s="2151"/>
      <c r="AA788" s="1515"/>
      <c r="AB788" s="2085"/>
      <c r="AC788" s="1515"/>
      <c r="AD788" s="2152"/>
      <c r="AE788" s="2153"/>
      <c r="AF788" s="1515"/>
      <c r="AG788" s="1515"/>
      <c r="AH788" s="1515"/>
      <c r="AI788" s="2152"/>
      <c r="AJ788" s="2153"/>
      <c r="AK788" s="1515"/>
      <c r="AL788" s="1886"/>
      <c r="AM788" s="1515"/>
      <c r="AN788" s="2152"/>
      <c r="AO788" s="2062"/>
      <c r="AP788" s="1515"/>
      <c r="AQ788" s="1515"/>
      <c r="AR788" s="1515"/>
      <c r="AS788" s="1515"/>
      <c r="AT788" s="1515"/>
      <c r="AU788" s="1515"/>
      <c r="AV788" s="1515"/>
      <c r="AW788" s="1515"/>
      <c r="AX788" s="1515"/>
      <c r="AY788" s="1515"/>
      <c r="AZ788" s="1515"/>
    </row>
    <row r="789" s="1510" customFormat="1" ht="15.75" hidden="1" customHeight="1">
      <c r="A789" s="2084" t="s">
        <v>304</v>
      </c>
      <c r="B789" s="1868">
        <f t="shared" si="2203"/>
        <v>0</v>
      </c>
      <c r="C789" s="1868">
        <f t="shared" si="2203"/>
        <v>0</v>
      </c>
      <c r="D789" s="1868">
        <f t="shared" si="2203"/>
        <v>0</v>
      </c>
      <c r="E789" s="1895">
        <f t="shared" si="2207"/>
        <v>0</v>
      </c>
      <c r="F789" s="1868">
        <f t="shared" si="2204"/>
        <v>0</v>
      </c>
      <c r="G789" s="1868">
        <f t="shared" si="2204"/>
        <v>0</v>
      </c>
      <c r="H789" s="1868">
        <f t="shared" si="2204"/>
        <v>0</v>
      </c>
      <c r="I789" s="1895">
        <f t="shared" si="2208"/>
        <v>0</v>
      </c>
      <c r="J789" s="1896">
        <f t="shared" si="2209"/>
        <v>0</v>
      </c>
      <c r="K789" s="1868">
        <f t="shared" si="2205"/>
        <v>0</v>
      </c>
      <c r="L789" s="1868">
        <f t="shared" si="2205"/>
        <v>0</v>
      </c>
      <c r="M789" s="1868">
        <f t="shared" si="2205"/>
        <v>0</v>
      </c>
      <c r="N789" s="1895">
        <f t="shared" si="2210"/>
        <v>0</v>
      </c>
      <c r="O789" s="1896">
        <f t="shared" si="2211"/>
        <v>0</v>
      </c>
      <c r="P789" s="1868">
        <f t="shared" si="2206"/>
        <v>0</v>
      </c>
      <c r="Q789" s="1868">
        <f t="shared" si="2206"/>
        <v>0</v>
      </c>
      <c r="R789" s="1868">
        <f t="shared" si="2206"/>
        <v>0</v>
      </c>
      <c r="S789" s="1895">
        <f t="shared" si="2213"/>
        <v>0</v>
      </c>
      <c r="T789" s="1897">
        <f t="shared" si="2212"/>
        <v>0</v>
      </c>
      <c r="U789" s="2085"/>
      <c r="V789" s="1908"/>
      <c r="W789" s="2103"/>
      <c r="X789" s="2103"/>
      <c r="Y789" s="2103"/>
      <c r="Z789" s="2151"/>
      <c r="AA789" s="1515"/>
      <c r="AB789" s="2085"/>
      <c r="AC789" s="1515"/>
      <c r="AD789" s="2152"/>
      <c r="AE789" s="2153"/>
      <c r="AF789" s="1515"/>
      <c r="AG789" s="1515"/>
      <c r="AH789" s="1515"/>
      <c r="AI789" s="2152"/>
      <c r="AJ789" s="2153"/>
      <c r="AK789" s="1515"/>
      <c r="AL789" s="1886"/>
      <c r="AM789" s="1515"/>
      <c r="AN789" s="2152"/>
      <c r="AO789" s="2062"/>
      <c r="AP789" s="1515"/>
      <c r="AQ789" s="1515"/>
      <c r="AR789" s="1515"/>
      <c r="AS789" s="1515"/>
      <c r="AT789" s="1515"/>
      <c r="AU789" s="1515"/>
      <c r="AV789" s="1515"/>
      <c r="AW789" s="1515"/>
      <c r="AX789" s="1515"/>
      <c r="AY789" s="1515"/>
      <c r="AZ789" s="1515"/>
    </row>
    <row r="790" s="1510" customFormat="1" ht="15.75" hidden="1" customHeight="1">
      <c r="A790" s="2140" t="s">
        <v>283</v>
      </c>
      <c r="B790" s="1868">
        <f t="shared" si="2203"/>
        <v>1023</v>
      </c>
      <c r="C790" s="1868">
        <f t="shared" si="2203"/>
        <v>1597</v>
      </c>
      <c r="D790" s="1868">
        <f t="shared" si="2203"/>
        <v>0</v>
      </c>
      <c r="E790" s="1895">
        <f t="shared" si="2207"/>
        <v>2620</v>
      </c>
      <c r="F790" s="1868">
        <f t="shared" si="2204"/>
        <v>0</v>
      </c>
      <c r="G790" s="1868">
        <f t="shared" si="2204"/>
        <v>0</v>
      </c>
      <c r="H790" s="1868">
        <f t="shared" si="2204"/>
        <v>0</v>
      </c>
      <c r="I790" s="1895">
        <f t="shared" si="2208"/>
        <v>0</v>
      </c>
      <c r="J790" s="1896">
        <f t="shared" si="2209"/>
        <v>2620</v>
      </c>
      <c r="K790" s="1868">
        <f t="shared" si="2205"/>
        <v>0</v>
      </c>
      <c r="L790" s="1868">
        <f t="shared" si="2205"/>
        <v>0</v>
      </c>
      <c r="M790" s="1868">
        <f t="shared" si="2205"/>
        <v>0</v>
      </c>
      <c r="N790" s="1895">
        <f t="shared" si="2210"/>
        <v>0</v>
      </c>
      <c r="O790" s="1896">
        <f t="shared" si="2211"/>
        <v>2620</v>
      </c>
      <c r="P790" s="1868">
        <f t="shared" si="2206"/>
        <v>0</v>
      </c>
      <c r="Q790" s="1868">
        <f t="shared" si="2206"/>
        <v>0</v>
      </c>
      <c r="R790" s="1868">
        <f t="shared" si="2206"/>
        <v>0</v>
      </c>
      <c r="S790" s="1895">
        <f t="shared" si="2213"/>
        <v>0</v>
      </c>
      <c r="T790" s="1897">
        <f t="shared" si="2212"/>
        <v>2620</v>
      </c>
      <c r="U790" s="2085"/>
      <c r="V790" s="1908"/>
      <c r="W790" s="2103"/>
      <c r="X790" s="2103"/>
      <c r="Y790" s="2103"/>
      <c r="Z790" s="2151"/>
      <c r="AA790" s="1515"/>
      <c r="AB790" s="2085"/>
      <c r="AC790" s="1515"/>
      <c r="AD790" s="2152"/>
      <c r="AE790" s="2153"/>
      <c r="AF790" s="1515"/>
      <c r="AG790" s="1515"/>
      <c r="AH790" s="1515"/>
      <c r="AI790" s="2152"/>
      <c r="AJ790" s="2153"/>
      <c r="AK790" s="1515"/>
      <c r="AL790" s="1886"/>
      <c r="AM790" s="1515"/>
      <c r="AN790" s="2152"/>
      <c r="AO790" s="2062"/>
      <c r="AP790" s="1515"/>
      <c r="AQ790" s="1515"/>
      <c r="AR790" s="1515"/>
      <c r="AS790" s="1515"/>
      <c r="AT790" s="1515"/>
      <c r="AU790" s="1515"/>
      <c r="AV790" s="1515"/>
      <c r="AW790" s="1515"/>
      <c r="AX790" s="1515"/>
      <c r="AY790" s="1515"/>
      <c r="AZ790" s="1515"/>
    </row>
    <row r="791" s="1510" customFormat="1" ht="15.75" hidden="1" customHeight="1">
      <c r="A791" s="2084" t="s">
        <v>645</v>
      </c>
      <c r="B791" s="1868">
        <f t="shared" si="2203"/>
        <v>0</v>
      </c>
      <c r="C791" s="1868">
        <f t="shared" si="2203"/>
        <v>0</v>
      </c>
      <c r="D791" s="1868">
        <f t="shared" si="2203"/>
        <v>0</v>
      </c>
      <c r="E791" s="1895">
        <f t="shared" si="2207"/>
        <v>0</v>
      </c>
      <c r="F791" s="1868">
        <f t="shared" si="2204"/>
        <v>0</v>
      </c>
      <c r="G791" s="1868">
        <f t="shared" si="2204"/>
        <v>0</v>
      </c>
      <c r="H791" s="1868">
        <f t="shared" si="2204"/>
        <v>0</v>
      </c>
      <c r="I791" s="1895">
        <f t="shared" si="2208"/>
        <v>0</v>
      </c>
      <c r="J791" s="1896">
        <f t="shared" si="2209"/>
        <v>0</v>
      </c>
      <c r="K791" s="1868">
        <f t="shared" si="2205"/>
        <v>0</v>
      </c>
      <c r="L791" s="1868">
        <f t="shared" si="2205"/>
        <v>0</v>
      </c>
      <c r="M791" s="1868">
        <f t="shared" si="2205"/>
        <v>0</v>
      </c>
      <c r="N791" s="1895">
        <f t="shared" si="2210"/>
        <v>0</v>
      </c>
      <c r="O791" s="1896">
        <f t="shared" si="2211"/>
        <v>0</v>
      </c>
      <c r="P791" s="1868">
        <f t="shared" si="2206"/>
        <v>0</v>
      </c>
      <c r="Q791" s="1868">
        <f t="shared" si="2206"/>
        <v>0</v>
      </c>
      <c r="R791" s="1868">
        <f t="shared" si="2206"/>
        <v>0</v>
      </c>
      <c r="S791" s="1895">
        <f t="shared" si="2213"/>
        <v>0</v>
      </c>
      <c r="T791" s="1897">
        <f t="shared" si="2212"/>
        <v>0</v>
      </c>
      <c r="U791" s="2085"/>
      <c r="V791" s="1908"/>
      <c r="W791" s="2103"/>
      <c r="X791" s="2103"/>
      <c r="Y791" s="2103"/>
      <c r="Z791" s="2151"/>
      <c r="AA791" s="1515"/>
      <c r="AB791" s="2085"/>
      <c r="AC791" s="1515"/>
      <c r="AD791" s="2152"/>
      <c r="AE791" s="2153"/>
      <c r="AF791" s="1515"/>
      <c r="AG791" s="1515"/>
      <c r="AH791" s="1515"/>
      <c r="AI791" s="2152"/>
      <c r="AJ791" s="2153"/>
      <c r="AK791" s="1515"/>
      <c r="AL791" s="1886"/>
      <c r="AM791" s="1515"/>
      <c r="AN791" s="2152"/>
      <c r="AO791" s="2062"/>
      <c r="AP791" s="1515"/>
      <c r="AQ791" s="1515"/>
      <c r="AR791" s="1515"/>
      <c r="AS791" s="1515"/>
      <c r="AT791" s="1515"/>
      <c r="AU791" s="1515"/>
      <c r="AV791" s="1515"/>
      <c r="AW791" s="1515"/>
      <c r="AX791" s="1515"/>
      <c r="AY791" s="1515"/>
      <c r="AZ791" s="1515"/>
    </row>
    <row r="792" s="1510" customFormat="1" ht="15.75" hidden="1" customHeight="1">
      <c r="A792" s="1511" t="s">
        <v>545</v>
      </c>
      <c r="B792" s="1871">
        <f t="shared" si="2203"/>
        <v>168657</v>
      </c>
      <c r="C792" s="1871">
        <f t="shared" si="2203"/>
        <v>170460</v>
      </c>
      <c r="D792" s="1871">
        <f t="shared" si="2203"/>
        <v>0</v>
      </c>
      <c r="E792" s="1899">
        <f t="shared" si="2207"/>
        <v>339117</v>
      </c>
      <c r="F792" s="1871">
        <f t="shared" si="2204"/>
        <v>0</v>
      </c>
      <c r="G792" s="1871">
        <f t="shared" si="2204"/>
        <v>0</v>
      </c>
      <c r="H792" s="1871">
        <f t="shared" si="2204"/>
        <v>0</v>
      </c>
      <c r="I792" s="1899">
        <f t="shared" si="2208"/>
        <v>0</v>
      </c>
      <c r="J792" s="1900">
        <f t="shared" si="2209"/>
        <v>339117</v>
      </c>
      <c r="K792" s="1871">
        <f t="shared" si="2205"/>
        <v>0</v>
      </c>
      <c r="L792" s="1871">
        <f t="shared" si="2205"/>
        <v>0</v>
      </c>
      <c r="M792" s="1871">
        <f t="shared" si="2205"/>
        <v>0</v>
      </c>
      <c r="N792" s="1899">
        <f t="shared" si="2210"/>
        <v>0</v>
      </c>
      <c r="O792" s="1900">
        <f t="shared" si="2211"/>
        <v>339117</v>
      </c>
      <c r="P792" s="1871">
        <f t="shared" si="2206"/>
        <v>0</v>
      </c>
      <c r="Q792" s="1871">
        <f t="shared" si="2206"/>
        <v>0</v>
      </c>
      <c r="R792" s="1871">
        <f t="shared" si="2206"/>
        <v>0</v>
      </c>
      <c r="S792" s="1899">
        <f t="shared" si="2213"/>
        <v>0</v>
      </c>
      <c r="T792" s="1901">
        <f t="shared" si="2212"/>
        <v>339117</v>
      </c>
      <c r="U792" s="2085"/>
      <c r="V792" s="1908"/>
      <c r="W792" s="2103"/>
      <c r="X792" s="2103"/>
      <c r="Y792" s="2103"/>
      <c r="Z792" s="2151"/>
      <c r="AA792" s="1515"/>
      <c r="AB792" s="2085"/>
      <c r="AC792" s="1515"/>
      <c r="AD792" s="2152"/>
      <c r="AE792" s="2153"/>
      <c r="AF792" s="1515"/>
      <c r="AG792" s="1515"/>
      <c r="AH792" s="1515"/>
      <c r="AI792" s="2152"/>
      <c r="AJ792" s="2153"/>
      <c r="AK792" s="1515"/>
      <c r="AL792" s="1886"/>
      <c r="AM792" s="1515"/>
      <c r="AN792" s="2152"/>
      <c r="AO792" s="2062"/>
      <c r="AP792" s="1515"/>
      <c r="AQ792" s="1515"/>
      <c r="AR792" s="1515"/>
      <c r="AS792" s="1515"/>
      <c r="AT792" s="1515"/>
      <c r="AU792" s="1515"/>
      <c r="AV792" s="1515"/>
      <c r="AW792" s="1515"/>
      <c r="AX792" s="1515"/>
      <c r="AY792" s="1515"/>
      <c r="AZ792" s="1515"/>
    </row>
    <row r="793" s="1510" customFormat="1" ht="15.75" hidden="1" customHeight="1">
      <c r="A793" s="1179" t="s">
        <v>646</v>
      </c>
      <c r="B793" s="1868">
        <f t="shared" si="2203"/>
        <v>1078</v>
      </c>
      <c r="C793" s="1868">
        <f t="shared" si="2203"/>
        <v>1004</v>
      </c>
      <c r="D793" s="1868">
        <f t="shared" si="2203"/>
        <v>0</v>
      </c>
      <c r="E793" s="1895">
        <f t="shared" si="2207"/>
        <v>2082</v>
      </c>
      <c r="F793" s="1868">
        <f t="shared" si="2204"/>
        <v>0</v>
      </c>
      <c r="G793" s="1868">
        <f t="shared" si="2204"/>
        <v>0</v>
      </c>
      <c r="H793" s="1868">
        <f t="shared" si="2204"/>
        <v>0</v>
      </c>
      <c r="I793" s="1895">
        <f t="shared" si="2208"/>
        <v>0</v>
      </c>
      <c r="J793" s="1896">
        <f t="shared" si="2209"/>
        <v>2082</v>
      </c>
      <c r="K793" s="1868">
        <f t="shared" si="2205"/>
        <v>0</v>
      </c>
      <c r="L793" s="1868">
        <f t="shared" si="2205"/>
        <v>0</v>
      </c>
      <c r="M793" s="1868">
        <f t="shared" si="2205"/>
        <v>0</v>
      </c>
      <c r="N793" s="1895">
        <f t="shared" si="2210"/>
        <v>0</v>
      </c>
      <c r="O793" s="1896">
        <f t="shared" si="2211"/>
        <v>2082</v>
      </c>
      <c r="P793" s="1868">
        <f t="shared" si="2206"/>
        <v>0</v>
      </c>
      <c r="Q793" s="1868">
        <f t="shared" si="2206"/>
        <v>0</v>
      </c>
      <c r="R793" s="1868">
        <f t="shared" si="2206"/>
        <v>0</v>
      </c>
      <c r="S793" s="1895">
        <f t="shared" si="2213"/>
        <v>0</v>
      </c>
      <c r="T793" s="1897">
        <f t="shared" si="2212"/>
        <v>2082</v>
      </c>
      <c r="U793" s="2085"/>
      <c r="V793" s="1908"/>
      <c r="W793" s="2103"/>
      <c r="X793" s="2103"/>
      <c r="Y793" s="2103"/>
      <c r="Z793" s="2151"/>
      <c r="AA793" s="1515"/>
      <c r="AB793" s="2085"/>
      <c r="AC793" s="1515"/>
      <c r="AD793" s="2152"/>
      <c r="AE793" s="2153"/>
      <c r="AF793" s="1515"/>
      <c r="AG793" s="1515"/>
      <c r="AH793" s="1515"/>
      <c r="AI793" s="2152"/>
      <c r="AJ793" s="2153"/>
      <c r="AK793" s="1515"/>
      <c r="AL793" s="1886"/>
      <c r="AM793" s="1515"/>
      <c r="AN793" s="2152"/>
      <c r="AO793" s="2062"/>
      <c r="AP793" s="1515"/>
      <c r="AQ793" s="1515"/>
      <c r="AR793" s="1515"/>
      <c r="AS793" s="1515"/>
      <c r="AT793" s="1515"/>
      <c r="AU793" s="1515"/>
      <c r="AV793" s="1515"/>
      <c r="AW793" s="1515"/>
      <c r="AX793" s="1515"/>
      <c r="AY793" s="1515"/>
      <c r="AZ793" s="1515"/>
    </row>
    <row r="794" s="1510" customFormat="1" ht="15.75" hidden="1" customHeight="1">
      <c r="A794" s="1179" t="s">
        <v>647</v>
      </c>
      <c r="B794" s="1868">
        <f t="shared" si="2203"/>
        <v>0</v>
      </c>
      <c r="C794" s="1868">
        <f t="shared" si="2203"/>
        <v>0</v>
      </c>
      <c r="D794" s="1868">
        <f t="shared" si="2203"/>
        <v>0</v>
      </c>
      <c r="E794" s="1895">
        <f t="shared" si="2207"/>
        <v>0</v>
      </c>
      <c r="F794" s="1868">
        <f t="shared" si="2204"/>
        <v>0</v>
      </c>
      <c r="G794" s="1868">
        <f t="shared" si="2204"/>
        <v>0</v>
      </c>
      <c r="H794" s="1868">
        <f t="shared" si="2204"/>
        <v>0</v>
      </c>
      <c r="I794" s="1895">
        <f t="shared" si="2208"/>
        <v>0</v>
      </c>
      <c r="J794" s="1896">
        <f t="shared" si="2209"/>
        <v>0</v>
      </c>
      <c r="K794" s="1868">
        <f t="shared" si="2205"/>
        <v>0</v>
      </c>
      <c r="L794" s="1868">
        <f t="shared" si="2205"/>
        <v>0</v>
      </c>
      <c r="M794" s="1868">
        <f t="shared" si="2205"/>
        <v>0</v>
      </c>
      <c r="N794" s="1895">
        <f t="shared" si="2210"/>
        <v>0</v>
      </c>
      <c r="O794" s="1896">
        <f t="shared" si="2211"/>
        <v>0</v>
      </c>
      <c r="P794" s="1868">
        <f t="shared" si="2206"/>
        <v>0</v>
      </c>
      <c r="Q794" s="1868">
        <f t="shared" si="2206"/>
        <v>0</v>
      </c>
      <c r="R794" s="1868">
        <f t="shared" si="2206"/>
        <v>0</v>
      </c>
      <c r="S794" s="1895">
        <f t="shared" si="2213"/>
        <v>0</v>
      </c>
      <c r="T794" s="1897">
        <f t="shared" si="2212"/>
        <v>0</v>
      </c>
      <c r="U794" s="2085"/>
      <c r="V794" s="1908"/>
      <c r="W794" s="2103"/>
      <c r="X794" s="2103"/>
      <c r="Y794" s="2103"/>
      <c r="Z794" s="2151"/>
      <c r="AA794" s="1515"/>
      <c r="AB794" s="2085"/>
      <c r="AC794" s="1515"/>
      <c r="AD794" s="2152"/>
      <c r="AE794" s="2153"/>
      <c r="AF794" s="1515"/>
      <c r="AG794" s="1515"/>
      <c r="AH794" s="1515"/>
      <c r="AI794" s="2152"/>
      <c r="AJ794" s="2153"/>
      <c r="AK794" s="1515"/>
      <c r="AL794" s="1886"/>
      <c r="AM794" s="1515"/>
      <c r="AN794" s="2152"/>
      <c r="AO794" s="2062"/>
      <c r="AP794" s="1515"/>
      <c r="AQ794" s="1515"/>
      <c r="AR794" s="1515"/>
      <c r="AS794" s="1515"/>
      <c r="AT794" s="1515"/>
      <c r="AU794" s="1515"/>
      <c r="AV794" s="1515"/>
      <c r="AW794" s="1515"/>
      <c r="AX794" s="1515"/>
      <c r="AY794" s="1515"/>
      <c r="AZ794" s="1515"/>
    </row>
    <row r="795" s="1510" customFormat="1" ht="15.75" customHeight="1">
      <c r="A795" s="1511" t="s">
        <v>545</v>
      </c>
      <c r="B795" s="1871">
        <f>B792+B793+B794</f>
        <v>169735</v>
      </c>
      <c r="C795" s="1871">
        <f t="shared" ref="C795:R795" si="2214">C792+C793+C794</f>
        <v>171464</v>
      </c>
      <c r="D795" s="1871">
        <f t="shared" si="2214"/>
        <v>0</v>
      </c>
      <c r="E795" s="1895">
        <f t="shared" si="2207"/>
        <v>341199</v>
      </c>
      <c r="F795" s="1871">
        <f>F792+F793+F794</f>
        <v>0</v>
      </c>
      <c r="G795" s="1871">
        <f>G792+G793+G794</f>
        <v>0</v>
      </c>
      <c r="H795" s="1871">
        <f t="shared" si="2214"/>
        <v>0</v>
      </c>
      <c r="I795" s="1895">
        <f t="shared" si="2208"/>
        <v>0</v>
      </c>
      <c r="J795" s="1896">
        <f t="shared" si="2209"/>
        <v>341199</v>
      </c>
      <c r="K795" s="1871">
        <f>K792+K793+K794</f>
        <v>0</v>
      </c>
      <c r="L795" s="1871">
        <f t="shared" si="2214"/>
        <v>0</v>
      </c>
      <c r="M795" s="1871">
        <f t="shared" si="2214"/>
        <v>0</v>
      </c>
      <c r="N795" s="1895">
        <f t="shared" si="2210"/>
        <v>0</v>
      </c>
      <c r="O795" s="1896">
        <f t="shared" si="2211"/>
        <v>341199</v>
      </c>
      <c r="P795" s="1871">
        <f t="shared" si="2214"/>
        <v>0</v>
      </c>
      <c r="Q795" s="1871">
        <f t="shared" si="2214"/>
        <v>0</v>
      </c>
      <c r="R795" s="1871">
        <f t="shared" si="2214"/>
        <v>0</v>
      </c>
      <c r="S795" s="1895">
        <f t="shared" si="2213"/>
        <v>0</v>
      </c>
      <c r="T795" s="1897">
        <f t="shared" si="2212"/>
        <v>341199</v>
      </c>
      <c r="U795" s="2085"/>
      <c r="V795" s="1908"/>
      <c r="W795" s="2103"/>
      <c r="X795" s="2103"/>
      <c r="Y795" s="2103"/>
      <c r="Z795" s="2151"/>
      <c r="AA795" s="1515"/>
      <c r="AB795" s="2085"/>
      <c r="AC795" s="1515"/>
      <c r="AD795" s="2152"/>
      <c r="AE795" s="2153"/>
      <c r="AF795" s="1515"/>
      <c r="AG795" s="1515"/>
      <c r="AH795" s="1515"/>
      <c r="AI795" s="2152"/>
      <c r="AJ795" s="2153"/>
      <c r="AK795" s="1515"/>
      <c r="AL795" s="1886"/>
      <c r="AM795" s="1515"/>
      <c r="AN795" s="2152"/>
      <c r="AO795" s="2062"/>
      <c r="AP795" s="1515"/>
      <c r="AQ795" s="1515"/>
      <c r="AR795" s="1515"/>
      <c r="AS795" s="1515"/>
      <c r="AT795" s="1515"/>
      <c r="AU795" s="1515"/>
      <c r="AV795" s="1515"/>
      <c r="AW795" s="1515"/>
      <c r="AX795" s="1515"/>
      <c r="AY795" s="1515"/>
      <c r="AZ795" s="1515"/>
    </row>
    <row r="796" s="1510" customFormat="1">
      <c r="A796" s="1515"/>
      <c r="B796" s="1908"/>
      <c r="C796" s="1908"/>
      <c r="D796" s="1872"/>
      <c r="E796" s="1836"/>
      <c r="F796" s="1872"/>
      <c r="G796" s="1908"/>
      <c r="H796" s="1872"/>
      <c r="I796" s="1836"/>
      <c r="J796" s="1836"/>
      <c r="K796" s="1908"/>
      <c r="L796" s="1908"/>
      <c r="M796" s="1908"/>
      <c r="N796" s="1910"/>
      <c r="O796" s="1910"/>
      <c r="P796" s="1908"/>
      <c r="Q796" s="1872"/>
      <c r="R796" s="1872"/>
      <c r="S796" s="1836"/>
      <c r="T796" s="1836"/>
      <c r="U796" s="2085"/>
      <c r="V796" s="1908"/>
      <c r="W796" s="2103"/>
      <c r="X796" s="2103"/>
      <c r="Y796" s="2103"/>
      <c r="Z796" s="2151"/>
      <c r="AA796" s="1515"/>
      <c r="AB796" s="2085"/>
      <c r="AC796" s="1515"/>
      <c r="AD796" s="2152"/>
      <c r="AE796" s="2153"/>
      <c r="AF796" s="1515"/>
      <c r="AG796" s="1515"/>
      <c r="AH796" s="1515"/>
      <c r="AI796" s="2152"/>
      <c r="AJ796" s="2153"/>
      <c r="AK796" s="1515"/>
      <c r="AL796" s="1886"/>
      <c r="AM796" s="1515"/>
      <c r="AN796" s="2152"/>
      <c r="AO796" s="2062"/>
      <c r="AP796" s="1515"/>
      <c r="AQ796" s="1515"/>
      <c r="AR796" s="1515"/>
      <c r="AS796" s="1515"/>
      <c r="AT796" s="1515"/>
      <c r="AU796" s="1515"/>
      <c r="AV796" s="1515"/>
      <c r="AW796" s="1515"/>
      <c r="AX796" s="1515"/>
      <c r="AY796" s="1515"/>
      <c r="AZ796" s="1515"/>
    </row>
    <row r="797">
      <c r="D797" s="1413"/>
      <c r="E797" s="1620"/>
      <c r="I797" s="1418"/>
      <c r="J797" s="1418"/>
      <c r="N797" s="1418"/>
      <c r="O797" s="1418"/>
      <c r="S797" s="1620"/>
      <c r="Z797" s="1418"/>
    </row>
    <row r="798" s="1434" customFormat="1" ht="33" customHeight="1">
      <c r="A798" s="2176" t="s">
        <v>737</v>
      </c>
      <c r="B798" s="2177" t="s">
        <v>738</v>
      </c>
      <c r="C798" s="2178"/>
      <c r="D798" s="2178"/>
      <c r="E798" s="2178"/>
      <c r="F798" s="2178"/>
      <c r="G798" s="2178"/>
      <c r="H798" s="2178"/>
      <c r="I798" s="2178"/>
      <c r="J798" s="2178"/>
      <c r="K798" s="2178"/>
      <c r="L798" s="2178"/>
      <c r="M798" s="2178"/>
      <c r="N798" s="2178"/>
      <c r="O798" s="2178"/>
      <c r="P798" s="2178"/>
      <c r="Q798" s="2178"/>
      <c r="R798" s="2178"/>
      <c r="S798" s="2178"/>
      <c r="T798" s="2179"/>
      <c r="U798" s="1413"/>
      <c r="V798" s="2180" t="s">
        <v>739</v>
      </c>
      <c r="W798" s="2181" t="s">
        <v>740</v>
      </c>
      <c r="X798" s="2182"/>
      <c r="Y798" s="2182"/>
      <c r="Z798" s="2182"/>
      <c r="AA798" s="2182"/>
      <c r="AB798" s="2182"/>
      <c r="AC798" s="2182"/>
      <c r="AD798" s="2182"/>
      <c r="AE798" s="2182"/>
      <c r="AF798" s="2182"/>
      <c r="AG798" s="2182"/>
      <c r="AH798" s="2182"/>
      <c r="AI798" s="2182"/>
      <c r="AJ798" s="2182"/>
      <c r="AK798" s="2182"/>
      <c r="AL798" s="2183"/>
      <c r="AM798" s="2182"/>
      <c r="AN798" s="2182"/>
      <c r="AO798" s="2184"/>
      <c r="AP798" s="1409"/>
      <c r="AQ798" s="1409"/>
      <c r="AR798" s="1409"/>
      <c r="AS798" s="1409"/>
      <c r="AT798" s="1409"/>
      <c r="AU798" s="1409"/>
      <c r="AV798" s="1409"/>
      <c r="AW798" s="1409"/>
      <c r="AX798" s="1409"/>
      <c r="AY798" s="1409"/>
      <c r="AZ798" s="1409"/>
    </row>
    <row r="799" s="1434" customFormat="1">
      <c r="A799" s="2121" t="s">
        <v>173</v>
      </c>
      <c r="B799" s="1427" t="s">
        <v>6</v>
      </c>
      <c r="C799" s="1427" t="s">
        <v>7</v>
      </c>
      <c r="D799" s="1849" t="s">
        <v>8</v>
      </c>
      <c r="E799" s="2168" t="s">
        <v>9</v>
      </c>
      <c r="F799" s="1421" t="s">
        <v>10</v>
      </c>
      <c r="G799" s="1421" t="s">
        <v>11</v>
      </c>
      <c r="H799" s="1421" t="s">
        <v>12</v>
      </c>
      <c r="I799" s="1425" t="s">
        <v>174</v>
      </c>
      <c r="J799" s="1430" t="s">
        <v>175</v>
      </c>
      <c r="K799" s="1421" t="s">
        <v>14</v>
      </c>
      <c r="L799" s="1421" t="s">
        <v>15</v>
      </c>
      <c r="M799" s="1421" t="s">
        <v>16</v>
      </c>
      <c r="N799" s="1425" t="s">
        <v>17</v>
      </c>
      <c r="O799" s="1430" t="s">
        <v>176</v>
      </c>
      <c r="P799" s="1421" t="s">
        <v>18</v>
      </c>
      <c r="Q799" s="1421" t="s">
        <v>19</v>
      </c>
      <c r="R799" s="1421" t="s">
        <v>20</v>
      </c>
      <c r="S799" s="1448" t="s">
        <v>177</v>
      </c>
      <c r="T799" s="1426" t="s">
        <v>22</v>
      </c>
      <c r="U799" s="1413"/>
      <c r="V799" s="1446"/>
      <c r="W799" s="1427" t="s">
        <v>6</v>
      </c>
      <c r="X799" s="1427" t="s">
        <v>7</v>
      </c>
      <c r="Y799" s="1849" t="s">
        <v>8</v>
      </c>
      <c r="Z799" s="2168" t="s">
        <v>9</v>
      </c>
      <c r="AA799" s="1421" t="s">
        <v>10</v>
      </c>
      <c r="AB799" s="1421" t="s">
        <v>11</v>
      </c>
      <c r="AC799" s="1421" t="s">
        <v>12</v>
      </c>
      <c r="AD799" s="1425" t="s">
        <v>174</v>
      </c>
      <c r="AE799" s="2185" t="s">
        <v>175</v>
      </c>
      <c r="AF799" s="1421" t="s">
        <v>14</v>
      </c>
      <c r="AG799" s="1421" t="s">
        <v>15</v>
      </c>
      <c r="AH799" s="1421" t="s">
        <v>16</v>
      </c>
      <c r="AI799" s="1425" t="s">
        <v>17</v>
      </c>
      <c r="AJ799" s="2185" t="s">
        <v>176</v>
      </c>
      <c r="AK799" s="1421" t="s">
        <v>18</v>
      </c>
      <c r="AL799" s="1424" t="s">
        <v>19</v>
      </c>
      <c r="AM799" s="1421" t="s">
        <v>20</v>
      </c>
      <c r="AN799" s="1425" t="s">
        <v>177</v>
      </c>
      <c r="AO799" s="1566" t="s">
        <v>22</v>
      </c>
      <c r="AP799" s="1409"/>
      <c r="AQ799" s="1409"/>
      <c r="AR799" s="1409"/>
      <c r="AS799" s="1409"/>
      <c r="AT799" s="1409"/>
      <c r="AU799" s="1409"/>
      <c r="AV799" s="1409"/>
      <c r="AW799" s="1409"/>
      <c r="AX799" s="1409"/>
      <c r="AY799" s="1409"/>
      <c r="AZ799" s="1409"/>
    </row>
    <row r="800" ht="27.75" customHeight="1">
      <c r="A800" s="1179" t="s">
        <v>178</v>
      </c>
      <c r="B800" s="1850">
        <v>94.5</v>
      </c>
      <c r="C800" s="1850">
        <v>167</v>
      </c>
      <c r="D800" s="1850"/>
      <c r="E800" s="1851">
        <f t="shared" si="2207"/>
        <v>261.5</v>
      </c>
      <c r="F800" s="1850"/>
      <c r="G800" s="1850"/>
      <c r="H800" s="1850"/>
      <c r="I800" s="1851">
        <f t="shared" si="2208"/>
        <v>0</v>
      </c>
      <c r="J800" s="1852">
        <f t="shared" si="2209"/>
        <v>261.5</v>
      </c>
      <c r="K800" s="1462"/>
      <c r="L800" s="1462"/>
      <c r="M800" s="1462"/>
      <c r="N800" s="1463">
        <f t="shared" si="2210"/>
        <v>0</v>
      </c>
      <c r="O800" s="1464">
        <f t="shared" si="2211"/>
        <v>261.5</v>
      </c>
      <c r="P800" s="1462"/>
      <c r="Q800" s="1462"/>
      <c r="R800" s="1462"/>
      <c r="S800" s="1463">
        <f t="shared" si="2213"/>
        <v>0</v>
      </c>
      <c r="T800" s="1465">
        <f t="shared" si="2212"/>
        <v>261.5</v>
      </c>
      <c r="U800" s="1413"/>
      <c r="V800" s="1179" t="s">
        <v>178</v>
      </c>
      <c r="W800" s="1850">
        <v>32</v>
      </c>
      <c r="X800" s="1850">
        <v>93</v>
      </c>
      <c r="Y800" s="1850"/>
      <c r="Z800" s="1851"/>
      <c r="AA800" s="1850"/>
      <c r="AB800" s="1850"/>
      <c r="AC800" s="1850"/>
      <c r="AD800" s="1851"/>
      <c r="AE800" s="2125"/>
      <c r="AF800" s="1850"/>
      <c r="AG800" s="1850"/>
      <c r="AH800" s="1850"/>
      <c r="AI800" s="1851">
        <f t="shared" ref="AI742:AI805" si="2215">AF800+AG800+AH800</f>
        <v>0</v>
      </c>
      <c r="AJ800" s="2125">
        <f t="shared" ref="AJ767:AJ830" si="2216">AE800+AI800</f>
        <v>0</v>
      </c>
      <c r="AK800" s="1850"/>
      <c r="AL800" s="1850"/>
      <c r="AM800" s="1850"/>
      <c r="AN800" s="2127">
        <f t="shared" ref="AN767:AN830" si="2217">AK800+AL800+AM800</f>
        <v>0</v>
      </c>
      <c r="AO800" s="2128">
        <f t="shared" ref="AO767:AO830" si="2218">AJ800+AN800</f>
        <v>0</v>
      </c>
    </row>
    <row r="801">
      <c r="A801" s="1179" t="s">
        <v>354</v>
      </c>
      <c r="B801" s="1850">
        <v>495</v>
      </c>
      <c r="C801" s="1850">
        <v>523</v>
      </c>
      <c r="D801" s="1850"/>
      <c r="E801" s="1851">
        <f t="shared" si="2207"/>
        <v>1018</v>
      </c>
      <c r="F801" s="1850"/>
      <c r="G801" s="1850"/>
      <c r="H801" s="1850"/>
      <c r="I801" s="1851">
        <f t="shared" si="2208"/>
        <v>0</v>
      </c>
      <c r="J801" s="1852">
        <f t="shared" si="2209"/>
        <v>1018</v>
      </c>
      <c r="K801" s="1462"/>
      <c r="L801" s="1462"/>
      <c r="M801" s="1462"/>
      <c r="N801" s="1463">
        <f t="shared" si="2210"/>
        <v>0</v>
      </c>
      <c r="O801" s="1464">
        <f t="shared" si="2211"/>
        <v>1018</v>
      </c>
      <c r="P801" s="1462"/>
      <c r="Q801" s="1462"/>
      <c r="R801" s="1462"/>
      <c r="S801" s="1463">
        <f t="shared" si="2213"/>
        <v>0</v>
      </c>
      <c r="T801" s="1465">
        <f t="shared" si="2212"/>
        <v>1018</v>
      </c>
      <c r="U801" s="1413"/>
      <c r="V801" s="1179" t="s">
        <v>354</v>
      </c>
      <c r="W801" s="1850">
        <v>271</v>
      </c>
      <c r="X801" s="1850">
        <v>277</v>
      </c>
      <c r="Y801" s="1850"/>
      <c r="Z801" s="1851"/>
      <c r="AA801" s="1850"/>
      <c r="AB801" s="1850"/>
      <c r="AC801" s="1850"/>
      <c r="AD801" s="1851"/>
      <c r="AE801" s="2125"/>
      <c r="AF801" s="1850"/>
      <c r="AG801" s="1850"/>
      <c r="AH801" s="1850"/>
      <c r="AI801" s="1851">
        <f t="shared" si="2215"/>
        <v>0</v>
      </c>
      <c r="AJ801" s="2125">
        <f t="shared" si="2216"/>
        <v>0</v>
      </c>
      <c r="AK801" s="1850"/>
      <c r="AL801" s="1850"/>
      <c r="AM801" s="1850"/>
      <c r="AN801" s="2127">
        <f t="shared" si="2217"/>
        <v>0</v>
      </c>
      <c r="AO801" s="2128">
        <f t="shared" si="2218"/>
        <v>0</v>
      </c>
    </row>
    <row r="802">
      <c r="A802" s="1179" t="s">
        <v>181</v>
      </c>
      <c r="B802" s="1850">
        <v>1554</v>
      </c>
      <c r="C802" s="1850">
        <v>1554</v>
      </c>
      <c r="D802" s="1850"/>
      <c r="E802" s="1851">
        <f t="shared" si="2207"/>
        <v>3108</v>
      </c>
      <c r="F802" s="1850"/>
      <c r="G802" s="1850"/>
      <c r="H802" s="1850"/>
      <c r="I802" s="1851">
        <f t="shared" si="2208"/>
        <v>0</v>
      </c>
      <c r="J802" s="1852">
        <f t="shared" si="2209"/>
        <v>3108</v>
      </c>
      <c r="K802" s="1462"/>
      <c r="L802" s="1462"/>
      <c r="M802" s="1462"/>
      <c r="N802" s="1463">
        <f t="shared" si="2210"/>
        <v>0</v>
      </c>
      <c r="O802" s="1464">
        <f t="shared" si="2211"/>
        <v>3108</v>
      </c>
      <c r="P802" s="1462"/>
      <c r="Q802" s="1462"/>
      <c r="R802" s="1462"/>
      <c r="S802" s="1463">
        <f t="shared" si="2213"/>
        <v>0</v>
      </c>
      <c r="T802" s="1465">
        <f t="shared" si="2212"/>
        <v>3108</v>
      </c>
      <c r="U802" s="1413"/>
      <c r="V802" s="1179" t="s">
        <v>181</v>
      </c>
      <c r="W802" s="1850">
        <v>497</v>
      </c>
      <c r="X802" s="1850">
        <v>566</v>
      </c>
      <c r="Y802" s="1850"/>
      <c r="Z802" s="1851"/>
      <c r="AA802" s="1850"/>
      <c r="AB802" s="1850"/>
      <c r="AC802" s="1850"/>
      <c r="AD802" s="1851"/>
      <c r="AE802" s="2125"/>
      <c r="AF802" s="1850"/>
      <c r="AG802" s="1850"/>
      <c r="AH802" s="1850"/>
      <c r="AI802" s="1851">
        <f t="shared" si="2215"/>
        <v>0</v>
      </c>
      <c r="AJ802" s="2125">
        <f t="shared" si="2216"/>
        <v>0</v>
      </c>
      <c r="AK802" s="1850"/>
      <c r="AL802" s="1850"/>
      <c r="AM802" s="1850"/>
      <c r="AN802" s="2127">
        <f t="shared" si="2217"/>
        <v>0</v>
      </c>
      <c r="AO802" s="2128">
        <f t="shared" si="2218"/>
        <v>0</v>
      </c>
    </row>
    <row r="803">
      <c r="A803" s="1179" t="s">
        <v>182</v>
      </c>
      <c r="B803" s="1850">
        <v>125</v>
      </c>
      <c r="C803" s="1850">
        <v>119</v>
      </c>
      <c r="D803" s="1850"/>
      <c r="E803" s="1851">
        <f t="shared" si="2207"/>
        <v>244</v>
      </c>
      <c r="F803" s="1850"/>
      <c r="G803" s="1850"/>
      <c r="H803" s="1850"/>
      <c r="I803" s="1851">
        <f t="shared" si="2208"/>
        <v>0</v>
      </c>
      <c r="J803" s="1852">
        <f t="shared" si="2209"/>
        <v>244</v>
      </c>
      <c r="K803" s="1462"/>
      <c r="L803" s="1462"/>
      <c r="M803" s="1462"/>
      <c r="N803" s="1463">
        <f t="shared" si="2210"/>
        <v>0</v>
      </c>
      <c r="O803" s="1464">
        <f t="shared" si="2211"/>
        <v>244</v>
      </c>
      <c r="P803" s="1462"/>
      <c r="Q803" s="1462"/>
      <c r="R803" s="1462"/>
      <c r="S803" s="1463">
        <f t="shared" si="2213"/>
        <v>0</v>
      </c>
      <c r="T803" s="1465">
        <f t="shared" si="2212"/>
        <v>244</v>
      </c>
      <c r="U803" s="1413"/>
      <c r="V803" s="1179" t="s">
        <v>182</v>
      </c>
      <c r="W803" s="1850">
        <v>19</v>
      </c>
      <c r="X803" s="1850">
        <v>55</v>
      </c>
      <c r="Y803" s="1850"/>
      <c r="Z803" s="1851"/>
      <c r="AA803" s="1850"/>
      <c r="AB803" s="1850"/>
      <c r="AC803" s="1850"/>
      <c r="AD803" s="1851"/>
      <c r="AE803" s="2125"/>
      <c r="AF803" s="1850"/>
      <c r="AG803" s="1850"/>
      <c r="AH803" s="1850"/>
      <c r="AI803" s="1851">
        <f t="shared" si="2215"/>
        <v>0</v>
      </c>
      <c r="AJ803" s="2125">
        <f t="shared" si="2216"/>
        <v>0</v>
      </c>
      <c r="AK803" s="1850"/>
      <c r="AL803" s="1850"/>
      <c r="AM803" s="1850"/>
      <c r="AN803" s="2127">
        <f t="shared" si="2217"/>
        <v>0</v>
      </c>
      <c r="AO803" s="2128">
        <f t="shared" si="2218"/>
        <v>0</v>
      </c>
    </row>
    <row r="804">
      <c r="A804" s="1179" t="s">
        <v>183</v>
      </c>
      <c r="B804" s="1850">
        <v>195.5</v>
      </c>
      <c r="C804" s="1850">
        <v>215</v>
      </c>
      <c r="D804" s="1850"/>
      <c r="E804" s="1851">
        <f t="shared" si="2207"/>
        <v>410.5</v>
      </c>
      <c r="F804" s="1850"/>
      <c r="G804" s="1850"/>
      <c r="H804" s="1850"/>
      <c r="I804" s="1851">
        <f t="shared" si="2208"/>
        <v>0</v>
      </c>
      <c r="J804" s="1852">
        <f t="shared" si="2209"/>
        <v>410.5</v>
      </c>
      <c r="K804" s="1462"/>
      <c r="L804" s="1462"/>
      <c r="M804" s="1462"/>
      <c r="N804" s="1463">
        <f t="shared" si="2210"/>
        <v>0</v>
      </c>
      <c r="O804" s="1464">
        <f t="shared" si="2211"/>
        <v>410.5</v>
      </c>
      <c r="P804" s="1462"/>
      <c r="Q804" s="1462"/>
      <c r="R804" s="1462"/>
      <c r="S804" s="1463">
        <f t="shared" si="2213"/>
        <v>0</v>
      </c>
      <c r="T804" s="1465">
        <f t="shared" si="2212"/>
        <v>410.5</v>
      </c>
      <c r="U804" s="1413"/>
      <c r="V804" s="1179" t="s">
        <v>183</v>
      </c>
      <c r="W804" s="1850">
        <v>94</v>
      </c>
      <c r="X804" s="1850">
        <v>79</v>
      </c>
      <c r="Y804" s="1850"/>
      <c r="Z804" s="1851"/>
      <c r="AA804" s="1850"/>
      <c r="AB804" s="1850"/>
      <c r="AC804" s="1850"/>
      <c r="AD804" s="1851"/>
      <c r="AE804" s="2125"/>
      <c r="AF804" s="1850"/>
      <c r="AG804" s="1850"/>
      <c r="AH804" s="1850"/>
      <c r="AI804" s="1851">
        <f t="shared" si="2215"/>
        <v>0</v>
      </c>
      <c r="AJ804" s="2125">
        <f t="shared" si="2216"/>
        <v>0</v>
      </c>
      <c r="AK804" s="1850"/>
      <c r="AL804" s="1850"/>
      <c r="AM804" s="1850"/>
      <c r="AN804" s="2127">
        <f t="shared" si="2217"/>
        <v>0</v>
      </c>
      <c r="AO804" s="2128">
        <f t="shared" si="2218"/>
        <v>0</v>
      </c>
    </row>
    <row r="805">
      <c r="A805" s="1179" t="s">
        <v>184</v>
      </c>
      <c r="B805" s="1850">
        <v>127</v>
      </c>
      <c r="C805" s="1850">
        <v>181</v>
      </c>
      <c r="D805" s="1850"/>
      <c r="E805" s="1851">
        <f t="shared" si="2207"/>
        <v>308</v>
      </c>
      <c r="F805" s="1850"/>
      <c r="G805" s="1850"/>
      <c r="H805" s="1850"/>
      <c r="I805" s="1851">
        <f t="shared" si="2208"/>
        <v>0</v>
      </c>
      <c r="J805" s="1852">
        <f t="shared" si="2209"/>
        <v>308</v>
      </c>
      <c r="K805" s="1462"/>
      <c r="L805" s="1462"/>
      <c r="M805" s="1462"/>
      <c r="N805" s="1463">
        <f t="shared" si="2210"/>
        <v>0</v>
      </c>
      <c r="O805" s="1464">
        <f t="shared" si="2211"/>
        <v>308</v>
      </c>
      <c r="P805" s="1462"/>
      <c r="Q805" s="1462"/>
      <c r="R805" s="1462"/>
      <c r="S805" s="1463">
        <f t="shared" si="2213"/>
        <v>0</v>
      </c>
      <c r="T805" s="1465">
        <f t="shared" si="2212"/>
        <v>308</v>
      </c>
      <c r="U805" s="1413"/>
      <c r="V805" s="1179" t="s">
        <v>184</v>
      </c>
      <c r="W805" s="1850">
        <v>32</v>
      </c>
      <c r="X805" s="1850">
        <v>31</v>
      </c>
      <c r="Y805" s="1850"/>
      <c r="Z805" s="1851"/>
      <c r="AA805" s="1850"/>
      <c r="AB805" s="1850"/>
      <c r="AC805" s="1850"/>
      <c r="AD805" s="1851"/>
      <c r="AE805" s="2125"/>
      <c r="AF805" s="1850"/>
      <c r="AG805" s="1850"/>
      <c r="AH805" s="1850"/>
      <c r="AI805" s="1851">
        <f t="shared" si="2215"/>
        <v>0</v>
      </c>
      <c r="AJ805" s="2125">
        <f t="shared" si="2216"/>
        <v>0</v>
      </c>
      <c r="AK805" s="1850"/>
      <c r="AL805" s="1850"/>
      <c r="AM805" s="1850"/>
      <c r="AN805" s="2127">
        <f t="shared" si="2217"/>
        <v>0</v>
      </c>
      <c r="AO805" s="2128">
        <f t="shared" si="2218"/>
        <v>0</v>
      </c>
    </row>
    <row r="806">
      <c r="A806" s="1179" t="s">
        <v>741</v>
      </c>
      <c r="B806" s="1850">
        <v>14.5</v>
      </c>
      <c r="C806" s="1850">
        <v>27</v>
      </c>
      <c r="D806" s="1850"/>
      <c r="E806" s="1851">
        <f t="shared" ref="E806:E869" si="2219">B806+C806+D806</f>
        <v>41.5</v>
      </c>
      <c r="F806" s="1850"/>
      <c r="G806" s="1850"/>
      <c r="H806" s="1850"/>
      <c r="I806" s="1851">
        <f t="shared" si="2208"/>
        <v>0</v>
      </c>
      <c r="J806" s="1852">
        <f t="shared" si="2209"/>
        <v>41.5</v>
      </c>
      <c r="K806" s="1462"/>
      <c r="L806" s="1462"/>
      <c r="M806" s="1462"/>
      <c r="N806" s="1463">
        <f t="shared" si="2210"/>
        <v>0</v>
      </c>
      <c r="O806" s="1464">
        <f t="shared" si="2211"/>
        <v>41.5</v>
      </c>
      <c r="P806" s="1462"/>
      <c r="Q806" s="1462"/>
      <c r="R806" s="1462"/>
      <c r="S806" s="1463">
        <f t="shared" si="2213"/>
        <v>0</v>
      </c>
      <c r="T806" s="1465">
        <f t="shared" si="2212"/>
        <v>41.5</v>
      </c>
      <c r="U806" s="1413"/>
      <c r="V806" s="1179" t="s">
        <v>741</v>
      </c>
      <c r="W806" s="1850">
        <v>1</v>
      </c>
      <c r="X806" s="1850">
        <v>19</v>
      </c>
      <c r="Y806" s="1850"/>
      <c r="Z806" s="1851"/>
      <c r="AA806" s="1850"/>
      <c r="AB806" s="1850"/>
      <c r="AC806" s="1850"/>
      <c r="AD806" s="1851"/>
      <c r="AE806" s="2125"/>
      <c r="AF806" s="1850"/>
      <c r="AG806" s="1850"/>
      <c r="AH806" s="1850"/>
      <c r="AI806" s="1851">
        <f t="shared" ref="AI806:AI869" si="2220">AF806+AG806+AH806</f>
        <v>0</v>
      </c>
      <c r="AJ806" s="2125">
        <f t="shared" si="2216"/>
        <v>0</v>
      </c>
      <c r="AK806" s="1850"/>
      <c r="AL806" s="1850"/>
      <c r="AM806" s="1850"/>
      <c r="AN806" s="2127">
        <f t="shared" si="2217"/>
        <v>0</v>
      </c>
      <c r="AO806" s="2128">
        <f t="shared" si="2218"/>
        <v>0</v>
      </c>
    </row>
    <row r="807">
      <c r="A807" s="1179" t="s">
        <v>185</v>
      </c>
      <c r="B807" s="1850">
        <v>107.5</v>
      </c>
      <c r="C807" s="1850">
        <v>119</v>
      </c>
      <c r="D807" s="1850"/>
      <c r="E807" s="1851">
        <f t="shared" si="2219"/>
        <v>226.5</v>
      </c>
      <c r="F807" s="1850"/>
      <c r="G807" s="1850"/>
      <c r="H807" s="1850"/>
      <c r="I807" s="1851">
        <f t="shared" si="2208"/>
        <v>0</v>
      </c>
      <c r="J807" s="1852">
        <f t="shared" si="2209"/>
        <v>226.5</v>
      </c>
      <c r="K807" s="1462"/>
      <c r="L807" s="1462"/>
      <c r="M807" s="1462"/>
      <c r="N807" s="1463">
        <f t="shared" si="2210"/>
        <v>0</v>
      </c>
      <c r="O807" s="1464">
        <f t="shared" si="2211"/>
        <v>226.5</v>
      </c>
      <c r="P807" s="1462"/>
      <c r="Q807" s="1462"/>
      <c r="R807" s="1462"/>
      <c r="S807" s="1463">
        <f t="shared" si="2213"/>
        <v>0</v>
      </c>
      <c r="T807" s="1465">
        <f t="shared" si="2212"/>
        <v>226.5</v>
      </c>
      <c r="U807" s="1413"/>
      <c r="V807" s="1179" t="s">
        <v>185</v>
      </c>
      <c r="W807" s="1850">
        <v>45</v>
      </c>
      <c r="X807" s="1850">
        <v>41</v>
      </c>
      <c r="Y807" s="1850"/>
      <c r="Z807" s="1851"/>
      <c r="AA807" s="1850"/>
      <c r="AB807" s="1850"/>
      <c r="AC807" s="1850"/>
      <c r="AD807" s="1851"/>
      <c r="AE807" s="2125"/>
      <c r="AF807" s="1850"/>
      <c r="AG807" s="1850"/>
      <c r="AH807" s="1850"/>
      <c r="AI807" s="1851">
        <f t="shared" si="2220"/>
        <v>0</v>
      </c>
      <c r="AJ807" s="2125">
        <f t="shared" si="2216"/>
        <v>0</v>
      </c>
      <c r="AK807" s="1850"/>
      <c r="AL807" s="1850"/>
      <c r="AM807" s="1850"/>
      <c r="AN807" s="2127">
        <f t="shared" si="2217"/>
        <v>0</v>
      </c>
      <c r="AO807" s="2128">
        <f t="shared" si="2218"/>
        <v>0</v>
      </c>
    </row>
    <row r="808" s="1510" customFormat="1">
      <c r="A808" s="1511" t="s">
        <v>363</v>
      </c>
      <c r="B808" s="1858">
        <f>SUM(B800:B807)</f>
        <v>2713</v>
      </c>
      <c r="C808" s="1858">
        <f t="shared" ref="C808:H808" si="2221">SUM(C800:C807)</f>
        <v>2905</v>
      </c>
      <c r="D808" s="1858">
        <f t="shared" si="2221"/>
        <v>0</v>
      </c>
      <c r="E808" s="1859">
        <f t="shared" si="2219"/>
        <v>5618</v>
      </c>
      <c r="F808" s="1858">
        <f>SUM(F800:F807)</f>
        <v>0</v>
      </c>
      <c r="G808" s="1858">
        <f>SUM(G800:G807)</f>
        <v>0</v>
      </c>
      <c r="H808" s="1858">
        <f t="shared" si="2221"/>
        <v>0</v>
      </c>
      <c r="I808" s="1859">
        <f t="shared" si="2208"/>
        <v>0</v>
      </c>
      <c r="J808" s="1860">
        <f t="shared" si="2209"/>
        <v>5618</v>
      </c>
      <c r="K808" s="1302">
        <f>SUM(K800:K807)</f>
        <v>0</v>
      </c>
      <c r="L808" s="1302">
        <f>SUM(L800:L807)</f>
        <v>0</v>
      </c>
      <c r="M808" s="1302">
        <f t="shared" ref="M808:R808" si="2222">SUM(M800:M807)</f>
        <v>0</v>
      </c>
      <c r="N808" s="1512">
        <f t="shared" si="2210"/>
        <v>0</v>
      </c>
      <c r="O808" s="1513">
        <f t="shared" si="2211"/>
        <v>5618</v>
      </c>
      <c r="P808" s="1302">
        <f t="shared" si="2222"/>
        <v>0</v>
      </c>
      <c r="Q808" s="1302">
        <f t="shared" si="2222"/>
        <v>0</v>
      </c>
      <c r="R808" s="1302">
        <f t="shared" si="2222"/>
        <v>0</v>
      </c>
      <c r="S808" s="1512">
        <f t="shared" si="2213"/>
        <v>0</v>
      </c>
      <c r="T808" s="1514">
        <f t="shared" si="2212"/>
        <v>5618</v>
      </c>
      <c r="U808" s="1526"/>
      <c r="V808" s="1511" t="s">
        <v>363</v>
      </c>
      <c r="W808" s="1858">
        <f>SUM(W800:W807)</f>
        <v>991</v>
      </c>
      <c r="X808" s="1858">
        <f>SUM(X800:X807)</f>
        <v>1161</v>
      </c>
      <c r="Y808" s="1858">
        <f>SUM(Y800:Y807)</f>
        <v>0</v>
      </c>
      <c r="Z808" s="1851">
        <f t="shared" ref="Z806:Z869" si="2223">W808+X808+Y808</f>
        <v>2152</v>
      </c>
      <c r="AA808" s="1858">
        <f>SUM(AA800:AA807)</f>
        <v>0</v>
      </c>
      <c r="AB808" s="1858">
        <f>SUM(AB800:AB807)</f>
        <v>0</v>
      </c>
      <c r="AC808" s="1858">
        <f>SUM(AC800:AC807)</f>
        <v>0</v>
      </c>
      <c r="AD808" s="1851">
        <f t="shared" ref="AD806:AD869" si="2224">AA808+AB808+AC808</f>
        <v>0</v>
      </c>
      <c r="AE808" s="2125">
        <f t="shared" ref="AE806:AE869" si="2225">Z808+AD808</f>
        <v>2152</v>
      </c>
      <c r="AF808" s="1858">
        <f>SUM(AF800:AF807)</f>
        <v>0</v>
      </c>
      <c r="AG808" s="1858">
        <f>SUM(AG800:AG807)</f>
        <v>0</v>
      </c>
      <c r="AH808" s="1858">
        <f>SUM(AH800:AH807)</f>
        <v>0</v>
      </c>
      <c r="AI808" s="1851">
        <f t="shared" si="2220"/>
        <v>0</v>
      </c>
      <c r="AJ808" s="2125">
        <f t="shared" si="2216"/>
        <v>2152</v>
      </c>
      <c r="AK808" s="1858">
        <f>SUM(AK800:AK807)</f>
        <v>0</v>
      </c>
      <c r="AL808" s="1858">
        <f>SUM(AL800:AL807)</f>
        <v>0</v>
      </c>
      <c r="AM808" s="1858">
        <f>SUM(AM800:AM807)</f>
        <v>0</v>
      </c>
      <c r="AN808" s="2186">
        <f t="shared" si="2217"/>
        <v>0</v>
      </c>
      <c r="AO808" s="2187">
        <f t="shared" si="2218"/>
        <v>2152</v>
      </c>
      <c r="AP808" s="1515"/>
      <c r="AQ808" s="1515"/>
      <c r="AR808" s="1515"/>
      <c r="AS808" s="1515"/>
      <c r="AT808" s="1515"/>
      <c r="AU808" s="1515"/>
      <c r="AV808" s="1515"/>
      <c r="AW808" s="1515"/>
      <c r="AX808" s="1515"/>
      <c r="AY808" s="1515"/>
      <c r="AZ808" s="1515"/>
    </row>
    <row r="809">
      <c r="A809" s="1179" t="s">
        <v>542</v>
      </c>
      <c r="B809" s="1850"/>
      <c r="C809" s="1850"/>
      <c r="D809" s="1850"/>
      <c r="E809" s="1851">
        <f t="shared" si="2219"/>
        <v>0</v>
      </c>
      <c r="F809" s="1850"/>
      <c r="G809" s="1850"/>
      <c r="H809" s="1850"/>
      <c r="I809" s="1851">
        <f t="shared" si="2208"/>
        <v>0</v>
      </c>
      <c r="J809" s="1852">
        <f t="shared" si="2209"/>
        <v>0</v>
      </c>
      <c r="K809" s="1462"/>
      <c r="L809" s="1462"/>
      <c r="M809" s="1462"/>
      <c r="N809" s="1463">
        <f t="shared" si="2210"/>
        <v>0</v>
      </c>
      <c r="O809" s="1464">
        <f t="shared" si="2211"/>
        <v>0</v>
      </c>
      <c r="P809" s="1462"/>
      <c r="Q809" s="1462"/>
      <c r="R809" s="1462"/>
      <c r="S809" s="1463">
        <f t="shared" si="2213"/>
        <v>0</v>
      </c>
      <c r="T809" s="1465">
        <f t="shared" si="2212"/>
        <v>0</v>
      </c>
      <c r="U809" s="1413"/>
      <c r="V809" s="1179" t="s">
        <v>542</v>
      </c>
      <c r="W809" s="1850"/>
      <c r="X809" s="1850"/>
      <c r="Y809" s="1850"/>
      <c r="Z809" s="1851"/>
      <c r="AA809" s="1850"/>
      <c r="AB809" s="1850"/>
      <c r="AC809" s="1850"/>
      <c r="AD809" s="1851"/>
      <c r="AE809" s="2125"/>
      <c r="AF809" s="1850"/>
      <c r="AG809" s="1850"/>
      <c r="AH809" s="1850"/>
      <c r="AI809" s="1851">
        <f t="shared" si="2220"/>
        <v>0</v>
      </c>
      <c r="AJ809" s="2125">
        <f t="shared" si="2216"/>
        <v>0</v>
      </c>
      <c r="AK809" s="1850"/>
      <c r="AL809" s="1850"/>
      <c r="AM809" s="1850"/>
      <c r="AN809" s="2127">
        <f t="shared" si="2217"/>
        <v>0</v>
      </c>
      <c r="AO809" s="2128">
        <f t="shared" si="2218"/>
        <v>0</v>
      </c>
    </row>
    <row r="810">
      <c r="A810" s="1179" t="s">
        <v>195</v>
      </c>
      <c r="B810" s="1850">
        <v>134</v>
      </c>
      <c r="C810" s="1850">
        <v>135</v>
      </c>
      <c r="D810" s="1850"/>
      <c r="E810" s="1851">
        <f t="shared" si="2219"/>
        <v>269</v>
      </c>
      <c r="F810" s="1850"/>
      <c r="G810" s="1850"/>
      <c r="H810" s="1850"/>
      <c r="I810" s="1851">
        <f t="shared" si="2208"/>
        <v>0</v>
      </c>
      <c r="J810" s="1852">
        <f t="shared" si="2209"/>
        <v>269</v>
      </c>
      <c r="K810" s="1462"/>
      <c r="L810" s="1462"/>
      <c r="M810" s="1462"/>
      <c r="N810" s="1463">
        <f t="shared" si="2210"/>
        <v>0</v>
      </c>
      <c r="O810" s="1464">
        <f t="shared" si="2211"/>
        <v>269</v>
      </c>
      <c r="P810" s="1462"/>
      <c r="Q810" s="1462"/>
      <c r="R810" s="1462"/>
      <c r="S810" s="1463">
        <f t="shared" si="2213"/>
        <v>0</v>
      </c>
      <c r="T810" s="1465">
        <f t="shared" si="2212"/>
        <v>269</v>
      </c>
      <c r="U810" s="1413"/>
      <c r="V810" s="1179" t="s">
        <v>195</v>
      </c>
      <c r="W810" s="1850">
        <v>90</v>
      </c>
      <c r="X810" s="1850">
        <v>65</v>
      </c>
      <c r="Y810" s="1850"/>
      <c r="Z810" s="1851"/>
      <c r="AA810" s="1850"/>
      <c r="AB810" s="1850"/>
      <c r="AC810" s="1850"/>
      <c r="AD810" s="1851"/>
      <c r="AE810" s="2125"/>
      <c r="AF810" s="1850"/>
      <c r="AG810" s="1850"/>
      <c r="AH810" s="1850"/>
      <c r="AI810" s="1851">
        <f t="shared" si="2220"/>
        <v>0</v>
      </c>
      <c r="AJ810" s="2125">
        <f t="shared" si="2216"/>
        <v>0</v>
      </c>
      <c r="AK810" s="1850"/>
      <c r="AL810" s="1850"/>
      <c r="AM810" s="1850"/>
      <c r="AN810" s="2127">
        <f t="shared" si="2217"/>
        <v>0</v>
      </c>
      <c r="AO810" s="2128">
        <f t="shared" si="2218"/>
        <v>0</v>
      </c>
    </row>
    <row r="811">
      <c r="A811" s="1179" t="s">
        <v>196</v>
      </c>
      <c r="B811" s="1850">
        <v>182</v>
      </c>
      <c r="C811" s="1850">
        <v>285</v>
      </c>
      <c r="D811" s="1850"/>
      <c r="E811" s="1851">
        <f t="shared" si="2219"/>
        <v>467</v>
      </c>
      <c r="F811" s="1850"/>
      <c r="G811" s="1850"/>
      <c r="H811" s="1850"/>
      <c r="I811" s="1851">
        <f t="shared" si="2208"/>
        <v>0</v>
      </c>
      <c r="J811" s="1852">
        <f t="shared" si="2209"/>
        <v>467</v>
      </c>
      <c r="K811" s="1462"/>
      <c r="L811" s="1462"/>
      <c r="M811" s="1462"/>
      <c r="N811" s="1463">
        <f t="shared" si="2210"/>
        <v>0</v>
      </c>
      <c r="O811" s="1464">
        <f t="shared" si="2211"/>
        <v>467</v>
      </c>
      <c r="P811" s="1462"/>
      <c r="Q811" s="1462"/>
      <c r="R811" s="1462"/>
      <c r="S811" s="1463">
        <f t="shared" si="2213"/>
        <v>0</v>
      </c>
      <c r="T811" s="1465">
        <f t="shared" si="2212"/>
        <v>467</v>
      </c>
      <c r="U811" s="1413"/>
      <c r="V811" s="1179" t="s">
        <v>196</v>
      </c>
      <c r="W811" s="1850">
        <v>45</v>
      </c>
      <c r="X811" s="1850">
        <v>67</v>
      </c>
      <c r="Y811" s="1850"/>
      <c r="Z811" s="1851"/>
      <c r="AA811" s="1850"/>
      <c r="AB811" s="1850"/>
      <c r="AC811" s="1850"/>
      <c r="AD811" s="1851"/>
      <c r="AE811" s="2125"/>
      <c r="AF811" s="1850"/>
      <c r="AG811" s="1850"/>
      <c r="AH811" s="1850"/>
      <c r="AI811" s="1851">
        <f t="shared" si="2220"/>
        <v>0</v>
      </c>
      <c r="AJ811" s="2125">
        <f t="shared" si="2216"/>
        <v>0</v>
      </c>
      <c r="AK811" s="1850"/>
      <c r="AL811" s="1850"/>
      <c r="AM811" s="1850"/>
      <c r="AN811" s="2127">
        <f t="shared" si="2217"/>
        <v>0</v>
      </c>
      <c r="AO811" s="2128">
        <f t="shared" si="2218"/>
        <v>0</v>
      </c>
    </row>
    <row r="812">
      <c r="A812" s="1179" t="s">
        <v>367</v>
      </c>
      <c r="B812" s="1850"/>
      <c r="C812" s="1850"/>
      <c r="D812" s="1850"/>
      <c r="E812" s="1851">
        <f t="shared" si="2219"/>
        <v>0</v>
      </c>
      <c r="F812" s="1850"/>
      <c r="G812" s="1850"/>
      <c r="H812" s="1850"/>
      <c r="I812" s="1851">
        <f t="shared" si="2208"/>
        <v>0</v>
      </c>
      <c r="J812" s="1852">
        <f t="shared" si="2209"/>
        <v>0</v>
      </c>
      <c r="K812" s="1462"/>
      <c r="L812" s="1462"/>
      <c r="M812" s="1462"/>
      <c r="N812" s="1463">
        <f t="shared" si="2210"/>
        <v>0</v>
      </c>
      <c r="O812" s="1464">
        <f t="shared" si="2211"/>
        <v>0</v>
      </c>
      <c r="P812" s="1462"/>
      <c r="Q812" s="1462"/>
      <c r="R812" s="1462"/>
      <c r="S812" s="1463">
        <f t="shared" si="2213"/>
        <v>0</v>
      </c>
      <c r="T812" s="1465">
        <f t="shared" si="2212"/>
        <v>0</v>
      </c>
      <c r="U812" s="1413"/>
      <c r="V812" s="1179" t="s">
        <v>367</v>
      </c>
      <c r="W812" s="1850"/>
      <c r="X812" s="1850"/>
      <c r="Y812" s="1850"/>
      <c r="Z812" s="1851"/>
      <c r="AA812" s="1850"/>
      <c r="AB812" s="1850"/>
      <c r="AC812" s="1850"/>
      <c r="AD812" s="1851"/>
      <c r="AE812" s="2125"/>
      <c r="AF812" s="1850"/>
      <c r="AG812" s="1850"/>
      <c r="AH812" s="1850"/>
      <c r="AI812" s="1851">
        <f t="shared" si="2220"/>
        <v>0</v>
      </c>
      <c r="AJ812" s="2125">
        <f t="shared" si="2216"/>
        <v>0</v>
      </c>
      <c r="AK812" s="1850"/>
      <c r="AL812" s="1850"/>
      <c r="AM812" s="1850"/>
      <c r="AN812" s="2127">
        <f t="shared" si="2217"/>
        <v>0</v>
      </c>
      <c r="AO812" s="2128">
        <f t="shared" si="2218"/>
        <v>0</v>
      </c>
    </row>
    <row r="813">
      <c r="A813" s="1179" t="s">
        <v>201</v>
      </c>
      <c r="B813" s="1850">
        <v>315.5</v>
      </c>
      <c r="C813" s="1850">
        <v>583</v>
      </c>
      <c r="D813" s="1850"/>
      <c r="E813" s="1851">
        <f t="shared" si="2219"/>
        <v>898.5</v>
      </c>
      <c r="F813" s="1850"/>
      <c r="G813" s="1850"/>
      <c r="H813" s="1850"/>
      <c r="I813" s="1851">
        <f t="shared" si="2208"/>
        <v>0</v>
      </c>
      <c r="J813" s="1852">
        <f t="shared" si="2209"/>
        <v>898.5</v>
      </c>
      <c r="K813" s="1462"/>
      <c r="L813" s="1462"/>
      <c r="M813" s="1462"/>
      <c r="N813" s="1463">
        <f t="shared" si="2210"/>
        <v>0</v>
      </c>
      <c r="O813" s="1464">
        <f t="shared" si="2211"/>
        <v>898.5</v>
      </c>
      <c r="P813" s="1462"/>
      <c r="Q813" s="1462"/>
      <c r="R813" s="1462"/>
      <c r="S813" s="1463">
        <f t="shared" si="2213"/>
        <v>0</v>
      </c>
      <c r="T813" s="1465">
        <f t="shared" si="2212"/>
        <v>898.5</v>
      </c>
      <c r="U813" s="1413"/>
      <c r="V813" s="1179" t="s">
        <v>201</v>
      </c>
      <c r="W813" s="1850">
        <v>347</v>
      </c>
      <c r="X813" s="1850">
        <v>54</v>
      </c>
      <c r="Y813" s="1850"/>
      <c r="Z813" s="1851"/>
      <c r="AA813" s="1850"/>
      <c r="AB813" s="1850"/>
      <c r="AC813" s="1850"/>
      <c r="AD813" s="1851"/>
      <c r="AE813" s="2125"/>
      <c r="AF813" s="1850"/>
      <c r="AG813" s="1850"/>
      <c r="AH813" s="1850"/>
      <c r="AI813" s="1851">
        <f t="shared" si="2220"/>
        <v>0</v>
      </c>
      <c r="AJ813" s="2125">
        <f t="shared" si="2216"/>
        <v>0</v>
      </c>
      <c r="AK813" s="1850"/>
      <c r="AL813" s="1850"/>
      <c r="AM813" s="1850"/>
      <c r="AN813" s="2127">
        <f t="shared" si="2217"/>
        <v>0</v>
      </c>
      <c r="AO813" s="2128">
        <f t="shared" si="2218"/>
        <v>0</v>
      </c>
    </row>
    <row r="814">
      <c r="A814" s="1179" t="s">
        <v>203</v>
      </c>
      <c r="B814" s="1850">
        <v>55</v>
      </c>
      <c r="C814" s="1850">
        <v>23</v>
      </c>
      <c r="D814" s="1850"/>
      <c r="E814" s="1851">
        <f t="shared" si="2219"/>
        <v>78</v>
      </c>
      <c r="F814" s="1850"/>
      <c r="G814" s="1850"/>
      <c r="H814" s="1850"/>
      <c r="I814" s="1851">
        <f t="shared" si="2208"/>
        <v>0</v>
      </c>
      <c r="J814" s="1852">
        <f t="shared" si="2209"/>
        <v>78</v>
      </c>
      <c r="K814" s="1462"/>
      <c r="L814" s="1462"/>
      <c r="M814" s="1462"/>
      <c r="N814" s="1463">
        <f t="shared" si="2210"/>
        <v>0</v>
      </c>
      <c r="O814" s="1464">
        <f t="shared" si="2211"/>
        <v>78</v>
      </c>
      <c r="P814" s="1462"/>
      <c r="Q814" s="1462"/>
      <c r="R814" s="1462"/>
      <c r="S814" s="1463">
        <f t="shared" si="2213"/>
        <v>0</v>
      </c>
      <c r="T814" s="1465">
        <f t="shared" si="2212"/>
        <v>78</v>
      </c>
      <c r="U814" s="1413"/>
      <c r="V814" s="1179" t="s">
        <v>203</v>
      </c>
      <c r="W814" s="1850">
        <v>33</v>
      </c>
      <c r="X814" s="1850">
        <v>73</v>
      </c>
      <c r="Y814" s="1850"/>
      <c r="Z814" s="1851"/>
      <c r="AA814" s="1850"/>
      <c r="AB814" s="1850"/>
      <c r="AC814" s="1850"/>
      <c r="AD814" s="1851"/>
      <c r="AE814" s="2125"/>
      <c r="AF814" s="1850"/>
      <c r="AG814" s="1850"/>
      <c r="AH814" s="1850"/>
      <c r="AI814" s="1851">
        <f t="shared" si="2220"/>
        <v>0</v>
      </c>
      <c r="AJ814" s="2125">
        <f t="shared" si="2216"/>
        <v>0</v>
      </c>
      <c r="AK814" s="1850"/>
      <c r="AL814" s="1850"/>
      <c r="AM814" s="1850"/>
      <c r="AN814" s="2127">
        <f t="shared" si="2217"/>
        <v>0</v>
      </c>
      <c r="AO814" s="2128">
        <f t="shared" si="2218"/>
        <v>0</v>
      </c>
    </row>
    <row r="815">
      <c r="A815" s="1179" t="s">
        <v>204</v>
      </c>
      <c r="B815" s="1850">
        <v>11.5</v>
      </c>
      <c r="C815" s="1850">
        <v>0</v>
      </c>
      <c r="D815" s="1850"/>
      <c r="E815" s="1851">
        <f t="shared" si="2219"/>
        <v>11.5</v>
      </c>
      <c r="F815" s="1850"/>
      <c r="G815" s="1850"/>
      <c r="H815" s="1850"/>
      <c r="I815" s="1851">
        <f t="shared" si="2208"/>
        <v>0</v>
      </c>
      <c r="J815" s="1852">
        <f t="shared" si="2209"/>
        <v>11.5</v>
      </c>
      <c r="K815" s="1462"/>
      <c r="L815" s="1462"/>
      <c r="M815" s="1462"/>
      <c r="N815" s="1463">
        <f t="shared" si="2210"/>
        <v>0</v>
      </c>
      <c r="O815" s="1464">
        <f t="shared" si="2211"/>
        <v>11.5</v>
      </c>
      <c r="P815" s="1462"/>
      <c r="Q815" s="1462"/>
      <c r="R815" s="1462"/>
      <c r="S815" s="1463">
        <f t="shared" si="2213"/>
        <v>0</v>
      </c>
      <c r="T815" s="1465">
        <f t="shared" si="2212"/>
        <v>11.5</v>
      </c>
      <c r="U815" s="1413"/>
      <c r="V815" s="1179" t="s">
        <v>204</v>
      </c>
      <c r="W815" s="1850">
        <v>4</v>
      </c>
      <c r="X815" s="1850">
        <v>0</v>
      </c>
      <c r="Y815" s="1850"/>
      <c r="Z815" s="1851"/>
      <c r="AA815" s="1850"/>
      <c r="AB815" s="1850"/>
      <c r="AC815" s="1850"/>
      <c r="AD815" s="1851"/>
      <c r="AE815" s="2125"/>
      <c r="AF815" s="1850"/>
      <c r="AG815" s="1850"/>
      <c r="AH815" s="1850"/>
      <c r="AI815" s="1851">
        <f t="shared" si="2220"/>
        <v>0</v>
      </c>
      <c r="AJ815" s="2125">
        <f t="shared" si="2216"/>
        <v>0</v>
      </c>
      <c r="AK815" s="1850"/>
      <c r="AL815" s="1850"/>
      <c r="AM815" s="1850"/>
      <c r="AN815" s="2127">
        <f t="shared" si="2217"/>
        <v>0</v>
      </c>
      <c r="AO815" s="2128">
        <f t="shared" si="2218"/>
        <v>0</v>
      </c>
    </row>
    <row r="816">
      <c r="A816" s="1179" t="s">
        <v>205</v>
      </c>
      <c r="B816" s="1850">
        <v>133</v>
      </c>
      <c r="C816" s="1850">
        <v>43</v>
      </c>
      <c r="D816" s="1850"/>
      <c r="E816" s="1851">
        <f t="shared" si="2219"/>
        <v>176</v>
      </c>
      <c r="F816" s="1850"/>
      <c r="G816" s="1850"/>
      <c r="H816" s="1850"/>
      <c r="I816" s="1851">
        <f t="shared" si="2208"/>
        <v>0</v>
      </c>
      <c r="J816" s="1852">
        <f t="shared" si="2209"/>
        <v>176</v>
      </c>
      <c r="K816" s="1462"/>
      <c r="L816" s="1462"/>
      <c r="M816" s="1462"/>
      <c r="N816" s="1463">
        <f t="shared" si="2210"/>
        <v>0</v>
      </c>
      <c r="O816" s="1464">
        <f t="shared" si="2211"/>
        <v>176</v>
      </c>
      <c r="P816" s="1462"/>
      <c r="Q816" s="1462"/>
      <c r="R816" s="1462"/>
      <c r="S816" s="1463">
        <f t="shared" si="2213"/>
        <v>0</v>
      </c>
      <c r="T816" s="1465">
        <f t="shared" si="2212"/>
        <v>176</v>
      </c>
      <c r="U816" s="1413"/>
      <c r="V816" s="1179" t="s">
        <v>205</v>
      </c>
      <c r="W816" s="1850">
        <v>39</v>
      </c>
      <c r="X816" s="1850">
        <v>12</v>
      </c>
      <c r="Y816" s="1850"/>
      <c r="Z816" s="1851"/>
      <c r="AA816" s="1850"/>
      <c r="AB816" s="1850"/>
      <c r="AC816" s="1850"/>
      <c r="AD816" s="1851"/>
      <c r="AE816" s="2125"/>
      <c r="AF816" s="1850"/>
      <c r="AG816" s="1850"/>
      <c r="AH816" s="1850"/>
      <c r="AI816" s="1851">
        <f t="shared" si="2220"/>
        <v>0</v>
      </c>
      <c r="AJ816" s="2125">
        <f t="shared" si="2216"/>
        <v>0</v>
      </c>
      <c r="AK816" s="1850"/>
      <c r="AL816" s="1850"/>
      <c r="AM816" s="1850"/>
      <c r="AN816" s="2127">
        <f t="shared" si="2217"/>
        <v>0</v>
      </c>
      <c r="AO816" s="2128">
        <f t="shared" si="2218"/>
        <v>0</v>
      </c>
    </row>
    <row r="817">
      <c r="A817" s="1179" t="s">
        <v>206</v>
      </c>
      <c r="B817" s="1850">
        <v>234</v>
      </c>
      <c r="C817" s="1850">
        <v>315</v>
      </c>
      <c r="D817" s="1850"/>
      <c r="E817" s="1851">
        <f t="shared" si="2219"/>
        <v>549</v>
      </c>
      <c r="F817" s="1850"/>
      <c r="G817" s="1850"/>
      <c r="H817" s="1850"/>
      <c r="I817" s="1851">
        <f t="shared" si="2208"/>
        <v>0</v>
      </c>
      <c r="J817" s="1852">
        <f t="shared" si="2209"/>
        <v>549</v>
      </c>
      <c r="K817" s="1462"/>
      <c r="L817" s="1462"/>
      <c r="M817" s="1462"/>
      <c r="N817" s="1463">
        <f t="shared" si="2210"/>
        <v>0</v>
      </c>
      <c r="O817" s="1464">
        <f t="shared" si="2211"/>
        <v>549</v>
      </c>
      <c r="P817" s="1462"/>
      <c r="Q817" s="1462"/>
      <c r="R817" s="1462"/>
      <c r="S817" s="1463">
        <f t="shared" si="2213"/>
        <v>0</v>
      </c>
      <c r="T817" s="1465">
        <f t="shared" si="2212"/>
        <v>549</v>
      </c>
      <c r="U817" s="1413"/>
      <c r="V817" s="1179" t="s">
        <v>206</v>
      </c>
      <c r="W817" s="1850">
        <v>134</v>
      </c>
      <c r="X817" s="1850">
        <v>138</v>
      </c>
      <c r="Y817" s="1850"/>
      <c r="Z817" s="1851"/>
      <c r="AA817" s="1850"/>
      <c r="AB817" s="1850"/>
      <c r="AC817" s="1850"/>
      <c r="AD817" s="1851"/>
      <c r="AE817" s="2125"/>
      <c r="AF817" s="1850"/>
      <c r="AG817" s="1850"/>
      <c r="AH817" s="1850"/>
      <c r="AI817" s="1851">
        <f t="shared" si="2220"/>
        <v>0</v>
      </c>
      <c r="AJ817" s="2125">
        <f t="shared" si="2216"/>
        <v>0</v>
      </c>
      <c r="AK817" s="1850"/>
      <c r="AL817" s="1850"/>
      <c r="AM817" s="1850"/>
      <c r="AN817" s="2127">
        <f t="shared" si="2217"/>
        <v>0</v>
      </c>
      <c r="AO817" s="2128">
        <f t="shared" si="2218"/>
        <v>0</v>
      </c>
    </row>
    <row r="818">
      <c r="A818" s="1179" t="s">
        <v>207</v>
      </c>
      <c r="B818" s="1850">
        <v>75</v>
      </c>
      <c r="C818" s="1850">
        <v>63</v>
      </c>
      <c r="D818" s="1850"/>
      <c r="E818" s="1851">
        <f t="shared" si="2219"/>
        <v>138</v>
      </c>
      <c r="F818" s="1850"/>
      <c r="G818" s="1850"/>
      <c r="H818" s="1850"/>
      <c r="I818" s="1851">
        <f t="shared" si="2208"/>
        <v>0</v>
      </c>
      <c r="J818" s="1852">
        <f t="shared" si="2209"/>
        <v>138</v>
      </c>
      <c r="K818" s="1462"/>
      <c r="L818" s="1462"/>
      <c r="M818" s="1462"/>
      <c r="N818" s="1463">
        <f t="shared" si="2210"/>
        <v>0</v>
      </c>
      <c r="O818" s="1464">
        <f t="shared" si="2211"/>
        <v>138</v>
      </c>
      <c r="P818" s="1462"/>
      <c r="Q818" s="1462"/>
      <c r="R818" s="1462"/>
      <c r="S818" s="1463">
        <f t="shared" si="2213"/>
        <v>0</v>
      </c>
      <c r="T818" s="1465">
        <f t="shared" si="2212"/>
        <v>138</v>
      </c>
      <c r="U818" s="1413"/>
      <c r="V818" s="1179" t="s">
        <v>207</v>
      </c>
      <c r="W818" s="1850">
        <v>30</v>
      </c>
      <c r="X818" s="1850">
        <v>77</v>
      </c>
      <c r="Y818" s="1850"/>
      <c r="Z818" s="1851"/>
      <c r="AA818" s="1850"/>
      <c r="AB818" s="1850"/>
      <c r="AC818" s="1850"/>
      <c r="AD818" s="1851"/>
      <c r="AE818" s="2125"/>
      <c r="AF818" s="1850"/>
      <c r="AG818" s="1850"/>
      <c r="AH818" s="1850"/>
      <c r="AI818" s="1851">
        <f t="shared" si="2220"/>
        <v>0</v>
      </c>
      <c r="AJ818" s="2125">
        <f t="shared" si="2216"/>
        <v>0</v>
      </c>
      <c r="AK818" s="1850"/>
      <c r="AL818" s="1850"/>
      <c r="AM818" s="1850"/>
      <c r="AN818" s="2127">
        <f t="shared" si="2217"/>
        <v>0</v>
      </c>
      <c r="AO818" s="2128">
        <f t="shared" si="2218"/>
        <v>0</v>
      </c>
    </row>
    <row r="819">
      <c r="A819" s="1179" t="s">
        <v>209</v>
      </c>
      <c r="B819" s="1850">
        <v>43</v>
      </c>
      <c r="C819" s="1850">
        <v>34</v>
      </c>
      <c r="D819" s="1850"/>
      <c r="E819" s="1851">
        <f t="shared" si="2219"/>
        <v>77</v>
      </c>
      <c r="F819" s="1850"/>
      <c r="G819" s="1850"/>
      <c r="H819" s="1850"/>
      <c r="I819" s="1851">
        <f t="shared" si="2208"/>
        <v>0</v>
      </c>
      <c r="J819" s="1852">
        <f t="shared" si="2209"/>
        <v>77</v>
      </c>
      <c r="K819" s="1462"/>
      <c r="L819" s="1462"/>
      <c r="M819" s="1462"/>
      <c r="N819" s="1463">
        <f t="shared" si="2210"/>
        <v>0</v>
      </c>
      <c r="O819" s="1464">
        <f t="shared" si="2211"/>
        <v>77</v>
      </c>
      <c r="P819" s="1462"/>
      <c r="Q819" s="1462"/>
      <c r="R819" s="1462"/>
      <c r="S819" s="1463">
        <f t="shared" si="2213"/>
        <v>0</v>
      </c>
      <c r="T819" s="1465">
        <f t="shared" si="2212"/>
        <v>77</v>
      </c>
      <c r="U819" s="1413"/>
      <c r="V819" s="1179" t="s">
        <v>209</v>
      </c>
      <c r="W819" s="1850">
        <v>13</v>
      </c>
      <c r="X819" s="1850">
        <v>5</v>
      </c>
      <c r="Y819" s="1850"/>
      <c r="Z819" s="1851"/>
      <c r="AA819" s="1850"/>
      <c r="AB819" s="1850"/>
      <c r="AC819" s="1850"/>
      <c r="AD819" s="1851"/>
      <c r="AE819" s="2125"/>
      <c r="AF819" s="1850"/>
      <c r="AG819" s="1850"/>
      <c r="AH819" s="1850"/>
      <c r="AI819" s="1851">
        <f t="shared" si="2220"/>
        <v>0</v>
      </c>
      <c r="AJ819" s="2125">
        <f t="shared" si="2216"/>
        <v>0</v>
      </c>
      <c r="AK819" s="1850"/>
      <c r="AL819" s="1850"/>
      <c r="AM819" s="1850"/>
      <c r="AN819" s="2127">
        <f t="shared" si="2217"/>
        <v>0</v>
      </c>
      <c r="AO819" s="2128">
        <f t="shared" si="2218"/>
        <v>0</v>
      </c>
    </row>
    <row r="820">
      <c r="A820" s="1179" t="s">
        <v>210</v>
      </c>
      <c r="B820" s="1850">
        <v>197</v>
      </c>
      <c r="C820" s="1850">
        <v>352</v>
      </c>
      <c r="D820" s="1850"/>
      <c r="E820" s="1851">
        <f t="shared" si="2219"/>
        <v>549</v>
      </c>
      <c r="F820" s="1850"/>
      <c r="G820" s="1850"/>
      <c r="H820" s="1850"/>
      <c r="I820" s="1851">
        <f t="shared" si="2208"/>
        <v>0</v>
      </c>
      <c r="J820" s="1852">
        <f t="shared" si="2209"/>
        <v>549</v>
      </c>
      <c r="K820" s="1462"/>
      <c r="L820" s="1462"/>
      <c r="M820" s="1462"/>
      <c r="N820" s="1463">
        <f t="shared" si="2210"/>
        <v>0</v>
      </c>
      <c r="O820" s="1464">
        <f t="shared" si="2211"/>
        <v>549</v>
      </c>
      <c r="P820" s="1462"/>
      <c r="Q820" s="1462"/>
      <c r="R820" s="1462"/>
      <c r="S820" s="1463">
        <f t="shared" si="2213"/>
        <v>0</v>
      </c>
      <c r="T820" s="1465">
        <f t="shared" si="2212"/>
        <v>549</v>
      </c>
      <c r="U820" s="1413"/>
      <c r="V820" s="1179" t="s">
        <v>210</v>
      </c>
      <c r="W820" s="1850">
        <v>102</v>
      </c>
      <c r="X820" s="1850">
        <v>131</v>
      </c>
      <c r="Y820" s="1850"/>
      <c r="Z820" s="1851"/>
      <c r="AA820" s="1850"/>
      <c r="AB820" s="1850"/>
      <c r="AC820" s="1850"/>
      <c r="AD820" s="1851"/>
      <c r="AE820" s="2125"/>
      <c r="AF820" s="1850"/>
      <c r="AG820" s="1850"/>
      <c r="AH820" s="1850"/>
      <c r="AI820" s="1851">
        <f t="shared" si="2220"/>
        <v>0</v>
      </c>
      <c r="AJ820" s="2125">
        <f t="shared" si="2216"/>
        <v>0</v>
      </c>
      <c r="AK820" s="1850"/>
      <c r="AL820" s="1850"/>
      <c r="AM820" s="1850"/>
      <c r="AN820" s="2127">
        <f t="shared" si="2217"/>
        <v>0</v>
      </c>
      <c r="AO820" s="2128">
        <f t="shared" si="2218"/>
        <v>0</v>
      </c>
    </row>
    <row r="821">
      <c r="A821" s="1179" t="s">
        <v>211</v>
      </c>
      <c r="B821" s="1850">
        <v>895</v>
      </c>
      <c r="C821" s="1850">
        <v>704</v>
      </c>
      <c r="D821" s="1850"/>
      <c r="E821" s="1851">
        <f t="shared" si="2219"/>
        <v>1599</v>
      </c>
      <c r="F821" s="1850"/>
      <c r="G821" s="1850"/>
      <c r="H821" s="1850"/>
      <c r="I821" s="1851">
        <f t="shared" si="2208"/>
        <v>0</v>
      </c>
      <c r="J821" s="1852">
        <f t="shared" si="2209"/>
        <v>1599</v>
      </c>
      <c r="K821" s="1462"/>
      <c r="L821" s="1462"/>
      <c r="M821" s="1462"/>
      <c r="N821" s="1463">
        <f t="shared" si="2210"/>
        <v>0</v>
      </c>
      <c r="O821" s="1464">
        <f t="shared" si="2211"/>
        <v>1599</v>
      </c>
      <c r="P821" s="1462"/>
      <c r="Q821" s="1462"/>
      <c r="R821" s="1462"/>
      <c r="S821" s="1463">
        <f t="shared" si="2213"/>
        <v>0</v>
      </c>
      <c r="T821" s="1465">
        <f t="shared" si="2212"/>
        <v>1599</v>
      </c>
      <c r="U821" s="1413"/>
      <c r="V821" s="1179" t="s">
        <v>211</v>
      </c>
      <c r="W821" s="1850">
        <v>333</v>
      </c>
      <c r="X821" s="1850">
        <v>276</v>
      </c>
      <c r="Y821" s="1850"/>
      <c r="Z821" s="1851"/>
      <c r="AA821" s="1850"/>
      <c r="AB821" s="1850"/>
      <c r="AC821" s="1850"/>
      <c r="AD821" s="1851"/>
      <c r="AE821" s="2125"/>
      <c r="AF821" s="1850"/>
      <c r="AG821" s="1850"/>
      <c r="AH821" s="1850"/>
      <c r="AI821" s="1851">
        <f t="shared" si="2220"/>
        <v>0</v>
      </c>
      <c r="AJ821" s="2125">
        <f t="shared" si="2216"/>
        <v>0</v>
      </c>
      <c r="AK821" s="1850"/>
      <c r="AL821" s="1850"/>
      <c r="AM821" s="1850"/>
      <c r="AN821" s="2127">
        <f t="shared" si="2217"/>
        <v>0</v>
      </c>
      <c r="AO821" s="2128">
        <f t="shared" si="2218"/>
        <v>0</v>
      </c>
    </row>
    <row r="822" s="1510" customFormat="1">
      <c r="A822" s="1511" t="s">
        <v>363</v>
      </c>
      <c r="B822" s="1858">
        <f t="shared" ref="B822:H822" si="2226">SUM(B809:B821)</f>
        <v>2275</v>
      </c>
      <c r="C822" s="1858">
        <f t="shared" si="2226"/>
        <v>2537</v>
      </c>
      <c r="D822" s="1858">
        <f t="shared" si="2226"/>
        <v>0</v>
      </c>
      <c r="E822" s="1859">
        <f t="shared" si="2219"/>
        <v>4812</v>
      </c>
      <c r="F822" s="1858">
        <f>SUM(F809:F821)</f>
        <v>0</v>
      </c>
      <c r="G822" s="1858">
        <f>SUM(G809:G821)</f>
        <v>0</v>
      </c>
      <c r="H822" s="1858">
        <f t="shared" si="2226"/>
        <v>0</v>
      </c>
      <c r="I822" s="1859">
        <f t="shared" si="2208"/>
        <v>0</v>
      </c>
      <c r="J822" s="1860">
        <f t="shared" si="2209"/>
        <v>4812</v>
      </c>
      <c r="K822" s="1302">
        <f>SUM(K809:K821)</f>
        <v>0</v>
      </c>
      <c r="L822" s="1302">
        <f>SUM(L809:L821)</f>
        <v>0</v>
      </c>
      <c r="M822" s="1302">
        <f>SUM(M809:M821)</f>
        <v>0</v>
      </c>
      <c r="N822" s="1512">
        <f t="shared" si="2210"/>
        <v>0</v>
      </c>
      <c r="O822" s="1513">
        <f t="shared" si="2211"/>
        <v>4812</v>
      </c>
      <c r="P822" s="1302">
        <f>SUM(P809:P821)</f>
        <v>0</v>
      </c>
      <c r="Q822" s="1302">
        <f>SUM(Q809:Q821)</f>
        <v>0</v>
      </c>
      <c r="R822" s="1302">
        <f>SUM(R809:R821)</f>
        <v>0</v>
      </c>
      <c r="S822" s="1512">
        <f t="shared" si="2213"/>
        <v>0</v>
      </c>
      <c r="T822" s="1514">
        <f t="shared" si="2212"/>
        <v>4812</v>
      </c>
      <c r="U822" s="1526"/>
      <c r="V822" s="1511" t="s">
        <v>363</v>
      </c>
      <c r="W822" s="1858">
        <f>SUM(W809:W821)</f>
        <v>1170</v>
      </c>
      <c r="X822" s="1858">
        <f>SUM(X809:X821)</f>
        <v>898</v>
      </c>
      <c r="Y822" s="1858">
        <f>SUM(Y809:Y821)</f>
        <v>0</v>
      </c>
      <c r="Z822" s="1851">
        <f t="shared" si="2223"/>
        <v>2068</v>
      </c>
      <c r="AA822" s="1858">
        <f>SUM(AA809:AA821)</f>
        <v>0</v>
      </c>
      <c r="AB822" s="1858">
        <f>SUM(AB809:AB821)</f>
        <v>0</v>
      </c>
      <c r="AC822" s="1858">
        <f>SUM(AC809:AC821)</f>
        <v>0</v>
      </c>
      <c r="AD822" s="1851">
        <f t="shared" si="2224"/>
        <v>0</v>
      </c>
      <c r="AE822" s="2125">
        <f t="shared" si="2225"/>
        <v>2068</v>
      </c>
      <c r="AF822" s="1858">
        <f>SUM(AF809:AF821)</f>
        <v>0</v>
      </c>
      <c r="AG822" s="1858">
        <f>SUM(AG809:AG821)</f>
        <v>0</v>
      </c>
      <c r="AH822" s="1858">
        <f>SUM(AH809:AH821)</f>
        <v>0</v>
      </c>
      <c r="AI822" s="1851">
        <f t="shared" si="2220"/>
        <v>0</v>
      </c>
      <c r="AJ822" s="2125">
        <f t="shared" si="2216"/>
        <v>2068</v>
      </c>
      <c r="AK822" s="1858">
        <f>SUM(AK809:AK821)</f>
        <v>0</v>
      </c>
      <c r="AL822" s="1858">
        <f>SUM(AL809:AL821)</f>
        <v>0</v>
      </c>
      <c r="AM822" s="1858">
        <f>SUM(AM809:AM821)</f>
        <v>0</v>
      </c>
      <c r="AN822" s="2186">
        <f t="shared" si="2217"/>
        <v>0</v>
      </c>
      <c r="AO822" s="2187">
        <f t="shared" si="2218"/>
        <v>2068</v>
      </c>
      <c r="AP822" s="1515"/>
      <c r="AQ822" s="1515"/>
      <c r="AR822" s="1515"/>
      <c r="AS822" s="1515"/>
      <c r="AT822" s="1515"/>
      <c r="AU822" s="1515"/>
      <c r="AV822" s="1515"/>
      <c r="AW822" s="1515"/>
      <c r="AX822" s="1515"/>
      <c r="AY822" s="1515"/>
      <c r="AZ822" s="1515"/>
    </row>
    <row r="823" s="2082" customFormat="1">
      <c r="A823" s="1876" t="s">
        <v>379</v>
      </c>
      <c r="B823" s="1850"/>
      <c r="C823" s="1850">
        <v>12</v>
      </c>
      <c r="D823" s="1850"/>
      <c r="E823" s="1851">
        <f t="shared" si="2219"/>
        <v>12</v>
      </c>
      <c r="F823" s="1850"/>
      <c r="G823" s="1850"/>
      <c r="H823" s="1850"/>
      <c r="I823" s="1851">
        <f t="shared" si="2208"/>
        <v>0</v>
      </c>
      <c r="J823" s="1852">
        <f t="shared" si="2209"/>
        <v>12</v>
      </c>
      <c r="K823" s="1462"/>
      <c r="L823" s="1462"/>
      <c r="M823" s="1462"/>
      <c r="N823" s="1463">
        <f t="shared" si="2210"/>
        <v>0</v>
      </c>
      <c r="O823" s="1464">
        <f t="shared" si="2211"/>
        <v>12</v>
      </c>
      <c r="P823" s="1462"/>
      <c r="Q823" s="1462"/>
      <c r="R823" s="1462"/>
      <c r="S823" s="1463">
        <f t="shared" si="2213"/>
        <v>0</v>
      </c>
      <c r="T823" s="1465">
        <f t="shared" si="2212"/>
        <v>12</v>
      </c>
      <c r="U823" s="2188"/>
      <c r="V823" s="1179" t="s">
        <v>379</v>
      </c>
      <c r="W823" s="1850"/>
      <c r="X823" s="1850">
        <v>3</v>
      </c>
      <c r="Y823" s="1850"/>
      <c r="Z823" s="1851">
        <f t="shared" si="2223"/>
        <v>3</v>
      </c>
      <c r="AA823" s="1850"/>
      <c r="AB823" s="1850"/>
      <c r="AC823" s="1850"/>
      <c r="AD823" s="1851">
        <f t="shared" si="2224"/>
        <v>0</v>
      </c>
      <c r="AE823" s="2125">
        <f t="shared" si="2225"/>
        <v>3</v>
      </c>
      <c r="AF823" s="1850"/>
      <c r="AG823" s="1850"/>
      <c r="AH823" s="1850"/>
      <c r="AI823" s="1851">
        <f t="shared" si="2220"/>
        <v>0</v>
      </c>
      <c r="AJ823" s="2125">
        <f t="shared" si="2216"/>
        <v>3</v>
      </c>
      <c r="AK823" s="1850"/>
      <c r="AL823" s="1850"/>
      <c r="AM823" s="1850"/>
      <c r="AN823" s="2127">
        <f t="shared" si="2217"/>
        <v>0</v>
      </c>
      <c r="AO823" s="2128">
        <f t="shared" si="2218"/>
        <v>3</v>
      </c>
      <c r="AP823" s="1409"/>
      <c r="AQ823" s="1409"/>
      <c r="AR823" s="1409"/>
      <c r="AS823" s="1409"/>
      <c r="AT823" s="1409"/>
      <c r="AU823" s="1409"/>
      <c r="AV823" s="1409"/>
      <c r="AW823" s="1409"/>
      <c r="AX823" s="1409"/>
      <c r="AY823" s="1409"/>
      <c r="AZ823" s="1409"/>
    </row>
    <row r="824" s="2082" customFormat="1">
      <c r="A824" s="2189" t="s">
        <v>525</v>
      </c>
      <c r="B824" s="1850"/>
      <c r="C824" s="1850"/>
      <c r="D824" s="1850"/>
      <c r="E824" s="1851">
        <f t="shared" si="2219"/>
        <v>0</v>
      </c>
      <c r="F824" s="1850"/>
      <c r="G824" s="1850"/>
      <c r="H824" s="1850"/>
      <c r="I824" s="1851">
        <f t="shared" si="2208"/>
        <v>0</v>
      </c>
      <c r="J824" s="1852">
        <f t="shared" si="2209"/>
        <v>0</v>
      </c>
      <c r="K824" s="1462"/>
      <c r="L824" s="1462"/>
      <c r="M824" s="1462"/>
      <c r="N824" s="1463">
        <f t="shared" si="2210"/>
        <v>0</v>
      </c>
      <c r="O824" s="1464">
        <f t="shared" si="2211"/>
        <v>0</v>
      </c>
      <c r="P824" s="1462"/>
      <c r="Q824" s="1462"/>
      <c r="R824" s="1462"/>
      <c r="S824" s="1463">
        <f t="shared" si="2213"/>
        <v>0</v>
      </c>
      <c r="T824" s="1465">
        <f t="shared" si="2212"/>
        <v>0</v>
      </c>
      <c r="U824" s="2188"/>
      <c r="V824" s="1551" t="s">
        <v>525</v>
      </c>
      <c r="W824" s="1850"/>
      <c r="X824" s="1850"/>
      <c r="Y824" s="1850"/>
      <c r="Z824" s="1851">
        <f t="shared" si="2223"/>
        <v>0</v>
      </c>
      <c r="AA824" s="1850"/>
      <c r="AB824" s="1850"/>
      <c r="AC824" s="1850"/>
      <c r="AD824" s="1851">
        <f t="shared" si="2224"/>
        <v>0</v>
      </c>
      <c r="AE824" s="2125">
        <f t="shared" si="2225"/>
        <v>0</v>
      </c>
      <c r="AF824" s="1850"/>
      <c r="AG824" s="1850"/>
      <c r="AH824" s="1850"/>
      <c r="AI824" s="1851">
        <f t="shared" si="2220"/>
        <v>0</v>
      </c>
      <c r="AJ824" s="2125">
        <f t="shared" si="2216"/>
        <v>0</v>
      </c>
      <c r="AK824" s="1850"/>
      <c r="AL824" s="1850"/>
      <c r="AM824" s="1850"/>
      <c r="AN824" s="2127">
        <f t="shared" si="2217"/>
        <v>0</v>
      </c>
      <c r="AO824" s="2128">
        <f t="shared" si="2218"/>
        <v>0</v>
      </c>
      <c r="AP824" s="1409"/>
      <c r="AQ824" s="1409"/>
      <c r="AR824" s="1409"/>
      <c r="AS824" s="1409"/>
      <c r="AT824" s="1409"/>
      <c r="AU824" s="1409"/>
      <c r="AV824" s="1409"/>
      <c r="AW824" s="1409"/>
      <c r="AX824" s="1409"/>
      <c r="AY824" s="1409"/>
      <c r="AZ824" s="1409"/>
    </row>
    <row r="825" s="2082" customFormat="1">
      <c r="A825" s="2189" t="s">
        <v>543</v>
      </c>
      <c r="B825" s="1850"/>
      <c r="C825" s="1850"/>
      <c r="D825" s="1850"/>
      <c r="E825" s="1851">
        <f t="shared" si="2219"/>
        <v>0</v>
      </c>
      <c r="F825" s="1850"/>
      <c r="G825" s="1850"/>
      <c r="H825" s="1850"/>
      <c r="I825" s="1851">
        <f t="shared" si="2208"/>
        <v>0</v>
      </c>
      <c r="J825" s="1852">
        <f t="shared" si="2209"/>
        <v>0</v>
      </c>
      <c r="K825" s="1462"/>
      <c r="L825" s="1462"/>
      <c r="M825" s="1462"/>
      <c r="N825" s="1463">
        <f t="shared" si="2210"/>
        <v>0</v>
      </c>
      <c r="O825" s="1464">
        <f t="shared" si="2211"/>
        <v>0</v>
      </c>
      <c r="P825" s="1462"/>
      <c r="Q825" s="1462"/>
      <c r="R825" s="1462"/>
      <c r="S825" s="1463">
        <f t="shared" si="2213"/>
        <v>0</v>
      </c>
      <c r="T825" s="1465">
        <f t="shared" si="2212"/>
        <v>0</v>
      </c>
      <c r="U825" s="2188"/>
      <c r="V825" s="1551" t="s">
        <v>543</v>
      </c>
      <c r="W825" s="1850"/>
      <c r="X825" s="1850"/>
      <c r="Y825" s="1850"/>
      <c r="Z825" s="1851">
        <f t="shared" si="2223"/>
        <v>0</v>
      </c>
      <c r="AA825" s="1850"/>
      <c r="AB825" s="1850"/>
      <c r="AC825" s="1850"/>
      <c r="AD825" s="1851">
        <f t="shared" si="2224"/>
        <v>0</v>
      </c>
      <c r="AE825" s="2125">
        <f t="shared" si="2225"/>
        <v>0</v>
      </c>
      <c r="AF825" s="1850"/>
      <c r="AG825" s="1850"/>
      <c r="AH825" s="1850"/>
      <c r="AI825" s="1851">
        <f t="shared" si="2220"/>
        <v>0</v>
      </c>
      <c r="AJ825" s="2125">
        <f t="shared" si="2216"/>
        <v>0</v>
      </c>
      <c r="AK825" s="1850"/>
      <c r="AL825" s="1850"/>
      <c r="AM825" s="1850"/>
      <c r="AN825" s="2127">
        <f t="shared" si="2217"/>
        <v>0</v>
      </c>
      <c r="AO825" s="2128">
        <f t="shared" si="2218"/>
        <v>0</v>
      </c>
      <c r="AP825" s="1409"/>
      <c r="AQ825" s="1409"/>
      <c r="AR825" s="1409"/>
      <c r="AS825" s="1409"/>
      <c r="AT825" s="1409"/>
      <c r="AU825" s="1409"/>
      <c r="AV825" s="1409"/>
      <c r="AW825" s="1409"/>
      <c r="AX825" s="1409"/>
      <c r="AY825" s="1409"/>
      <c r="AZ825" s="1409"/>
    </row>
    <row r="826" s="2083" customFormat="1">
      <c r="A826" s="1873" t="s">
        <v>544</v>
      </c>
      <c r="B826" s="1858">
        <f>SUM(B823:B825)</f>
        <v>0</v>
      </c>
      <c r="C826" s="1858">
        <f t="shared" ref="C826:H826" si="2227">SUM(C823:C825)</f>
        <v>12</v>
      </c>
      <c r="D826" s="1858">
        <f t="shared" si="2227"/>
        <v>0</v>
      </c>
      <c r="E826" s="1859">
        <f t="shared" si="2219"/>
        <v>12</v>
      </c>
      <c r="F826" s="1858">
        <f>SUM(F823:F825)</f>
        <v>0</v>
      </c>
      <c r="G826" s="1858">
        <f>SUM(G823:G825)</f>
        <v>0</v>
      </c>
      <c r="H826" s="1858">
        <f t="shared" si="2227"/>
        <v>0</v>
      </c>
      <c r="I826" s="1859">
        <f t="shared" ref="I826:I889" si="2228">F826+G826+H826</f>
        <v>0</v>
      </c>
      <c r="J826" s="1860">
        <f t="shared" ref="J826:J889" si="2229">E826+I826</f>
        <v>12</v>
      </c>
      <c r="K826" s="1302">
        <f>SUM(K823:K825)</f>
        <v>0</v>
      </c>
      <c r="L826" s="1302">
        <f>SUM(L823:L825)</f>
        <v>0</v>
      </c>
      <c r="M826" s="1302">
        <f t="shared" ref="M826:R826" si="2230">SUM(M823:M825)</f>
        <v>0</v>
      </c>
      <c r="N826" s="1512">
        <f t="shared" si="2210"/>
        <v>0</v>
      </c>
      <c r="O826" s="1513">
        <f t="shared" si="2211"/>
        <v>12</v>
      </c>
      <c r="P826" s="1302">
        <f t="shared" si="2230"/>
        <v>0</v>
      </c>
      <c r="Q826" s="1302">
        <f t="shared" si="2230"/>
        <v>0</v>
      </c>
      <c r="R826" s="1302">
        <f t="shared" si="2230"/>
        <v>0</v>
      </c>
      <c r="S826" s="1512">
        <f t="shared" si="2213"/>
        <v>0</v>
      </c>
      <c r="T826" s="1514">
        <f t="shared" si="2212"/>
        <v>12</v>
      </c>
      <c r="U826" s="2190"/>
      <c r="V826" s="1511" t="s">
        <v>544</v>
      </c>
      <c r="W826" s="1858">
        <f>SUM(W823:W825)</f>
        <v>0</v>
      </c>
      <c r="X826" s="1858">
        <f>SUM(X823:X825)</f>
        <v>3</v>
      </c>
      <c r="Y826" s="1858">
        <f>SUM(Y823:Y825)</f>
        <v>0</v>
      </c>
      <c r="Z826" s="1851">
        <f t="shared" si="2223"/>
        <v>3</v>
      </c>
      <c r="AA826" s="1858">
        <f>SUM(AA823:AA825)</f>
        <v>0</v>
      </c>
      <c r="AB826" s="1858">
        <f>SUM(AB823:AB825)</f>
        <v>0</v>
      </c>
      <c r="AC826" s="1858">
        <f>SUM(AC823:AC825)</f>
        <v>0</v>
      </c>
      <c r="AD826" s="1851">
        <f t="shared" si="2224"/>
        <v>0</v>
      </c>
      <c r="AE826" s="2125">
        <f t="shared" si="2225"/>
        <v>3</v>
      </c>
      <c r="AF826" s="1858">
        <f>SUM(AF823:AF825)</f>
        <v>0</v>
      </c>
      <c r="AG826" s="1858">
        <f>SUM(AG823:AG825)</f>
        <v>0</v>
      </c>
      <c r="AH826" s="1858">
        <f>SUM(AH823:AH825)</f>
        <v>0</v>
      </c>
      <c r="AI826" s="1851">
        <f t="shared" si="2220"/>
        <v>0</v>
      </c>
      <c r="AJ826" s="2125">
        <f t="shared" si="2216"/>
        <v>3</v>
      </c>
      <c r="AK826" s="1858">
        <f>SUM(AK823:AK825)</f>
        <v>0</v>
      </c>
      <c r="AL826" s="1858">
        <f>SUM(AL823:AL825)</f>
        <v>0</v>
      </c>
      <c r="AM826" s="1858">
        <f>SUM(AM823:AM825)</f>
        <v>0</v>
      </c>
      <c r="AN826" s="2186">
        <f t="shared" si="2217"/>
        <v>0</v>
      </c>
      <c r="AO826" s="2187">
        <f t="shared" si="2218"/>
        <v>3</v>
      </c>
      <c r="AP826" s="1515"/>
      <c r="AQ826" s="1515"/>
      <c r="AR826" s="1515"/>
      <c r="AS826" s="1515"/>
      <c r="AT826" s="1515"/>
      <c r="AU826" s="1515"/>
      <c r="AV826" s="1515"/>
      <c r="AW826" s="1515"/>
      <c r="AX826" s="1515"/>
      <c r="AY826" s="1515"/>
      <c r="AZ826" s="1515"/>
    </row>
    <row r="827">
      <c r="A827" s="1179" t="s">
        <v>390</v>
      </c>
      <c r="B827" s="1850">
        <v>1185</v>
      </c>
      <c r="C827" s="1850">
        <v>1147</v>
      </c>
      <c r="D827" s="1850"/>
      <c r="E827" s="1851">
        <f t="shared" si="2219"/>
        <v>2332</v>
      </c>
      <c r="F827" s="1850"/>
      <c r="G827" s="1850"/>
      <c r="H827" s="1850"/>
      <c r="I827" s="1851">
        <f t="shared" si="2228"/>
        <v>0</v>
      </c>
      <c r="J827" s="1852">
        <f t="shared" si="2229"/>
        <v>2332</v>
      </c>
      <c r="K827" s="1462"/>
      <c r="L827" s="1462"/>
      <c r="M827" s="1462"/>
      <c r="N827" s="1463">
        <f t="shared" si="2210"/>
        <v>0</v>
      </c>
      <c r="O827" s="1464">
        <f t="shared" si="2211"/>
        <v>2332</v>
      </c>
      <c r="P827" s="1462"/>
      <c r="Q827" s="1462"/>
      <c r="R827" s="1462"/>
      <c r="S827" s="1463">
        <f t="shared" si="2213"/>
        <v>0</v>
      </c>
      <c r="T827" s="1465">
        <f t="shared" si="2212"/>
        <v>2332</v>
      </c>
      <c r="U827" s="2188"/>
      <c r="V827" s="1179" t="s">
        <v>390</v>
      </c>
      <c r="W827" s="1850">
        <v>316</v>
      </c>
      <c r="X827" s="1850">
        <v>292</v>
      </c>
      <c r="Y827" s="1850"/>
      <c r="Z827" s="1851"/>
      <c r="AA827" s="1850"/>
      <c r="AB827" s="1850"/>
      <c r="AC827" s="1850"/>
      <c r="AD827" s="1851"/>
      <c r="AE827" s="2125"/>
      <c r="AF827" s="1850"/>
      <c r="AG827" s="1850"/>
      <c r="AH827" s="1850"/>
      <c r="AI827" s="1851">
        <f t="shared" si="2220"/>
        <v>0</v>
      </c>
      <c r="AJ827" s="2125">
        <f t="shared" si="2216"/>
        <v>0</v>
      </c>
      <c r="AK827" s="1850"/>
      <c r="AL827" s="1850"/>
      <c r="AM827" s="1850"/>
      <c r="AN827" s="2127">
        <f t="shared" si="2217"/>
        <v>0</v>
      </c>
      <c r="AO827" s="2128">
        <f t="shared" si="2218"/>
        <v>0</v>
      </c>
    </row>
    <row r="828">
      <c r="A828" s="1179" t="s">
        <v>392</v>
      </c>
      <c r="B828" s="1850">
        <v>467</v>
      </c>
      <c r="C828" s="1850">
        <v>417</v>
      </c>
      <c r="D828" s="1850"/>
      <c r="E828" s="1851">
        <f t="shared" si="2219"/>
        <v>884</v>
      </c>
      <c r="F828" s="1850"/>
      <c r="G828" s="1850"/>
      <c r="H828" s="1850"/>
      <c r="I828" s="1851">
        <f t="shared" si="2228"/>
        <v>0</v>
      </c>
      <c r="J828" s="1852">
        <f t="shared" si="2229"/>
        <v>884</v>
      </c>
      <c r="K828" s="1462"/>
      <c r="L828" s="1462"/>
      <c r="M828" s="1462"/>
      <c r="N828" s="1463">
        <f t="shared" si="2210"/>
        <v>0</v>
      </c>
      <c r="O828" s="1464">
        <f t="shared" si="2211"/>
        <v>884</v>
      </c>
      <c r="P828" s="1462"/>
      <c r="Q828" s="1462"/>
      <c r="R828" s="1462"/>
      <c r="S828" s="1463">
        <f t="shared" si="2213"/>
        <v>0</v>
      </c>
      <c r="T828" s="1465">
        <f t="shared" si="2212"/>
        <v>884</v>
      </c>
      <c r="U828" s="2188"/>
      <c r="V828" s="1179" t="s">
        <v>392</v>
      </c>
      <c r="W828" s="1850">
        <v>131</v>
      </c>
      <c r="X828" s="1850">
        <v>108</v>
      </c>
      <c r="Y828" s="1850"/>
      <c r="Z828" s="1851"/>
      <c r="AA828" s="1850"/>
      <c r="AB828" s="1850"/>
      <c r="AC828" s="1850"/>
      <c r="AD828" s="1851"/>
      <c r="AE828" s="2125"/>
      <c r="AF828" s="1850"/>
      <c r="AG828" s="1850"/>
      <c r="AH828" s="1850"/>
      <c r="AI828" s="1851">
        <f t="shared" si="2220"/>
        <v>0</v>
      </c>
      <c r="AJ828" s="2125">
        <f t="shared" si="2216"/>
        <v>0</v>
      </c>
      <c r="AK828" s="1850"/>
      <c r="AL828" s="1850"/>
      <c r="AM828" s="1850"/>
      <c r="AN828" s="2127">
        <f t="shared" si="2217"/>
        <v>0</v>
      </c>
      <c r="AO828" s="2128">
        <f t="shared" si="2218"/>
        <v>0</v>
      </c>
    </row>
    <row r="829">
      <c r="A829" s="1179" t="s">
        <v>265</v>
      </c>
      <c r="B829" s="1850">
        <v>1335.5</v>
      </c>
      <c r="C829" s="1850">
        <v>2023</v>
      </c>
      <c r="D829" s="1850"/>
      <c r="E829" s="1851">
        <f t="shared" si="2219"/>
        <v>3358.5</v>
      </c>
      <c r="F829" s="1850"/>
      <c r="G829" s="1850"/>
      <c r="H829" s="1850"/>
      <c r="I829" s="1851">
        <f t="shared" si="2228"/>
        <v>0</v>
      </c>
      <c r="J829" s="1852">
        <f t="shared" si="2229"/>
        <v>3358.5</v>
      </c>
      <c r="K829" s="1462"/>
      <c r="L829" s="1462"/>
      <c r="M829" s="1462"/>
      <c r="N829" s="1463">
        <f t="shared" si="2210"/>
        <v>0</v>
      </c>
      <c r="O829" s="1464">
        <f t="shared" si="2211"/>
        <v>3358.5</v>
      </c>
      <c r="P829" s="1462"/>
      <c r="Q829" s="1462"/>
      <c r="R829" s="1462"/>
      <c r="S829" s="1463">
        <f t="shared" si="2213"/>
        <v>0</v>
      </c>
      <c r="T829" s="1465">
        <f t="shared" si="2212"/>
        <v>3358.5</v>
      </c>
      <c r="U829" s="2190"/>
      <c r="V829" s="1179" t="s">
        <v>265</v>
      </c>
      <c r="W829" s="1850">
        <v>226</v>
      </c>
      <c r="X829" s="1850">
        <v>339</v>
      </c>
      <c r="Y829" s="1850"/>
      <c r="Z829" s="1851"/>
      <c r="AA829" s="1850"/>
      <c r="AB829" s="1850"/>
      <c r="AC829" s="1850"/>
      <c r="AD829" s="1851"/>
      <c r="AE829" s="2125"/>
      <c r="AF829" s="1850"/>
      <c r="AG829" s="1850"/>
      <c r="AH829" s="1850"/>
      <c r="AI829" s="1851">
        <f t="shared" si="2220"/>
        <v>0</v>
      </c>
      <c r="AJ829" s="2125">
        <f t="shared" si="2216"/>
        <v>0</v>
      </c>
      <c r="AK829" s="1850"/>
      <c r="AL829" s="1850"/>
      <c r="AM829" s="1850"/>
      <c r="AN829" s="2127">
        <f t="shared" si="2217"/>
        <v>0</v>
      </c>
      <c r="AO829" s="2128">
        <f t="shared" si="2218"/>
        <v>0</v>
      </c>
    </row>
    <row r="830">
      <c r="A830" s="1179" t="s">
        <v>612</v>
      </c>
      <c r="B830" s="1850">
        <v>1226.5</v>
      </c>
      <c r="C830" s="1850">
        <v>1138</v>
      </c>
      <c r="D830" s="1850"/>
      <c r="E830" s="1851">
        <f t="shared" si="2219"/>
        <v>2364.5</v>
      </c>
      <c r="F830" s="1850"/>
      <c r="G830" s="1850"/>
      <c r="H830" s="1850"/>
      <c r="I830" s="1851">
        <f t="shared" si="2228"/>
        <v>0</v>
      </c>
      <c r="J830" s="1852">
        <f t="shared" si="2229"/>
        <v>2364.5</v>
      </c>
      <c r="K830" s="1462"/>
      <c r="L830" s="1462"/>
      <c r="M830" s="1462"/>
      <c r="N830" s="1463">
        <f t="shared" ref="N830:N893" si="2231">K830+L830+M830</f>
        <v>0</v>
      </c>
      <c r="O830" s="1464">
        <f t="shared" ref="O830:O893" si="2232">J830+N830</f>
        <v>2364.5</v>
      </c>
      <c r="P830" s="1462"/>
      <c r="Q830" s="1462"/>
      <c r="R830" s="1462"/>
      <c r="S830" s="1463">
        <f t="shared" si="2213"/>
        <v>0</v>
      </c>
      <c r="T830" s="1465">
        <f t="shared" si="2212"/>
        <v>2364.5</v>
      </c>
      <c r="U830" s="1413"/>
      <c r="V830" s="1179" t="s">
        <v>612</v>
      </c>
      <c r="W830" s="1850">
        <v>320</v>
      </c>
      <c r="X830" s="1850">
        <v>437</v>
      </c>
      <c r="Y830" s="1850"/>
      <c r="Z830" s="1851">
        <f t="shared" si="2223"/>
        <v>757</v>
      </c>
      <c r="AA830" s="1850"/>
      <c r="AB830" s="1850"/>
      <c r="AC830" s="1850"/>
      <c r="AD830" s="1851">
        <f t="shared" si="2224"/>
        <v>0</v>
      </c>
      <c r="AE830" s="2125">
        <f t="shared" si="2225"/>
        <v>757</v>
      </c>
      <c r="AF830" s="1850"/>
      <c r="AG830" s="1850"/>
      <c r="AH830" s="1850"/>
      <c r="AI830" s="1851">
        <f t="shared" si="2220"/>
        <v>0</v>
      </c>
      <c r="AJ830" s="2125">
        <f t="shared" si="2216"/>
        <v>757</v>
      </c>
      <c r="AK830" s="1850"/>
      <c r="AL830" s="1850"/>
      <c r="AM830" s="1850"/>
      <c r="AN830" s="2127">
        <f t="shared" si="2217"/>
        <v>0</v>
      </c>
      <c r="AO830" s="2128">
        <f t="shared" si="2218"/>
        <v>757</v>
      </c>
    </row>
    <row r="831" s="1510" customFormat="1">
      <c r="A831" s="1511" t="s">
        <v>394</v>
      </c>
      <c r="B831" s="1858">
        <f>SUM(B827:B830)</f>
        <v>4214</v>
      </c>
      <c r="C831" s="1858">
        <f>SUM(C827:C830)</f>
        <v>4725</v>
      </c>
      <c r="D831" s="1858">
        <f>SUM(D827:D830)</f>
        <v>0</v>
      </c>
      <c r="E831" s="1859">
        <f t="shared" si="2219"/>
        <v>8939</v>
      </c>
      <c r="F831" s="1858">
        <f>SUM(F827:F830)</f>
        <v>0</v>
      </c>
      <c r="G831" s="1858">
        <f>SUM(G827:G830)</f>
        <v>0</v>
      </c>
      <c r="H831" s="1858">
        <f>SUM(H827:H830)</f>
        <v>0</v>
      </c>
      <c r="I831" s="1859">
        <f t="shared" si="2228"/>
        <v>0</v>
      </c>
      <c r="J831" s="1860">
        <f t="shared" si="2229"/>
        <v>8939</v>
      </c>
      <c r="K831" s="1302">
        <f>SUM(K827:K830)</f>
        <v>0</v>
      </c>
      <c r="L831" s="1302">
        <f>SUM(L827:L830)</f>
        <v>0</v>
      </c>
      <c r="M831" s="1302">
        <f>SUM(M827:M830)</f>
        <v>0</v>
      </c>
      <c r="N831" s="1512">
        <f t="shared" si="2231"/>
        <v>0</v>
      </c>
      <c r="O831" s="1513">
        <f t="shared" si="2232"/>
        <v>8939</v>
      </c>
      <c r="P831" s="1302">
        <f>SUM(P827:P830)</f>
        <v>0</v>
      </c>
      <c r="Q831" s="1302">
        <f>SUM(Q827:Q830)</f>
        <v>0</v>
      </c>
      <c r="R831" s="1302">
        <f>SUM(R827:R830)</f>
        <v>0</v>
      </c>
      <c r="S831" s="1512">
        <f t="shared" si="2213"/>
        <v>0</v>
      </c>
      <c r="T831" s="1514">
        <f t="shared" ref="T831:T872" si="2233">O831+S831</f>
        <v>8939</v>
      </c>
      <c r="U831" s="1902"/>
      <c r="V831" s="1511" t="s">
        <v>394</v>
      </c>
      <c r="W831" s="1858">
        <f>SUM(W827:W830)</f>
        <v>993</v>
      </c>
      <c r="X831" s="1858">
        <f>SUM(X827:X830)</f>
        <v>1176</v>
      </c>
      <c r="Y831" s="1858">
        <f>SUM(Y827:Y830)</f>
        <v>0</v>
      </c>
      <c r="Z831" s="1851">
        <f t="shared" si="2223"/>
        <v>2169</v>
      </c>
      <c r="AA831" s="1858">
        <f>SUM(AA827:AA830)</f>
        <v>0</v>
      </c>
      <c r="AB831" s="1858">
        <f>SUM(AB827:AB830)</f>
        <v>0</v>
      </c>
      <c r="AC831" s="1858">
        <f>SUM(AC827:AC830)</f>
        <v>0</v>
      </c>
      <c r="AD831" s="1851">
        <f t="shared" si="2224"/>
        <v>0</v>
      </c>
      <c r="AE831" s="2125">
        <f t="shared" si="2225"/>
        <v>2169</v>
      </c>
      <c r="AF831" s="1858">
        <f>SUM(AF827:AF830)</f>
        <v>0</v>
      </c>
      <c r="AG831" s="1858">
        <f>SUM(AG827:AG830)</f>
        <v>0</v>
      </c>
      <c r="AH831" s="1858">
        <f>SUM(AH827:AH830)</f>
        <v>0</v>
      </c>
      <c r="AI831" s="1851">
        <f t="shared" si="2220"/>
        <v>0</v>
      </c>
      <c r="AJ831" s="2125">
        <f t="shared" ref="AJ831:AJ894" si="2234">AE831+AI831</f>
        <v>2169</v>
      </c>
      <c r="AK831" s="1858">
        <f>SUM(AK827:AK830)</f>
        <v>0</v>
      </c>
      <c r="AL831" s="1858">
        <f>SUM(AL827:AL830)</f>
        <v>0</v>
      </c>
      <c r="AM831" s="1858">
        <f>SUM(AM827:AM830)</f>
        <v>0</v>
      </c>
      <c r="AN831" s="2186">
        <f t="shared" ref="AN831:AN894" si="2235">AK831+AL831+AM831</f>
        <v>0</v>
      </c>
      <c r="AO831" s="2187">
        <f t="shared" ref="AO831:AO894" si="2236">AJ831+AN831</f>
        <v>2169</v>
      </c>
      <c r="AP831" s="1515"/>
      <c r="AQ831" s="1515"/>
      <c r="AR831" s="1515"/>
      <c r="AS831" s="1515"/>
      <c r="AT831" s="1515"/>
      <c r="AU831" s="1515"/>
      <c r="AV831" s="1515"/>
      <c r="AW831" s="1515"/>
      <c r="AX831" s="1515"/>
      <c r="AY831" s="1515"/>
      <c r="AZ831" s="1515"/>
    </row>
    <row r="832" s="1510" customFormat="1">
      <c r="A832" s="1904" t="s">
        <v>545</v>
      </c>
      <c r="B832" s="2191">
        <f>B808+B822+B826+B831</f>
        <v>9202</v>
      </c>
      <c r="C832" s="2191">
        <f>C808+C822+C826+C831</f>
        <v>10179</v>
      </c>
      <c r="D832" s="2191">
        <f>D808+D822+D826+D831</f>
        <v>0</v>
      </c>
      <c r="E832" s="1859">
        <f t="shared" si="2219"/>
        <v>19381</v>
      </c>
      <c r="F832" s="2191">
        <f>F808+F822+F826+F831</f>
        <v>0</v>
      </c>
      <c r="G832" s="2191">
        <f>G808+G822+G826+G831</f>
        <v>0</v>
      </c>
      <c r="H832" s="2191">
        <f>H808+H822+H826+H831</f>
        <v>0</v>
      </c>
      <c r="I832" s="1859">
        <f t="shared" si="2228"/>
        <v>0</v>
      </c>
      <c r="J832" s="1859">
        <f t="shared" si="2229"/>
        <v>19381</v>
      </c>
      <c r="K832" s="2192">
        <f>K808+K822+K826+K831</f>
        <v>0</v>
      </c>
      <c r="L832" s="2192">
        <f>L808+L822+L826+L831</f>
        <v>0</v>
      </c>
      <c r="M832" s="2192">
        <f>M808+M822+M826+M831</f>
        <v>0</v>
      </c>
      <c r="N832" s="1512">
        <f t="shared" si="2231"/>
        <v>0</v>
      </c>
      <c r="O832" s="1512">
        <f t="shared" si="2232"/>
        <v>19381</v>
      </c>
      <c r="P832" s="2192">
        <f>P808+P822+P826+P831</f>
        <v>0</v>
      </c>
      <c r="Q832" s="2192">
        <f>Q808+Q822+Q826+Q831</f>
        <v>0</v>
      </c>
      <c r="R832" s="2192">
        <f>R808+R822+R826+R831</f>
        <v>0</v>
      </c>
      <c r="S832" s="1512">
        <f t="shared" si="2213"/>
        <v>0</v>
      </c>
      <c r="T832" s="1512">
        <f t="shared" si="2233"/>
        <v>19381</v>
      </c>
      <c r="U832" s="1902"/>
      <c r="V832" s="1511" t="s">
        <v>545</v>
      </c>
      <c r="W832" s="1858">
        <f>W808+W822+W826+W831</f>
        <v>3154</v>
      </c>
      <c r="X832" s="1858">
        <f>X808+X822+X826+X831</f>
        <v>3238</v>
      </c>
      <c r="Y832" s="1858">
        <f>Y808+Y822+Y826+Y831</f>
        <v>0</v>
      </c>
      <c r="Z832" s="1851">
        <f t="shared" si="2223"/>
        <v>6392</v>
      </c>
      <c r="AA832" s="1858">
        <f>AA808+AA822+AA826+AA831</f>
        <v>0</v>
      </c>
      <c r="AB832" s="1858">
        <f>AB808+AB822+AB826+AB831</f>
        <v>0</v>
      </c>
      <c r="AC832" s="1858">
        <f>AC808+AC822+AC826+AC831</f>
        <v>0</v>
      </c>
      <c r="AD832" s="1851">
        <f t="shared" si="2224"/>
        <v>0</v>
      </c>
      <c r="AE832" s="2125">
        <f t="shared" si="2225"/>
        <v>6392</v>
      </c>
      <c r="AF832" s="1858">
        <f>AF808+AF822+AF826+AF831</f>
        <v>0</v>
      </c>
      <c r="AG832" s="1858">
        <f>AG808+AG822+AG826+AG831</f>
        <v>0</v>
      </c>
      <c r="AH832" s="1858">
        <f>AH808+AH822+AH826+AH831</f>
        <v>0</v>
      </c>
      <c r="AI832" s="1851">
        <f t="shared" si="2220"/>
        <v>0</v>
      </c>
      <c r="AJ832" s="2125">
        <f t="shared" si="2234"/>
        <v>6392</v>
      </c>
      <c r="AK832" s="1858">
        <f>AK808+AK822+AK826+AK831</f>
        <v>0</v>
      </c>
      <c r="AL832" s="1858">
        <f>AL808+AL822+AL826+AL831</f>
        <v>0</v>
      </c>
      <c r="AM832" s="1858">
        <f>AM808+AM822+AM826+AM831</f>
        <v>0</v>
      </c>
      <c r="AN832" s="2186">
        <f t="shared" si="2235"/>
        <v>0</v>
      </c>
      <c r="AO832" s="2187">
        <f t="shared" si="2236"/>
        <v>6392</v>
      </c>
      <c r="AP832" s="1515"/>
      <c r="AQ832" s="1515"/>
      <c r="AR832" s="1515"/>
      <c r="AS832" s="1515"/>
      <c r="AT832" s="1515"/>
      <c r="AU832" s="1515"/>
      <c r="AV832" s="1515"/>
      <c r="AW832" s="1515"/>
      <c r="AX832" s="1515"/>
      <c r="AY832" s="1515"/>
      <c r="AZ832" s="1515"/>
    </row>
    <row r="833">
      <c r="A833" s="1179" t="s">
        <v>742</v>
      </c>
      <c r="B833" s="1850">
        <v>136</v>
      </c>
      <c r="C833" s="1850">
        <v>103</v>
      </c>
      <c r="D833" s="1850"/>
      <c r="E833" s="1851">
        <f t="shared" si="2219"/>
        <v>239</v>
      </c>
      <c r="F833" s="1850"/>
      <c r="G833" s="1850"/>
      <c r="H833" s="1850"/>
      <c r="I833" s="1851">
        <f t="shared" si="2228"/>
        <v>0</v>
      </c>
      <c r="J833" s="1852">
        <f t="shared" si="2229"/>
        <v>239</v>
      </c>
      <c r="K833" s="1462"/>
      <c r="L833" s="1462"/>
      <c r="M833" s="1462"/>
      <c r="N833" s="1463">
        <f t="shared" si="2231"/>
        <v>0</v>
      </c>
      <c r="O833" s="1464">
        <f t="shared" si="2232"/>
        <v>239</v>
      </c>
      <c r="P833" s="1462"/>
      <c r="Q833" s="1462"/>
      <c r="R833" s="1462"/>
      <c r="S833" s="1463">
        <f t="shared" si="2213"/>
        <v>0</v>
      </c>
      <c r="T833" s="1465">
        <f t="shared" si="2233"/>
        <v>239</v>
      </c>
      <c r="U833" s="2193"/>
      <c r="V833" s="1179" t="s">
        <v>50</v>
      </c>
      <c r="W833" s="1850">
        <v>53</v>
      </c>
      <c r="X833" s="1850">
        <v>45</v>
      </c>
      <c r="Y833" s="1850"/>
      <c r="Z833" s="1851">
        <f t="shared" si="2223"/>
        <v>98</v>
      </c>
      <c r="AA833" s="1850"/>
      <c r="AB833" s="1850"/>
      <c r="AC833" s="1850"/>
      <c r="AD833" s="1851">
        <f t="shared" si="2224"/>
        <v>0</v>
      </c>
      <c r="AE833" s="2125">
        <f t="shared" si="2225"/>
        <v>98</v>
      </c>
      <c r="AF833" s="1850"/>
      <c r="AG833" s="1850"/>
      <c r="AH833" s="1850"/>
      <c r="AI833" s="1851">
        <f t="shared" si="2220"/>
        <v>0</v>
      </c>
      <c r="AJ833" s="2125">
        <f t="shared" si="2234"/>
        <v>98</v>
      </c>
      <c r="AK833" s="1850"/>
      <c r="AL833" s="1850"/>
      <c r="AM833" s="1850"/>
      <c r="AN833" s="2127">
        <f t="shared" si="2235"/>
        <v>0</v>
      </c>
      <c r="AO833" s="2128">
        <f t="shared" si="2236"/>
        <v>98</v>
      </c>
    </row>
    <row r="834" s="2082" customFormat="1">
      <c r="A834" s="1876" t="s">
        <v>397</v>
      </c>
      <c r="B834" s="1850"/>
      <c r="C834" s="1850"/>
      <c r="D834" s="1850"/>
      <c r="E834" s="1851">
        <f t="shared" si="2219"/>
        <v>0</v>
      </c>
      <c r="F834" s="1850"/>
      <c r="G834" s="1850"/>
      <c r="H834" s="1850"/>
      <c r="I834" s="1851">
        <f t="shared" si="2228"/>
        <v>0</v>
      </c>
      <c r="J834" s="1852">
        <f t="shared" si="2229"/>
        <v>0</v>
      </c>
      <c r="K834" s="1462"/>
      <c r="L834" s="1462"/>
      <c r="M834" s="1462"/>
      <c r="N834" s="1463">
        <f t="shared" si="2231"/>
        <v>0</v>
      </c>
      <c r="O834" s="1464">
        <f t="shared" si="2232"/>
        <v>0</v>
      </c>
      <c r="P834" s="1462"/>
      <c r="Q834" s="1462"/>
      <c r="R834" s="1462"/>
      <c r="S834" s="1463">
        <f t="shared" si="2213"/>
        <v>0</v>
      </c>
      <c r="T834" s="1465">
        <f t="shared" si="2233"/>
        <v>0</v>
      </c>
      <c r="U834" s="2188"/>
      <c r="V834" s="1179" t="s">
        <v>397</v>
      </c>
      <c r="W834" s="1850"/>
      <c r="X834" s="1850"/>
      <c r="Y834" s="1850"/>
      <c r="Z834" s="1851">
        <f t="shared" si="2223"/>
        <v>0</v>
      </c>
      <c r="AA834" s="1850"/>
      <c r="AB834" s="1850"/>
      <c r="AC834" s="1850"/>
      <c r="AD834" s="1851">
        <f t="shared" si="2224"/>
        <v>0</v>
      </c>
      <c r="AE834" s="2125">
        <f t="shared" si="2225"/>
        <v>0</v>
      </c>
      <c r="AF834" s="1850"/>
      <c r="AG834" s="1850"/>
      <c r="AH834" s="1850"/>
      <c r="AI834" s="1851">
        <f t="shared" si="2220"/>
        <v>0</v>
      </c>
      <c r="AJ834" s="2125">
        <f t="shared" si="2234"/>
        <v>0</v>
      </c>
      <c r="AK834" s="1850"/>
      <c r="AL834" s="1850"/>
      <c r="AM834" s="1850"/>
      <c r="AN834" s="2127">
        <f t="shared" si="2235"/>
        <v>0</v>
      </c>
      <c r="AO834" s="2128">
        <f t="shared" si="2236"/>
        <v>0</v>
      </c>
      <c r="AP834" s="1409"/>
      <c r="AQ834" s="1409"/>
      <c r="AR834" s="1409"/>
      <c r="AS834" s="1409"/>
      <c r="AT834" s="1409"/>
      <c r="AU834" s="1409"/>
      <c r="AV834" s="1409"/>
      <c r="AW834" s="1409"/>
      <c r="AX834" s="1409"/>
      <c r="AY834" s="1409"/>
      <c r="AZ834" s="1409"/>
    </row>
    <row r="835" s="2082" customFormat="1">
      <c r="A835" s="1876" t="s">
        <v>546</v>
      </c>
      <c r="B835" s="1850"/>
      <c r="C835" s="1850"/>
      <c r="D835" s="1850"/>
      <c r="E835" s="1851">
        <f t="shared" si="2219"/>
        <v>0</v>
      </c>
      <c r="F835" s="1850"/>
      <c r="G835" s="1850"/>
      <c r="H835" s="1850"/>
      <c r="I835" s="1851">
        <f t="shared" si="2228"/>
        <v>0</v>
      </c>
      <c r="J835" s="1852">
        <f t="shared" si="2229"/>
        <v>0</v>
      </c>
      <c r="K835" s="1462"/>
      <c r="L835" s="1462"/>
      <c r="M835" s="1462"/>
      <c r="N835" s="1463">
        <f t="shared" si="2231"/>
        <v>0</v>
      </c>
      <c r="O835" s="1464">
        <f t="shared" si="2232"/>
        <v>0</v>
      </c>
      <c r="P835" s="1462"/>
      <c r="Q835" s="1462"/>
      <c r="R835" s="1462"/>
      <c r="S835" s="1463">
        <f t="shared" si="2213"/>
        <v>0</v>
      </c>
      <c r="T835" s="1465">
        <f t="shared" si="2233"/>
        <v>0</v>
      </c>
      <c r="U835" s="2188"/>
      <c r="V835" s="1179" t="s">
        <v>546</v>
      </c>
      <c r="W835" s="1850"/>
      <c r="X835" s="1850"/>
      <c r="Y835" s="1850"/>
      <c r="Z835" s="1851">
        <f t="shared" si="2223"/>
        <v>0</v>
      </c>
      <c r="AA835" s="1850"/>
      <c r="AB835" s="1850"/>
      <c r="AC835" s="1850"/>
      <c r="AD835" s="1851">
        <f t="shared" si="2224"/>
        <v>0</v>
      </c>
      <c r="AE835" s="2125">
        <f t="shared" si="2225"/>
        <v>0</v>
      </c>
      <c r="AF835" s="1850"/>
      <c r="AG835" s="1850"/>
      <c r="AH835" s="1850"/>
      <c r="AI835" s="1851">
        <f t="shared" si="2220"/>
        <v>0</v>
      </c>
      <c r="AJ835" s="2125">
        <f t="shared" si="2234"/>
        <v>0</v>
      </c>
      <c r="AK835" s="1850"/>
      <c r="AL835" s="1850"/>
      <c r="AM835" s="1850"/>
      <c r="AN835" s="2127">
        <f t="shared" si="2235"/>
        <v>0</v>
      </c>
      <c r="AO835" s="2128">
        <f t="shared" si="2236"/>
        <v>0</v>
      </c>
      <c r="AP835" s="1409"/>
      <c r="AQ835" s="1409"/>
      <c r="AR835" s="1409"/>
      <c r="AS835" s="1409"/>
      <c r="AT835" s="1409"/>
      <c r="AU835" s="1409"/>
      <c r="AV835" s="1409"/>
      <c r="AW835" s="1409"/>
      <c r="AX835" s="1409"/>
      <c r="AY835" s="1409"/>
      <c r="AZ835" s="1409"/>
    </row>
    <row r="836" s="2082" customFormat="1">
      <c r="A836" s="1876" t="s">
        <v>547</v>
      </c>
      <c r="B836" s="1850"/>
      <c r="C836" s="1850"/>
      <c r="D836" s="1850"/>
      <c r="E836" s="1851">
        <f t="shared" si="2219"/>
        <v>0</v>
      </c>
      <c r="F836" s="1850"/>
      <c r="G836" s="1850"/>
      <c r="H836" s="1850"/>
      <c r="I836" s="1851">
        <f t="shared" si="2228"/>
        <v>0</v>
      </c>
      <c r="J836" s="1852">
        <f t="shared" si="2229"/>
        <v>0</v>
      </c>
      <c r="K836" s="1462"/>
      <c r="L836" s="1462"/>
      <c r="M836" s="1462"/>
      <c r="N836" s="1463">
        <f t="shared" si="2231"/>
        <v>0</v>
      </c>
      <c r="O836" s="1464">
        <f t="shared" si="2232"/>
        <v>0</v>
      </c>
      <c r="P836" s="1462"/>
      <c r="Q836" s="1462"/>
      <c r="R836" s="1462"/>
      <c r="S836" s="1463">
        <f t="shared" si="2213"/>
        <v>0</v>
      </c>
      <c r="T836" s="1465">
        <f t="shared" si="2233"/>
        <v>0</v>
      </c>
      <c r="U836" s="2188"/>
      <c r="V836" s="1179" t="s">
        <v>547</v>
      </c>
      <c r="W836" s="1850"/>
      <c r="X836" s="1850"/>
      <c r="Y836" s="1850"/>
      <c r="Z836" s="1851">
        <f t="shared" si="2223"/>
        <v>0</v>
      </c>
      <c r="AA836" s="1850"/>
      <c r="AB836" s="1850"/>
      <c r="AC836" s="1850"/>
      <c r="AD836" s="1851">
        <f t="shared" si="2224"/>
        <v>0</v>
      </c>
      <c r="AE836" s="2125">
        <f t="shared" si="2225"/>
        <v>0</v>
      </c>
      <c r="AF836" s="1850"/>
      <c r="AG836" s="1850"/>
      <c r="AH836" s="1850"/>
      <c r="AI836" s="1851">
        <f t="shared" si="2220"/>
        <v>0</v>
      </c>
      <c r="AJ836" s="2125">
        <f t="shared" si="2234"/>
        <v>0</v>
      </c>
      <c r="AK836" s="1850"/>
      <c r="AL836" s="1850"/>
      <c r="AM836" s="1850"/>
      <c r="AN836" s="2127">
        <f t="shared" si="2235"/>
        <v>0</v>
      </c>
      <c r="AO836" s="2128">
        <f t="shared" si="2236"/>
        <v>0</v>
      </c>
      <c r="AP836" s="1409"/>
      <c r="AQ836" s="1409"/>
      <c r="AR836" s="1409"/>
      <c r="AS836" s="1409"/>
      <c r="AT836" s="1409"/>
      <c r="AU836" s="1409"/>
      <c r="AV836" s="1409"/>
      <c r="AW836" s="1409"/>
      <c r="AX836" s="1409"/>
      <c r="AY836" s="1409"/>
      <c r="AZ836" s="1409"/>
    </row>
    <row r="837">
      <c r="A837" s="1179" t="s">
        <v>743</v>
      </c>
      <c r="B837" s="1850"/>
      <c r="C837" s="1850"/>
      <c r="D837" s="1850"/>
      <c r="E837" s="1851">
        <f t="shared" si="2219"/>
        <v>0</v>
      </c>
      <c r="F837" s="1850"/>
      <c r="G837" s="1850"/>
      <c r="H837" s="1850"/>
      <c r="I837" s="1851">
        <f t="shared" si="2228"/>
        <v>0</v>
      </c>
      <c r="J837" s="1852">
        <f t="shared" si="2229"/>
        <v>0</v>
      </c>
      <c r="K837" s="1462"/>
      <c r="L837" s="1462"/>
      <c r="M837" s="1462"/>
      <c r="N837" s="1463">
        <f t="shared" si="2231"/>
        <v>0</v>
      </c>
      <c r="O837" s="1464">
        <f t="shared" si="2232"/>
        <v>0</v>
      </c>
      <c r="P837" s="1462"/>
      <c r="Q837" s="1462"/>
      <c r="R837" s="1462"/>
      <c r="S837" s="1463">
        <f t="shared" si="2213"/>
        <v>0</v>
      </c>
      <c r="T837" s="1465">
        <f t="shared" si="2233"/>
        <v>0</v>
      </c>
      <c r="U837" s="1413"/>
      <c r="V837" s="1179" t="s">
        <v>743</v>
      </c>
      <c r="W837" s="1850"/>
      <c r="X837" s="1850"/>
      <c r="Y837" s="1850"/>
      <c r="Z837" s="1851"/>
      <c r="AA837" s="1850"/>
      <c r="AB837" s="1850"/>
      <c r="AC837" s="1850"/>
      <c r="AD837" s="1851"/>
      <c r="AE837" s="2125"/>
      <c r="AF837" s="1850"/>
      <c r="AG837" s="1850"/>
      <c r="AH837" s="1850"/>
      <c r="AI837" s="1851">
        <f t="shared" si="2220"/>
        <v>0</v>
      </c>
      <c r="AJ837" s="2125">
        <f t="shared" si="2234"/>
        <v>0</v>
      </c>
      <c r="AK837" s="1850"/>
      <c r="AL837" s="1850"/>
      <c r="AM837" s="1850"/>
      <c r="AN837" s="2127">
        <f t="shared" si="2235"/>
        <v>0</v>
      </c>
      <c r="AO837" s="2128">
        <f t="shared" si="2236"/>
        <v>0</v>
      </c>
    </row>
    <row r="838" s="2082" customFormat="1">
      <c r="A838" s="1179" t="s">
        <v>548</v>
      </c>
      <c r="B838" s="1850">
        <v>2794</v>
      </c>
      <c r="C838" s="1850">
        <v>3667</v>
      </c>
      <c r="D838" s="1850"/>
      <c r="E838" s="1851">
        <f t="shared" si="2219"/>
        <v>6461</v>
      </c>
      <c r="F838" s="1850"/>
      <c r="G838" s="1850"/>
      <c r="H838" s="1850"/>
      <c r="I838" s="1851">
        <f t="shared" si="2228"/>
        <v>0</v>
      </c>
      <c r="J838" s="1852">
        <f t="shared" si="2229"/>
        <v>6461</v>
      </c>
      <c r="K838" s="1462"/>
      <c r="L838" s="1462"/>
      <c r="M838" s="1462"/>
      <c r="N838" s="1463">
        <f t="shared" si="2231"/>
        <v>0</v>
      </c>
      <c r="O838" s="1464">
        <f t="shared" si="2232"/>
        <v>6461</v>
      </c>
      <c r="P838" s="1462"/>
      <c r="Q838" s="1462"/>
      <c r="R838" s="1462"/>
      <c r="S838" s="1463">
        <f t="shared" si="2213"/>
        <v>0</v>
      </c>
      <c r="T838" s="1465">
        <f t="shared" si="2233"/>
        <v>6461</v>
      </c>
      <c r="U838" s="1413"/>
      <c r="V838" s="1179" t="s">
        <v>548</v>
      </c>
      <c r="W838" s="1850">
        <v>953</v>
      </c>
      <c r="X838" s="1850">
        <v>1051</v>
      </c>
      <c r="Y838" s="1850"/>
      <c r="Z838" s="1851"/>
      <c r="AA838" s="1850"/>
      <c r="AB838" s="1850"/>
      <c r="AC838" s="1850"/>
      <c r="AD838" s="1851"/>
      <c r="AE838" s="2125"/>
      <c r="AF838" s="1850"/>
      <c r="AG838" s="1850"/>
      <c r="AH838" s="1850"/>
      <c r="AI838" s="1851">
        <f t="shared" si="2220"/>
        <v>0</v>
      </c>
      <c r="AJ838" s="2125">
        <f t="shared" si="2234"/>
        <v>0</v>
      </c>
      <c r="AK838" s="1850"/>
      <c r="AL838" s="1850"/>
      <c r="AM838" s="1850"/>
      <c r="AN838" s="2127">
        <f t="shared" si="2235"/>
        <v>0</v>
      </c>
      <c r="AO838" s="2128">
        <f t="shared" si="2236"/>
        <v>0</v>
      </c>
      <c r="AP838" s="1409"/>
      <c r="AQ838" s="1409"/>
      <c r="AR838" s="1409"/>
      <c r="AS838" s="1409"/>
      <c r="AT838" s="1409"/>
      <c r="AU838" s="1409"/>
      <c r="AV838" s="1409"/>
      <c r="AW838" s="1409"/>
      <c r="AX838" s="1409"/>
      <c r="AY838" s="1409"/>
      <c r="AZ838" s="1409"/>
    </row>
    <row r="839" s="1434" customFormat="1">
      <c r="A839" s="2084" t="s">
        <v>549</v>
      </c>
      <c r="B839" s="1462">
        <v>2000.45</v>
      </c>
      <c r="C839" s="1850">
        <v>2247.8499999999999</v>
      </c>
      <c r="D839" s="1850"/>
      <c r="E839" s="1851">
        <f t="shared" si="2219"/>
        <v>4248.3000000000002</v>
      </c>
      <c r="F839" s="1462"/>
      <c r="G839" s="1850"/>
      <c r="H839" s="1462"/>
      <c r="I839" s="1851">
        <f t="shared" si="2228"/>
        <v>0</v>
      </c>
      <c r="J839" s="1852">
        <f t="shared" si="2229"/>
        <v>4248.3000000000002</v>
      </c>
      <c r="K839" s="1462"/>
      <c r="L839" s="1462"/>
      <c r="M839" s="1462"/>
      <c r="N839" s="1463">
        <f t="shared" si="2231"/>
        <v>0</v>
      </c>
      <c r="O839" s="1464">
        <f t="shared" si="2232"/>
        <v>4248.3000000000002</v>
      </c>
      <c r="P839" s="1462"/>
      <c r="Q839" s="1462"/>
      <c r="R839" s="1462"/>
      <c r="S839" s="1463">
        <f t="shared" si="2213"/>
        <v>0</v>
      </c>
      <c r="T839" s="1465">
        <f t="shared" si="2233"/>
        <v>4248.3000000000002</v>
      </c>
      <c r="U839" s="1413"/>
      <c r="V839" s="1179" t="s">
        <v>549</v>
      </c>
      <c r="W839" s="1850">
        <f>711+48</f>
        <v>759</v>
      </c>
      <c r="X839" s="1850">
        <f>801+40</f>
        <v>841</v>
      </c>
      <c r="Y839" s="1850"/>
      <c r="Z839" s="1851">
        <f t="shared" si="2223"/>
        <v>1600</v>
      </c>
      <c r="AA839" s="1850"/>
      <c r="AB839" s="1850"/>
      <c r="AC839" s="1850"/>
      <c r="AD839" s="1851">
        <f t="shared" si="2224"/>
        <v>0</v>
      </c>
      <c r="AE839" s="2125">
        <f t="shared" si="2225"/>
        <v>1600</v>
      </c>
      <c r="AF839" s="1850"/>
      <c r="AG839" s="1850"/>
      <c r="AH839" s="1850"/>
      <c r="AI839" s="1851">
        <f t="shared" si="2220"/>
        <v>0</v>
      </c>
      <c r="AJ839" s="2125">
        <f t="shared" si="2234"/>
        <v>1600</v>
      </c>
      <c r="AK839" s="1850"/>
      <c r="AL839" s="1850"/>
      <c r="AM839" s="1850"/>
      <c r="AN839" s="2127">
        <f t="shared" si="2235"/>
        <v>0</v>
      </c>
      <c r="AO839" s="2128">
        <f t="shared" si="2236"/>
        <v>1600</v>
      </c>
      <c r="AP839" s="1409"/>
      <c r="AQ839" s="1409"/>
      <c r="AR839" s="1409"/>
      <c r="AS839" s="1409"/>
      <c r="AT839" s="1409"/>
      <c r="AU839" s="1409"/>
      <c r="AV839" s="1409"/>
      <c r="AW839" s="1409"/>
      <c r="AX839" s="1409"/>
      <c r="AY839" s="1409"/>
      <c r="AZ839" s="1409"/>
    </row>
    <row r="840" s="1510" customFormat="1">
      <c r="A840" s="1511" t="s">
        <v>22</v>
      </c>
      <c r="B840" s="1858">
        <f>SUM(B832:B839)</f>
        <v>14132.450000000001</v>
      </c>
      <c r="C840" s="1858">
        <f>SUM(C832:C839)</f>
        <v>16196.85</v>
      </c>
      <c r="D840" s="1858">
        <f>SUM(D832:D839)</f>
        <v>0</v>
      </c>
      <c r="E840" s="1859">
        <f t="shared" si="2219"/>
        <v>30329.300000000003</v>
      </c>
      <c r="F840" s="1858">
        <f>SUM(F832:F839)</f>
        <v>0</v>
      </c>
      <c r="G840" s="1858">
        <f>SUM(G832:G839)</f>
        <v>0</v>
      </c>
      <c r="H840" s="1858">
        <f>SUM(H832:H839)</f>
        <v>0</v>
      </c>
      <c r="I840" s="1859">
        <f t="shared" si="2228"/>
        <v>0</v>
      </c>
      <c r="J840" s="1860">
        <f t="shared" si="2229"/>
        <v>30329.300000000003</v>
      </c>
      <c r="K840" s="1302">
        <f>SUM(K832:K839)</f>
        <v>0</v>
      </c>
      <c r="L840" s="1302">
        <f>SUM(L832:L839)</f>
        <v>0</v>
      </c>
      <c r="M840" s="1302">
        <f>SUM(M832:M839)</f>
        <v>0</v>
      </c>
      <c r="N840" s="1512">
        <f t="shared" si="2231"/>
        <v>0</v>
      </c>
      <c r="O840" s="1513">
        <f t="shared" si="2232"/>
        <v>30329.300000000003</v>
      </c>
      <c r="P840" s="1302">
        <f>SUM(P832:P839)</f>
        <v>0</v>
      </c>
      <c r="Q840" s="1302">
        <f>SUM(Q832:Q839)</f>
        <v>0</v>
      </c>
      <c r="R840" s="1302">
        <f>SUM(R832:R839)</f>
        <v>0</v>
      </c>
      <c r="S840" s="1463">
        <f t="shared" si="2213"/>
        <v>0</v>
      </c>
      <c r="T840" s="1465">
        <f t="shared" si="2233"/>
        <v>30329.300000000003</v>
      </c>
      <c r="U840" s="1526"/>
      <c r="V840" s="1511" t="s">
        <v>22</v>
      </c>
      <c r="W840" s="1858">
        <f>SUM(W832:W839)</f>
        <v>4919</v>
      </c>
      <c r="X840" s="1858">
        <f>SUM(X832:X839)</f>
        <v>5175</v>
      </c>
      <c r="Y840" s="1858">
        <f>SUM(Y832:Y839)</f>
        <v>0</v>
      </c>
      <c r="Z840" s="1851">
        <f t="shared" si="2223"/>
        <v>10094</v>
      </c>
      <c r="AA840" s="1858">
        <f>SUM(AA832:AA839)</f>
        <v>0</v>
      </c>
      <c r="AB840" s="1858">
        <f>SUM(AB832:AB839)</f>
        <v>0</v>
      </c>
      <c r="AC840" s="1858">
        <f>SUM(AC832:AC839)</f>
        <v>0</v>
      </c>
      <c r="AD840" s="1851">
        <f t="shared" si="2224"/>
        <v>0</v>
      </c>
      <c r="AE840" s="2125">
        <f t="shared" si="2225"/>
        <v>10094</v>
      </c>
      <c r="AF840" s="1858">
        <f>SUM(AF832:AF839)</f>
        <v>0</v>
      </c>
      <c r="AG840" s="1858">
        <f>SUM(AG832:AG839)</f>
        <v>0</v>
      </c>
      <c r="AH840" s="1858">
        <f>SUM(AH832:AH839)</f>
        <v>0</v>
      </c>
      <c r="AI840" s="1851">
        <f t="shared" si="2220"/>
        <v>0</v>
      </c>
      <c r="AJ840" s="2125">
        <f t="shared" si="2234"/>
        <v>10094</v>
      </c>
      <c r="AK840" s="1858">
        <f>SUM(AK832:AK839)</f>
        <v>0</v>
      </c>
      <c r="AL840" s="1858">
        <f>SUM(AL832:AL839)</f>
        <v>0</v>
      </c>
      <c r="AM840" s="1858">
        <f>SUM(AM832:AM839)</f>
        <v>0</v>
      </c>
      <c r="AN840" s="2186">
        <f t="shared" si="2235"/>
        <v>0</v>
      </c>
      <c r="AO840" s="2187">
        <f t="shared" si="2236"/>
        <v>10094</v>
      </c>
      <c r="AP840" s="1515"/>
      <c r="AQ840" s="1515"/>
      <c r="AR840" s="1515"/>
      <c r="AS840" s="1515"/>
      <c r="AT840" s="1515"/>
      <c r="AU840" s="1515"/>
      <c r="AV840" s="1515"/>
      <c r="AW840" s="1515"/>
      <c r="AX840" s="1515"/>
      <c r="AY840" s="1515"/>
      <c r="AZ840" s="1515"/>
    </row>
    <row r="841">
      <c r="A841" s="1179" t="s">
        <v>241</v>
      </c>
      <c r="B841" s="1850">
        <v>1885</v>
      </c>
      <c r="C841" s="1850">
        <v>1691</v>
      </c>
      <c r="D841" s="1850"/>
      <c r="E841" s="1851">
        <f t="shared" si="2219"/>
        <v>3576</v>
      </c>
      <c r="F841" s="1850"/>
      <c r="G841" s="1850"/>
      <c r="H841" s="1850"/>
      <c r="I841" s="1851">
        <f t="shared" si="2228"/>
        <v>0</v>
      </c>
      <c r="J841" s="1852">
        <f t="shared" si="2229"/>
        <v>3576</v>
      </c>
      <c r="K841" s="1462"/>
      <c r="L841" s="1462"/>
      <c r="M841" s="1462"/>
      <c r="N841" s="1463">
        <f t="shared" si="2231"/>
        <v>0</v>
      </c>
      <c r="O841" s="1464">
        <f t="shared" si="2232"/>
        <v>3576</v>
      </c>
      <c r="P841" s="1462"/>
      <c r="Q841" s="1462"/>
      <c r="R841" s="1462"/>
      <c r="S841" s="1463">
        <f t="shared" si="2213"/>
        <v>0</v>
      </c>
      <c r="T841" s="1465">
        <f t="shared" si="2233"/>
        <v>3576</v>
      </c>
      <c r="U841" s="1413"/>
      <c r="V841" s="1179" t="s">
        <v>241</v>
      </c>
      <c r="W841" s="1850">
        <v>1629</v>
      </c>
      <c r="X841" s="1850">
        <v>586</v>
      </c>
      <c r="Y841" s="1850"/>
      <c r="Z841" s="1851">
        <f t="shared" si="2223"/>
        <v>2215</v>
      </c>
      <c r="AA841" s="1850"/>
      <c r="AB841" s="1850"/>
      <c r="AC841" s="1850"/>
      <c r="AD841" s="1851">
        <f t="shared" si="2224"/>
        <v>0</v>
      </c>
      <c r="AE841" s="2125">
        <f t="shared" si="2225"/>
        <v>2215</v>
      </c>
      <c r="AF841" s="1850"/>
      <c r="AG841" s="1850"/>
      <c r="AH841" s="1850"/>
      <c r="AI841" s="1851">
        <f t="shared" si="2220"/>
        <v>0</v>
      </c>
      <c r="AJ841" s="2125">
        <f t="shared" si="2234"/>
        <v>2215</v>
      </c>
      <c r="AK841" s="1850"/>
      <c r="AL841" s="1850"/>
      <c r="AM841" s="1850"/>
      <c r="AN841" s="2127">
        <f t="shared" si="2235"/>
        <v>0</v>
      </c>
      <c r="AO841" s="2128">
        <f t="shared" si="2236"/>
        <v>2215</v>
      </c>
    </row>
    <row r="842" s="2082" customFormat="1">
      <c r="A842" s="1876" t="s">
        <v>744</v>
      </c>
      <c r="B842" s="1850"/>
      <c r="C842" s="1850"/>
      <c r="D842" s="1408"/>
      <c r="E842" s="1851">
        <f t="shared" si="2219"/>
        <v>0</v>
      </c>
      <c r="F842" s="1850"/>
      <c r="G842" s="1850"/>
      <c r="H842" s="1850"/>
      <c r="I842" s="1851">
        <f t="shared" si="2228"/>
        <v>0</v>
      </c>
      <c r="J842" s="1852">
        <f t="shared" si="2229"/>
        <v>0</v>
      </c>
      <c r="K842" s="1462"/>
      <c r="L842" s="1462"/>
      <c r="M842" s="1462"/>
      <c r="N842" s="1463">
        <f t="shared" si="2231"/>
        <v>0</v>
      </c>
      <c r="O842" s="1464">
        <f t="shared" si="2232"/>
        <v>0</v>
      </c>
      <c r="P842" s="1462"/>
      <c r="Q842" s="1462"/>
      <c r="R842" s="1462"/>
      <c r="S842" s="1463">
        <f t="shared" si="2213"/>
        <v>0</v>
      </c>
      <c r="T842" s="1465">
        <f t="shared" si="2233"/>
        <v>0</v>
      </c>
      <c r="U842" s="1413"/>
      <c r="V842" s="1179" t="s">
        <v>744</v>
      </c>
      <c r="W842" s="1850"/>
      <c r="X842" s="1850"/>
      <c r="Y842" s="1850"/>
      <c r="Z842" s="1851">
        <f t="shared" si="2223"/>
        <v>0</v>
      </c>
      <c r="AA842" s="1850"/>
      <c r="AB842" s="1850"/>
      <c r="AC842" s="1850"/>
      <c r="AD842" s="1851">
        <f t="shared" si="2224"/>
        <v>0</v>
      </c>
      <c r="AE842" s="2125">
        <f t="shared" si="2225"/>
        <v>0</v>
      </c>
      <c r="AF842" s="1850"/>
      <c r="AG842" s="1850"/>
      <c r="AH842" s="1850"/>
      <c r="AI842" s="1851">
        <f t="shared" si="2220"/>
        <v>0</v>
      </c>
      <c r="AJ842" s="2125">
        <f t="shared" si="2234"/>
        <v>0</v>
      </c>
      <c r="AK842" s="1850"/>
      <c r="AL842" s="1850"/>
      <c r="AM842" s="1850"/>
      <c r="AN842" s="2127">
        <f t="shared" si="2235"/>
        <v>0</v>
      </c>
      <c r="AO842" s="2128">
        <f t="shared" si="2236"/>
        <v>0</v>
      </c>
      <c r="AP842" s="1409"/>
      <c r="AQ842" s="1409"/>
      <c r="AR842" s="1409"/>
      <c r="AS842" s="1409"/>
      <c r="AT842" s="1409"/>
      <c r="AU842" s="1409"/>
      <c r="AV842" s="1409"/>
      <c r="AW842" s="1409"/>
      <c r="AX842" s="1409"/>
      <c r="AY842" s="1409"/>
      <c r="AZ842" s="1409"/>
    </row>
    <row r="843" s="2082" customFormat="1">
      <c r="A843" s="1876" t="s">
        <v>745</v>
      </c>
      <c r="B843" s="1850"/>
      <c r="C843" s="1850"/>
      <c r="D843" s="1850"/>
      <c r="E843" s="1851">
        <f t="shared" si="2219"/>
        <v>0</v>
      </c>
      <c r="F843" s="1850"/>
      <c r="G843" s="1850"/>
      <c r="H843" s="1850"/>
      <c r="I843" s="1851">
        <f t="shared" si="2228"/>
        <v>0</v>
      </c>
      <c r="J843" s="1852">
        <f t="shared" si="2229"/>
        <v>0</v>
      </c>
      <c r="K843" s="1462"/>
      <c r="L843" s="1462"/>
      <c r="M843" s="1462"/>
      <c r="N843" s="1463">
        <f t="shared" si="2231"/>
        <v>0</v>
      </c>
      <c r="O843" s="1464">
        <f t="shared" si="2232"/>
        <v>0</v>
      </c>
      <c r="P843" s="1462"/>
      <c r="Q843" s="1462"/>
      <c r="R843" s="1462"/>
      <c r="S843" s="1463">
        <f t="shared" si="2213"/>
        <v>0</v>
      </c>
      <c r="T843" s="1465">
        <f t="shared" si="2233"/>
        <v>0</v>
      </c>
      <c r="U843" s="1413"/>
      <c r="V843" s="1179" t="s">
        <v>745</v>
      </c>
      <c r="W843" s="1850"/>
      <c r="X843" s="1850"/>
      <c r="Y843" s="1850"/>
      <c r="Z843" s="1851">
        <f t="shared" si="2223"/>
        <v>0</v>
      </c>
      <c r="AA843" s="1850"/>
      <c r="AB843" s="1850"/>
      <c r="AC843" s="1850"/>
      <c r="AD843" s="1851">
        <f t="shared" si="2224"/>
        <v>0</v>
      </c>
      <c r="AE843" s="2125">
        <f t="shared" si="2225"/>
        <v>0</v>
      </c>
      <c r="AF843" s="1850"/>
      <c r="AG843" s="1850"/>
      <c r="AH843" s="1850"/>
      <c r="AI843" s="1851">
        <f t="shared" si="2220"/>
        <v>0</v>
      </c>
      <c r="AJ843" s="2125">
        <f t="shared" si="2234"/>
        <v>0</v>
      </c>
      <c r="AK843" s="1850"/>
      <c r="AL843" s="1850"/>
      <c r="AM843" s="1850"/>
      <c r="AN843" s="2127">
        <f t="shared" si="2235"/>
        <v>0</v>
      </c>
      <c r="AO843" s="2128">
        <f t="shared" si="2236"/>
        <v>0</v>
      </c>
      <c r="AP843" s="1409"/>
      <c r="AQ843" s="1409"/>
      <c r="AR843" s="1409"/>
      <c r="AS843" s="1409"/>
      <c r="AT843" s="1409"/>
      <c r="AU843" s="1409"/>
      <c r="AV843" s="1409"/>
      <c r="AW843" s="1409"/>
      <c r="AX843" s="1409"/>
      <c r="AY843" s="1409"/>
      <c r="AZ843" s="1409"/>
    </row>
    <row r="844" s="2082" customFormat="1">
      <c r="A844" s="1876" t="s">
        <v>746</v>
      </c>
      <c r="B844" s="1850"/>
      <c r="C844" s="1850"/>
      <c r="D844" s="1850"/>
      <c r="E844" s="1851">
        <f t="shared" si="2219"/>
        <v>0</v>
      </c>
      <c r="F844" s="1850"/>
      <c r="G844" s="1850"/>
      <c r="H844" s="1850"/>
      <c r="I844" s="1851">
        <f t="shared" si="2228"/>
        <v>0</v>
      </c>
      <c r="J844" s="1852">
        <f t="shared" si="2229"/>
        <v>0</v>
      </c>
      <c r="K844" s="1462"/>
      <c r="L844" s="1462"/>
      <c r="M844" s="1462"/>
      <c r="N844" s="1463">
        <f t="shared" si="2231"/>
        <v>0</v>
      </c>
      <c r="O844" s="1464">
        <f t="shared" si="2232"/>
        <v>0</v>
      </c>
      <c r="P844" s="1462"/>
      <c r="Q844" s="1462"/>
      <c r="R844" s="1462"/>
      <c r="S844" s="1463">
        <f t="shared" ref="S844:S907" si="2237">P844+Q844+R844</f>
        <v>0</v>
      </c>
      <c r="T844" s="1465">
        <f t="shared" si="2233"/>
        <v>0</v>
      </c>
      <c r="U844" s="1413"/>
      <c r="V844" s="1179" t="s">
        <v>746</v>
      </c>
      <c r="W844" s="1850"/>
      <c r="X844" s="1850"/>
      <c r="Y844" s="1850"/>
      <c r="Z844" s="1851">
        <f t="shared" si="2223"/>
        <v>0</v>
      </c>
      <c r="AA844" s="1850"/>
      <c r="AB844" s="1850"/>
      <c r="AC844" s="1850"/>
      <c r="AD844" s="1851">
        <f t="shared" si="2224"/>
        <v>0</v>
      </c>
      <c r="AE844" s="2125">
        <f t="shared" si="2225"/>
        <v>0</v>
      </c>
      <c r="AF844" s="1850"/>
      <c r="AG844" s="1850"/>
      <c r="AH844" s="1850"/>
      <c r="AI844" s="1851">
        <f t="shared" si="2220"/>
        <v>0</v>
      </c>
      <c r="AJ844" s="2125">
        <f t="shared" si="2234"/>
        <v>0</v>
      </c>
      <c r="AK844" s="1850"/>
      <c r="AL844" s="1850"/>
      <c r="AM844" s="1850"/>
      <c r="AN844" s="2127">
        <f t="shared" si="2235"/>
        <v>0</v>
      </c>
      <c r="AO844" s="2128">
        <f t="shared" si="2236"/>
        <v>0</v>
      </c>
      <c r="AP844" s="1409"/>
      <c r="AQ844" s="1409"/>
      <c r="AR844" s="1409"/>
      <c r="AS844" s="1409"/>
      <c r="AT844" s="1409"/>
      <c r="AU844" s="1409"/>
      <c r="AV844" s="1409"/>
      <c r="AW844" s="1409"/>
      <c r="AX844" s="1409"/>
      <c r="AY844" s="1409"/>
      <c r="AZ844" s="1409"/>
    </row>
    <row r="845" s="1434" customFormat="1">
      <c r="A845" s="2084" t="s">
        <v>316</v>
      </c>
      <c r="B845" s="1850"/>
      <c r="C845" s="1850"/>
      <c r="D845" s="1850"/>
      <c r="E845" s="1851">
        <f t="shared" si="2219"/>
        <v>0</v>
      </c>
      <c r="F845" s="1850"/>
      <c r="G845" s="1850"/>
      <c r="H845" s="1850"/>
      <c r="I845" s="1851">
        <f t="shared" si="2228"/>
        <v>0</v>
      </c>
      <c r="J845" s="1852">
        <f t="shared" si="2229"/>
        <v>0</v>
      </c>
      <c r="K845" s="1462"/>
      <c r="L845" s="1462"/>
      <c r="M845" s="1462"/>
      <c r="N845" s="1463">
        <f t="shared" si="2231"/>
        <v>0</v>
      </c>
      <c r="O845" s="1464">
        <f t="shared" si="2232"/>
        <v>0</v>
      </c>
      <c r="P845" s="1462"/>
      <c r="Q845" s="1462"/>
      <c r="R845" s="1462"/>
      <c r="S845" s="1463">
        <f t="shared" si="2237"/>
        <v>0</v>
      </c>
      <c r="T845" s="1465">
        <f t="shared" si="2233"/>
        <v>0</v>
      </c>
      <c r="U845" s="1413"/>
      <c r="V845" s="1179" t="s">
        <v>316</v>
      </c>
      <c r="W845" s="1850"/>
      <c r="X845" s="1850"/>
      <c r="Y845" s="1850"/>
      <c r="Z845" s="1851">
        <f t="shared" si="2223"/>
        <v>0</v>
      </c>
      <c r="AA845" s="1850"/>
      <c r="AB845" s="1850"/>
      <c r="AC845" s="1850"/>
      <c r="AD845" s="1851">
        <f t="shared" si="2224"/>
        <v>0</v>
      </c>
      <c r="AE845" s="2125">
        <f t="shared" si="2225"/>
        <v>0</v>
      </c>
      <c r="AF845" s="1850"/>
      <c r="AG845" s="1850"/>
      <c r="AH845" s="1850"/>
      <c r="AI845" s="1851">
        <f t="shared" si="2220"/>
        <v>0</v>
      </c>
      <c r="AJ845" s="2125">
        <f t="shared" si="2234"/>
        <v>0</v>
      </c>
      <c r="AK845" s="1850"/>
      <c r="AL845" s="1850"/>
      <c r="AM845" s="1850"/>
      <c r="AN845" s="2127">
        <f t="shared" si="2235"/>
        <v>0</v>
      </c>
      <c r="AO845" s="2128">
        <f t="shared" si="2236"/>
        <v>0</v>
      </c>
      <c r="AP845" s="1409"/>
      <c r="AQ845" s="1409"/>
      <c r="AR845" s="1409"/>
      <c r="AS845" s="1409"/>
      <c r="AT845" s="1409"/>
      <c r="AU845" s="1409"/>
      <c r="AV845" s="1409"/>
      <c r="AW845" s="1409"/>
      <c r="AX845" s="1409"/>
      <c r="AY845" s="1409"/>
      <c r="AZ845" s="1409"/>
    </row>
    <row r="846" s="2099" customFormat="1">
      <c r="A846" s="1873" t="s">
        <v>747</v>
      </c>
      <c r="B846" s="1858">
        <f>SUM(B840:B845)</f>
        <v>16017.450000000001</v>
      </c>
      <c r="C846" s="1858">
        <f>SUM(C840:C845)</f>
        <v>17887.849999999999</v>
      </c>
      <c r="D846" s="1302">
        <f>SUM(D840:D845)</f>
        <v>0</v>
      </c>
      <c r="E846" s="1859">
        <f t="shared" si="2219"/>
        <v>33905.300000000003</v>
      </c>
      <c r="F846" s="1858">
        <f>SUM(F840:F845)</f>
        <v>0</v>
      </c>
      <c r="G846" s="1858">
        <f>SUM(G840:G845)</f>
        <v>0</v>
      </c>
      <c r="H846" s="1858">
        <f>SUM(H840:H845)</f>
        <v>0</v>
      </c>
      <c r="I846" s="1859">
        <f t="shared" si="2228"/>
        <v>0</v>
      </c>
      <c r="J846" s="1860">
        <f t="shared" si="2229"/>
        <v>33905.300000000003</v>
      </c>
      <c r="K846" s="1302">
        <f>SUM(K840:K845)</f>
        <v>0</v>
      </c>
      <c r="L846" s="1302">
        <f>SUM(L840:L845)</f>
        <v>0</v>
      </c>
      <c r="M846" s="1302">
        <f>SUM(M840:M845)</f>
        <v>0</v>
      </c>
      <c r="N846" s="1512">
        <f t="shared" si="2231"/>
        <v>0</v>
      </c>
      <c r="O846" s="1513">
        <f t="shared" si="2232"/>
        <v>33905.300000000003</v>
      </c>
      <c r="P846" s="1302">
        <f>SUM(P840:P845)</f>
        <v>0</v>
      </c>
      <c r="Q846" s="1302">
        <f>SUM(Q840:Q845)</f>
        <v>0</v>
      </c>
      <c r="R846" s="1302">
        <f>SUM(R840:R845)</f>
        <v>0</v>
      </c>
      <c r="S846" s="1512">
        <f t="shared" si="2237"/>
        <v>0</v>
      </c>
      <c r="T846" s="1514">
        <f t="shared" si="2233"/>
        <v>33905.300000000003</v>
      </c>
      <c r="U846" s="2194"/>
      <c r="V846" s="1511" t="s">
        <v>747</v>
      </c>
      <c r="W846" s="1858">
        <f>SUM(W840:W845)</f>
        <v>6548</v>
      </c>
      <c r="X846" s="1858">
        <f>SUM(X840:X845)</f>
        <v>5761</v>
      </c>
      <c r="Y846" s="1302">
        <f>SUM(Y840:Y845)</f>
        <v>0</v>
      </c>
      <c r="Z846" s="1851">
        <f t="shared" si="2223"/>
        <v>12309</v>
      </c>
      <c r="AA846" s="1858">
        <f>SUM(AA840:AA845)</f>
        <v>0</v>
      </c>
      <c r="AB846" s="1858">
        <f>SUM(AB840:AB845)</f>
        <v>0</v>
      </c>
      <c r="AC846" s="1858">
        <f>SUM(AC840:AC845)</f>
        <v>0</v>
      </c>
      <c r="AD846" s="1851">
        <f t="shared" si="2224"/>
        <v>0</v>
      </c>
      <c r="AE846" s="2125">
        <f t="shared" si="2225"/>
        <v>12309</v>
      </c>
      <c r="AF846" s="1858">
        <f>SUM(AF840:AF845)</f>
        <v>0</v>
      </c>
      <c r="AG846" s="1858">
        <f>SUM(AG840:AG845)</f>
        <v>0</v>
      </c>
      <c r="AH846" s="1858">
        <f>SUM(AH840:AH845)</f>
        <v>0</v>
      </c>
      <c r="AI846" s="1851">
        <f t="shared" si="2220"/>
        <v>0</v>
      </c>
      <c r="AJ846" s="2125">
        <f t="shared" si="2234"/>
        <v>12309</v>
      </c>
      <c r="AK846" s="1858">
        <f>SUM(AK840:AK845)</f>
        <v>0</v>
      </c>
      <c r="AL846" s="1858">
        <f>SUM(AL840:AL845)</f>
        <v>0</v>
      </c>
      <c r="AM846" s="1858">
        <f>SUM(AM840:AM845)</f>
        <v>0</v>
      </c>
      <c r="AN846" s="2186">
        <f t="shared" si="2235"/>
        <v>0</v>
      </c>
      <c r="AO846" s="2187">
        <f t="shared" si="2236"/>
        <v>12309</v>
      </c>
      <c r="AP846" s="1515"/>
      <c r="AQ846" s="1515"/>
      <c r="AR846" s="1515"/>
      <c r="AS846" s="1515"/>
      <c r="AT846" s="1515"/>
      <c r="AU846" s="1515"/>
      <c r="AV846" s="1515"/>
      <c r="AW846" s="1515"/>
      <c r="AX846" s="1515"/>
      <c r="AY846" s="1515"/>
      <c r="AZ846" s="1515"/>
    </row>
    <row r="847" s="2099" customFormat="1">
      <c r="A847" s="2102" t="s">
        <v>748</v>
      </c>
      <c r="B847" s="1858"/>
      <c r="C847" s="1858"/>
      <c r="D847" s="1858"/>
      <c r="E847" s="1851">
        <f t="shared" si="2219"/>
        <v>0</v>
      </c>
      <c r="F847" s="1850"/>
      <c r="G847" s="1850"/>
      <c r="H847" s="1850"/>
      <c r="I847" s="1851">
        <f t="shared" si="2228"/>
        <v>0</v>
      </c>
      <c r="J847" s="1852">
        <f t="shared" si="2229"/>
        <v>0</v>
      </c>
      <c r="K847" s="1302"/>
      <c r="L847" s="1302"/>
      <c r="M847" s="1302"/>
      <c r="N847" s="1463">
        <f t="shared" si="2231"/>
        <v>0</v>
      </c>
      <c r="O847" s="1464">
        <f t="shared" si="2232"/>
        <v>0</v>
      </c>
      <c r="P847" s="1302"/>
      <c r="Q847" s="1302"/>
      <c r="R847" s="1302"/>
      <c r="S847" s="1463">
        <f t="shared" si="2237"/>
        <v>0</v>
      </c>
      <c r="T847" s="1465">
        <f t="shared" si="2233"/>
        <v>0</v>
      </c>
      <c r="U847" s="1526"/>
      <c r="V847" s="1511" t="s">
        <v>748</v>
      </c>
      <c r="W847" s="1858"/>
      <c r="X847" s="1858"/>
      <c r="Y847" s="1858"/>
      <c r="Z847" s="1851">
        <f t="shared" si="2223"/>
        <v>0</v>
      </c>
      <c r="AA847" s="1858"/>
      <c r="AB847" s="1858"/>
      <c r="AC847" s="1858"/>
      <c r="AD847" s="1851">
        <f t="shared" si="2224"/>
        <v>0</v>
      </c>
      <c r="AE847" s="2125">
        <f t="shared" si="2225"/>
        <v>0</v>
      </c>
      <c r="AF847" s="1858"/>
      <c r="AG847" s="1858"/>
      <c r="AH847" s="1858"/>
      <c r="AI847" s="1851">
        <f t="shared" si="2220"/>
        <v>0</v>
      </c>
      <c r="AJ847" s="2125">
        <f t="shared" si="2234"/>
        <v>0</v>
      </c>
      <c r="AK847" s="1858"/>
      <c r="AL847" s="1858"/>
      <c r="AM847" s="1858"/>
      <c r="AN847" s="2127">
        <f t="shared" si="2235"/>
        <v>0</v>
      </c>
      <c r="AO847" s="2128">
        <f t="shared" si="2236"/>
        <v>0</v>
      </c>
      <c r="AP847" s="1515"/>
      <c r="AQ847" s="1515"/>
      <c r="AR847" s="1515"/>
      <c r="AS847" s="1515"/>
      <c r="AT847" s="1515"/>
      <c r="AU847" s="1515"/>
      <c r="AV847" s="1515"/>
      <c r="AW847" s="1515"/>
      <c r="AX847" s="1515"/>
      <c r="AY847" s="1515"/>
      <c r="AZ847" s="1515"/>
    </row>
    <row r="848" s="2099" customFormat="1">
      <c r="A848" s="2084" t="s">
        <v>749</v>
      </c>
      <c r="B848" s="1462"/>
      <c r="C848" s="1302"/>
      <c r="D848" s="1302"/>
      <c r="E848" s="1851">
        <f t="shared" si="2219"/>
        <v>0</v>
      </c>
      <c r="F848" s="1462"/>
      <c r="G848" s="1462"/>
      <c r="H848" s="1462"/>
      <c r="I848" s="1851">
        <f t="shared" si="2228"/>
        <v>0</v>
      </c>
      <c r="J848" s="1852">
        <f t="shared" si="2229"/>
        <v>0</v>
      </c>
      <c r="K848" s="1302"/>
      <c r="L848" s="1302"/>
      <c r="M848" s="1302"/>
      <c r="N848" s="1463">
        <f t="shared" si="2231"/>
        <v>0</v>
      </c>
      <c r="O848" s="1464">
        <f t="shared" si="2232"/>
        <v>0</v>
      </c>
      <c r="P848" s="1302"/>
      <c r="Q848" s="1302"/>
      <c r="R848" s="1302"/>
      <c r="S848" s="1463">
        <f t="shared" si="2237"/>
        <v>0</v>
      </c>
      <c r="T848" s="1465">
        <f t="shared" si="2233"/>
        <v>0</v>
      </c>
      <c r="U848" s="1526"/>
      <c r="V848" s="1179" t="s">
        <v>303</v>
      </c>
      <c r="W848" s="1858"/>
      <c r="X848" s="1858"/>
      <c r="Y848" s="1858"/>
      <c r="Z848" s="1851">
        <f t="shared" si="2223"/>
        <v>0</v>
      </c>
      <c r="AA848" s="1850"/>
      <c r="AB848" s="1850"/>
      <c r="AC848" s="1858"/>
      <c r="AD848" s="1851">
        <f t="shared" si="2224"/>
        <v>0</v>
      </c>
      <c r="AE848" s="2125">
        <f t="shared" si="2225"/>
        <v>0</v>
      </c>
      <c r="AF848" s="1858"/>
      <c r="AG848" s="1858"/>
      <c r="AH848" s="1858"/>
      <c r="AI848" s="1851">
        <f t="shared" si="2220"/>
        <v>0</v>
      </c>
      <c r="AJ848" s="2125">
        <f t="shared" si="2234"/>
        <v>0</v>
      </c>
      <c r="AK848" s="1858"/>
      <c r="AL848" s="1858"/>
      <c r="AM848" s="1858"/>
      <c r="AN848" s="2127">
        <f t="shared" si="2235"/>
        <v>0</v>
      </c>
      <c r="AO848" s="2128">
        <f t="shared" si="2236"/>
        <v>0</v>
      </c>
      <c r="AP848" s="1515"/>
      <c r="AQ848" s="1515"/>
      <c r="AR848" s="1515"/>
      <c r="AS848" s="1515"/>
      <c r="AT848" s="1515"/>
      <c r="AU848" s="1515"/>
      <c r="AV848" s="1515"/>
      <c r="AW848" s="1515"/>
      <c r="AX848" s="1515"/>
      <c r="AY848" s="1515"/>
      <c r="AZ848" s="1515"/>
    </row>
    <row r="849" s="2099" customFormat="1">
      <c r="A849" s="2140" t="s">
        <v>283</v>
      </c>
      <c r="B849" s="1462">
        <v>8</v>
      </c>
      <c r="C849" s="1462">
        <v>12</v>
      </c>
      <c r="D849" s="1462"/>
      <c r="E849" s="1851">
        <f t="shared" si="2219"/>
        <v>20</v>
      </c>
      <c r="F849" s="1462"/>
      <c r="G849" s="1462"/>
      <c r="H849" s="1462"/>
      <c r="I849" s="1851">
        <f t="shared" si="2228"/>
        <v>0</v>
      </c>
      <c r="J849" s="1852">
        <f t="shared" si="2229"/>
        <v>20</v>
      </c>
      <c r="K849" s="1302"/>
      <c r="L849" s="1302"/>
      <c r="M849" s="1302"/>
      <c r="N849" s="1463">
        <f t="shared" si="2231"/>
        <v>0</v>
      </c>
      <c r="O849" s="1464">
        <f t="shared" si="2232"/>
        <v>20</v>
      </c>
      <c r="P849" s="1302"/>
      <c r="Q849" s="1462"/>
      <c r="R849" s="1462"/>
      <c r="S849" s="1463">
        <f t="shared" si="2237"/>
        <v>0</v>
      </c>
      <c r="T849" s="1465">
        <f t="shared" si="2233"/>
        <v>20</v>
      </c>
      <c r="U849" s="1413"/>
      <c r="V849" s="1179"/>
      <c r="W849" s="1850">
        <v>5</v>
      </c>
      <c r="X849" s="1850">
        <v>6</v>
      </c>
      <c r="Y849" s="1850"/>
      <c r="Z849" s="1851">
        <f t="shared" si="2223"/>
        <v>11</v>
      </c>
      <c r="AA849" s="1850"/>
      <c r="AB849" s="1850"/>
      <c r="AC849" s="1850"/>
      <c r="AD849" s="1851">
        <f t="shared" si="2224"/>
        <v>0</v>
      </c>
      <c r="AE849" s="2125">
        <f t="shared" si="2225"/>
        <v>11</v>
      </c>
      <c r="AF849" s="1850"/>
      <c r="AG849" s="1850"/>
      <c r="AH849" s="1850"/>
      <c r="AI849" s="1851">
        <f t="shared" si="2220"/>
        <v>0</v>
      </c>
      <c r="AJ849" s="2125">
        <f t="shared" si="2234"/>
        <v>11</v>
      </c>
      <c r="AK849" s="1850"/>
      <c r="AL849" s="1850"/>
      <c r="AM849" s="1850"/>
      <c r="AN849" s="2127">
        <f t="shared" si="2235"/>
        <v>0</v>
      </c>
      <c r="AO849" s="2128">
        <f t="shared" si="2236"/>
        <v>11</v>
      </c>
      <c r="AP849" s="1515"/>
      <c r="AQ849" s="1515"/>
      <c r="AR849" s="1515"/>
      <c r="AS849" s="1515"/>
      <c r="AT849" s="1515"/>
      <c r="AU849" s="1515"/>
      <c r="AV849" s="1515"/>
      <c r="AW849" s="1515"/>
      <c r="AX849" s="1515"/>
      <c r="AY849" s="1515"/>
      <c r="AZ849" s="1515"/>
    </row>
    <row r="850" s="2099" customFormat="1">
      <c r="A850" s="2084" t="s">
        <v>304</v>
      </c>
      <c r="B850" s="1462"/>
      <c r="C850" s="1302"/>
      <c r="D850" s="1302"/>
      <c r="E850" s="1851">
        <f t="shared" si="2219"/>
        <v>0</v>
      </c>
      <c r="F850" s="1462"/>
      <c r="G850" s="1462"/>
      <c r="H850" s="1462"/>
      <c r="I850" s="1851">
        <f t="shared" si="2228"/>
        <v>0</v>
      </c>
      <c r="J850" s="1852">
        <f t="shared" si="2229"/>
        <v>0</v>
      </c>
      <c r="K850" s="1302"/>
      <c r="L850" s="1302"/>
      <c r="M850" s="1302"/>
      <c r="N850" s="1463">
        <f t="shared" si="2231"/>
        <v>0</v>
      </c>
      <c r="O850" s="1464">
        <f t="shared" si="2232"/>
        <v>0</v>
      </c>
      <c r="P850" s="1302"/>
      <c r="Q850" s="1302"/>
      <c r="R850" s="1302"/>
      <c r="S850" s="1463">
        <f t="shared" si="2237"/>
        <v>0</v>
      </c>
      <c r="T850" s="1465">
        <f t="shared" si="2233"/>
        <v>0</v>
      </c>
      <c r="U850" s="1526"/>
      <c r="V850" s="1179" t="s">
        <v>304</v>
      </c>
      <c r="W850" s="1858"/>
      <c r="X850" s="1858"/>
      <c r="Y850" s="1858"/>
      <c r="Z850" s="1851">
        <f t="shared" si="2223"/>
        <v>0</v>
      </c>
      <c r="AA850" s="1858"/>
      <c r="AB850" s="1858"/>
      <c r="AC850" s="1858"/>
      <c r="AD850" s="1851">
        <f t="shared" si="2224"/>
        <v>0</v>
      </c>
      <c r="AE850" s="2125">
        <f t="shared" si="2225"/>
        <v>0</v>
      </c>
      <c r="AF850" s="1858"/>
      <c r="AG850" s="1858"/>
      <c r="AH850" s="1858"/>
      <c r="AI850" s="1851">
        <f t="shared" si="2220"/>
        <v>0</v>
      </c>
      <c r="AJ850" s="2125">
        <f t="shared" si="2234"/>
        <v>0</v>
      </c>
      <c r="AK850" s="1858"/>
      <c r="AL850" s="1858"/>
      <c r="AM850" s="1858"/>
      <c r="AN850" s="2127">
        <f t="shared" si="2235"/>
        <v>0</v>
      </c>
      <c r="AO850" s="2128">
        <f t="shared" si="2236"/>
        <v>0</v>
      </c>
      <c r="AP850" s="1515"/>
      <c r="AQ850" s="1515"/>
      <c r="AR850" s="1515"/>
      <c r="AS850" s="1515"/>
      <c r="AT850" s="1515"/>
      <c r="AU850" s="1515"/>
      <c r="AV850" s="1515"/>
      <c r="AW850" s="1515"/>
      <c r="AX850" s="1515"/>
      <c r="AY850" s="1515"/>
      <c r="AZ850" s="1515"/>
    </row>
    <row r="851" s="2099" customFormat="1">
      <c r="A851" s="2084" t="s">
        <v>750</v>
      </c>
      <c r="B851" s="1302">
        <f>SUM(B848:B850)</f>
        <v>8</v>
      </c>
      <c r="C851" s="1302">
        <f>SUM(C848:C850)</f>
        <v>12</v>
      </c>
      <c r="D851" s="1302">
        <f>SUM(D848:D850)</f>
        <v>0</v>
      </c>
      <c r="E851" s="1851">
        <f t="shared" si="2219"/>
        <v>20</v>
      </c>
      <c r="F851" s="1302">
        <f>SUM(F848:F850)</f>
        <v>0</v>
      </c>
      <c r="G851" s="1302">
        <f>SUM(G848:G850)</f>
        <v>0</v>
      </c>
      <c r="H851" s="1302">
        <f>SUM(H848:H850)</f>
        <v>0</v>
      </c>
      <c r="I851" s="1851">
        <f t="shared" si="2228"/>
        <v>0</v>
      </c>
      <c r="J851" s="1852">
        <f t="shared" si="2229"/>
        <v>20</v>
      </c>
      <c r="K851" s="1302">
        <f>SUM(K848:K850)</f>
        <v>0</v>
      </c>
      <c r="L851" s="1302">
        <f>SUM(L848:L850)</f>
        <v>0</v>
      </c>
      <c r="M851" s="1302">
        <f>SUM(M848:M850)</f>
        <v>0</v>
      </c>
      <c r="N851" s="1463">
        <f t="shared" si="2231"/>
        <v>0</v>
      </c>
      <c r="O851" s="1464">
        <f t="shared" si="2232"/>
        <v>20</v>
      </c>
      <c r="P851" s="1302">
        <f>SUM(P848:P850)</f>
        <v>0</v>
      </c>
      <c r="Q851" s="1302">
        <f>SUM(Q848:Q850)</f>
        <v>0</v>
      </c>
      <c r="R851" s="1302">
        <f>SUM(R848:R850)</f>
        <v>0</v>
      </c>
      <c r="S851" s="1463">
        <f t="shared" si="2237"/>
        <v>0</v>
      </c>
      <c r="T851" s="1465">
        <f t="shared" si="2233"/>
        <v>20</v>
      </c>
      <c r="U851" s="1526"/>
      <c r="V851" s="1179" t="s">
        <v>750</v>
      </c>
      <c r="W851" s="1858"/>
      <c r="X851" s="1858"/>
      <c r="Y851" s="1858"/>
      <c r="Z851" s="1851">
        <f t="shared" si="2223"/>
        <v>0</v>
      </c>
      <c r="AA851" s="1858"/>
      <c r="AB851" s="1858"/>
      <c r="AC851" s="1858"/>
      <c r="AD851" s="1851">
        <f t="shared" si="2224"/>
        <v>0</v>
      </c>
      <c r="AE851" s="2125">
        <f t="shared" si="2225"/>
        <v>0</v>
      </c>
      <c r="AF851" s="1858"/>
      <c r="AG851" s="1858"/>
      <c r="AH851" s="1858"/>
      <c r="AI851" s="1851">
        <f t="shared" si="2220"/>
        <v>0</v>
      </c>
      <c r="AJ851" s="2125">
        <f t="shared" si="2234"/>
        <v>0</v>
      </c>
      <c r="AK851" s="1858"/>
      <c r="AL851" s="1858"/>
      <c r="AM851" s="1858"/>
      <c r="AN851" s="2127">
        <f t="shared" si="2235"/>
        <v>0</v>
      </c>
      <c r="AO851" s="2128">
        <f t="shared" si="2236"/>
        <v>0</v>
      </c>
      <c r="AP851" s="1515"/>
      <c r="AQ851" s="1515"/>
      <c r="AR851" s="1515"/>
      <c r="AS851" s="1515"/>
      <c r="AT851" s="1515"/>
      <c r="AU851" s="1515"/>
      <c r="AV851" s="1515"/>
      <c r="AW851" s="1515"/>
      <c r="AX851" s="1515"/>
      <c r="AY851" s="1515"/>
      <c r="AZ851" s="1515"/>
    </row>
    <row r="852" s="2099" customFormat="1">
      <c r="A852" s="2084" t="s">
        <v>751</v>
      </c>
      <c r="B852" s="1302"/>
      <c r="C852" s="1462"/>
      <c r="D852" s="1462"/>
      <c r="E852" s="1851">
        <f t="shared" si="2219"/>
        <v>0</v>
      </c>
      <c r="F852" s="1302"/>
      <c r="G852" s="1302"/>
      <c r="H852" s="1302"/>
      <c r="I852" s="1851">
        <f t="shared" si="2228"/>
        <v>0</v>
      </c>
      <c r="J852" s="1852">
        <f t="shared" si="2229"/>
        <v>0</v>
      </c>
      <c r="K852" s="1302"/>
      <c r="L852" s="1462"/>
      <c r="M852" s="1302"/>
      <c r="N852" s="1463">
        <f t="shared" si="2231"/>
        <v>0</v>
      </c>
      <c r="O852" s="1464">
        <f t="shared" si="2232"/>
        <v>0</v>
      </c>
      <c r="P852" s="1302"/>
      <c r="Q852" s="1302"/>
      <c r="R852" s="1302"/>
      <c r="S852" s="1463">
        <f t="shared" si="2237"/>
        <v>0</v>
      </c>
      <c r="T852" s="1465">
        <f t="shared" si="2233"/>
        <v>0</v>
      </c>
      <c r="U852" s="1526"/>
      <c r="V852" s="2084" t="s">
        <v>752</v>
      </c>
      <c r="W852" s="1850"/>
      <c r="X852" s="1850"/>
      <c r="Y852" s="1850"/>
      <c r="Z852" s="1851">
        <f t="shared" si="2223"/>
        <v>0</v>
      </c>
      <c r="AA852" s="1850"/>
      <c r="AB852" s="1850"/>
      <c r="AC852" s="1850"/>
      <c r="AD852" s="1851">
        <f t="shared" si="2224"/>
        <v>0</v>
      </c>
      <c r="AE852" s="2125">
        <f t="shared" si="2225"/>
        <v>0</v>
      </c>
      <c r="AF852" s="1850"/>
      <c r="AG852" s="1850"/>
      <c r="AH852" s="1850"/>
      <c r="AI852" s="1851">
        <f t="shared" si="2220"/>
        <v>0</v>
      </c>
      <c r="AJ852" s="2125">
        <f t="shared" si="2234"/>
        <v>0</v>
      </c>
      <c r="AK852" s="1850"/>
      <c r="AL852" s="1850"/>
      <c r="AM852" s="1858"/>
      <c r="AN852" s="2127">
        <f t="shared" si="2235"/>
        <v>0</v>
      </c>
      <c r="AO852" s="2128">
        <f t="shared" si="2236"/>
        <v>0</v>
      </c>
      <c r="AP852" s="1515"/>
      <c r="AQ852" s="1515"/>
      <c r="AR852" s="1515"/>
      <c r="AS852" s="1515"/>
      <c r="AT852" s="1515"/>
      <c r="AU852" s="1515"/>
      <c r="AV852" s="1515"/>
      <c r="AW852" s="1515"/>
      <c r="AX852" s="1515"/>
      <c r="AY852" s="1515"/>
      <c r="AZ852" s="1515"/>
    </row>
    <row r="853" s="1434" customFormat="1">
      <c r="A853" s="2102" t="s">
        <v>648</v>
      </c>
      <c r="B853" s="1302">
        <f>B846+B851+B852</f>
        <v>16025.450000000001</v>
      </c>
      <c r="C853" s="1302">
        <f>C846+C851+C852</f>
        <v>17899.849999999999</v>
      </c>
      <c r="D853" s="1302">
        <f>D846+D851+D852</f>
        <v>0</v>
      </c>
      <c r="E853" s="1859">
        <f t="shared" si="2219"/>
        <v>33925.300000000003</v>
      </c>
      <c r="F853" s="1302">
        <f>F846+F851+F852</f>
        <v>0</v>
      </c>
      <c r="G853" s="1302">
        <f>G846+G851+G852</f>
        <v>0</v>
      </c>
      <c r="H853" s="1302">
        <f>H846+H851+H852</f>
        <v>0</v>
      </c>
      <c r="I853" s="1859">
        <f t="shared" si="2228"/>
        <v>0</v>
      </c>
      <c r="J853" s="1860">
        <f t="shared" si="2229"/>
        <v>33925.300000000003</v>
      </c>
      <c r="K853" s="1302">
        <f>K846+K851+K852</f>
        <v>0</v>
      </c>
      <c r="L853" s="1302">
        <f>L846+L851+L852</f>
        <v>0</v>
      </c>
      <c r="M853" s="1302">
        <f>M846+M851+M852</f>
        <v>0</v>
      </c>
      <c r="N853" s="1512">
        <f t="shared" si="2231"/>
        <v>0</v>
      </c>
      <c r="O853" s="1513">
        <f t="shared" si="2232"/>
        <v>33925.300000000003</v>
      </c>
      <c r="P853" s="1302">
        <f>P846+P851+P852</f>
        <v>0</v>
      </c>
      <c r="Q853" s="1302">
        <f>Q846+Q851+Q852</f>
        <v>0</v>
      </c>
      <c r="R853" s="1302">
        <f>R846+R851+R852</f>
        <v>0</v>
      </c>
      <c r="S853" s="1512">
        <f t="shared" si="2237"/>
        <v>0</v>
      </c>
      <c r="T853" s="1514">
        <f t="shared" si="2233"/>
        <v>33925.300000000003</v>
      </c>
      <c r="U853" s="1225">
        <f>T853-T852-T837</f>
        <v>33925.300000000003</v>
      </c>
      <c r="V853" s="1511" t="s">
        <v>753</v>
      </c>
      <c r="W853" s="1858">
        <f>SUM(W846:W852)</f>
        <v>6553</v>
      </c>
      <c r="X853" s="1858">
        <f t="shared" ref="X853:AM853" si="2238">SUM(X846:X852)</f>
        <v>5767</v>
      </c>
      <c r="Y853" s="1858">
        <f t="shared" si="2238"/>
        <v>0</v>
      </c>
      <c r="Z853" s="1859">
        <f t="shared" si="2223"/>
        <v>12320</v>
      </c>
      <c r="AA853" s="1858">
        <f t="shared" si="2238"/>
        <v>0</v>
      </c>
      <c r="AB853" s="1858">
        <f t="shared" si="2238"/>
        <v>0</v>
      </c>
      <c r="AC853" s="1858">
        <f t="shared" si="2238"/>
        <v>0</v>
      </c>
      <c r="AD853" s="1859">
        <f t="shared" si="2224"/>
        <v>0</v>
      </c>
      <c r="AE853" s="2195">
        <f t="shared" si="2225"/>
        <v>12320</v>
      </c>
      <c r="AF853" s="1858">
        <f t="shared" si="2238"/>
        <v>0</v>
      </c>
      <c r="AG853" s="1858">
        <f t="shared" si="2238"/>
        <v>0</v>
      </c>
      <c r="AH853" s="1858">
        <f t="shared" si="2238"/>
        <v>0</v>
      </c>
      <c r="AI853" s="1859">
        <f t="shared" si="2220"/>
        <v>0</v>
      </c>
      <c r="AJ853" s="2195">
        <f t="shared" si="2234"/>
        <v>12320</v>
      </c>
      <c r="AK853" s="1858">
        <f t="shared" si="2238"/>
        <v>0</v>
      </c>
      <c r="AL853" s="1858">
        <f>SUM(AL846:AL852)</f>
        <v>0</v>
      </c>
      <c r="AM853" s="1858">
        <f t="shared" si="2238"/>
        <v>0</v>
      </c>
      <c r="AN853" s="2186">
        <f t="shared" si="2235"/>
        <v>0</v>
      </c>
      <c r="AO853" s="2187">
        <f t="shared" si="2236"/>
        <v>12320</v>
      </c>
      <c r="AP853" s="1409"/>
      <c r="AQ853" s="1409"/>
      <c r="AR853" s="1409"/>
      <c r="AS853" s="1409"/>
      <c r="AT853" s="1409"/>
      <c r="AU853" s="1409"/>
      <c r="AV853" s="1409"/>
      <c r="AW853" s="1409"/>
      <c r="AX853" s="1409"/>
      <c r="AY853" s="1409"/>
      <c r="AZ853" s="1409"/>
    </row>
    <row r="854">
      <c r="A854" s="2196" t="s">
        <v>754</v>
      </c>
      <c r="B854" s="2197"/>
      <c r="C854" s="2197"/>
      <c r="D854" s="2197"/>
      <c r="E854" s="1416"/>
      <c r="F854" s="2198"/>
      <c r="G854" s="2196"/>
      <c r="H854" s="2196"/>
      <c r="I854" s="2199"/>
      <c r="J854" s="2199"/>
      <c r="K854" s="2196"/>
      <c r="L854" s="2200"/>
      <c r="M854" s="2200"/>
      <c r="N854" s="2201"/>
      <c r="O854" s="2201"/>
      <c r="Q854" s="1413"/>
      <c r="R854" s="1225"/>
      <c r="S854" s="2202"/>
      <c r="T854" s="2110"/>
      <c r="V854" s="1413" t="s">
        <v>754</v>
      </c>
      <c r="Z854" s="1859">
        <f t="shared" si="2223"/>
        <v>0</v>
      </c>
      <c r="AC854" s="1413"/>
      <c r="AD854" s="1859">
        <f t="shared" si="2224"/>
        <v>0</v>
      </c>
      <c r="AE854" s="2195">
        <f t="shared" si="2225"/>
        <v>0</v>
      </c>
      <c r="AI854" s="1851">
        <f t="shared" si="2220"/>
        <v>0</v>
      </c>
      <c r="AJ854" s="2125">
        <f t="shared" si="2234"/>
        <v>0</v>
      </c>
      <c r="AN854" s="2127">
        <f t="shared" si="2235"/>
        <v>0</v>
      </c>
      <c r="AO854" s="2128">
        <f t="shared" si="2236"/>
        <v>0</v>
      </c>
    </row>
    <row r="855">
      <c r="A855" s="1515"/>
      <c r="B855" s="2203"/>
      <c r="C855" s="1863"/>
      <c r="E855" s="1418"/>
      <c r="I855" s="1418"/>
      <c r="J855" s="1418"/>
      <c r="K855" s="1863"/>
      <c r="M855" s="1017"/>
      <c r="N855" s="2201"/>
      <c r="O855" s="2201"/>
      <c r="R855" s="1225"/>
      <c r="S855" s="2202"/>
      <c r="T855" s="2110"/>
      <c r="V855" s="1413"/>
    </row>
    <row r="856" ht="41.25" customHeight="1">
      <c r="A856" s="1842" t="s">
        <v>755</v>
      </c>
      <c r="B856" s="1887" t="s">
        <v>738</v>
      </c>
      <c r="C856" s="1888"/>
      <c r="D856" s="1888"/>
      <c r="E856" s="1888"/>
      <c r="F856" s="1888"/>
      <c r="G856" s="1888"/>
      <c r="H856" s="1888"/>
      <c r="I856" s="1888"/>
      <c r="J856" s="1888"/>
      <c r="K856" s="1888"/>
      <c r="L856" s="1888"/>
      <c r="M856" s="1888"/>
      <c r="N856" s="1888"/>
      <c r="O856" s="1888"/>
      <c r="P856" s="1888"/>
      <c r="Q856" s="1888"/>
      <c r="R856" s="1888"/>
      <c r="S856" s="1888"/>
      <c r="T856" s="1889"/>
      <c r="V856" s="1842" t="s">
        <v>755</v>
      </c>
      <c r="W856" s="2204" t="s">
        <v>756</v>
      </c>
      <c r="X856" s="2205"/>
      <c r="Y856" s="2205"/>
      <c r="Z856" s="2205"/>
      <c r="AA856" s="2205"/>
      <c r="AB856" s="2205"/>
      <c r="AC856" s="2205"/>
      <c r="AD856" s="2205"/>
      <c r="AE856" s="2205"/>
      <c r="AF856" s="2205"/>
      <c r="AG856" s="2205"/>
      <c r="AH856" s="2205"/>
      <c r="AI856" s="2205"/>
      <c r="AJ856" s="2205"/>
      <c r="AK856" s="2205"/>
      <c r="AL856" s="2205"/>
      <c r="AM856" s="2205"/>
      <c r="AN856" s="2205"/>
      <c r="AO856" s="2205"/>
    </row>
    <row r="857" s="1894" customFormat="1">
      <c r="A857" s="1427" t="s">
        <v>173</v>
      </c>
      <c r="B857" s="1427" t="s">
        <v>6</v>
      </c>
      <c r="C857" s="1427" t="s">
        <v>7</v>
      </c>
      <c r="D857" s="1849" t="s">
        <v>8</v>
      </c>
      <c r="E857" s="2168" t="s">
        <v>9</v>
      </c>
      <c r="F857" s="1421" t="s">
        <v>10</v>
      </c>
      <c r="G857" s="1421" t="s">
        <v>11</v>
      </c>
      <c r="H857" s="1421" t="s">
        <v>12</v>
      </c>
      <c r="I857" s="1425" t="s">
        <v>174</v>
      </c>
      <c r="J857" s="1430" t="s">
        <v>175</v>
      </c>
      <c r="K857" s="1421" t="s">
        <v>14</v>
      </c>
      <c r="L857" s="1421" t="s">
        <v>15</v>
      </c>
      <c r="M857" s="1421" t="s">
        <v>16</v>
      </c>
      <c r="N857" s="1425" t="s">
        <v>17</v>
      </c>
      <c r="O857" s="1430" t="s">
        <v>176</v>
      </c>
      <c r="P857" s="1421" t="s">
        <v>18</v>
      </c>
      <c r="Q857" s="1421" t="s">
        <v>19</v>
      </c>
      <c r="R857" s="1421" t="s">
        <v>20</v>
      </c>
      <c r="S857" s="1448" t="s">
        <v>177</v>
      </c>
      <c r="T857" s="1426" t="s">
        <v>22</v>
      </c>
      <c r="U857" s="1621"/>
      <c r="V857" s="1421" t="s">
        <v>757</v>
      </c>
      <c r="W857" s="1427" t="s">
        <v>6</v>
      </c>
      <c r="X857" s="1421" t="s">
        <v>7</v>
      </c>
      <c r="Y857" s="1421" t="s">
        <v>8</v>
      </c>
      <c r="Z857" s="1425" t="s">
        <v>9</v>
      </c>
      <c r="AA857" s="1421" t="s">
        <v>10</v>
      </c>
      <c r="AB857" s="1421" t="s">
        <v>11</v>
      </c>
      <c r="AC857" s="1421" t="s">
        <v>12</v>
      </c>
      <c r="AD857" s="1425" t="s">
        <v>174</v>
      </c>
      <c r="AE857" s="2185" t="s">
        <v>175</v>
      </c>
      <c r="AF857" s="1421" t="s">
        <v>14</v>
      </c>
      <c r="AG857" s="1421" t="s">
        <v>15</v>
      </c>
      <c r="AH857" s="1421" t="s">
        <v>16</v>
      </c>
      <c r="AI857" s="1425" t="s">
        <v>17</v>
      </c>
      <c r="AJ857" s="2185" t="s">
        <v>176</v>
      </c>
      <c r="AK857" s="1421" t="s">
        <v>18</v>
      </c>
      <c r="AL857" s="1424" t="s">
        <v>19</v>
      </c>
      <c r="AM857" s="1421" t="s">
        <v>20</v>
      </c>
      <c r="AN857" s="1425" t="s">
        <v>177</v>
      </c>
      <c r="AO857" s="1566" t="s">
        <v>22</v>
      </c>
      <c r="AP857" s="1621"/>
      <c r="AQ857" s="1621"/>
      <c r="AR857" s="1621"/>
      <c r="AS857" s="1621"/>
      <c r="AT857" s="1621"/>
      <c r="AU857" s="1621"/>
      <c r="AV857" s="1621"/>
      <c r="AW857" s="1621"/>
      <c r="AX857" s="1621"/>
      <c r="AY857" s="1621"/>
      <c r="AZ857" s="1621"/>
    </row>
    <row r="858" ht="37.5" customHeight="1">
      <c r="A858" s="1179" t="s">
        <v>226</v>
      </c>
      <c r="B858" s="1446">
        <v>4611.5</v>
      </c>
      <c r="C858" s="1446">
        <v>4335</v>
      </c>
      <c r="D858" s="2007"/>
      <c r="E858" s="2206">
        <f t="shared" si="2219"/>
        <v>8946.5</v>
      </c>
      <c r="F858" s="1446"/>
      <c r="G858" s="1446"/>
      <c r="H858" s="1446"/>
      <c r="I858" s="1944">
        <f t="shared" si="2228"/>
        <v>0</v>
      </c>
      <c r="J858" s="2207">
        <f t="shared" si="2229"/>
        <v>8946.5</v>
      </c>
      <c r="K858" s="1446"/>
      <c r="L858" s="1446"/>
      <c r="M858" s="1446"/>
      <c r="N858" s="1944">
        <f t="shared" si="2231"/>
        <v>0</v>
      </c>
      <c r="O858" s="2207">
        <f t="shared" si="2232"/>
        <v>8946.5</v>
      </c>
      <c r="P858" s="1446"/>
      <c r="Q858" s="1446"/>
      <c r="R858" s="1446"/>
      <c r="S858" s="1944">
        <f t="shared" si="2237"/>
        <v>0</v>
      </c>
      <c r="T858" s="1465">
        <f t="shared" si="2233"/>
        <v>8946.5</v>
      </c>
      <c r="U858" s="1413"/>
      <c r="V858" s="1179" t="s">
        <v>226</v>
      </c>
      <c r="W858" s="1446">
        <v>887</v>
      </c>
      <c r="X858" s="1446">
        <v>873</v>
      </c>
      <c r="Y858" s="2007"/>
      <c r="Z858" s="2206">
        <f t="shared" si="2223"/>
        <v>1760</v>
      </c>
      <c r="AA858" s="1446"/>
      <c r="AB858" s="1446"/>
      <c r="AC858" s="1446"/>
      <c r="AD858" s="1944">
        <f t="shared" si="2224"/>
        <v>0</v>
      </c>
      <c r="AE858" s="2208">
        <f t="shared" si="2225"/>
        <v>1760</v>
      </c>
      <c r="AF858" s="1446"/>
      <c r="AG858" s="1446"/>
      <c r="AH858" s="1446"/>
      <c r="AI858" s="1944">
        <f t="shared" si="2220"/>
        <v>0</v>
      </c>
      <c r="AJ858" s="2208">
        <f t="shared" si="2234"/>
        <v>1760</v>
      </c>
      <c r="AK858" s="1446"/>
      <c r="AL858" s="1854"/>
      <c r="AM858" s="1446"/>
      <c r="AN858" s="1944">
        <f t="shared" si="2235"/>
        <v>0</v>
      </c>
      <c r="AO858" s="2209">
        <f t="shared" si="2236"/>
        <v>1760</v>
      </c>
    </row>
    <row r="859">
      <c r="A859" s="1179" t="s">
        <v>758</v>
      </c>
      <c r="B859" s="1446">
        <v>8713.5</v>
      </c>
      <c r="C859" s="1446">
        <v>9052.5</v>
      </c>
      <c r="D859" s="2007"/>
      <c r="E859" s="2206">
        <f t="shared" si="2219"/>
        <v>17766</v>
      </c>
      <c r="F859" s="1446"/>
      <c r="G859" s="1446"/>
      <c r="H859" s="1446"/>
      <c r="I859" s="1944">
        <f t="shared" si="2228"/>
        <v>0</v>
      </c>
      <c r="J859" s="2207">
        <f t="shared" si="2229"/>
        <v>17766</v>
      </c>
      <c r="K859" s="1446"/>
      <c r="L859" s="1446"/>
      <c r="M859" s="1446"/>
      <c r="N859" s="1944">
        <f t="shared" si="2231"/>
        <v>0</v>
      </c>
      <c r="O859" s="2207">
        <f t="shared" si="2232"/>
        <v>17766</v>
      </c>
      <c r="P859" s="1446"/>
      <c r="Q859" s="1446"/>
      <c r="R859" s="1446"/>
      <c r="S859" s="1944">
        <f t="shared" si="2237"/>
        <v>0</v>
      </c>
      <c r="T859" s="1465">
        <f t="shared" si="2233"/>
        <v>17766</v>
      </c>
      <c r="U859" s="1413"/>
      <c r="V859" s="1179" t="s">
        <v>758</v>
      </c>
      <c r="W859" s="1446">
        <v>2415</v>
      </c>
      <c r="X859" s="1446">
        <v>2459</v>
      </c>
      <c r="Y859" s="2007"/>
      <c r="Z859" s="2206">
        <f t="shared" si="2223"/>
        <v>4874</v>
      </c>
      <c r="AA859" s="1446"/>
      <c r="AB859" s="1446"/>
      <c r="AC859" s="1446"/>
      <c r="AD859" s="1944">
        <f t="shared" si="2224"/>
        <v>0</v>
      </c>
      <c r="AE859" s="2208">
        <f t="shared" si="2225"/>
        <v>4874</v>
      </c>
      <c r="AF859" s="1446"/>
      <c r="AG859" s="1446"/>
      <c r="AH859" s="1446"/>
      <c r="AI859" s="1944">
        <f t="shared" si="2220"/>
        <v>0</v>
      </c>
      <c r="AJ859" s="2208">
        <f t="shared" si="2234"/>
        <v>4874</v>
      </c>
      <c r="AK859" s="1446"/>
      <c r="AL859" s="1854"/>
      <c r="AM859" s="1446"/>
      <c r="AN859" s="1944">
        <f t="shared" si="2235"/>
        <v>0</v>
      </c>
      <c r="AO859" s="2209">
        <f t="shared" si="2236"/>
        <v>4874</v>
      </c>
    </row>
    <row r="860" s="1510" customFormat="1">
      <c r="A860" s="1511" t="s">
        <v>27</v>
      </c>
      <c r="B860" s="1954">
        <f>B858+B859</f>
        <v>13325</v>
      </c>
      <c r="C860" s="1954">
        <f>C858+C859</f>
        <v>13387.5</v>
      </c>
      <c r="D860" s="1954">
        <f>D858+D859</f>
        <v>0</v>
      </c>
      <c r="E860" s="1995">
        <f t="shared" si="2219"/>
        <v>26712.5</v>
      </c>
      <c r="F860" s="1954">
        <f>SUM(F858:F859)</f>
        <v>0</v>
      </c>
      <c r="G860" s="1954">
        <f>SUM(G858:G859)</f>
        <v>0</v>
      </c>
      <c r="H860" s="1954">
        <f>SUM(H858:H859)</f>
        <v>0</v>
      </c>
      <c r="I860" s="1971">
        <f t="shared" si="2228"/>
        <v>0</v>
      </c>
      <c r="J860" s="2210">
        <f t="shared" si="2229"/>
        <v>26712.5</v>
      </c>
      <c r="K860" s="1954">
        <f>K858+K859</f>
        <v>0</v>
      </c>
      <c r="L860" s="1954">
        <f>L858+L859</f>
        <v>0</v>
      </c>
      <c r="M860" s="1954">
        <f>M858+M859</f>
        <v>0</v>
      </c>
      <c r="N860" s="1971">
        <f t="shared" si="2231"/>
        <v>0</v>
      </c>
      <c r="O860" s="2210">
        <f t="shared" si="2232"/>
        <v>26712.5</v>
      </c>
      <c r="P860" s="1954">
        <f>P858+P859</f>
        <v>0</v>
      </c>
      <c r="Q860" s="1954">
        <f>Q858+Q859</f>
        <v>0</v>
      </c>
      <c r="R860" s="1954">
        <f>R858+R859</f>
        <v>0</v>
      </c>
      <c r="S860" s="1971">
        <f t="shared" si="2237"/>
        <v>0</v>
      </c>
      <c r="T860" s="1514">
        <f t="shared" si="2233"/>
        <v>26712.5</v>
      </c>
      <c r="U860" s="1526"/>
      <c r="V860" s="1511" t="s">
        <v>27</v>
      </c>
      <c r="W860" s="1954">
        <f>W858+W859</f>
        <v>3302</v>
      </c>
      <c r="X860" s="1954">
        <f t="shared" ref="X860:AM860" si="2239">X858+X859</f>
        <v>3332</v>
      </c>
      <c r="Y860" s="1954">
        <f t="shared" si="2239"/>
        <v>0</v>
      </c>
      <c r="Z860" s="1995">
        <f t="shared" si="2223"/>
        <v>6634</v>
      </c>
      <c r="AA860" s="1954">
        <f>AA858+AA859</f>
        <v>0</v>
      </c>
      <c r="AB860" s="1954">
        <f>AB858+AB859</f>
        <v>0</v>
      </c>
      <c r="AC860" s="1954">
        <f t="shared" si="2239"/>
        <v>0</v>
      </c>
      <c r="AD860" s="1971">
        <f t="shared" si="2224"/>
        <v>0</v>
      </c>
      <c r="AE860" s="2211">
        <f t="shared" si="2225"/>
        <v>6634</v>
      </c>
      <c r="AF860" s="1954">
        <f>AF858+AF859</f>
        <v>0</v>
      </c>
      <c r="AG860" s="1954">
        <f t="shared" si="2239"/>
        <v>0</v>
      </c>
      <c r="AH860" s="1954">
        <f t="shared" si="2239"/>
        <v>0</v>
      </c>
      <c r="AI860" s="1971">
        <f t="shared" si="2220"/>
        <v>0</v>
      </c>
      <c r="AJ860" s="2211">
        <f t="shared" si="2234"/>
        <v>6634</v>
      </c>
      <c r="AK860" s="1954">
        <f t="shared" si="2239"/>
        <v>0</v>
      </c>
      <c r="AL860" s="1874">
        <f t="shared" si="2239"/>
        <v>0</v>
      </c>
      <c r="AM860" s="1954">
        <f t="shared" si="2239"/>
        <v>0</v>
      </c>
      <c r="AN860" s="1971">
        <f t="shared" si="2235"/>
        <v>0</v>
      </c>
      <c r="AO860" s="2000">
        <f t="shared" si="2236"/>
        <v>6634</v>
      </c>
      <c r="AP860" s="1515"/>
      <c r="AQ860" s="1515"/>
      <c r="AR860" s="1515"/>
      <c r="AS860" s="1515"/>
      <c r="AT860" s="1515"/>
      <c r="AU860" s="1515"/>
      <c r="AV860" s="1515"/>
      <c r="AW860" s="1515"/>
      <c r="AX860" s="1515"/>
      <c r="AY860" s="1515"/>
      <c r="AZ860" s="1515"/>
    </row>
    <row r="861" s="1510" customFormat="1">
      <c r="A861" s="1515"/>
      <c r="B861" s="1838"/>
      <c r="C861" s="1838"/>
      <c r="D861" s="1838"/>
      <c r="E861" s="1619"/>
      <c r="F861" s="1838"/>
      <c r="G861" s="1838"/>
      <c r="H861" s="1838"/>
      <c r="I861" s="1911"/>
      <c r="J861" s="1619"/>
      <c r="K861" s="1838"/>
      <c r="L861" s="1838"/>
      <c r="M861" s="1840"/>
      <c r="N861" s="1415"/>
      <c r="O861" s="2110"/>
      <c r="P861" s="1838"/>
      <c r="Q861" s="1838"/>
      <c r="R861" s="1840"/>
      <c r="S861" s="1415"/>
      <c r="T861" s="2110"/>
      <c r="U861" s="1515"/>
      <c r="V861" s="1515"/>
      <c r="W861" s="1838"/>
      <c r="X861" s="1838"/>
      <c r="Y861" s="1838"/>
      <c r="Z861" s="1619"/>
      <c r="AA861" s="1838"/>
      <c r="AB861" s="1838"/>
      <c r="AC861" s="1838"/>
      <c r="AD861" s="1911"/>
      <c r="AE861" s="1619"/>
      <c r="AF861" s="1838"/>
      <c r="AG861" s="1838"/>
      <c r="AH861" s="1840"/>
      <c r="AI861" s="1415"/>
      <c r="AJ861" s="2110"/>
      <c r="AK861" s="1838"/>
      <c r="AL861" s="1909"/>
      <c r="AM861" s="1838"/>
      <c r="AN861" s="1911"/>
      <c r="AO861" s="1619"/>
      <c r="AP861" s="1515"/>
      <c r="AQ861" s="1515"/>
      <c r="AR861" s="1515"/>
      <c r="AS861" s="1515"/>
      <c r="AT861" s="1515"/>
      <c r="AU861" s="1515"/>
      <c r="AV861" s="1515"/>
      <c r="AW861" s="1515"/>
      <c r="AX861" s="1515"/>
      <c r="AY861" s="1515"/>
      <c r="AZ861" s="1515"/>
    </row>
    <row r="862">
      <c r="B862" s="1838"/>
      <c r="C862" s="1838"/>
      <c r="D862" s="1515"/>
      <c r="E862" s="2062"/>
      <c r="F862" s="1515"/>
      <c r="G862" s="1515"/>
      <c r="H862" s="1515"/>
      <c r="I862" s="2062"/>
      <c r="J862" s="2062"/>
      <c r="K862" s="1515"/>
      <c r="L862" s="1515"/>
      <c r="M862" s="1838"/>
      <c r="N862" s="1839"/>
      <c r="O862" s="1839"/>
      <c r="P862" s="1838"/>
      <c r="Q862" s="1838"/>
      <c r="R862" s="1526"/>
      <c r="S862" s="2212"/>
      <c r="W862" s="1515"/>
      <c r="Z862" s="1418"/>
      <c r="AD862" s="1418"/>
      <c r="AE862" s="1418"/>
      <c r="AI862" s="1418"/>
      <c r="AJ862" s="1418"/>
      <c r="AN862" s="1418"/>
    </row>
    <row r="863" s="1434" customFormat="1" ht="37.5" customHeight="1">
      <c r="A863" s="1842" t="s">
        <v>759</v>
      </c>
      <c r="B863" s="1891" t="s">
        <v>738</v>
      </c>
      <c r="C863" s="1892"/>
      <c r="D863" s="1892"/>
      <c r="E863" s="1892"/>
      <c r="F863" s="1892"/>
      <c r="G863" s="1892"/>
      <c r="H863" s="1892"/>
      <c r="I863" s="1892"/>
      <c r="J863" s="1892"/>
      <c r="K863" s="1892"/>
      <c r="L863" s="1892"/>
      <c r="M863" s="1892"/>
      <c r="N863" s="1892"/>
      <c r="O863" s="1892"/>
      <c r="P863" s="1892"/>
      <c r="Q863" s="1892"/>
      <c r="R863" s="1892"/>
      <c r="S863" s="1892"/>
      <c r="T863" s="1892"/>
      <c r="U863" s="1409"/>
      <c r="V863" s="1842" t="s">
        <v>760</v>
      </c>
      <c r="W863" s="1891" t="s">
        <v>756</v>
      </c>
      <c r="X863" s="1892"/>
      <c r="Y863" s="1892"/>
      <c r="Z863" s="1892"/>
      <c r="AA863" s="1892"/>
      <c r="AB863" s="1892"/>
      <c r="AC863" s="1892"/>
      <c r="AD863" s="1892"/>
      <c r="AE863" s="1892"/>
      <c r="AF863" s="1892"/>
      <c r="AG863" s="1892"/>
      <c r="AH863" s="1892"/>
      <c r="AI863" s="1892"/>
      <c r="AJ863" s="1892"/>
      <c r="AK863" s="1892"/>
      <c r="AL863" s="1893"/>
      <c r="AM863" s="1892"/>
      <c r="AN863" s="1892"/>
      <c r="AO863" s="1892"/>
      <c r="AP863" s="1409"/>
      <c r="AQ863" s="1409"/>
      <c r="AR863" s="1409"/>
      <c r="AS863" s="1409"/>
      <c r="AT863" s="1409"/>
      <c r="AU863" s="1409"/>
      <c r="AV863" s="1409"/>
      <c r="AW863" s="1409"/>
      <c r="AX863" s="1409"/>
      <c r="AY863" s="1409"/>
      <c r="AZ863" s="1409"/>
    </row>
    <row r="864" s="1445" customFormat="1">
      <c r="A864" s="1179" t="s">
        <v>173</v>
      </c>
      <c r="B864" s="1446" t="s">
        <v>6</v>
      </c>
      <c r="C864" s="1446" t="s">
        <v>7</v>
      </c>
      <c r="D864" s="1913" t="s">
        <v>8</v>
      </c>
      <c r="E864" s="2080" t="s">
        <v>9</v>
      </c>
      <c r="F864" s="1447" t="s">
        <v>10</v>
      </c>
      <c r="G864" s="1447" t="s">
        <v>11</v>
      </c>
      <c r="H864" s="1447" t="s">
        <v>12</v>
      </c>
      <c r="I864" s="1448" t="s">
        <v>174</v>
      </c>
      <c r="J864" s="1449" t="s">
        <v>175</v>
      </c>
      <c r="K864" s="1447" t="s">
        <v>14</v>
      </c>
      <c r="L864" s="1447" t="s">
        <v>15</v>
      </c>
      <c r="M864" s="1447" t="s">
        <v>16</v>
      </c>
      <c r="N864" s="1448" t="s">
        <v>17</v>
      </c>
      <c r="O864" s="1449" t="s">
        <v>176</v>
      </c>
      <c r="P864" s="1447" t="s">
        <v>18</v>
      </c>
      <c r="Q864" s="1447" t="s">
        <v>19</v>
      </c>
      <c r="R864" s="1447" t="s">
        <v>20</v>
      </c>
      <c r="S864" s="1448" t="s">
        <v>177</v>
      </c>
      <c r="T864" s="1450" t="s">
        <v>22</v>
      </c>
      <c r="U864" s="1409"/>
      <c r="V864" s="1421" t="s">
        <v>757</v>
      </c>
      <c r="W864" s="1446" t="s">
        <v>6</v>
      </c>
      <c r="X864" s="1446" t="s">
        <v>7</v>
      </c>
      <c r="Y864" s="1447" t="s">
        <v>8</v>
      </c>
      <c r="Z864" s="1448" t="s">
        <v>9</v>
      </c>
      <c r="AA864" s="1447" t="s">
        <v>10</v>
      </c>
      <c r="AB864" s="1447" t="s">
        <v>11</v>
      </c>
      <c r="AC864" s="1447" t="s">
        <v>12</v>
      </c>
      <c r="AD864" s="1448" t="s">
        <v>174</v>
      </c>
      <c r="AE864" s="2122" t="s">
        <v>175</v>
      </c>
      <c r="AF864" s="1447" t="s">
        <v>14</v>
      </c>
      <c r="AG864" s="1447" t="s">
        <v>15</v>
      </c>
      <c r="AH864" s="1447" t="s">
        <v>16</v>
      </c>
      <c r="AI864" s="1448" t="s">
        <v>17</v>
      </c>
      <c r="AJ864" s="2122" t="s">
        <v>176</v>
      </c>
      <c r="AK864" s="1447" t="s">
        <v>18</v>
      </c>
      <c r="AL864" s="2123" t="s">
        <v>19</v>
      </c>
      <c r="AM864" s="1447" t="s">
        <v>20</v>
      </c>
      <c r="AN864" s="1425" t="s">
        <v>177</v>
      </c>
      <c r="AO864" s="2124" t="s">
        <v>22</v>
      </c>
      <c r="AP864" s="1409"/>
      <c r="AQ864" s="1409"/>
      <c r="AR864" s="1409"/>
      <c r="AS864" s="1409"/>
      <c r="AT864" s="1409"/>
      <c r="AU864" s="1409"/>
      <c r="AV864" s="1409"/>
      <c r="AW864" s="1409"/>
      <c r="AX864" s="1409"/>
      <c r="AY864" s="1409"/>
      <c r="AZ864" s="1409"/>
    </row>
    <row r="865" ht="23.25" customHeight="1">
      <c r="A865" s="1179" t="s">
        <v>178</v>
      </c>
      <c r="B865" s="1850">
        <f>5.5+12</f>
        <v>17.5</v>
      </c>
      <c r="C865" s="1850">
        <v>5.5</v>
      </c>
      <c r="D865" s="1850"/>
      <c r="E865" s="1851">
        <f t="shared" si="2219"/>
        <v>23</v>
      </c>
      <c r="F865" s="1850"/>
      <c r="G865" s="1850"/>
      <c r="H865" s="2213"/>
      <c r="I865" s="2214">
        <f t="shared" si="2228"/>
        <v>0</v>
      </c>
      <c r="J865" s="2215">
        <f t="shared" si="2229"/>
        <v>23</v>
      </c>
      <c r="K865" s="2213"/>
      <c r="L865" s="1850"/>
      <c r="M865" s="1850"/>
      <c r="N865" s="1851">
        <f t="shared" si="2231"/>
        <v>0</v>
      </c>
      <c r="O865" s="1852">
        <f t="shared" si="2232"/>
        <v>23</v>
      </c>
      <c r="P865" s="1850"/>
      <c r="Q865" s="1850"/>
      <c r="R865" s="1850"/>
      <c r="S865" s="1851">
        <f t="shared" si="2237"/>
        <v>0</v>
      </c>
      <c r="T865" s="1853">
        <f t="shared" si="2233"/>
        <v>23</v>
      </c>
      <c r="U865" s="1413"/>
      <c r="V865" s="1179" t="s">
        <v>178</v>
      </c>
      <c r="W865" s="2007">
        <f>1+2</f>
        <v>3</v>
      </c>
      <c r="X865" s="2007">
        <v>1</v>
      </c>
      <c r="Y865" s="2007"/>
      <c r="Z865" s="2206">
        <f t="shared" si="2223"/>
        <v>4</v>
      </c>
      <c r="AA865" s="2007"/>
      <c r="AB865" s="2007"/>
      <c r="AC865" s="2007"/>
      <c r="AD865" s="2206">
        <f t="shared" si="2224"/>
        <v>0</v>
      </c>
      <c r="AE865" s="2208">
        <f t="shared" si="2225"/>
        <v>4</v>
      </c>
      <c r="AF865" s="2007"/>
      <c r="AG865" s="2007"/>
      <c r="AH865" s="2007"/>
      <c r="AI865" s="2206">
        <f t="shared" si="2220"/>
        <v>0</v>
      </c>
      <c r="AJ865" s="2208">
        <f t="shared" si="2234"/>
        <v>4</v>
      </c>
      <c r="AK865" s="2007"/>
      <c r="AL865" s="2007"/>
      <c r="AM865" s="2007"/>
      <c r="AN865" s="2080">
        <f t="shared" si="2235"/>
        <v>0</v>
      </c>
      <c r="AO865" s="2216">
        <f t="shared" si="2236"/>
        <v>4</v>
      </c>
    </row>
    <row r="866">
      <c r="A866" s="1179" t="s">
        <v>354</v>
      </c>
      <c r="B866" s="1850">
        <f>363.5+30</f>
        <v>393.5</v>
      </c>
      <c r="C866" s="1850">
        <f>353.5+68</f>
        <v>421.5</v>
      </c>
      <c r="D866" s="1850"/>
      <c r="E866" s="1851">
        <f t="shared" si="2219"/>
        <v>815</v>
      </c>
      <c r="F866" s="1850"/>
      <c r="G866" s="1850"/>
      <c r="H866" s="2213"/>
      <c r="I866" s="2214">
        <f t="shared" si="2228"/>
        <v>0</v>
      </c>
      <c r="J866" s="2215">
        <f t="shared" si="2229"/>
        <v>815</v>
      </c>
      <c r="K866" s="2213"/>
      <c r="L866" s="1850"/>
      <c r="M866" s="1850"/>
      <c r="N866" s="1851">
        <f t="shared" si="2231"/>
        <v>0</v>
      </c>
      <c r="O866" s="1852">
        <f t="shared" si="2232"/>
        <v>815</v>
      </c>
      <c r="P866" s="1850"/>
      <c r="Q866" s="1850"/>
      <c r="R866" s="1850"/>
      <c r="S866" s="1851">
        <f t="shared" si="2237"/>
        <v>0</v>
      </c>
      <c r="T866" s="1853">
        <f t="shared" si="2233"/>
        <v>815</v>
      </c>
      <c r="U866" s="1413"/>
      <c r="V866" s="1179" t="s">
        <v>354</v>
      </c>
      <c r="W866" s="2007">
        <f>48+3</f>
        <v>51</v>
      </c>
      <c r="X866" s="2007">
        <f>41+6</f>
        <v>47</v>
      </c>
      <c r="Y866" s="2007"/>
      <c r="Z866" s="2206">
        <f t="shared" si="2223"/>
        <v>98</v>
      </c>
      <c r="AA866" s="2007"/>
      <c r="AB866" s="2007"/>
      <c r="AC866" s="2007"/>
      <c r="AD866" s="2206">
        <f t="shared" si="2224"/>
        <v>0</v>
      </c>
      <c r="AE866" s="2208">
        <f t="shared" si="2225"/>
        <v>98</v>
      </c>
      <c r="AF866" s="2007"/>
      <c r="AG866" s="2007"/>
      <c r="AH866" s="2007"/>
      <c r="AI866" s="2206">
        <f t="shared" si="2220"/>
        <v>0</v>
      </c>
      <c r="AJ866" s="2208">
        <f t="shared" si="2234"/>
        <v>98</v>
      </c>
      <c r="AK866" s="2007"/>
      <c r="AL866" s="2007"/>
      <c r="AM866" s="2007"/>
      <c r="AN866" s="2080">
        <f t="shared" si="2235"/>
        <v>0</v>
      </c>
      <c r="AO866" s="2216">
        <f t="shared" si="2236"/>
        <v>98</v>
      </c>
    </row>
    <row r="867">
      <c r="A867" s="1179" t="s">
        <v>181</v>
      </c>
      <c r="B867" s="1850">
        <f>177+6</f>
        <v>183</v>
      </c>
      <c r="C867" s="1850">
        <f>107+12</f>
        <v>119</v>
      </c>
      <c r="D867" s="1850"/>
      <c r="E867" s="1851">
        <f t="shared" si="2219"/>
        <v>302</v>
      </c>
      <c r="F867" s="1850"/>
      <c r="G867" s="1850"/>
      <c r="H867" s="2213"/>
      <c r="I867" s="2214">
        <f t="shared" si="2228"/>
        <v>0</v>
      </c>
      <c r="J867" s="2215">
        <f t="shared" si="2229"/>
        <v>302</v>
      </c>
      <c r="K867" s="2213"/>
      <c r="L867" s="1850"/>
      <c r="M867" s="1850"/>
      <c r="N867" s="1851">
        <f t="shared" si="2231"/>
        <v>0</v>
      </c>
      <c r="O867" s="1852">
        <f t="shared" si="2232"/>
        <v>302</v>
      </c>
      <c r="P867" s="1850"/>
      <c r="Q867" s="1850"/>
      <c r="R867" s="1850"/>
      <c r="S867" s="1851">
        <f t="shared" si="2237"/>
        <v>0</v>
      </c>
      <c r="T867" s="1853">
        <f t="shared" si="2233"/>
        <v>302</v>
      </c>
      <c r="U867" s="1413"/>
      <c r="V867" s="1179" t="s">
        <v>181</v>
      </c>
      <c r="W867" s="2007">
        <f>25+1</f>
        <v>26</v>
      </c>
      <c r="X867" s="2007">
        <f>19+1</f>
        <v>20</v>
      </c>
      <c r="Y867" s="2007"/>
      <c r="Z867" s="2206">
        <f t="shared" si="2223"/>
        <v>46</v>
      </c>
      <c r="AA867" s="2007"/>
      <c r="AB867" s="2007"/>
      <c r="AC867" s="2007"/>
      <c r="AD867" s="2206">
        <f t="shared" si="2224"/>
        <v>0</v>
      </c>
      <c r="AE867" s="2208">
        <f t="shared" si="2225"/>
        <v>46</v>
      </c>
      <c r="AF867" s="2007"/>
      <c r="AG867" s="2007"/>
      <c r="AH867" s="2007"/>
      <c r="AI867" s="2206">
        <f t="shared" si="2220"/>
        <v>0</v>
      </c>
      <c r="AJ867" s="2208">
        <f t="shared" si="2234"/>
        <v>46</v>
      </c>
      <c r="AK867" s="2007"/>
      <c r="AL867" s="2007"/>
      <c r="AM867" s="2007"/>
      <c r="AN867" s="2080">
        <f t="shared" si="2235"/>
        <v>0</v>
      </c>
      <c r="AO867" s="2216">
        <f t="shared" si="2236"/>
        <v>46</v>
      </c>
    </row>
    <row r="868">
      <c r="A868" s="1179" t="s">
        <v>182</v>
      </c>
      <c r="B868" s="1850">
        <f>26.5+258</f>
        <v>284.5</v>
      </c>
      <c r="C868" s="1850">
        <f>5.5+176</f>
        <v>181.5</v>
      </c>
      <c r="D868" s="1850"/>
      <c r="E868" s="1851">
        <f t="shared" si="2219"/>
        <v>466</v>
      </c>
      <c r="F868" s="1850"/>
      <c r="G868" s="1850"/>
      <c r="H868" s="2213"/>
      <c r="I868" s="2214">
        <f t="shared" si="2228"/>
        <v>0</v>
      </c>
      <c r="J868" s="2215">
        <f t="shared" si="2229"/>
        <v>466</v>
      </c>
      <c r="K868" s="2213"/>
      <c r="L868" s="1850"/>
      <c r="M868" s="1850"/>
      <c r="N868" s="1851">
        <f t="shared" si="2231"/>
        <v>0</v>
      </c>
      <c r="O868" s="1852">
        <f t="shared" si="2232"/>
        <v>466</v>
      </c>
      <c r="P868" s="1850"/>
      <c r="Q868" s="1850"/>
      <c r="R868" s="1850"/>
      <c r="S868" s="1851">
        <f t="shared" si="2237"/>
        <v>0</v>
      </c>
      <c r="T868" s="1853">
        <f t="shared" si="2233"/>
        <v>466</v>
      </c>
      <c r="U868" s="1413"/>
      <c r="V868" s="1179" t="s">
        <v>357</v>
      </c>
      <c r="W868" s="2007">
        <f>3+29</f>
        <v>32</v>
      </c>
      <c r="X868" s="2007">
        <f>1+21</f>
        <v>22</v>
      </c>
      <c r="Y868" s="2007"/>
      <c r="Z868" s="2206">
        <f t="shared" si="2223"/>
        <v>54</v>
      </c>
      <c r="AA868" s="2007"/>
      <c r="AB868" s="2007"/>
      <c r="AC868" s="2007"/>
      <c r="AD868" s="2206">
        <f t="shared" si="2224"/>
        <v>0</v>
      </c>
      <c r="AE868" s="2208">
        <f t="shared" si="2225"/>
        <v>54</v>
      </c>
      <c r="AF868" s="2007"/>
      <c r="AG868" s="2007"/>
      <c r="AH868" s="2007"/>
      <c r="AI868" s="2206">
        <f t="shared" si="2220"/>
        <v>0</v>
      </c>
      <c r="AJ868" s="2208">
        <f t="shared" si="2234"/>
        <v>54</v>
      </c>
      <c r="AK868" s="2007"/>
      <c r="AL868" s="2007"/>
      <c r="AM868" s="2007"/>
      <c r="AN868" s="2080">
        <f t="shared" si="2235"/>
        <v>0</v>
      </c>
      <c r="AO868" s="2216">
        <f t="shared" si="2236"/>
        <v>54</v>
      </c>
    </row>
    <row r="869">
      <c r="A869" s="1179" t="s">
        <v>183</v>
      </c>
      <c r="B869" s="1850">
        <f>8.5+8</f>
        <v>16.5</v>
      </c>
      <c r="C869" s="1850">
        <f>16.5+12</f>
        <v>28.5</v>
      </c>
      <c r="D869" s="1850"/>
      <c r="E869" s="1851">
        <f t="shared" si="2219"/>
        <v>45</v>
      </c>
      <c r="F869" s="1850"/>
      <c r="G869" s="1850"/>
      <c r="H869" s="2213"/>
      <c r="I869" s="2214">
        <f t="shared" si="2228"/>
        <v>0</v>
      </c>
      <c r="J869" s="2215">
        <f t="shared" si="2229"/>
        <v>45</v>
      </c>
      <c r="K869" s="2213"/>
      <c r="L869" s="1850"/>
      <c r="M869" s="1850"/>
      <c r="N869" s="1851">
        <f t="shared" si="2231"/>
        <v>0</v>
      </c>
      <c r="O869" s="1852">
        <f t="shared" si="2232"/>
        <v>45</v>
      </c>
      <c r="P869" s="1850"/>
      <c r="Q869" s="1850"/>
      <c r="R869" s="1850"/>
      <c r="S869" s="1851">
        <f t="shared" si="2237"/>
        <v>0</v>
      </c>
      <c r="T869" s="1853">
        <f t="shared" si="2233"/>
        <v>45</v>
      </c>
      <c r="U869" s="1413"/>
      <c r="V869" s="1179" t="s">
        <v>183</v>
      </c>
      <c r="W869" s="2007">
        <f>2+1</f>
        <v>3</v>
      </c>
      <c r="X869" s="2007">
        <f>2+3</f>
        <v>5</v>
      </c>
      <c r="Y869" s="2007"/>
      <c r="Z869" s="2206">
        <f t="shared" si="2223"/>
        <v>8</v>
      </c>
      <c r="AA869" s="2007"/>
      <c r="AB869" s="2007"/>
      <c r="AC869" s="2007"/>
      <c r="AD869" s="2206">
        <f t="shared" si="2224"/>
        <v>0</v>
      </c>
      <c r="AE869" s="2208">
        <f t="shared" si="2225"/>
        <v>8</v>
      </c>
      <c r="AF869" s="2007"/>
      <c r="AG869" s="2007"/>
      <c r="AH869" s="2007"/>
      <c r="AI869" s="2206">
        <f t="shared" si="2220"/>
        <v>0</v>
      </c>
      <c r="AJ869" s="2208">
        <f t="shared" si="2234"/>
        <v>8</v>
      </c>
      <c r="AK869" s="2007"/>
      <c r="AL869" s="2007"/>
      <c r="AM869" s="2007"/>
      <c r="AN869" s="2080">
        <f t="shared" si="2235"/>
        <v>0</v>
      </c>
      <c r="AO869" s="2216">
        <f t="shared" si="2236"/>
        <v>8</v>
      </c>
    </row>
    <row r="870">
      <c r="A870" s="1179" t="s">
        <v>184</v>
      </c>
      <c r="B870" s="1850">
        <f>22+12</f>
        <v>34</v>
      </c>
      <c r="C870" s="1850">
        <f>25.5+48</f>
        <v>73.5</v>
      </c>
      <c r="D870" s="1850"/>
      <c r="E870" s="1851">
        <f t="shared" ref="E870:E933" si="2240">B870+C870+D870</f>
        <v>107.5</v>
      </c>
      <c r="F870" s="1850"/>
      <c r="G870" s="1850"/>
      <c r="H870" s="2213"/>
      <c r="I870" s="2214">
        <f t="shared" si="2228"/>
        <v>0</v>
      </c>
      <c r="J870" s="2215">
        <f t="shared" si="2229"/>
        <v>107.5</v>
      </c>
      <c r="K870" s="2213"/>
      <c r="L870" s="1850"/>
      <c r="M870" s="1850"/>
      <c r="N870" s="1851">
        <f t="shared" si="2231"/>
        <v>0</v>
      </c>
      <c r="O870" s="1852">
        <f t="shared" si="2232"/>
        <v>107.5</v>
      </c>
      <c r="P870" s="1850"/>
      <c r="Q870" s="1850"/>
      <c r="R870" s="1850"/>
      <c r="S870" s="1851">
        <f t="shared" si="2237"/>
        <v>0</v>
      </c>
      <c r="T870" s="1853">
        <f t="shared" si="2233"/>
        <v>107.5</v>
      </c>
      <c r="U870" s="1413"/>
      <c r="V870" s="1179" t="s">
        <v>184</v>
      </c>
      <c r="W870" s="2007">
        <f>4+1</f>
        <v>5</v>
      </c>
      <c r="X870" s="2007">
        <f>2+4</f>
        <v>6</v>
      </c>
      <c r="Y870" s="2007"/>
      <c r="Z870" s="2206">
        <f t="shared" ref="Z870:Z933" si="2241">W870+X870+Y870</f>
        <v>11</v>
      </c>
      <c r="AA870" s="2007"/>
      <c r="AB870" s="2007"/>
      <c r="AC870" s="2007"/>
      <c r="AD870" s="2206">
        <f t="shared" ref="AD870:AD933" si="2242">AA870+AB870+AC870</f>
        <v>0</v>
      </c>
      <c r="AE870" s="2208">
        <f t="shared" ref="AE870:AE933" si="2243">Z870+AD870</f>
        <v>11</v>
      </c>
      <c r="AF870" s="2007"/>
      <c r="AG870" s="2007"/>
      <c r="AH870" s="2007"/>
      <c r="AI870" s="2206">
        <f t="shared" ref="AI870:AI933" si="2244">AF870+AG870+AH870</f>
        <v>0</v>
      </c>
      <c r="AJ870" s="2208">
        <f t="shared" si="2234"/>
        <v>11</v>
      </c>
      <c r="AK870" s="2007"/>
      <c r="AL870" s="2007"/>
      <c r="AM870" s="2007"/>
      <c r="AN870" s="2080">
        <f t="shared" si="2235"/>
        <v>0</v>
      </c>
      <c r="AO870" s="2216">
        <f t="shared" si="2236"/>
        <v>11</v>
      </c>
    </row>
    <row r="871">
      <c r="A871" s="1179" t="s">
        <v>741</v>
      </c>
      <c r="B871" s="1850"/>
      <c r="C871" s="1850">
        <v>5.5</v>
      </c>
      <c r="D871" s="1850"/>
      <c r="E871" s="1851"/>
      <c r="F871" s="1850"/>
      <c r="G871" s="1850"/>
      <c r="H871" s="2213"/>
      <c r="I871" s="2214"/>
      <c r="J871" s="2215"/>
      <c r="K871" s="2213"/>
      <c r="L871" s="1850"/>
      <c r="M871" s="1850"/>
      <c r="N871" s="1851">
        <f t="shared" si="2231"/>
        <v>0</v>
      </c>
      <c r="O871" s="1852">
        <f t="shared" si="2232"/>
        <v>0</v>
      </c>
      <c r="P871" s="1850"/>
      <c r="Q871" s="1850"/>
      <c r="R871" s="1850"/>
      <c r="S871" s="1851">
        <f t="shared" si="2237"/>
        <v>0</v>
      </c>
      <c r="T871" s="1853">
        <f t="shared" si="2233"/>
        <v>0</v>
      </c>
      <c r="U871" s="1413"/>
      <c r="V871" s="1179" t="s">
        <v>186</v>
      </c>
      <c r="W871" s="2007"/>
      <c r="X871" s="2007">
        <v>1</v>
      </c>
      <c r="Y871" s="2007"/>
      <c r="Z871" s="2206"/>
      <c r="AA871" s="2007"/>
      <c r="AB871" s="2007"/>
      <c r="AC871" s="2007"/>
      <c r="AD871" s="2206"/>
      <c r="AE871" s="2208"/>
      <c r="AF871" s="2007"/>
      <c r="AG871" s="2007"/>
      <c r="AH871" s="2007"/>
      <c r="AI871" s="2206"/>
      <c r="AJ871" s="2208"/>
      <c r="AK871" s="2007"/>
      <c r="AL871" s="2007"/>
      <c r="AM871" s="2007"/>
      <c r="AN871" s="2080">
        <f t="shared" si="2235"/>
        <v>0</v>
      </c>
      <c r="AO871" s="2216">
        <f t="shared" si="2236"/>
        <v>0</v>
      </c>
    </row>
    <row r="872">
      <c r="A872" s="1179" t="s">
        <v>185</v>
      </c>
      <c r="B872" s="1850">
        <v>5.5</v>
      </c>
      <c r="C872" s="1850">
        <v>20</v>
      </c>
      <c r="D872" s="1850"/>
      <c r="E872" s="1851">
        <f t="shared" si="2240"/>
        <v>25.5</v>
      </c>
      <c r="F872" s="1850"/>
      <c r="G872" s="1850"/>
      <c r="H872" s="2213"/>
      <c r="I872" s="2214">
        <f t="shared" si="2228"/>
        <v>0</v>
      </c>
      <c r="J872" s="2215">
        <f t="shared" si="2229"/>
        <v>25.5</v>
      </c>
      <c r="K872" s="2213"/>
      <c r="L872" s="1850"/>
      <c r="M872" s="1850"/>
      <c r="N872" s="1851">
        <f t="shared" si="2231"/>
        <v>0</v>
      </c>
      <c r="O872" s="1852">
        <f t="shared" si="2232"/>
        <v>25.5</v>
      </c>
      <c r="P872" s="1850"/>
      <c r="Q872" s="1850"/>
      <c r="R872" s="1850"/>
      <c r="S872" s="1851">
        <f t="shared" si="2237"/>
        <v>0</v>
      </c>
      <c r="T872" s="1853">
        <f t="shared" si="2233"/>
        <v>25.5</v>
      </c>
      <c r="U872" s="1413"/>
      <c r="V872" s="1179" t="s">
        <v>185</v>
      </c>
      <c r="W872" s="2007">
        <v>1</v>
      </c>
      <c r="X872" s="2007">
        <v>2</v>
      </c>
      <c r="Y872" s="2007"/>
      <c r="Z872" s="2206">
        <f t="shared" si="2241"/>
        <v>3</v>
      </c>
      <c r="AA872" s="2007"/>
      <c r="AB872" s="2007"/>
      <c r="AC872" s="2007"/>
      <c r="AD872" s="2206">
        <f t="shared" si="2242"/>
        <v>0</v>
      </c>
      <c r="AE872" s="2208">
        <f t="shared" si="2243"/>
        <v>3</v>
      </c>
      <c r="AF872" s="2007"/>
      <c r="AG872" s="2007"/>
      <c r="AH872" s="2007"/>
      <c r="AI872" s="2206">
        <f t="shared" si="2244"/>
        <v>0</v>
      </c>
      <c r="AJ872" s="2208">
        <f t="shared" si="2234"/>
        <v>3</v>
      </c>
      <c r="AK872" s="2007"/>
      <c r="AL872" s="2007"/>
      <c r="AM872" s="2007"/>
      <c r="AN872" s="2080">
        <f t="shared" si="2235"/>
        <v>0</v>
      </c>
      <c r="AO872" s="2216">
        <f t="shared" si="2236"/>
        <v>3</v>
      </c>
    </row>
    <row r="873" s="1510" customFormat="1">
      <c r="A873" s="1511" t="s">
        <v>363</v>
      </c>
      <c r="B873" s="1858">
        <f>SUM(B865:B872)</f>
        <v>934.5</v>
      </c>
      <c r="C873" s="1858">
        <f>SUM(C865:C872)</f>
        <v>855</v>
      </c>
      <c r="D873" s="1858">
        <f>SUM(D865:D872)</f>
        <v>0</v>
      </c>
      <c r="E873" s="1859">
        <f t="shared" si="2240"/>
        <v>1789.5</v>
      </c>
      <c r="F873" s="1858">
        <f>SUM(F865:F872)</f>
        <v>0</v>
      </c>
      <c r="G873" s="1858">
        <f>SUM(G865:G872)</f>
        <v>0</v>
      </c>
      <c r="H873" s="2217">
        <f>SUM(H865:H872)</f>
        <v>0</v>
      </c>
      <c r="I873" s="2218">
        <f t="shared" si="2228"/>
        <v>0</v>
      </c>
      <c r="J873" s="2219">
        <f t="shared" si="2229"/>
        <v>1789.5</v>
      </c>
      <c r="K873" s="1858">
        <f>SUM(K865:K872)</f>
        <v>0</v>
      </c>
      <c r="L873" s="1858">
        <f>SUM(L865:L872)</f>
        <v>0</v>
      </c>
      <c r="M873" s="1858">
        <f>SUM(M865:M872)</f>
        <v>0</v>
      </c>
      <c r="N873" s="1859">
        <f t="shared" si="2231"/>
        <v>0</v>
      </c>
      <c r="O873" s="1860">
        <f t="shared" si="2232"/>
        <v>1789.5</v>
      </c>
      <c r="P873" s="1858">
        <f>SUM(P865:P872)</f>
        <v>0</v>
      </c>
      <c r="Q873" s="1858">
        <f>SUM(Q865:Q872)</f>
        <v>0</v>
      </c>
      <c r="R873" s="1858">
        <f>SUM(R865:R872)</f>
        <v>0</v>
      </c>
      <c r="S873" s="1859">
        <f t="shared" si="2237"/>
        <v>0</v>
      </c>
      <c r="T873" s="1861">
        <f>SUM(T865:T872)</f>
        <v>1784</v>
      </c>
      <c r="U873" s="1526"/>
      <c r="V873" s="1511" t="s">
        <v>363</v>
      </c>
      <c r="W873" s="1993">
        <f>SUM(W865:W872)</f>
        <v>121</v>
      </c>
      <c r="X873" s="1993">
        <f>SUM(X865:X872)</f>
        <v>104</v>
      </c>
      <c r="Y873" s="1993">
        <f>SUM(Y865:Y872)</f>
        <v>0</v>
      </c>
      <c r="Z873" s="2206">
        <f t="shared" si="2241"/>
        <v>225</v>
      </c>
      <c r="AA873" s="1993">
        <f>SUM(AA865:AA872)</f>
        <v>0</v>
      </c>
      <c r="AB873" s="1993">
        <f>SUM(AB865:AB872)</f>
        <v>0</v>
      </c>
      <c r="AC873" s="1993">
        <f>SUM(AC865:AC872)</f>
        <v>0</v>
      </c>
      <c r="AD873" s="2206">
        <f t="shared" si="2242"/>
        <v>0</v>
      </c>
      <c r="AE873" s="2208">
        <f t="shared" si="2243"/>
        <v>225</v>
      </c>
      <c r="AF873" s="1993">
        <f>SUM(AF865:AF872)</f>
        <v>0</v>
      </c>
      <c r="AG873" s="1993">
        <f>SUM(AG865:AG872)</f>
        <v>0</v>
      </c>
      <c r="AH873" s="1993">
        <f>SUM(AH865:AH872)</f>
        <v>0</v>
      </c>
      <c r="AI873" s="2206">
        <f t="shared" si="2244"/>
        <v>0</v>
      </c>
      <c r="AJ873" s="2208">
        <f t="shared" si="2234"/>
        <v>225</v>
      </c>
      <c r="AK873" s="1993">
        <f>SUM(AK865:AK872)</f>
        <v>0</v>
      </c>
      <c r="AL873" s="1993">
        <f>SUM(AL865:AL872)</f>
        <v>0</v>
      </c>
      <c r="AM873" s="1993">
        <f>SUM(AM865:AM872)</f>
        <v>0</v>
      </c>
      <c r="AN873" s="2080">
        <f t="shared" si="2235"/>
        <v>0</v>
      </c>
      <c r="AO873" s="2216">
        <f t="shared" si="2236"/>
        <v>225</v>
      </c>
      <c r="AP873" s="1515"/>
      <c r="AQ873" s="1515"/>
      <c r="AR873" s="1515"/>
      <c r="AS873" s="1515"/>
      <c r="AT873" s="1515"/>
      <c r="AU873" s="1515"/>
      <c r="AV873" s="1515"/>
      <c r="AW873" s="1515"/>
      <c r="AX873" s="1515"/>
      <c r="AY873" s="1515"/>
      <c r="AZ873" s="1515"/>
    </row>
    <row r="874">
      <c r="A874" s="1179" t="s">
        <v>542</v>
      </c>
      <c r="B874" s="1850"/>
      <c r="C874" s="1850"/>
      <c r="D874" s="1850"/>
      <c r="E874" s="1851">
        <f t="shared" si="2240"/>
        <v>0</v>
      </c>
      <c r="F874" s="1850"/>
      <c r="G874" s="1850"/>
      <c r="H874" s="2213"/>
      <c r="I874" s="2214">
        <f t="shared" si="2228"/>
        <v>0</v>
      </c>
      <c r="J874" s="2215">
        <f t="shared" si="2229"/>
        <v>0</v>
      </c>
      <c r="K874" s="1850"/>
      <c r="L874" s="1850"/>
      <c r="M874" s="1850"/>
      <c r="N874" s="1851">
        <f t="shared" si="2231"/>
        <v>0</v>
      </c>
      <c r="O874" s="1852">
        <f t="shared" si="2232"/>
        <v>0</v>
      </c>
      <c r="P874" s="1850"/>
      <c r="Q874" s="1850"/>
      <c r="R874" s="1850"/>
      <c r="S874" s="1851">
        <f t="shared" si="2237"/>
        <v>0</v>
      </c>
      <c r="T874" s="1853">
        <f t="shared" ref="T874:T886" si="2245">O874+S874</f>
        <v>0</v>
      </c>
      <c r="U874" s="1413"/>
      <c r="V874" s="1179" t="s">
        <v>542</v>
      </c>
      <c r="W874" s="2007"/>
      <c r="X874" s="2007"/>
      <c r="Y874" s="2007"/>
      <c r="Z874" s="2206">
        <f t="shared" si="2241"/>
        <v>0</v>
      </c>
      <c r="AA874" s="2007"/>
      <c r="AB874" s="2007"/>
      <c r="AC874" s="2007"/>
      <c r="AD874" s="2206">
        <f t="shared" si="2242"/>
        <v>0</v>
      </c>
      <c r="AE874" s="2208">
        <f t="shared" si="2243"/>
        <v>0</v>
      </c>
      <c r="AF874" s="2007"/>
      <c r="AG874" s="2007"/>
      <c r="AH874" s="2007"/>
      <c r="AI874" s="2206">
        <f t="shared" si="2244"/>
        <v>0</v>
      </c>
      <c r="AJ874" s="2208">
        <f t="shared" si="2234"/>
        <v>0</v>
      </c>
      <c r="AK874" s="2007"/>
      <c r="AL874" s="2007"/>
      <c r="AM874" s="2007"/>
      <c r="AN874" s="2080">
        <f t="shared" si="2235"/>
        <v>0</v>
      </c>
      <c r="AO874" s="2216">
        <f t="shared" si="2236"/>
        <v>0</v>
      </c>
    </row>
    <row r="875">
      <c r="A875" s="1179" t="s">
        <v>195</v>
      </c>
      <c r="B875" s="1850">
        <f>392+210</f>
        <v>602</v>
      </c>
      <c r="C875" s="1850">
        <f>368.5+428</f>
        <v>796.5</v>
      </c>
      <c r="D875" s="1850"/>
      <c r="E875" s="1851">
        <f t="shared" si="2240"/>
        <v>1398.5</v>
      </c>
      <c r="F875" s="1850"/>
      <c r="G875" s="1850"/>
      <c r="H875" s="2213"/>
      <c r="I875" s="2214">
        <f t="shared" si="2228"/>
        <v>0</v>
      </c>
      <c r="J875" s="2215">
        <f t="shared" si="2229"/>
        <v>1398.5</v>
      </c>
      <c r="K875" s="1850"/>
      <c r="L875" s="1850"/>
      <c r="M875" s="1850"/>
      <c r="N875" s="1851">
        <f t="shared" si="2231"/>
        <v>0</v>
      </c>
      <c r="O875" s="1852">
        <f t="shared" si="2232"/>
        <v>1398.5</v>
      </c>
      <c r="P875" s="1850"/>
      <c r="Q875" s="1850"/>
      <c r="R875" s="1850"/>
      <c r="S875" s="1851">
        <f t="shared" si="2237"/>
        <v>0</v>
      </c>
      <c r="T875" s="1853">
        <f t="shared" si="2245"/>
        <v>1398.5</v>
      </c>
      <c r="U875" s="1413"/>
      <c r="V875" s="1179" t="s">
        <v>195</v>
      </c>
      <c r="W875" s="2007">
        <f>21+18</f>
        <v>39</v>
      </c>
      <c r="X875" s="2007">
        <f>17+38</f>
        <v>55</v>
      </c>
      <c r="Y875" s="2007"/>
      <c r="Z875" s="2206">
        <f t="shared" si="2241"/>
        <v>94</v>
      </c>
      <c r="AA875" s="2007"/>
      <c r="AB875" s="2007"/>
      <c r="AC875" s="2007"/>
      <c r="AD875" s="2206">
        <f t="shared" si="2242"/>
        <v>0</v>
      </c>
      <c r="AE875" s="2208">
        <f t="shared" si="2243"/>
        <v>94</v>
      </c>
      <c r="AF875" s="2007"/>
      <c r="AG875" s="2007"/>
      <c r="AH875" s="2007"/>
      <c r="AI875" s="2206">
        <f t="shared" si="2244"/>
        <v>0</v>
      </c>
      <c r="AJ875" s="2208">
        <f t="shared" si="2234"/>
        <v>94</v>
      </c>
      <c r="AK875" s="2007"/>
      <c r="AL875" s="2007"/>
      <c r="AM875" s="2007"/>
      <c r="AN875" s="2080">
        <f t="shared" si="2235"/>
        <v>0</v>
      </c>
      <c r="AO875" s="2216">
        <f t="shared" si="2236"/>
        <v>94</v>
      </c>
    </row>
    <row r="876">
      <c r="A876" s="1179" t="s">
        <v>196</v>
      </c>
      <c r="B876" s="1850">
        <v>11</v>
      </c>
      <c r="C876" s="1850">
        <f>5.5+12</f>
        <v>17.5</v>
      </c>
      <c r="D876" s="1850"/>
      <c r="E876" s="1851">
        <f t="shared" si="2240"/>
        <v>28.5</v>
      </c>
      <c r="F876" s="1850"/>
      <c r="G876" s="1850"/>
      <c r="H876" s="2213"/>
      <c r="I876" s="2214">
        <f t="shared" si="2228"/>
        <v>0</v>
      </c>
      <c r="J876" s="2215">
        <f t="shared" si="2229"/>
        <v>28.5</v>
      </c>
      <c r="K876" s="1850"/>
      <c r="L876" s="1850"/>
      <c r="M876" s="1850"/>
      <c r="N876" s="1851">
        <f t="shared" si="2231"/>
        <v>0</v>
      </c>
      <c r="O876" s="1852">
        <f t="shared" si="2232"/>
        <v>28.5</v>
      </c>
      <c r="P876" s="1850"/>
      <c r="Q876" s="1850"/>
      <c r="R876" s="1850"/>
      <c r="S876" s="1851">
        <f t="shared" si="2237"/>
        <v>0</v>
      </c>
      <c r="T876" s="1853">
        <f t="shared" si="2245"/>
        <v>28.5</v>
      </c>
      <c r="U876" s="1413"/>
      <c r="V876" s="1179" t="s">
        <v>196</v>
      </c>
      <c r="W876" s="2007">
        <v>2</v>
      </c>
      <c r="X876" s="2007">
        <f>1+1</f>
        <v>2</v>
      </c>
      <c r="Y876" s="2007"/>
      <c r="Z876" s="2206">
        <f t="shared" si="2241"/>
        <v>4</v>
      </c>
      <c r="AA876" s="2007"/>
      <c r="AB876" s="2007"/>
      <c r="AC876" s="2007"/>
      <c r="AD876" s="2206">
        <f t="shared" si="2242"/>
        <v>0</v>
      </c>
      <c r="AE876" s="2208">
        <f t="shared" si="2243"/>
        <v>4</v>
      </c>
      <c r="AF876" s="2007"/>
      <c r="AG876" s="2007"/>
      <c r="AH876" s="2007"/>
      <c r="AI876" s="2206">
        <f t="shared" si="2244"/>
        <v>0</v>
      </c>
      <c r="AJ876" s="2208">
        <f t="shared" si="2234"/>
        <v>4</v>
      </c>
      <c r="AK876" s="2007"/>
      <c r="AL876" s="2007"/>
      <c r="AM876" s="2007"/>
      <c r="AN876" s="2080">
        <f t="shared" si="2235"/>
        <v>0</v>
      </c>
      <c r="AO876" s="2216">
        <f t="shared" si="2236"/>
        <v>4</v>
      </c>
    </row>
    <row r="877">
      <c r="A877" s="1179" t="s">
        <v>761</v>
      </c>
      <c r="B877" s="1850"/>
      <c r="C877" s="1850"/>
      <c r="D877" s="1850"/>
      <c r="E877" s="1851">
        <f t="shared" si="2240"/>
        <v>0</v>
      </c>
      <c r="F877" s="1850"/>
      <c r="G877" s="1850"/>
      <c r="H877" s="2213"/>
      <c r="I877" s="2214">
        <f t="shared" si="2228"/>
        <v>0</v>
      </c>
      <c r="J877" s="2215">
        <f t="shared" si="2229"/>
        <v>0</v>
      </c>
      <c r="K877" s="1850"/>
      <c r="L877" s="1850"/>
      <c r="M877" s="1850"/>
      <c r="N877" s="1851">
        <f t="shared" si="2231"/>
        <v>0</v>
      </c>
      <c r="O877" s="1852">
        <f t="shared" si="2232"/>
        <v>0</v>
      </c>
      <c r="P877" s="1850"/>
      <c r="Q877" s="1850"/>
      <c r="R877" s="1850"/>
      <c r="S877" s="1851">
        <f t="shared" si="2237"/>
        <v>0</v>
      </c>
      <c r="T877" s="1853">
        <f t="shared" si="2245"/>
        <v>0</v>
      </c>
      <c r="U877" s="1413"/>
      <c r="V877" s="1179" t="s">
        <v>367</v>
      </c>
      <c r="W877" s="2007"/>
      <c r="X877" s="2007"/>
      <c r="Y877" s="2007"/>
      <c r="Z877" s="2206">
        <f t="shared" si="2241"/>
        <v>0</v>
      </c>
      <c r="AA877" s="2007"/>
      <c r="AB877" s="2007"/>
      <c r="AC877" s="2007"/>
      <c r="AD877" s="2206">
        <f t="shared" si="2242"/>
        <v>0</v>
      </c>
      <c r="AE877" s="2208">
        <f t="shared" si="2243"/>
        <v>0</v>
      </c>
      <c r="AF877" s="2007"/>
      <c r="AG877" s="2007"/>
      <c r="AH877" s="2007"/>
      <c r="AI877" s="2206">
        <f t="shared" si="2244"/>
        <v>0</v>
      </c>
      <c r="AJ877" s="2208">
        <f t="shared" si="2234"/>
        <v>0</v>
      </c>
      <c r="AK877" s="2007"/>
      <c r="AL877" s="2007"/>
      <c r="AM877" s="2007"/>
      <c r="AN877" s="2080">
        <f t="shared" si="2235"/>
        <v>0</v>
      </c>
      <c r="AO877" s="2216">
        <f t="shared" si="2236"/>
        <v>0</v>
      </c>
    </row>
    <row r="878">
      <c r="A878" s="1179" t="s">
        <v>762</v>
      </c>
      <c r="B878" s="1850">
        <v>28</v>
      </c>
      <c r="C878" s="1850">
        <f>48.5+60</f>
        <v>108.5</v>
      </c>
      <c r="D878" s="1850"/>
      <c r="E878" s="1851">
        <f t="shared" si="2240"/>
        <v>136.5</v>
      </c>
      <c r="F878" s="1850"/>
      <c r="G878" s="1850"/>
      <c r="H878" s="2213"/>
      <c r="I878" s="2214">
        <f t="shared" si="2228"/>
        <v>0</v>
      </c>
      <c r="J878" s="2215">
        <f t="shared" si="2229"/>
        <v>136.5</v>
      </c>
      <c r="K878" s="1850"/>
      <c r="L878" s="1850"/>
      <c r="M878" s="1850"/>
      <c r="N878" s="1851">
        <f t="shared" si="2231"/>
        <v>0</v>
      </c>
      <c r="O878" s="1852">
        <f t="shared" si="2232"/>
        <v>136.5</v>
      </c>
      <c r="P878" s="1850"/>
      <c r="Q878" s="1850"/>
      <c r="R878" s="1850"/>
      <c r="S878" s="1851">
        <f t="shared" si="2237"/>
        <v>0</v>
      </c>
      <c r="T878" s="1853">
        <f t="shared" si="2245"/>
        <v>136.5</v>
      </c>
      <c r="U878" s="1413"/>
      <c r="V878" s="1179" t="s">
        <v>201</v>
      </c>
      <c r="W878" s="2007">
        <v>5</v>
      </c>
      <c r="X878" s="2007">
        <f>8+5</f>
        <v>13</v>
      </c>
      <c r="Y878" s="2007"/>
      <c r="Z878" s="2206">
        <f t="shared" si="2241"/>
        <v>18</v>
      </c>
      <c r="AA878" s="2007"/>
      <c r="AB878" s="2007"/>
      <c r="AC878" s="2007"/>
      <c r="AD878" s="2206">
        <f t="shared" si="2242"/>
        <v>0</v>
      </c>
      <c r="AE878" s="2208">
        <f t="shared" si="2243"/>
        <v>18</v>
      </c>
      <c r="AF878" s="2007"/>
      <c r="AG878" s="2007"/>
      <c r="AH878" s="2007"/>
      <c r="AI878" s="2206">
        <f t="shared" si="2244"/>
        <v>0</v>
      </c>
      <c r="AJ878" s="2208">
        <f t="shared" si="2234"/>
        <v>18</v>
      </c>
      <c r="AK878" s="2007"/>
      <c r="AL878" s="2007"/>
      <c r="AM878" s="2007"/>
      <c r="AN878" s="2080">
        <f t="shared" si="2235"/>
        <v>0</v>
      </c>
      <c r="AO878" s="2216">
        <f t="shared" si="2236"/>
        <v>18</v>
      </c>
    </row>
    <row r="879">
      <c r="A879" s="1179" t="s">
        <v>203</v>
      </c>
      <c r="B879" s="1850">
        <v>6</v>
      </c>
      <c r="C879" s="1850">
        <v>28</v>
      </c>
      <c r="D879" s="1850"/>
      <c r="E879" s="1851">
        <f t="shared" si="2240"/>
        <v>34</v>
      </c>
      <c r="F879" s="1850"/>
      <c r="G879" s="1850"/>
      <c r="H879" s="2213"/>
      <c r="I879" s="2214">
        <f t="shared" si="2228"/>
        <v>0</v>
      </c>
      <c r="J879" s="2215">
        <f t="shared" si="2229"/>
        <v>34</v>
      </c>
      <c r="K879" s="1850"/>
      <c r="L879" s="1850"/>
      <c r="M879" s="1850"/>
      <c r="N879" s="1851">
        <f t="shared" si="2231"/>
        <v>0</v>
      </c>
      <c r="O879" s="1852">
        <f t="shared" si="2232"/>
        <v>34</v>
      </c>
      <c r="P879" s="1850"/>
      <c r="Q879" s="1850"/>
      <c r="R879" s="1850"/>
      <c r="S879" s="1851">
        <f t="shared" si="2237"/>
        <v>0</v>
      </c>
      <c r="T879" s="1853">
        <f t="shared" si="2245"/>
        <v>34</v>
      </c>
      <c r="U879" s="1413"/>
      <c r="V879" s="1179" t="s">
        <v>203</v>
      </c>
      <c r="W879" s="2007">
        <v>1</v>
      </c>
      <c r="X879" s="2007">
        <v>2</v>
      </c>
      <c r="Y879" s="2007"/>
      <c r="Z879" s="2206">
        <f t="shared" si="2241"/>
        <v>3</v>
      </c>
      <c r="AA879" s="2007"/>
      <c r="AB879" s="2007"/>
      <c r="AC879" s="2007"/>
      <c r="AD879" s="2206">
        <f t="shared" si="2242"/>
        <v>0</v>
      </c>
      <c r="AE879" s="2208">
        <f t="shared" si="2243"/>
        <v>3</v>
      </c>
      <c r="AF879" s="2007"/>
      <c r="AG879" s="2007"/>
      <c r="AH879" s="2007"/>
      <c r="AI879" s="2206">
        <f t="shared" si="2244"/>
        <v>0</v>
      </c>
      <c r="AJ879" s="2208">
        <f t="shared" si="2234"/>
        <v>3</v>
      </c>
      <c r="AK879" s="2007"/>
      <c r="AL879" s="2007"/>
      <c r="AM879" s="2007"/>
      <c r="AN879" s="2080">
        <f t="shared" si="2235"/>
        <v>0</v>
      </c>
      <c r="AO879" s="2216">
        <f t="shared" si="2236"/>
        <v>3</v>
      </c>
    </row>
    <row r="880">
      <c r="A880" s="1179" t="s">
        <v>204</v>
      </c>
      <c r="B880" s="1850"/>
      <c r="C880" s="1850">
        <f>15+12</f>
        <v>27</v>
      </c>
      <c r="D880" s="1850"/>
      <c r="E880" s="1851">
        <f t="shared" si="2240"/>
        <v>27</v>
      </c>
      <c r="F880" s="1850"/>
      <c r="G880" s="1850"/>
      <c r="H880" s="2213"/>
      <c r="I880" s="2214">
        <f t="shared" si="2228"/>
        <v>0</v>
      </c>
      <c r="J880" s="2215">
        <f t="shared" si="2229"/>
        <v>27</v>
      </c>
      <c r="K880" s="1850"/>
      <c r="L880" s="1850"/>
      <c r="M880" s="1850"/>
      <c r="N880" s="1851">
        <f t="shared" si="2231"/>
        <v>0</v>
      </c>
      <c r="O880" s="1852">
        <f t="shared" si="2232"/>
        <v>27</v>
      </c>
      <c r="P880" s="1850"/>
      <c r="Q880" s="1850"/>
      <c r="R880" s="1850"/>
      <c r="S880" s="1851">
        <f t="shared" si="2237"/>
        <v>0</v>
      </c>
      <c r="T880" s="1853">
        <f t="shared" si="2245"/>
        <v>27</v>
      </c>
      <c r="U880" s="1413"/>
      <c r="V880" s="1179" t="s">
        <v>204</v>
      </c>
      <c r="W880" s="2007"/>
      <c r="X880" s="2007">
        <f>1+1</f>
        <v>2</v>
      </c>
      <c r="Y880" s="2007"/>
      <c r="Z880" s="2206">
        <f t="shared" si="2241"/>
        <v>2</v>
      </c>
      <c r="AA880" s="2007"/>
      <c r="AB880" s="2007"/>
      <c r="AC880" s="2007"/>
      <c r="AD880" s="2206">
        <f t="shared" si="2242"/>
        <v>0</v>
      </c>
      <c r="AE880" s="2208">
        <f t="shared" si="2243"/>
        <v>2</v>
      </c>
      <c r="AF880" s="2007"/>
      <c r="AG880" s="2007"/>
      <c r="AH880" s="2007"/>
      <c r="AI880" s="2206">
        <f t="shared" si="2244"/>
        <v>0</v>
      </c>
      <c r="AJ880" s="2208">
        <f t="shared" si="2234"/>
        <v>2</v>
      </c>
      <c r="AK880" s="2007"/>
      <c r="AL880" s="2007"/>
      <c r="AM880" s="2007"/>
      <c r="AN880" s="2080">
        <f t="shared" si="2235"/>
        <v>0</v>
      </c>
      <c r="AO880" s="2216">
        <f t="shared" si="2236"/>
        <v>2</v>
      </c>
    </row>
    <row r="881">
      <c r="A881" s="1179" t="s">
        <v>205</v>
      </c>
      <c r="B881" s="1850">
        <v>152</v>
      </c>
      <c r="C881" s="1850">
        <v>48</v>
      </c>
      <c r="D881" s="1850"/>
      <c r="E881" s="1851">
        <f t="shared" si="2240"/>
        <v>200</v>
      </c>
      <c r="F881" s="1850"/>
      <c r="G881" s="1850"/>
      <c r="H881" s="2213"/>
      <c r="I881" s="2214">
        <f t="shared" si="2228"/>
        <v>0</v>
      </c>
      <c r="J881" s="2215">
        <f t="shared" si="2229"/>
        <v>200</v>
      </c>
      <c r="K881" s="1850"/>
      <c r="L881" s="1850"/>
      <c r="M881" s="1850"/>
      <c r="N881" s="1851">
        <f t="shared" si="2231"/>
        <v>0</v>
      </c>
      <c r="O881" s="1852">
        <f t="shared" si="2232"/>
        <v>200</v>
      </c>
      <c r="P881" s="1850"/>
      <c r="Q881" s="1850"/>
      <c r="R881" s="1850"/>
      <c r="S881" s="1851">
        <f t="shared" si="2237"/>
        <v>0</v>
      </c>
      <c r="T881" s="1853">
        <f t="shared" si="2245"/>
        <v>200</v>
      </c>
      <c r="U881" s="1413"/>
      <c r="V881" s="1179" t="s">
        <v>205</v>
      </c>
      <c r="W881" s="2007">
        <v>13</v>
      </c>
      <c r="X881" s="2007">
        <v>5</v>
      </c>
      <c r="Y881" s="2007"/>
      <c r="Z881" s="2206">
        <f t="shared" si="2241"/>
        <v>18</v>
      </c>
      <c r="AA881" s="2007"/>
      <c r="AB881" s="2007"/>
      <c r="AC881" s="2007"/>
      <c r="AD881" s="2206">
        <f t="shared" si="2242"/>
        <v>0</v>
      </c>
      <c r="AE881" s="2208">
        <f t="shared" si="2243"/>
        <v>18</v>
      </c>
      <c r="AF881" s="2007"/>
      <c r="AG881" s="2007"/>
      <c r="AH881" s="2007"/>
      <c r="AI881" s="2206">
        <f t="shared" si="2244"/>
        <v>0</v>
      </c>
      <c r="AJ881" s="2208">
        <f t="shared" si="2234"/>
        <v>18</v>
      </c>
      <c r="AK881" s="2007"/>
      <c r="AL881" s="2007"/>
      <c r="AM881" s="2007"/>
      <c r="AN881" s="2080">
        <f t="shared" si="2235"/>
        <v>0</v>
      </c>
      <c r="AO881" s="2216">
        <f t="shared" si="2236"/>
        <v>18</v>
      </c>
    </row>
    <row r="882">
      <c r="A882" s="1179" t="s">
        <v>206</v>
      </c>
      <c r="B882" s="1850">
        <f>24.5+44</f>
        <v>68.5</v>
      </c>
      <c r="C882" s="1850">
        <v>12</v>
      </c>
      <c r="D882" s="1850"/>
      <c r="E882" s="1851">
        <f t="shared" si="2240"/>
        <v>80.5</v>
      </c>
      <c r="F882" s="1850"/>
      <c r="G882" s="1850"/>
      <c r="H882" s="2213"/>
      <c r="I882" s="2214">
        <f t="shared" si="2228"/>
        <v>0</v>
      </c>
      <c r="J882" s="2215">
        <f t="shared" si="2229"/>
        <v>80.5</v>
      </c>
      <c r="K882" s="1850"/>
      <c r="L882" s="1850"/>
      <c r="M882" s="1850"/>
      <c r="N882" s="1851">
        <f t="shared" si="2231"/>
        <v>0</v>
      </c>
      <c r="O882" s="1852">
        <f t="shared" si="2232"/>
        <v>80.5</v>
      </c>
      <c r="P882" s="1850"/>
      <c r="Q882" s="1850"/>
      <c r="R882" s="1850"/>
      <c r="S882" s="1851">
        <f t="shared" si="2237"/>
        <v>0</v>
      </c>
      <c r="T882" s="1853">
        <f t="shared" si="2245"/>
        <v>80.5</v>
      </c>
      <c r="U882" s="1413"/>
      <c r="V882" s="1179" t="s">
        <v>206</v>
      </c>
      <c r="W882" s="2007">
        <f>4+4</f>
        <v>8</v>
      </c>
      <c r="X882" s="2007">
        <v>1</v>
      </c>
      <c r="Y882" s="2007"/>
      <c r="Z882" s="2206">
        <f t="shared" si="2241"/>
        <v>9</v>
      </c>
      <c r="AA882" s="2007"/>
      <c r="AB882" s="2007"/>
      <c r="AC882" s="2007"/>
      <c r="AD882" s="2206">
        <f t="shared" si="2242"/>
        <v>0</v>
      </c>
      <c r="AE882" s="2208">
        <f t="shared" si="2243"/>
        <v>9</v>
      </c>
      <c r="AF882" s="2007"/>
      <c r="AG882" s="2007"/>
      <c r="AH882" s="2007"/>
      <c r="AI882" s="2206">
        <f t="shared" si="2244"/>
        <v>0</v>
      </c>
      <c r="AJ882" s="2208">
        <f t="shared" si="2234"/>
        <v>9</v>
      </c>
      <c r="AK882" s="2007"/>
      <c r="AL882" s="2007"/>
      <c r="AM882" s="2007"/>
      <c r="AN882" s="2080">
        <f t="shared" si="2235"/>
        <v>0</v>
      </c>
      <c r="AO882" s="2216">
        <f t="shared" si="2236"/>
        <v>9</v>
      </c>
    </row>
    <row r="883">
      <c r="A883" s="1179" t="s">
        <v>763</v>
      </c>
      <c r="B883" s="1850">
        <f>11+180</f>
        <v>191</v>
      </c>
      <c r="C883" s="1850">
        <f>41.5+414</f>
        <v>455.5</v>
      </c>
      <c r="D883" s="1850"/>
      <c r="E883" s="1851">
        <f t="shared" si="2240"/>
        <v>646.5</v>
      </c>
      <c r="F883" s="1850"/>
      <c r="G883" s="1850"/>
      <c r="H883" s="2213"/>
      <c r="I883" s="2214">
        <f t="shared" si="2228"/>
        <v>0</v>
      </c>
      <c r="J883" s="2215">
        <f t="shared" si="2229"/>
        <v>646.5</v>
      </c>
      <c r="K883" s="1850"/>
      <c r="L883" s="1850"/>
      <c r="M883" s="1850"/>
      <c r="N883" s="1851">
        <f t="shared" si="2231"/>
        <v>0</v>
      </c>
      <c r="O883" s="1852">
        <f t="shared" si="2232"/>
        <v>646.5</v>
      </c>
      <c r="P883" s="1850"/>
      <c r="Q883" s="1850"/>
      <c r="R883" s="1850"/>
      <c r="S883" s="1851">
        <f t="shared" si="2237"/>
        <v>0</v>
      </c>
      <c r="T883" s="1853">
        <f t="shared" si="2245"/>
        <v>646.5</v>
      </c>
      <c r="U883" s="1413"/>
      <c r="V883" s="1179" t="s">
        <v>207</v>
      </c>
      <c r="W883" s="2007">
        <f>2+15</f>
        <v>17</v>
      </c>
      <c r="X883" s="2007">
        <f>4+37</f>
        <v>41</v>
      </c>
      <c r="Y883" s="2007"/>
      <c r="Z883" s="2206">
        <f t="shared" si="2241"/>
        <v>58</v>
      </c>
      <c r="AA883" s="2007"/>
      <c r="AB883" s="2007"/>
      <c r="AC883" s="2007"/>
      <c r="AD883" s="2206">
        <f t="shared" si="2242"/>
        <v>0</v>
      </c>
      <c r="AE883" s="2208">
        <f t="shared" si="2243"/>
        <v>58</v>
      </c>
      <c r="AF883" s="2007"/>
      <c r="AG883" s="2007"/>
      <c r="AH883" s="2007"/>
      <c r="AI883" s="2206">
        <f t="shared" si="2244"/>
        <v>0</v>
      </c>
      <c r="AJ883" s="2208">
        <f t="shared" si="2234"/>
        <v>58</v>
      </c>
      <c r="AK883" s="2007"/>
      <c r="AL883" s="2007"/>
      <c r="AM883" s="2007"/>
      <c r="AN883" s="2080">
        <f t="shared" si="2235"/>
        <v>0</v>
      </c>
      <c r="AO883" s="2216">
        <f t="shared" si="2236"/>
        <v>58</v>
      </c>
    </row>
    <row r="884">
      <c r="A884" s="1179" t="s">
        <v>209</v>
      </c>
      <c r="B884" s="1850">
        <f>924+12</f>
        <v>936</v>
      </c>
      <c r="C884" s="1850">
        <v>1405</v>
      </c>
      <c r="D884" s="1850"/>
      <c r="E884" s="1851">
        <f t="shared" si="2240"/>
        <v>2341</v>
      </c>
      <c r="F884" s="1850"/>
      <c r="G884" s="1850"/>
      <c r="H884" s="2213"/>
      <c r="I884" s="2214">
        <f t="shared" si="2228"/>
        <v>0</v>
      </c>
      <c r="J884" s="2215">
        <f t="shared" si="2229"/>
        <v>2341</v>
      </c>
      <c r="K884" s="1850"/>
      <c r="L884" s="1850"/>
      <c r="M884" s="1850"/>
      <c r="N884" s="1851">
        <f t="shared" si="2231"/>
        <v>0</v>
      </c>
      <c r="O884" s="1852">
        <f t="shared" si="2232"/>
        <v>2341</v>
      </c>
      <c r="P884" s="1850"/>
      <c r="Q884" s="1850"/>
      <c r="R884" s="1850"/>
      <c r="S884" s="1851">
        <f t="shared" si="2237"/>
        <v>0</v>
      </c>
      <c r="T884" s="1853">
        <f t="shared" si="2245"/>
        <v>2341</v>
      </c>
      <c r="U884" s="1413"/>
      <c r="V884" s="1179" t="s">
        <v>209</v>
      </c>
      <c r="W884" s="2007">
        <f>30+1</f>
        <v>31</v>
      </c>
      <c r="X884" s="2007">
        <v>36</v>
      </c>
      <c r="Y884" s="2007"/>
      <c r="Z884" s="2206">
        <f t="shared" si="2241"/>
        <v>67</v>
      </c>
      <c r="AA884" s="2007"/>
      <c r="AB884" s="2007"/>
      <c r="AC884" s="2007"/>
      <c r="AD884" s="2206">
        <f t="shared" si="2242"/>
        <v>0</v>
      </c>
      <c r="AE884" s="2208">
        <f t="shared" si="2243"/>
        <v>67</v>
      </c>
      <c r="AF884" s="2007"/>
      <c r="AG884" s="2007"/>
      <c r="AH884" s="2007"/>
      <c r="AI884" s="2206">
        <f t="shared" si="2244"/>
        <v>0</v>
      </c>
      <c r="AJ884" s="2208">
        <f t="shared" si="2234"/>
        <v>67</v>
      </c>
      <c r="AK884" s="2007"/>
      <c r="AL884" s="2007"/>
      <c r="AM884" s="2007"/>
      <c r="AN884" s="2080">
        <f t="shared" si="2235"/>
        <v>0</v>
      </c>
      <c r="AO884" s="2216">
        <f t="shared" si="2236"/>
        <v>67</v>
      </c>
    </row>
    <row r="885">
      <c r="A885" s="1179" t="s">
        <v>764</v>
      </c>
      <c r="B885" s="1850">
        <v>328</v>
      </c>
      <c r="C885" s="1850">
        <v>305</v>
      </c>
      <c r="D885" s="1850"/>
      <c r="E885" s="1851">
        <f t="shared" si="2240"/>
        <v>633</v>
      </c>
      <c r="F885" s="1850"/>
      <c r="G885" s="1850"/>
      <c r="H885" s="2213"/>
      <c r="I885" s="2214">
        <f t="shared" si="2228"/>
        <v>0</v>
      </c>
      <c r="J885" s="2215">
        <f t="shared" si="2229"/>
        <v>633</v>
      </c>
      <c r="K885" s="1850"/>
      <c r="L885" s="1850"/>
      <c r="M885" s="1850"/>
      <c r="N885" s="1851">
        <f t="shared" si="2231"/>
        <v>0</v>
      </c>
      <c r="O885" s="1852">
        <f t="shared" si="2232"/>
        <v>633</v>
      </c>
      <c r="P885" s="1850"/>
      <c r="Q885" s="1850"/>
      <c r="R885" s="1850"/>
      <c r="S885" s="1851">
        <f t="shared" si="2237"/>
        <v>0</v>
      </c>
      <c r="T885" s="1853">
        <f t="shared" si="2245"/>
        <v>633</v>
      </c>
      <c r="U885" s="1413"/>
      <c r="V885" s="1179" t="s">
        <v>210</v>
      </c>
      <c r="W885" s="2007">
        <v>30</v>
      </c>
      <c r="X885" s="2007">
        <v>26</v>
      </c>
      <c r="Y885" s="2007"/>
      <c r="Z885" s="2206">
        <f t="shared" si="2241"/>
        <v>56</v>
      </c>
      <c r="AA885" s="2007"/>
      <c r="AB885" s="2007"/>
      <c r="AC885" s="2007"/>
      <c r="AD885" s="2206">
        <f t="shared" si="2242"/>
        <v>0</v>
      </c>
      <c r="AE885" s="2208">
        <f t="shared" si="2243"/>
        <v>56</v>
      </c>
      <c r="AF885" s="2007"/>
      <c r="AG885" s="2007"/>
      <c r="AH885" s="2007"/>
      <c r="AI885" s="2206">
        <f t="shared" si="2244"/>
        <v>0</v>
      </c>
      <c r="AJ885" s="2208">
        <f t="shared" si="2234"/>
        <v>56</v>
      </c>
      <c r="AK885" s="2007"/>
      <c r="AL885" s="2007"/>
      <c r="AM885" s="2007"/>
      <c r="AN885" s="2080">
        <f t="shared" si="2235"/>
        <v>0</v>
      </c>
      <c r="AO885" s="2216">
        <f t="shared" si="2236"/>
        <v>56</v>
      </c>
    </row>
    <row r="886">
      <c r="A886" s="1179" t="s">
        <v>211</v>
      </c>
      <c r="B886" s="1850"/>
      <c r="C886" s="1850">
        <v>32</v>
      </c>
      <c r="D886" s="1850"/>
      <c r="E886" s="1851">
        <f t="shared" si="2240"/>
        <v>32</v>
      </c>
      <c r="F886" s="1850"/>
      <c r="G886" s="1850"/>
      <c r="H886" s="2213"/>
      <c r="I886" s="2214">
        <f t="shared" si="2228"/>
        <v>0</v>
      </c>
      <c r="J886" s="2215">
        <f t="shared" si="2229"/>
        <v>32</v>
      </c>
      <c r="K886" s="1850"/>
      <c r="L886" s="1850"/>
      <c r="M886" s="1850"/>
      <c r="N886" s="1851">
        <f t="shared" si="2231"/>
        <v>0</v>
      </c>
      <c r="O886" s="1852">
        <f t="shared" si="2232"/>
        <v>32</v>
      </c>
      <c r="P886" s="1850"/>
      <c r="Q886" s="1850"/>
      <c r="R886" s="1850"/>
      <c r="S886" s="1851">
        <f t="shared" si="2237"/>
        <v>0</v>
      </c>
      <c r="T886" s="1853">
        <f t="shared" si="2245"/>
        <v>32</v>
      </c>
      <c r="U886" s="1413"/>
      <c r="V886" s="1179" t="s">
        <v>211</v>
      </c>
      <c r="W886" s="2007"/>
      <c r="X886" s="2007">
        <v>3</v>
      </c>
      <c r="Y886" s="2007"/>
      <c r="Z886" s="2206">
        <f t="shared" si="2241"/>
        <v>3</v>
      </c>
      <c r="AA886" s="2007"/>
      <c r="AB886" s="2007"/>
      <c r="AC886" s="2007"/>
      <c r="AD886" s="2206">
        <f t="shared" si="2242"/>
        <v>0</v>
      </c>
      <c r="AE886" s="2208">
        <f t="shared" si="2243"/>
        <v>3</v>
      </c>
      <c r="AF886" s="2007"/>
      <c r="AG886" s="2007"/>
      <c r="AH886" s="2007"/>
      <c r="AI886" s="2206">
        <f t="shared" si="2244"/>
        <v>0</v>
      </c>
      <c r="AJ886" s="2208">
        <f t="shared" si="2234"/>
        <v>3</v>
      </c>
      <c r="AK886" s="2007"/>
      <c r="AL886" s="2007"/>
      <c r="AM886" s="2007"/>
      <c r="AN886" s="2080">
        <f t="shared" si="2235"/>
        <v>0</v>
      </c>
      <c r="AO886" s="2216">
        <f t="shared" si="2236"/>
        <v>3</v>
      </c>
    </row>
    <row r="887" s="1510" customFormat="1">
      <c r="A887" s="1511" t="s">
        <v>363</v>
      </c>
      <c r="B887" s="1858">
        <f>SUM(B874:B886)</f>
        <v>2322.5</v>
      </c>
      <c r="C887" s="1858">
        <f t="shared" ref="C887:H887" si="2246">SUM(C874:C886)</f>
        <v>3235</v>
      </c>
      <c r="D887" s="1858">
        <f t="shared" si="2246"/>
        <v>0</v>
      </c>
      <c r="E887" s="1859">
        <f t="shared" si="2240"/>
        <v>5557.5</v>
      </c>
      <c r="F887" s="1858">
        <f>SUM(F874:F886)</f>
        <v>0</v>
      </c>
      <c r="G887" s="1858">
        <f>SUM(G874:G886)</f>
        <v>0</v>
      </c>
      <c r="H887" s="2217">
        <f t="shared" si="2246"/>
        <v>0</v>
      </c>
      <c r="I887" s="2218">
        <f t="shared" si="2228"/>
        <v>0</v>
      </c>
      <c r="J887" s="2219">
        <f t="shared" si="2229"/>
        <v>5557.5</v>
      </c>
      <c r="K887" s="1858">
        <f>SUM(K874:K886)</f>
        <v>0</v>
      </c>
      <c r="L887" s="1858">
        <f>SUM(L874:L886)</f>
        <v>0</v>
      </c>
      <c r="M887" s="1858">
        <f t="shared" ref="M887:R887" si="2247">SUM(M874:M886)</f>
        <v>0</v>
      </c>
      <c r="N887" s="1859">
        <f t="shared" si="2231"/>
        <v>0</v>
      </c>
      <c r="O887" s="1860">
        <f t="shared" si="2232"/>
        <v>5557.5</v>
      </c>
      <c r="P887" s="1858">
        <f t="shared" si="2247"/>
        <v>0</v>
      </c>
      <c r="Q887" s="1858">
        <f t="shared" si="2247"/>
        <v>0</v>
      </c>
      <c r="R887" s="1858">
        <f t="shared" si="2247"/>
        <v>0</v>
      </c>
      <c r="S887" s="1859">
        <f t="shared" si="2237"/>
        <v>0</v>
      </c>
      <c r="T887" s="1861">
        <f>SUM(T874:T886)</f>
        <v>5557.5</v>
      </c>
      <c r="U887" s="1526"/>
      <c r="V887" s="1511" t="s">
        <v>363</v>
      </c>
      <c r="W887" s="1993">
        <f>SUM(W874:W886)</f>
        <v>146</v>
      </c>
      <c r="X887" s="1993">
        <f>SUM(X874:X886)</f>
        <v>186</v>
      </c>
      <c r="Y887" s="1993">
        <f>SUM(Y874:Y886)</f>
        <v>0</v>
      </c>
      <c r="Z887" s="2206">
        <f t="shared" si="2241"/>
        <v>332</v>
      </c>
      <c r="AA887" s="1993">
        <f>SUM(AA874:AA886)</f>
        <v>0</v>
      </c>
      <c r="AB887" s="1993">
        <f>SUM(AB874:AB886)</f>
        <v>0</v>
      </c>
      <c r="AC887" s="1993">
        <f>SUM(AC874:AC886)</f>
        <v>0</v>
      </c>
      <c r="AD887" s="2206">
        <f t="shared" si="2242"/>
        <v>0</v>
      </c>
      <c r="AE887" s="2208">
        <f t="shared" si="2243"/>
        <v>332</v>
      </c>
      <c r="AF887" s="1993">
        <f>SUM(AF874:AF886)</f>
        <v>0</v>
      </c>
      <c r="AG887" s="1993">
        <f>SUM(AG874:AG886)</f>
        <v>0</v>
      </c>
      <c r="AH887" s="1993">
        <f>SUM(AH874:AH886)</f>
        <v>0</v>
      </c>
      <c r="AI887" s="2206">
        <f t="shared" si="2244"/>
        <v>0</v>
      </c>
      <c r="AJ887" s="2208">
        <f t="shared" si="2234"/>
        <v>332</v>
      </c>
      <c r="AK887" s="1993">
        <f>SUM(AK874:AK886)</f>
        <v>0</v>
      </c>
      <c r="AL887" s="1993">
        <f>SUM(AL874:AL886)</f>
        <v>0</v>
      </c>
      <c r="AM887" s="1993">
        <f>SUM(AM874:AM886)</f>
        <v>0</v>
      </c>
      <c r="AN887" s="2080">
        <f t="shared" si="2235"/>
        <v>0</v>
      </c>
      <c r="AO887" s="2216">
        <f t="shared" si="2236"/>
        <v>332</v>
      </c>
      <c r="AP887" s="1515"/>
      <c r="AQ887" s="1515"/>
      <c r="AR887" s="1515"/>
      <c r="AS887" s="1515"/>
      <c r="AT887" s="1515"/>
      <c r="AU887" s="1515"/>
      <c r="AV887" s="1515"/>
      <c r="AW887" s="1515"/>
      <c r="AX887" s="1515"/>
      <c r="AY887" s="1515"/>
      <c r="AZ887" s="1515"/>
    </row>
    <row r="888">
      <c r="A888" s="1179" t="s">
        <v>379</v>
      </c>
      <c r="B888" s="1850"/>
      <c r="C888" s="1850"/>
      <c r="D888" s="1850"/>
      <c r="E888" s="1851">
        <f t="shared" si="2240"/>
        <v>0</v>
      </c>
      <c r="F888" s="1850"/>
      <c r="G888" s="1850"/>
      <c r="H888" s="2213"/>
      <c r="I888" s="2214">
        <f t="shared" si="2228"/>
        <v>0</v>
      </c>
      <c r="J888" s="2215">
        <f t="shared" si="2229"/>
        <v>0</v>
      </c>
      <c r="K888" s="1850"/>
      <c r="L888" s="1850"/>
      <c r="M888" s="1850"/>
      <c r="N888" s="1851">
        <f t="shared" si="2231"/>
        <v>0</v>
      </c>
      <c r="O888" s="1852">
        <f t="shared" si="2232"/>
        <v>0</v>
      </c>
      <c r="P888" s="1850"/>
      <c r="Q888" s="1850"/>
      <c r="R888" s="1850"/>
      <c r="S888" s="1851">
        <f t="shared" si="2237"/>
        <v>0</v>
      </c>
      <c r="T888" s="1853">
        <f t="shared" ref="T888:T890" si="2248">O888+S888</f>
        <v>0</v>
      </c>
      <c r="U888" s="1413"/>
      <c r="V888" s="1179" t="s">
        <v>379</v>
      </c>
      <c r="W888" s="2007"/>
      <c r="X888" s="2007"/>
      <c r="Y888" s="2007"/>
      <c r="Z888" s="2206">
        <f t="shared" si="2241"/>
        <v>0</v>
      </c>
      <c r="AA888" s="2007"/>
      <c r="AB888" s="2007"/>
      <c r="AC888" s="2007"/>
      <c r="AD888" s="2206">
        <f t="shared" si="2242"/>
        <v>0</v>
      </c>
      <c r="AE888" s="2208">
        <f t="shared" si="2243"/>
        <v>0</v>
      </c>
      <c r="AF888" s="2007"/>
      <c r="AG888" s="2007"/>
      <c r="AH888" s="2007"/>
      <c r="AI888" s="2206">
        <f t="shared" si="2244"/>
        <v>0</v>
      </c>
      <c r="AJ888" s="2208">
        <f t="shared" si="2234"/>
        <v>0</v>
      </c>
      <c r="AK888" s="2007"/>
      <c r="AL888" s="2007"/>
      <c r="AM888" s="2007"/>
      <c r="AN888" s="2080">
        <f t="shared" si="2235"/>
        <v>0</v>
      </c>
      <c r="AO888" s="2216">
        <f t="shared" si="2236"/>
        <v>0</v>
      </c>
    </row>
    <row r="889">
      <c r="A889" s="1561" t="s">
        <v>525</v>
      </c>
      <c r="B889" s="1850"/>
      <c r="C889" s="1850"/>
      <c r="D889" s="1850"/>
      <c r="E889" s="1851">
        <f t="shared" si="2240"/>
        <v>0</v>
      </c>
      <c r="F889" s="1850"/>
      <c r="G889" s="1850"/>
      <c r="H889" s="2213"/>
      <c r="I889" s="2214">
        <f t="shared" si="2228"/>
        <v>0</v>
      </c>
      <c r="J889" s="2215">
        <f t="shared" si="2229"/>
        <v>0</v>
      </c>
      <c r="K889" s="1850"/>
      <c r="L889" s="1850"/>
      <c r="M889" s="1850"/>
      <c r="N889" s="1851">
        <f t="shared" si="2231"/>
        <v>0</v>
      </c>
      <c r="O889" s="1852">
        <f t="shared" si="2232"/>
        <v>0</v>
      </c>
      <c r="P889" s="1850"/>
      <c r="Q889" s="1850"/>
      <c r="R889" s="1850"/>
      <c r="S889" s="1851">
        <f t="shared" si="2237"/>
        <v>0</v>
      </c>
      <c r="T889" s="1853">
        <f t="shared" si="2248"/>
        <v>0</v>
      </c>
      <c r="U889" s="1413"/>
      <c r="V889" s="1551" t="s">
        <v>525</v>
      </c>
      <c r="W889" s="2007"/>
      <c r="X889" s="2007"/>
      <c r="Y889" s="2007"/>
      <c r="Z889" s="2206">
        <f t="shared" si="2241"/>
        <v>0</v>
      </c>
      <c r="AA889" s="2007"/>
      <c r="AB889" s="2007"/>
      <c r="AC889" s="2007"/>
      <c r="AD889" s="2206">
        <f t="shared" si="2242"/>
        <v>0</v>
      </c>
      <c r="AE889" s="2208">
        <f t="shared" si="2243"/>
        <v>0</v>
      </c>
      <c r="AF889" s="2007"/>
      <c r="AG889" s="2007"/>
      <c r="AH889" s="2007"/>
      <c r="AI889" s="2206">
        <f t="shared" si="2244"/>
        <v>0</v>
      </c>
      <c r="AJ889" s="2208">
        <f t="shared" si="2234"/>
        <v>0</v>
      </c>
      <c r="AK889" s="2007"/>
      <c r="AL889" s="2007"/>
      <c r="AM889" s="2007"/>
      <c r="AN889" s="2080">
        <f t="shared" si="2235"/>
        <v>0</v>
      </c>
      <c r="AO889" s="2216">
        <f t="shared" si="2236"/>
        <v>0</v>
      </c>
    </row>
    <row r="890">
      <c r="A890" s="1551" t="s">
        <v>543</v>
      </c>
      <c r="B890" s="1850"/>
      <c r="C890" s="1850"/>
      <c r="D890" s="1850"/>
      <c r="E890" s="1851">
        <f t="shared" si="2240"/>
        <v>0</v>
      </c>
      <c r="F890" s="1850"/>
      <c r="G890" s="1850"/>
      <c r="H890" s="2213"/>
      <c r="I890" s="2214">
        <f t="shared" ref="I890:I953" si="2249">F890+G890+H890</f>
        <v>0</v>
      </c>
      <c r="J890" s="2215">
        <f t="shared" ref="J890:J953" si="2250">E890+I890</f>
        <v>0</v>
      </c>
      <c r="K890" s="1850"/>
      <c r="L890" s="1850"/>
      <c r="M890" s="1850"/>
      <c r="N890" s="1851">
        <f t="shared" si="2231"/>
        <v>0</v>
      </c>
      <c r="O890" s="1852">
        <f t="shared" si="2232"/>
        <v>0</v>
      </c>
      <c r="P890" s="1850"/>
      <c r="Q890" s="1850"/>
      <c r="R890" s="1850"/>
      <c r="S890" s="1851">
        <f t="shared" si="2237"/>
        <v>0</v>
      </c>
      <c r="T890" s="1853">
        <f t="shared" si="2248"/>
        <v>0</v>
      </c>
      <c r="U890" s="1413"/>
      <c r="V890" s="1551" t="s">
        <v>543</v>
      </c>
      <c r="W890" s="2007"/>
      <c r="X890" s="2007"/>
      <c r="Y890" s="2007"/>
      <c r="Z890" s="2206">
        <f t="shared" si="2241"/>
        <v>0</v>
      </c>
      <c r="AA890" s="2007"/>
      <c r="AB890" s="2007"/>
      <c r="AC890" s="2007"/>
      <c r="AD890" s="2206">
        <f t="shared" si="2242"/>
        <v>0</v>
      </c>
      <c r="AE890" s="2208">
        <f t="shared" si="2243"/>
        <v>0</v>
      </c>
      <c r="AF890" s="2007"/>
      <c r="AG890" s="2007"/>
      <c r="AH890" s="2007"/>
      <c r="AI890" s="2206">
        <f t="shared" si="2244"/>
        <v>0</v>
      </c>
      <c r="AJ890" s="2208">
        <f t="shared" si="2234"/>
        <v>0</v>
      </c>
      <c r="AK890" s="2007"/>
      <c r="AL890" s="2007"/>
      <c r="AM890" s="2007"/>
      <c r="AN890" s="2080">
        <f t="shared" si="2235"/>
        <v>0</v>
      </c>
      <c r="AO890" s="2216">
        <f t="shared" si="2236"/>
        <v>0</v>
      </c>
    </row>
    <row r="891" s="1510" customFormat="1">
      <c r="A891" s="1511" t="s">
        <v>544</v>
      </c>
      <c r="B891" s="1858">
        <f t="shared" ref="B891:H891" si="2251">SUM(B888:B890)</f>
        <v>0</v>
      </c>
      <c r="C891" s="1858">
        <f t="shared" si="2251"/>
        <v>0</v>
      </c>
      <c r="D891" s="1858">
        <f t="shared" si="2251"/>
        <v>0</v>
      </c>
      <c r="E891" s="1859">
        <f t="shared" si="2240"/>
        <v>0</v>
      </c>
      <c r="F891" s="1858">
        <f>SUM(F888:F890)</f>
        <v>0</v>
      </c>
      <c r="G891" s="1858">
        <f>SUM(G888:G890)</f>
        <v>0</v>
      </c>
      <c r="H891" s="2217">
        <f t="shared" si="2251"/>
        <v>0</v>
      </c>
      <c r="I891" s="2218">
        <f t="shared" si="2249"/>
        <v>0</v>
      </c>
      <c r="J891" s="2219">
        <f t="shared" si="2250"/>
        <v>0</v>
      </c>
      <c r="K891" s="1858">
        <f>SUM(K888:K890)</f>
        <v>0</v>
      </c>
      <c r="L891" s="1858">
        <f>SUM(L888:L890)</f>
        <v>0</v>
      </c>
      <c r="M891" s="1858">
        <f t="shared" ref="M891:R895" si="2252">SUM(M888:M890)</f>
        <v>0</v>
      </c>
      <c r="N891" s="1859">
        <f t="shared" si="2231"/>
        <v>0</v>
      </c>
      <c r="O891" s="1860">
        <f t="shared" si="2232"/>
        <v>0</v>
      </c>
      <c r="P891" s="1858">
        <f t="shared" si="2252"/>
        <v>0</v>
      </c>
      <c r="Q891" s="1858">
        <f t="shared" si="2252"/>
        <v>0</v>
      </c>
      <c r="R891" s="1858">
        <f t="shared" si="2252"/>
        <v>0</v>
      </c>
      <c r="S891" s="1859">
        <f t="shared" si="2237"/>
        <v>0</v>
      </c>
      <c r="T891" s="1861">
        <f>SUM(T888:T890)</f>
        <v>0</v>
      </c>
      <c r="U891" s="1526"/>
      <c r="V891" s="1511" t="s">
        <v>544</v>
      </c>
      <c r="W891" s="1993">
        <f t="shared" ref="W891:AM891" si="2253">SUM(W888:W890)</f>
        <v>0</v>
      </c>
      <c r="X891" s="1993">
        <f t="shared" si="2253"/>
        <v>0</v>
      </c>
      <c r="Y891" s="1993">
        <f t="shared" si="2253"/>
        <v>0</v>
      </c>
      <c r="Z891" s="2206">
        <f t="shared" si="2241"/>
        <v>0</v>
      </c>
      <c r="AA891" s="1993">
        <f t="shared" si="2253"/>
        <v>0</v>
      </c>
      <c r="AB891" s="1993">
        <f t="shared" si="2253"/>
        <v>0</v>
      </c>
      <c r="AC891" s="1993">
        <f t="shared" si="2253"/>
        <v>0</v>
      </c>
      <c r="AD891" s="2206">
        <f t="shared" si="2242"/>
        <v>0</v>
      </c>
      <c r="AE891" s="2208">
        <f t="shared" si="2243"/>
        <v>0</v>
      </c>
      <c r="AF891" s="1993">
        <f>SUM(AF888:AF890)</f>
        <v>0</v>
      </c>
      <c r="AG891" s="1993">
        <f>SUM(AG888:AG890)</f>
        <v>0</v>
      </c>
      <c r="AH891" s="1993">
        <f>SUM(AH888:AH890)</f>
        <v>0</v>
      </c>
      <c r="AI891" s="2206">
        <f t="shared" si="2244"/>
        <v>0</v>
      </c>
      <c r="AJ891" s="2208">
        <f t="shared" si="2234"/>
        <v>0</v>
      </c>
      <c r="AK891" s="1993">
        <f t="shared" si="2253"/>
        <v>0</v>
      </c>
      <c r="AL891" s="1993">
        <f>SUM(AL888:AL890)</f>
        <v>0</v>
      </c>
      <c r="AM891" s="1993">
        <f t="shared" si="2253"/>
        <v>0</v>
      </c>
      <c r="AN891" s="2080">
        <f t="shared" si="2235"/>
        <v>0</v>
      </c>
      <c r="AO891" s="2216">
        <f t="shared" si="2236"/>
        <v>0</v>
      </c>
      <c r="AP891" s="1515"/>
      <c r="AQ891" s="1515"/>
      <c r="AR891" s="1515"/>
      <c r="AS891" s="1515"/>
      <c r="AT891" s="1515"/>
      <c r="AU891" s="1515"/>
      <c r="AV891" s="1515"/>
      <c r="AW891" s="1515"/>
      <c r="AX891" s="1515"/>
      <c r="AY891" s="1515"/>
      <c r="AZ891" s="1515"/>
    </row>
    <row r="892">
      <c r="A892" s="1179" t="s">
        <v>390</v>
      </c>
      <c r="B892" s="1850">
        <v>27.5</v>
      </c>
      <c r="C892" s="1850">
        <f>72.5+32</f>
        <v>104.5</v>
      </c>
      <c r="D892" s="1850"/>
      <c r="E892" s="1851">
        <f t="shared" si="2240"/>
        <v>132</v>
      </c>
      <c r="F892" s="1850"/>
      <c r="G892" s="1850"/>
      <c r="H892" s="2213"/>
      <c r="I892" s="2214">
        <f t="shared" si="2249"/>
        <v>0</v>
      </c>
      <c r="J892" s="2215">
        <f t="shared" si="2250"/>
        <v>132</v>
      </c>
      <c r="K892" s="1850"/>
      <c r="L892" s="1850"/>
      <c r="M892" s="1850"/>
      <c r="N892" s="1851">
        <f t="shared" si="2231"/>
        <v>0</v>
      </c>
      <c r="O892" s="1852">
        <f t="shared" si="2232"/>
        <v>132</v>
      </c>
      <c r="P892" s="1850"/>
      <c r="Q892" s="1850"/>
      <c r="R892" s="1850"/>
      <c r="S892" s="1851">
        <f t="shared" si="2237"/>
        <v>0</v>
      </c>
      <c r="T892" s="1853">
        <f t="shared" ref="T892:T894" si="2254">O892+S892</f>
        <v>132</v>
      </c>
      <c r="U892" s="1413"/>
      <c r="V892" s="1179" t="s">
        <v>390</v>
      </c>
      <c r="W892" s="2007">
        <v>5</v>
      </c>
      <c r="X892" s="2007">
        <f>11+3</f>
        <v>14</v>
      </c>
      <c r="Y892" s="2007"/>
      <c r="Z892" s="2206">
        <f t="shared" si="2241"/>
        <v>19</v>
      </c>
      <c r="AA892" s="2007"/>
      <c r="AB892" s="2007"/>
      <c r="AC892" s="2007"/>
      <c r="AD892" s="2206">
        <f t="shared" si="2242"/>
        <v>0</v>
      </c>
      <c r="AE892" s="2208">
        <f t="shared" si="2243"/>
        <v>19</v>
      </c>
      <c r="AF892" s="2007"/>
      <c r="AG892" s="2007"/>
      <c r="AH892" s="2007"/>
      <c r="AI892" s="2206">
        <f t="shared" si="2244"/>
        <v>0</v>
      </c>
      <c r="AJ892" s="2208">
        <f t="shared" si="2234"/>
        <v>19</v>
      </c>
      <c r="AK892" s="2007"/>
      <c r="AL892" s="2007"/>
      <c r="AM892" s="2007"/>
      <c r="AN892" s="2080">
        <f t="shared" si="2235"/>
        <v>0</v>
      </c>
      <c r="AO892" s="2216">
        <f t="shared" si="2236"/>
        <v>19</v>
      </c>
    </row>
    <row r="893">
      <c r="A893" s="1179" t="s">
        <v>392</v>
      </c>
      <c r="B893" s="1850">
        <f>27.5+412</f>
        <v>439.5</v>
      </c>
      <c r="C893" s="1850">
        <f>72.5+754</f>
        <v>826.5</v>
      </c>
      <c r="D893" s="1850"/>
      <c r="E893" s="1851">
        <f t="shared" si="2240"/>
        <v>1266</v>
      </c>
      <c r="F893" s="1850"/>
      <c r="G893" s="1850"/>
      <c r="H893" s="2213"/>
      <c r="I893" s="2214">
        <f t="shared" si="2249"/>
        <v>0</v>
      </c>
      <c r="J893" s="2215">
        <f t="shared" si="2250"/>
        <v>1266</v>
      </c>
      <c r="K893" s="1850"/>
      <c r="L893" s="1850"/>
      <c r="M893" s="1850"/>
      <c r="N893" s="1851">
        <f t="shared" si="2231"/>
        <v>0</v>
      </c>
      <c r="O893" s="1852">
        <f t="shared" si="2232"/>
        <v>1266</v>
      </c>
      <c r="P893" s="1850"/>
      <c r="Q893" s="1850"/>
      <c r="R893" s="1850"/>
      <c r="S893" s="1851">
        <f t="shared" si="2237"/>
        <v>0</v>
      </c>
      <c r="T893" s="1853">
        <f t="shared" si="2254"/>
        <v>1266</v>
      </c>
      <c r="U893" s="1413"/>
      <c r="V893" s="1179" t="s">
        <v>392</v>
      </c>
      <c r="W893" s="2007">
        <f>5+38</f>
        <v>43</v>
      </c>
      <c r="X893" s="2007">
        <f>12+74</f>
        <v>86</v>
      </c>
      <c r="Y893" s="2007"/>
      <c r="Z893" s="2206">
        <f t="shared" si="2241"/>
        <v>129</v>
      </c>
      <c r="AA893" s="2007"/>
      <c r="AB893" s="2007"/>
      <c r="AC893" s="2007"/>
      <c r="AD893" s="2206">
        <f t="shared" si="2242"/>
        <v>0</v>
      </c>
      <c r="AE893" s="2208">
        <f t="shared" si="2243"/>
        <v>129</v>
      </c>
      <c r="AF893" s="2007"/>
      <c r="AG893" s="2007"/>
      <c r="AH893" s="2007"/>
      <c r="AI893" s="2206">
        <f t="shared" si="2244"/>
        <v>0</v>
      </c>
      <c r="AJ893" s="2208">
        <f t="shared" si="2234"/>
        <v>129</v>
      </c>
      <c r="AK893" s="2007"/>
      <c r="AL893" s="2007"/>
      <c r="AM893" s="2007"/>
      <c r="AN893" s="2080">
        <f t="shared" si="2235"/>
        <v>0</v>
      </c>
      <c r="AO893" s="2216">
        <f t="shared" si="2236"/>
        <v>129</v>
      </c>
    </row>
    <row r="894">
      <c r="A894" s="1179" t="s">
        <v>265</v>
      </c>
      <c r="B894" s="1850"/>
      <c r="C894" s="1850"/>
      <c r="D894" s="1850"/>
      <c r="E894" s="1851">
        <f t="shared" si="2240"/>
        <v>0</v>
      </c>
      <c r="F894" s="1850"/>
      <c r="G894" s="1850"/>
      <c r="H894" s="2213"/>
      <c r="I894" s="2214">
        <f t="shared" si="2249"/>
        <v>0</v>
      </c>
      <c r="J894" s="2215">
        <f t="shared" si="2250"/>
        <v>0</v>
      </c>
      <c r="K894" s="1850"/>
      <c r="L894" s="1850"/>
      <c r="M894" s="1850"/>
      <c r="N894" s="1851">
        <f t="shared" ref="N894:N957" si="2255">K894+L894+M894</f>
        <v>0</v>
      </c>
      <c r="O894" s="1852">
        <f t="shared" ref="O894:O957" si="2256">J894+N894</f>
        <v>0</v>
      </c>
      <c r="P894" s="1850"/>
      <c r="Q894" s="1850"/>
      <c r="R894" s="1850"/>
      <c r="S894" s="1851">
        <f t="shared" si="2237"/>
        <v>0</v>
      </c>
      <c r="T894" s="1853">
        <f t="shared" si="2254"/>
        <v>0</v>
      </c>
      <c r="U894" s="1413"/>
      <c r="V894" s="1179" t="s">
        <v>265</v>
      </c>
      <c r="W894" s="2007"/>
      <c r="X894" s="2007"/>
      <c r="Y894" s="2007"/>
      <c r="Z894" s="2206">
        <f t="shared" si="2241"/>
        <v>0</v>
      </c>
      <c r="AA894" s="2007"/>
      <c r="AB894" s="2007"/>
      <c r="AC894" s="2007"/>
      <c r="AD894" s="2206">
        <f t="shared" si="2242"/>
        <v>0</v>
      </c>
      <c r="AE894" s="2208">
        <f t="shared" si="2243"/>
        <v>0</v>
      </c>
      <c r="AF894" s="2007"/>
      <c r="AG894" s="2007"/>
      <c r="AH894" s="2007"/>
      <c r="AI894" s="2206">
        <f t="shared" si="2244"/>
        <v>0</v>
      </c>
      <c r="AJ894" s="2208">
        <f t="shared" si="2234"/>
        <v>0</v>
      </c>
      <c r="AK894" s="2007"/>
      <c r="AL894" s="2007"/>
      <c r="AM894" s="2007"/>
      <c r="AN894" s="2080">
        <f t="shared" si="2235"/>
        <v>0</v>
      </c>
      <c r="AO894" s="2216">
        <f t="shared" si="2236"/>
        <v>0</v>
      </c>
    </row>
    <row r="895" s="1510" customFormat="1">
      <c r="A895" s="1511" t="s">
        <v>394</v>
      </c>
      <c r="B895" s="1858">
        <f>SUM(B892:B894)</f>
        <v>467</v>
      </c>
      <c r="C895" s="1858">
        <f t="shared" ref="C895:H895" si="2257">SUM(C892:C894)</f>
        <v>931</v>
      </c>
      <c r="D895" s="1858">
        <f t="shared" si="2257"/>
        <v>0</v>
      </c>
      <c r="E895" s="1859">
        <f t="shared" si="2240"/>
        <v>1398</v>
      </c>
      <c r="F895" s="1858">
        <f>SUM(F892:F894)</f>
        <v>0</v>
      </c>
      <c r="G895" s="1858">
        <f>SUM(G892:G894)</f>
        <v>0</v>
      </c>
      <c r="H895" s="2217">
        <f t="shared" si="2257"/>
        <v>0</v>
      </c>
      <c r="I895" s="2218">
        <f t="shared" si="2249"/>
        <v>0</v>
      </c>
      <c r="J895" s="2219">
        <f t="shared" si="2250"/>
        <v>1398</v>
      </c>
      <c r="K895" s="1858">
        <f>SUM(K892:K894)</f>
        <v>0</v>
      </c>
      <c r="L895" s="1858">
        <f>SUM(L892:L894)</f>
        <v>0</v>
      </c>
      <c r="M895" s="1858">
        <f t="shared" si="2252"/>
        <v>0</v>
      </c>
      <c r="N895" s="1859">
        <f t="shared" si="2255"/>
        <v>0</v>
      </c>
      <c r="O895" s="1860">
        <f t="shared" si="2256"/>
        <v>1398</v>
      </c>
      <c r="P895" s="1858">
        <f t="shared" si="2252"/>
        <v>0</v>
      </c>
      <c r="Q895" s="1858">
        <f t="shared" si="2252"/>
        <v>0</v>
      </c>
      <c r="R895" s="1858">
        <f t="shared" si="2252"/>
        <v>0</v>
      </c>
      <c r="S895" s="1859">
        <f t="shared" si="2237"/>
        <v>0</v>
      </c>
      <c r="T895" s="1861">
        <f>SUM(T892:T894)</f>
        <v>1398</v>
      </c>
      <c r="U895" s="1526"/>
      <c r="V895" s="1511" t="s">
        <v>394</v>
      </c>
      <c r="W895" s="1993">
        <f>SUM(W892:W894)</f>
        <v>48</v>
      </c>
      <c r="X895" s="1993">
        <f>SUM(X892:X894)</f>
        <v>100</v>
      </c>
      <c r="Y895" s="1993">
        <f>SUM(Y892:Y894)</f>
        <v>0</v>
      </c>
      <c r="Z895" s="2206">
        <f t="shared" si="2241"/>
        <v>148</v>
      </c>
      <c r="AA895" s="1993">
        <f>SUM(AA892:AA894)</f>
        <v>0</v>
      </c>
      <c r="AB895" s="1993">
        <f>SUM(AB892:AB894)</f>
        <v>0</v>
      </c>
      <c r="AC895" s="1993">
        <f>SUM(AC892:AC894)</f>
        <v>0</v>
      </c>
      <c r="AD895" s="2206">
        <f t="shared" si="2242"/>
        <v>0</v>
      </c>
      <c r="AE895" s="2208">
        <f t="shared" si="2243"/>
        <v>148</v>
      </c>
      <c r="AF895" s="1993">
        <f>SUM(AF892:AF894)</f>
        <v>0</v>
      </c>
      <c r="AG895" s="1993">
        <f>SUM(AG892:AG894)</f>
        <v>0</v>
      </c>
      <c r="AH895" s="1993">
        <f>SUM(AH892:AH894)</f>
        <v>0</v>
      </c>
      <c r="AI895" s="2206">
        <f t="shared" si="2244"/>
        <v>0</v>
      </c>
      <c r="AJ895" s="2208">
        <f t="shared" ref="AJ895:AJ958" si="2258">AE895+AI895</f>
        <v>148</v>
      </c>
      <c r="AK895" s="1993">
        <f>SUM(AK892:AK894)</f>
        <v>0</v>
      </c>
      <c r="AL895" s="1993">
        <f>SUM(AL892:AL894)</f>
        <v>0</v>
      </c>
      <c r="AM895" s="1993">
        <f>SUM(AM892:AM894)</f>
        <v>0</v>
      </c>
      <c r="AN895" s="2080">
        <f t="shared" ref="AN895:AN958" si="2259">AK895+AL895+AM895</f>
        <v>0</v>
      </c>
      <c r="AO895" s="2216">
        <f t="shared" ref="AO895:AO958" si="2260">AJ895+AN895</f>
        <v>148</v>
      </c>
      <c r="AP895" s="1515"/>
      <c r="AQ895" s="1515"/>
      <c r="AR895" s="1515"/>
      <c r="AS895" s="1515"/>
      <c r="AT895" s="1515"/>
      <c r="AU895" s="1515"/>
      <c r="AV895" s="1515"/>
      <c r="AW895" s="1515"/>
      <c r="AX895" s="1515"/>
      <c r="AY895" s="1515"/>
      <c r="AZ895" s="1515"/>
    </row>
    <row r="896" s="1510" customFormat="1">
      <c r="A896" s="1904" t="s">
        <v>545</v>
      </c>
      <c r="B896" s="2191">
        <f>B873+B887+B891+B895</f>
        <v>3724</v>
      </c>
      <c r="C896" s="2191">
        <f t="shared" ref="C896:H896" si="2261">C873+C887+C891+C895</f>
        <v>5021</v>
      </c>
      <c r="D896" s="2191">
        <f t="shared" si="2261"/>
        <v>0</v>
      </c>
      <c r="E896" s="1859">
        <f t="shared" si="2240"/>
        <v>8745</v>
      </c>
      <c r="F896" s="2191">
        <f>F873+F887+F891+F895</f>
        <v>0</v>
      </c>
      <c r="G896" s="2191">
        <f>G873+G887+G891+G895</f>
        <v>0</v>
      </c>
      <c r="H896" s="2220">
        <f t="shared" si="2261"/>
        <v>0</v>
      </c>
      <c r="I896" s="2218">
        <f t="shared" si="2249"/>
        <v>0</v>
      </c>
      <c r="J896" s="2218">
        <f t="shared" si="2250"/>
        <v>8745</v>
      </c>
      <c r="K896" s="2191">
        <f>K873+K887+K891+K895</f>
        <v>0</v>
      </c>
      <c r="L896" s="2191">
        <f>L873+L887+L891+L895</f>
        <v>0</v>
      </c>
      <c r="M896" s="2191">
        <f>M873+M887+M891+M895</f>
        <v>0</v>
      </c>
      <c r="N896" s="1859">
        <f t="shared" si="2255"/>
        <v>0</v>
      </c>
      <c r="O896" s="1859">
        <f t="shared" si="2256"/>
        <v>8745</v>
      </c>
      <c r="P896" s="2191">
        <f>P873+P887+P891+P895</f>
        <v>0</v>
      </c>
      <c r="Q896" s="2191">
        <f>Q873+Q887+Q891+Q895</f>
        <v>0</v>
      </c>
      <c r="R896" s="2191">
        <f>R873+R887+R891+R895</f>
        <v>0</v>
      </c>
      <c r="S896" s="2191">
        <f>S873+S887+S891+S895</f>
        <v>0</v>
      </c>
      <c r="T896" s="2191">
        <f>T873+T887+T891+T895</f>
        <v>8739.5</v>
      </c>
      <c r="U896" s="1526"/>
      <c r="V896" s="1511" t="s">
        <v>545</v>
      </c>
      <c r="W896" s="1993">
        <f>W873+W887+W891+W895</f>
        <v>315</v>
      </c>
      <c r="X896" s="1993">
        <f>X873+X887+X891+X895</f>
        <v>390</v>
      </c>
      <c r="Y896" s="1993">
        <f>Y873+Y887+Y891+Y895</f>
        <v>0</v>
      </c>
      <c r="Z896" s="2206">
        <f t="shared" si="2241"/>
        <v>705</v>
      </c>
      <c r="AA896" s="1993">
        <f>AA873+AA887+AA891+AA895</f>
        <v>0</v>
      </c>
      <c r="AB896" s="1993">
        <f>AB873+AB887+AB891+AB895</f>
        <v>0</v>
      </c>
      <c r="AC896" s="1993">
        <f>AC873+AC887+AC891+AC895</f>
        <v>0</v>
      </c>
      <c r="AD896" s="2206">
        <f t="shared" si="2242"/>
        <v>0</v>
      </c>
      <c r="AE896" s="2208">
        <f t="shared" si="2243"/>
        <v>705</v>
      </c>
      <c r="AF896" s="1993">
        <f>AF873+AF887+AF891+AF895</f>
        <v>0</v>
      </c>
      <c r="AG896" s="1993">
        <f>AG873+AG887+AG891+AG895</f>
        <v>0</v>
      </c>
      <c r="AH896" s="1993">
        <f>AH873+AH887+AH891+AH895</f>
        <v>0</v>
      </c>
      <c r="AI896" s="2206">
        <f t="shared" si="2244"/>
        <v>0</v>
      </c>
      <c r="AJ896" s="2208">
        <f t="shared" si="2258"/>
        <v>705</v>
      </c>
      <c r="AK896" s="1993">
        <f>AK873+AK887+AK891+AK895</f>
        <v>0</v>
      </c>
      <c r="AL896" s="1993">
        <f>AL873+AL887+AL891+AL895</f>
        <v>0</v>
      </c>
      <c r="AM896" s="1993">
        <f>AM873+AM887+AM891+AM895</f>
        <v>0</v>
      </c>
      <c r="AN896" s="2080">
        <f t="shared" si="2259"/>
        <v>0</v>
      </c>
      <c r="AO896" s="2216">
        <f t="shared" si="2260"/>
        <v>705</v>
      </c>
      <c r="AP896" s="1515"/>
      <c r="AQ896" s="1515"/>
      <c r="AR896" s="1515"/>
      <c r="AS896" s="1515"/>
      <c r="AT896" s="1515"/>
      <c r="AU896" s="1515"/>
      <c r="AV896" s="1515"/>
      <c r="AW896" s="1515"/>
      <c r="AX896" s="1515"/>
      <c r="AY896" s="1515"/>
      <c r="AZ896" s="1515"/>
    </row>
    <row r="897">
      <c r="A897" s="1179" t="s">
        <v>50</v>
      </c>
      <c r="B897" s="1850">
        <v>45</v>
      </c>
      <c r="C897" s="1850"/>
      <c r="D897" s="1850"/>
      <c r="E897" s="1851">
        <f t="shared" si="2240"/>
        <v>45</v>
      </c>
      <c r="F897" s="1850"/>
      <c r="G897" s="1850"/>
      <c r="H897" s="2213"/>
      <c r="I897" s="2214">
        <f t="shared" si="2249"/>
        <v>0</v>
      </c>
      <c r="J897" s="2215">
        <f t="shared" si="2250"/>
        <v>45</v>
      </c>
      <c r="K897" s="1850"/>
      <c r="L897" s="1850"/>
      <c r="M897" s="1850"/>
      <c r="N897" s="1851">
        <f t="shared" si="2255"/>
        <v>0</v>
      </c>
      <c r="O897" s="1852">
        <f t="shared" si="2256"/>
        <v>45</v>
      </c>
      <c r="P897" s="1850"/>
      <c r="Q897" s="1850"/>
      <c r="R897" s="1850"/>
      <c r="S897" s="1851">
        <f t="shared" si="2237"/>
        <v>0</v>
      </c>
      <c r="T897" s="1853">
        <f t="shared" ref="T897:T903" si="2262">O897+S897</f>
        <v>45</v>
      </c>
      <c r="U897" s="1413"/>
      <c r="V897" s="1179" t="s">
        <v>50</v>
      </c>
      <c r="W897" s="2007">
        <v>1</v>
      </c>
      <c r="X897" s="2007"/>
      <c r="Y897" s="2007"/>
      <c r="Z897" s="2206">
        <f t="shared" si="2241"/>
        <v>1</v>
      </c>
      <c r="AA897" s="2007"/>
      <c r="AB897" s="2007"/>
      <c r="AC897" s="2007"/>
      <c r="AD897" s="2206">
        <f t="shared" si="2242"/>
        <v>0</v>
      </c>
      <c r="AE897" s="2208">
        <f t="shared" si="2243"/>
        <v>1</v>
      </c>
      <c r="AF897" s="2007"/>
      <c r="AG897" s="2007"/>
      <c r="AH897" s="2007"/>
      <c r="AI897" s="2206">
        <f t="shared" si="2244"/>
        <v>0</v>
      </c>
      <c r="AJ897" s="2208">
        <f t="shared" si="2258"/>
        <v>1</v>
      </c>
      <c r="AK897" s="2007"/>
      <c r="AL897" s="2007"/>
      <c r="AM897" s="2007"/>
      <c r="AN897" s="2080">
        <f t="shared" si="2259"/>
        <v>0</v>
      </c>
      <c r="AO897" s="2216">
        <f t="shared" si="2260"/>
        <v>1</v>
      </c>
    </row>
    <row r="898">
      <c r="A898" s="1179" t="s">
        <v>397</v>
      </c>
      <c r="B898" s="1850"/>
      <c r="C898" s="1850"/>
      <c r="D898" s="1850"/>
      <c r="E898" s="1851">
        <f t="shared" si="2240"/>
        <v>0</v>
      </c>
      <c r="F898" s="1850"/>
      <c r="G898" s="1850"/>
      <c r="H898" s="2213"/>
      <c r="I898" s="2214">
        <f t="shared" si="2249"/>
        <v>0</v>
      </c>
      <c r="J898" s="2215">
        <f t="shared" si="2250"/>
        <v>0</v>
      </c>
      <c r="K898" s="1850"/>
      <c r="L898" s="1850"/>
      <c r="M898" s="1850"/>
      <c r="N898" s="1851">
        <f t="shared" si="2255"/>
        <v>0</v>
      </c>
      <c r="O898" s="1852">
        <f t="shared" si="2256"/>
        <v>0</v>
      </c>
      <c r="P898" s="1850"/>
      <c r="Q898" s="1850"/>
      <c r="R898" s="1850"/>
      <c r="S898" s="1851">
        <f t="shared" si="2237"/>
        <v>0</v>
      </c>
      <c r="T898" s="1853">
        <f t="shared" si="2262"/>
        <v>0</v>
      </c>
      <c r="U898" s="1413"/>
      <c r="V898" s="1179" t="s">
        <v>397</v>
      </c>
      <c r="W898" s="2007"/>
      <c r="X898" s="2007"/>
      <c r="Y898" s="2007"/>
      <c r="Z898" s="2206">
        <f t="shared" si="2241"/>
        <v>0</v>
      </c>
      <c r="AA898" s="2007"/>
      <c r="AB898" s="2007"/>
      <c r="AC898" s="2007"/>
      <c r="AD898" s="2206">
        <f t="shared" si="2242"/>
        <v>0</v>
      </c>
      <c r="AE898" s="2208">
        <f t="shared" si="2243"/>
        <v>0</v>
      </c>
      <c r="AF898" s="2007"/>
      <c r="AG898" s="2007"/>
      <c r="AH898" s="2007"/>
      <c r="AI898" s="2206">
        <f t="shared" si="2244"/>
        <v>0</v>
      </c>
      <c r="AJ898" s="2208">
        <f t="shared" si="2258"/>
        <v>0</v>
      </c>
      <c r="AK898" s="2007"/>
      <c r="AL898" s="2007"/>
      <c r="AM898" s="2007"/>
      <c r="AN898" s="2080">
        <f t="shared" si="2259"/>
        <v>0</v>
      </c>
      <c r="AO898" s="2216">
        <f t="shared" si="2260"/>
        <v>0</v>
      </c>
    </row>
    <row r="899">
      <c r="A899" s="1179" t="s">
        <v>546</v>
      </c>
      <c r="B899" s="1850"/>
      <c r="C899" s="1850"/>
      <c r="D899" s="1850"/>
      <c r="E899" s="1851">
        <f t="shared" si="2240"/>
        <v>0</v>
      </c>
      <c r="F899" s="1850"/>
      <c r="G899" s="1850"/>
      <c r="H899" s="2213"/>
      <c r="I899" s="2214">
        <f t="shared" si="2249"/>
        <v>0</v>
      </c>
      <c r="J899" s="2215">
        <f t="shared" si="2250"/>
        <v>0</v>
      </c>
      <c r="K899" s="1850"/>
      <c r="L899" s="1850"/>
      <c r="M899" s="1850"/>
      <c r="N899" s="1851">
        <f t="shared" si="2255"/>
        <v>0</v>
      </c>
      <c r="O899" s="1852">
        <f t="shared" si="2256"/>
        <v>0</v>
      </c>
      <c r="P899" s="1850"/>
      <c r="Q899" s="1850"/>
      <c r="R899" s="1850"/>
      <c r="S899" s="1851">
        <f t="shared" si="2237"/>
        <v>0</v>
      </c>
      <c r="T899" s="1853">
        <f t="shared" si="2262"/>
        <v>0</v>
      </c>
      <c r="U899" s="1413"/>
      <c r="V899" s="1179" t="s">
        <v>546</v>
      </c>
      <c r="W899" s="2007"/>
      <c r="X899" s="2007"/>
      <c r="Y899" s="2007"/>
      <c r="Z899" s="2206">
        <f t="shared" si="2241"/>
        <v>0</v>
      </c>
      <c r="AA899" s="2007"/>
      <c r="AB899" s="2007"/>
      <c r="AC899" s="2007"/>
      <c r="AD899" s="2206">
        <f t="shared" si="2242"/>
        <v>0</v>
      </c>
      <c r="AE899" s="2208">
        <f t="shared" si="2243"/>
        <v>0</v>
      </c>
      <c r="AF899" s="2007"/>
      <c r="AG899" s="2007"/>
      <c r="AH899" s="2007"/>
      <c r="AI899" s="2206">
        <f t="shared" si="2244"/>
        <v>0</v>
      </c>
      <c r="AJ899" s="2208">
        <f t="shared" si="2258"/>
        <v>0</v>
      </c>
      <c r="AK899" s="2007"/>
      <c r="AL899" s="2007"/>
      <c r="AM899" s="2007"/>
      <c r="AN899" s="2080">
        <f t="shared" si="2259"/>
        <v>0</v>
      </c>
      <c r="AO899" s="2216">
        <f t="shared" si="2260"/>
        <v>0</v>
      </c>
    </row>
    <row r="900">
      <c r="A900" s="1179" t="s">
        <v>547</v>
      </c>
      <c r="B900" s="1850"/>
      <c r="C900" s="1850"/>
      <c r="D900" s="1850"/>
      <c r="E900" s="1851">
        <f t="shared" si="2240"/>
        <v>0</v>
      </c>
      <c r="F900" s="1850"/>
      <c r="G900" s="1850"/>
      <c r="H900" s="2213"/>
      <c r="I900" s="2214">
        <f t="shared" si="2249"/>
        <v>0</v>
      </c>
      <c r="J900" s="2215">
        <f t="shared" si="2250"/>
        <v>0</v>
      </c>
      <c r="K900" s="1850"/>
      <c r="L900" s="1850"/>
      <c r="M900" s="1850"/>
      <c r="N900" s="1851">
        <f t="shared" si="2255"/>
        <v>0</v>
      </c>
      <c r="O900" s="1852">
        <f t="shared" si="2256"/>
        <v>0</v>
      </c>
      <c r="P900" s="1850"/>
      <c r="Q900" s="1850"/>
      <c r="R900" s="1850"/>
      <c r="S900" s="1851">
        <f t="shared" si="2237"/>
        <v>0</v>
      </c>
      <c r="T900" s="1853">
        <f t="shared" si="2262"/>
        <v>0</v>
      </c>
      <c r="U900" s="1413"/>
      <c r="V900" s="1179" t="s">
        <v>547</v>
      </c>
      <c r="W900" s="2007"/>
      <c r="X900" s="2007"/>
      <c r="Y900" s="2007"/>
      <c r="Z900" s="2206">
        <f t="shared" si="2241"/>
        <v>0</v>
      </c>
      <c r="AA900" s="2007"/>
      <c r="AB900" s="2007"/>
      <c r="AC900" s="2007"/>
      <c r="AD900" s="2206">
        <f t="shared" si="2242"/>
        <v>0</v>
      </c>
      <c r="AE900" s="2208">
        <f t="shared" si="2243"/>
        <v>0</v>
      </c>
      <c r="AF900" s="2007"/>
      <c r="AG900" s="2007"/>
      <c r="AH900" s="2007"/>
      <c r="AI900" s="2206">
        <f t="shared" si="2244"/>
        <v>0</v>
      </c>
      <c r="AJ900" s="2208">
        <f t="shared" si="2258"/>
        <v>0</v>
      </c>
      <c r="AK900" s="2007"/>
      <c r="AL900" s="2007"/>
      <c r="AM900" s="2007"/>
      <c r="AN900" s="2080">
        <f t="shared" si="2259"/>
        <v>0</v>
      </c>
      <c r="AO900" s="2216">
        <f t="shared" si="2260"/>
        <v>0</v>
      </c>
    </row>
    <row r="901">
      <c r="A901" s="1179" t="s">
        <v>765</v>
      </c>
      <c r="B901" s="1850"/>
      <c r="C901" s="1850"/>
      <c r="D901" s="1850"/>
      <c r="E901" s="1851">
        <f t="shared" si="2240"/>
        <v>0</v>
      </c>
      <c r="F901" s="1850"/>
      <c r="G901" s="1850"/>
      <c r="H901" s="2213"/>
      <c r="I901" s="2214">
        <f t="shared" si="2249"/>
        <v>0</v>
      </c>
      <c r="J901" s="2215">
        <f t="shared" si="2250"/>
        <v>0</v>
      </c>
      <c r="K901" s="1850"/>
      <c r="L901" s="1850"/>
      <c r="M901" s="1850"/>
      <c r="N901" s="1851">
        <f t="shared" si="2255"/>
        <v>0</v>
      </c>
      <c r="O901" s="1852">
        <f t="shared" si="2256"/>
        <v>0</v>
      </c>
      <c r="P901" s="1850"/>
      <c r="Q901" s="1850"/>
      <c r="R901" s="1850"/>
      <c r="S901" s="1851">
        <f t="shared" si="2237"/>
        <v>0</v>
      </c>
      <c r="T901" s="1853">
        <f t="shared" si="2262"/>
        <v>0</v>
      </c>
      <c r="U901" s="1413"/>
      <c r="V901" s="1179" t="s">
        <v>765</v>
      </c>
      <c r="W901" s="2007"/>
      <c r="X901" s="2007"/>
      <c r="Y901" s="2007"/>
      <c r="Z901" s="2206">
        <f t="shared" si="2241"/>
        <v>0</v>
      </c>
      <c r="AA901" s="2007"/>
      <c r="AB901" s="2007"/>
      <c r="AC901" s="2007"/>
      <c r="AD901" s="2206">
        <f t="shared" si="2242"/>
        <v>0</v>
      </c>
      <c r="AE901" s="2208">
        <f t="shared" si="2243"/>
        <v>0</v>
      </c>
      <c r="AF901" s="2007"/>
      <c r="AG901" s="2007"/>
      <c r="AH901" s="2007"/>
      <c r="AI901" s="2206">
        <f t="shared" si="2244"/>
        <v>0</v>
      </c>
      <c r="AJ901" s="2208">
        <f t="shared" si="2258"/>
        <v>0</v>
      </c>
      <c r="AK901" s="2007"/>
      <c r="AL901" s="2007"/>
      <c r="AM901" s="2007"/>
      <c r="AN901" s="2080">
        <f t="shared" si="2259"/>
        <v>0</v>
      </c>
      <c r="AO901" s="2216">
        <f t="shared" si="2260"/>
        <v>0</v>
      </c>
    </row>
    <row r="902">
      <c r="A902" s="1179" t="s">
        <v>548</v>
      </c>
      <c r="B902" s="1850">
        <f>1344+22</f>
        <v>1366</v>
      </c>
      <c r="C902" s="1850">
        <v>902.5</v>
      </c>
      <c r="D902" s="1850"/>
      <c r="E902" s="1851">
        <f t="shared" si="2240"/>
        <v>2268.5</v>
      </c>
      <c r="F902" s="1850"/>
      <c r="G902" s="1850"/>
      <c r="H902" s="2213"/>
      <c r="I902" s="2214">
        <f t="shared" si="2249"/>
        <v>0</v>
      </c>
      <c r="J902" s="2215">
        <f t="shared" si="2250"/>
        <v>2268.5</v>
      </c>
      <c r="K902" s="1850"/>
      <c r="L902" s="1850"/>
      <c r="M902" s="1850"/>
      <c r="N902" s="1851">
        <f t="shared" si="2255"/>
        <v>0</v>
      </c>
      <c r="O902" s="1852">
        <f t="shared" si="2256"/>
        <v>2268.5</v>
      </c>
      <c r="P902" s="1850"/>
      <c r="Q902" s="1850"/>
      <c r="R902" s="1850"/>
      <c r="S902" s="1851">
        <f t="shared" si="2237"/>
        <v>0</v>
      </c>
      <c r="T902" s="1853">
        <f t="shared" si="2262"/>
        <v>2268.5</v>
      </c>
      <c r="U902" s="1413"/>
      <c r="V902" s="1179" t="s">
        <v>548</v>
      </c>
      <c r="W902" s="2007">
        <f>158+2</f>
        <v>160</v>
      </c>
      <c r="X902" s="2007">
        <v>99</v>
      </c>
      <c r="Y902" s="2007"/>
      <c r="Z902" s="2206">
        <f t="shared" si="2241"/>
        <v>259</v>
      </c>
      <c r="AA902" s="2007"/>
      <c r="AB902" s="2007"/>
      <c r="AC902" s="2007"/>
      <c r="AD902" s="2206">
        <f t="shared" si="2242"/>
        <v>0</v>
      </c>
      <c r="AE902" s="2208">
        <f t="shared" si="2243"/>
        <v>259</v>
      </c>
      <c r="AF902" s="2007"/>
      <c r="AG902" s="2007"/>
      <c r="AH902" s="2007"/>
      <c r="AI902" s="2206">
        <f t="shared" si="2244"/>
        <v>0</v>
      </c>
      <c r="AJ902" s="2208">
        <f t="shared" si="2258"/>
        <v>259</v>
      </c>
      <c r="AK902" s="2007"/>
      <c r="AL902" s="2007"/>
      <c r="AM902" s="2007"/>
      <c r="AN902" s="2080">
        <f t="shared" si="2259"/>
        <v>0</v>
      </c>
      <c r="AO902" s="2216">
        <f t="shared" si="2260"/>
        <v>259</v>
      </c>
    </row>
    <row r="903">
      <c r="A903" s="1179" t="s">
        <v>549</v>
      </c>
      <c r="B903" s="1850"/>
      <c r="C903" s="1850"/>
      <c r="D903" s="1850"/>
      <c r="E903" s="1851">
        <f t="shared" si="2240"/>
        <v>0</v>
      </c>
      <c r="F903" s="1850"/>
      <c r="G903" s="1850"/>
      <c r="H903" s="2213"/>
      <c r="I903" s="2214">
        <f t="shared" si="2249"/>
        <v>0</v>
      </c>
      <c r="J903" s="2215">
        <f t="shared" si="2250"/>
        <v>0</v>
      </c>
      <c r="K903" s="1850"/>
      <c r="L903" s="1850"/>
      <c r="M903" s="1850"/>
      <c r="N903" s="1851">
        <f t="shared" si="2255"/>
        <v>0</v>
      </c>
      <c r="O903" s="1852">
        <f t="shared" si="2256"/>
        <v>0</v>
      </c>
      <c r="P903" s="1850"/>
      <c r="Q903" s="1850"/>
      <c r="R903" s="1850"/>
      <c r="S903" s="1851">
        <f t="shared" si="2237"/>
        <v>0</v>
      </c>
      <c r="T903" s="1853">
        <f t="shared" si="2262"/>
        <v>0</v>
      </c>
      <c r="U903" s="1413"/>
      <c r="V903" s="1179" t="s">
        <v>549</v>
      </c>
      <c r="W903" s="2007"/>
      <c r="X903" s="2007"/>
      <c r="Y903" s="2007"/>
      <c r="Z903" s="2206">
        <f t="shared" si="2241"/>
        <v>0</v>
      </c>
      <c r="AA903" s="2007"/>
      <c r="AB903" s="2007"/>
      <c r="AC903" s="2007"/>
      <c r="AD903" s="2206">
        <f t="shared" si="2242"/>
        <v>0</v>
      </c>
      <c r="AE903" s="2208">
        <f t="shared" si="2243"/>
        <v>0</v>
      </c>
      <c r="AF903" s="2007"/>
      <c r="AG903" s="2007"/>
      <c r="AH903" s="2007"/>
      <c r="AI903" s="2206">
        <f t="shared" si="2244"/>
        <v>0</v>
      </c>
      <c r="AJ903" s="2208">
        <f t="shared" si="2258"/>
        <v>0</v>
      </c>
      <c r="AK903" s="2007"/>
      <c r="AL903" s="2007"/>
      <c r="AM903" s="2007"/>
      <c r="AN903" s="2080">
        <f t="shared" si="2259"/>
        <v>0</v>
      </c>
      <c r="AO903" s="2216">
        <f t="shared" si="2260"/>
        <v>0</v>
      </c>
    </row>
    <row r="904" s="1510" customFormat="1">
      <c r="A904" s="1511" t="s">
        <v>22</v>
      </c>
      <c r="B904" s="1858">
        <f>SUM(B896:B903)</f>
        <v>5135</v>
      </c>
      <c r="C904" s="1858">
        <f>SUM(C896:C903)</f>
        <v>5923.5</v>
      </c>
      <c r="D904" s="1858">
        <f>SUM(D896:D903)</f>
        <v>0</v>
      </c>
      <c r="E904" s="1859">
        <f t="shared" si="2240"/>
        <v>11058.5</v>
      </c>
      <c r="F904" s="1858">
        <f>SUM(F896:F903)</f>
        <v>0</v>
      </c>
      <c r="G904" s="1858">
        <f>SUM(G896:G903)</f>
        <v>0</v>
      </c>
      <c r="H904" s="2217">
        <f>SUM(H896:H903)</f>
        <v>0</v>
      </c>
      <c r="I904" s="2218">
        <f t="shared" si="2249"/>
        <v>0</v>
      </c>
      <c r="J904" s="2219">
        <f t="shared" si="2250"/>
        <v>11058.5</v>
      </c>
      <c r="K904" s="1858">
        <f>SUM(K896:K903)</f>
        <v>0</v>
      </c>
      <c r="L904" s="1858">
        <f>SUM(L896:L903)</f>
        <v>0</v>
      </c>
      <c r="M904" s="1858">
        <f>SUM(M896:M903)</f>
        <v>0</v>
      </c>
      <c r="N904" s="1859">
        <f t="shared" si="2255"/>
        <v>0</v>
      </c>
      <c r="O904" s="1860">
        <f t="shared" si="2256"/>
        <v>11058.5</v>
      </c>
      <c r="P904" s="1858">
        <f>SUM(P896:P903)</f>
        <v>0</v>
      </c>
      <c r="Q904" s="1858">
        <f>SUM(Q896:Q903)</f>
        <v>0</v>
      </c>
      <c r="R904" s="1858">
        <f>SUM(R896:R903)</f>
        <v>0</v>
      </c>
      <c r="S904" s="1851">
        <f t="shared" si="2237"/>
        <v>0</v>
      </c>
      <c r="T904" s="1858">
        <f>SUM(T896:T903)</f>
        <v>11053</v>
      </c>
      <c r="U904" s="1526"/>
      <c r="V904" s="1511" t="s">
        <v>22</v>
      </c>
      <c r="W904" s="1993">
        <f>SUM(W896:W903)</f>
        <v>476</v>
      </c>
      <c r="X904" s="1993">
        <f>SUM(X896:X903)</f>
        <v>489</v>
      </c>
      <c r="Y904" s="1993">
        <f>SUM(Y896:Y903)</f>
        <v>0</v>
      </c>
      <c r="Z904" s="2206">
        <f t="shared" si="2241"/>
        <v>965</v>
      </c>
      <c r="AA904" s="1993">
        <f>SUM(AA896:AA903)</f>
        <v>0</v>
      </c>
      <c r="AB904" s="1993">
        <f>SUM(AB896:AB903)</f>
        <v>0</v>
      </c>
      <c r="AC904" s="1993">
        <f>SUM(AC896:AC903)</f>
        <v>0</v>
      </c>
      <c r="AD904" s="2206">
        <f t="shared" si="2242"/>
        <v>0</v>
      </c>
      <c r="AE904" s="2208">
        <f t="shared" si="2243"/>
        <v>965</v>
      </c>
      <c r="AF904" s="1993">
        <f>SUM(AF896:AF903)</f>
        <v>0</v>
      </c>
      <c r="AG904" s="1993">
        <f>SUM(AG896:AG903)</f>
        <v>0</v>
      </c>
      <c r="AH904" s="1993">
        <f>SUM(AH896:AH903)</f>
        <v>0</v>
      </c>
      <c r="AI904" s="2206">
        <f t="shared" si="2244"/>
        <v>0</v>
      </c>
      <c r="AJ904" s="2208">
        <f t="shared" si="2258"/>
        <v>965</v>
      </c>
      <c r="AK904" s="1993">
        <f>SUM(AK896:AK903)</f>
        <v>0</v>
      </c>
      <c r="AL904" s="1993">
        <f>SUM(AL896:AL903)</f>
        <v>0</v>
      </c>
      <c r="AM904" s="1993">
        <f>SUM(AM896:AM903)</f>
        <v>0</v>
      </c>
      <c r="AN904" s="2080">
        <f t="shared" si="2259"/>
        <v>0</v>
      </c>
      <c r="AO904" s="2216">
        <f t="shared" si="2260"/>
        <v>965</v>
      </c>
      <c r="AP904" s="1515"/>
      <c r="AQ904" s="1515"/>
      <c r="AR904" s="1515"/>
      <c r="AS904" s="1515"/>
      <c r="AT904" s="1515"/>
      <c r="AU904" s="1515"/>
      <c r="AV904" s="1515"/>
      <c r="AW904" s="1515"/>
      <c r="AX904" s="1515"/>
      <c r="AY904" s="1515"/>
      <c r="AZ904" s="1515"/>
    </row>
    <row r="905">
      <c r="A905" s="1179" t="s">
        <v>281</v>
      </c>
      <c r="B905" s="2221"/>
      <c r="C905" s="1850"/>
      <c r="D905" s="1850"/>
      <c r="E905" s="1851">
        <f t="shared" si="2240"/>
        <v>0</v>
      </c>
      <c r="F905" s="1850"/>
      <c r="G905" s="1850"/>
      <c r="H905" s="2213"/>
      <c r="I905" s="2214">
        <f t="shared" si="2249"/>
        <v>0</v>
      </c>
      <c r="J905" s="2215">
        <f t="shared" si="2250"/>
        <v>0</v>
      </c>
      <c r="K905" s="1850"/>
      <c r="L905" s="1850"/>
      <c r="M905" s="1850"/>
      <c r="N905" s="1851">
        <f t="shared" si="2255"/>
        <v>0</v>
      </c>
      <c r="O905" s="1852">
        <f t="shared" si="2256"/>
        <v>0</v>
      </c>
      <c r="P905" s="1850"/>
      <c r="Q905" s="1850"/>
      <c r="R905" s="1850"/>
      <c r="S905" s="1851">
        <f t="shared" si="2237"/>
        <v>0</v>
      </c>
      <c r="T905" s="1853">
        <f>O905+S905</f>
        <v>0</v>
      </c>
      <c r="U905" s="1413"/>
      <c r="V905" s="1179" t="s">
        <v>281</v>
      </c>
      <c r="W905" s="2007"/>
      <c r="X905" s="2007"/>
      <c r="Y905" s="2007"/>
      <c r="Z905" s="2206">
        <f t="shared" si="2241"/>
        <v>0</v>
      </c>
      <c r="AA905" s="2007"/>
      <c r="AB905" s="2007"/>
      <c r="AC905" s="2007"/>
      <c r="AD905" s="2206">
        <f t="shared" si="2242"/>
        <v>0</v>
      </c>
      <c r="AE905" s="2208">
        <f t="shared" si="2243"/>
        <v>0</v>
      </c>
      <c r="AF905" s="2007"/>
      <c r="AG905" s="2007"/>
      <c r="AH905" s="2007"/>
      <c r="AI905" s="2206">
        <f t="shared" si="2244"/>
        <v>0</v>
      </c>
      <c r="AJ905" s="2208">
        <f t="shared" si="2258"/>
        <v>0</v>
      </c>
      <c r="AK905" s="2007"/>
      <c r="AL905" s="2007"/>
      <c r="AM905" s="2007"/>
      <c r="AN905" s="2080">
        <f t="shared" si="2259"/>
        <v>0</v>
      </c>
      <c r="AO905" s="2216">
        <f t="shared" si="2260"/>
        <v>0</v>
      </c>
    </row>
    <row r="906">
      <c r="A906" s="1179" t="s">
        <v>619</v>
      </c>
      <c r="B906" s="2221"/>
      <c r="C906" s="1850">
        <v>20</v>
      </c>
      <c r="D906" s="1850"/>
      <c r="E906" s="1851"/>
      <c r="F906" s="1850"/>
      <c r="G906" s="1850"/>
      <c r="H906" s="2213"/>
      <c r="I906" s="2214"/>
      <c r="J906" s="2215"/>
      <c r="K906" s="1850"/>
      <c r="L906" s="1850"/>
      <c r="M906" s="1850"/>
      <c r="N906" s="1851"/>
      <c r="O906" s="1852"/>
      <c r="P906" s="1850"/>
      <c r="Q906" s="1850"/>
      <c r="R906" s="1850"/>
      <c r="S906" s="1851"/>
      <c r="T906" s="1853"/>
      <c r="U906" s="1413"/>
      <c r="V906" s="1179"/>
      <c r="W906" s="2007"/>
      <c r="X906" s="2007">
        <v>1</v>
      </c>
      <c r="Y906" s="2007"/>
      <c r="Z906" s="2206"/>
      <c r="AA906" s="2007"/>
      <c r="AB906" s="2007"/>
      <c r="AC906" s="2007"/>
      <c r="AD906" s="2206"/>
      <c r="AE906" s="2208"/>
      <c r="AF906" s="2007"/>
      <c r="AG906" s="2007"/>
      <c r="AH906" s="2007"/>
      <c r="AI906" s="2206"/>
      <c r="AJ906" s="2208"/>
      <c r="AK906" s="2007"/>
      <c r="AL906" s="2007"/>
      <c r="AM906" s="2007"/>
      <c r="AN906" s="2080"/>
      <c r="AO906" s="2216"/>
    </row>
    <row r="907">
      <c r="A907" s="1179" t="s">
        <v>241</v>
      </c>
      <c r="B907" s="2221">
        <v>167</v>
      </c>
      <c r="C907" s="1850">
        <f>149+12</f>
        <v>161</v>
      </c>
      <c r="D907" s="1850"/>
      <c r="E907" s="1851">
        <f t="shared" si="2240"/>
        <v>328</v>
      </c>
      <c r="F907" s="1850"/>
      <c r="G907" s="1850"/>
      <c r="H907" s="2213"/>
      <c r="I907" s="2214">
        <f t="shared" si="2249"/>
        <v>0</v>
      </c>
      <c r="J907" s="2215">
        <f t="shared" si="2250"/>
        <v>328</v>
      </c>
      <c r="K907" s="1850"/>
      <c r="L907" s="1850"/>
      <c r="M907" s="1850"/>
      <c r="N907" s="1851">
        <f t="shared" si="2255"/>
        <v>0</v>
      </c>
      <c r="O907" s="1852">
        <f t="shared" si="2256"/>
        <v>328</v>
      </c>
      <c r="P907" s="1850"/>
      <c r="Q907" s="1850"/>
      <c r="R907" s="1850"/>
      <c r="S907" s="1851">
        <f t="shared" si="2237"/>
        <v>0</v>
      </c>
      <c r="T907" s="1853">
        <f>O907+S907</f>
        <v>328</v>
      </c>
      <c r="U907" s="1413"/>
      <c r="V907" s="1179" t="s">
        <v>241</v>
      </c>
      <c r="W907" s="2007">
        <v>26</v>
      </c>
      <c r="X907" s="2007">
        <f>24+1</f>
        <v>25</v>
      </c>
      <c r="Y907" s="2007"/>
      <c r="Z907" s="2206">
        <f t="shared" si="2241"/>
        <v>51</v>
      </c>
      <c r="AA907" s="2007"/>
      <c r="AB907" s="2007"/>
      <c r="AC907" s="2007"/>
      <c r="AD907" s="2206">
        <f t="shared" si="2242"/>
        <v>0</v>
      </c>
      <c r="AE907" s="2208">
        <f t="shared" si="2243"/>
        <v>51</v>
      </c>
      <c r="AF907" s="2007"/>
      <c r="AG907" s="2007"/>
      <c r="AH907" s="2007"/>
      <c r="AI907" s="2206">
        <f t="shared" si="2244"/>
        <v>0</v>
      </c>
      <c r="AJ907" s="2208">
        <f t="shared" si="2258"/>
        <v>51</v>
      </c>
      <c r="AK907" s="2007"/>
      <c r="AL907" s="2007"/>
      <c r="AM907" s="2007"/>
      <c r="AN907" s="2080">
        <f t="shared" si="2259"/>
        <v>0</v>
      </c>
      <c r="AO907" s="2216">
        <f t="shared" si="2260"/>
        <v>51</v>
      </c>
    </row>
    <row r="908" s="1510" customFormat="1">
      <c r="A908" s="1904" t="s">
        <v>545</v>
      </c>
      <c r="B908" s="2191">
        <f>SUM(B904:B907)</f>
        <v>5302</v>
      </c>
      <c r="C908" s="2191">
        <f>SUM(C904:C907)</f>
        <v>6104.5</v>
      </c>
      <c r="D908" s="2191">
        <f>SUM(D904:D907)</f>
        <v>0</v>
      </c>
      <c r="E908" s="1859">
        <f t="shared" si="2240"/>
        <v>11406.5</v>
      </c>
      <c r="F908" s="2191">
        <f>SUM(F904:F907)</f>
        <v>0</v>
      </c>
      <c r="G908" s="2191">
        <f>SUM(G904:G907)</f>
        <v>0</v>
      </c>
      <c r="H908" s="2191">
        <f>SUM(H904:H907)</f>
        <v>0</v>
      </c>
      <c r="I908" s="2218">
        <f t="shared" si="2249"/>
        <v>0</v>
      </c>
      <c r="J908" s="2218">
        <f t="shared" si="2250"/>
        <v>11406.5</v>
      </c>
      <c r="K908" s="2191">
        <f>SUM(K904:K907)</f>
        <v>0</v>
      </c>
      <c r="L908" s="2191">
        <f>SUM(L904:L907)</f>
        <v>0</v>
      </c>
      <c r="M908" s="2191">
        <f>SUM(M904:M907)</f>
        <v>0</v>
      </c>
      <c r="N908" s="1859">
        <f t="shared" si="2255"/>
        <v>0</v>
      </c>
      <c r="O908" s="1859">
        <f t="shared" si="2256"/>
        <v>11406.5</v>
      </c>
      <c r="P908" s="2191">
        <f>SUM(P904:P907)</f>
        <v>0</v>
      </c>
      <c r="Q908" s="2191">
        <f>SUM(Q904:Q907)</f>
        <v>0</v>
      </c>
      <c r="R908" s="2191">
        <f>SUM(R904:R907)</f>
        <v>0</v>
      </c>
      <c r="S908" s="1859">
        <f t="shared" ref="S908:S971" si="2263">P908+Q908+R908</f>
        <v>0</v>
      </c>
      <c r="T908" s="1859">
        <f>SUM(T904:T907)</f>
        <v>11381</v>
      </c>
      <c r="U908" s="1526"/>
      <c r="V908" s="1511" t="s">
        <v>545</v>
      </c>
      <c r="W908" s="1993">
        <f>SUM(W904:W907)</f>
        <v>502</v>
      </c>
      <c r="X908" s="1993">
        <f>SUM(X904:X907)</f>
        <v>515</v>
      </c>
      <c r="Y908" s="1993">
        <f>SUM(Y904:Y907)</f>
        <v>0</v>
      </c>
      <c r="Z908" s="2206">
        <f t="shared" si="2241"/>
        <v>1017</v>
      </c>
      <c r="AA908" s="1993">
        <f>SUM(AA904:AA907)</f>
        <v>0</v>
      </c>
      <c r="AB908" s="1993">
        <f>SUM(AB904:AB907)</f>
        <v>0</v>
      </c>
      <c r="AC908" s="1993">
        <f>SUM(AC904:AC907)</f>
        <v>0</v>
      </c>
      <c r="AD908" s="2206">
        <f t="shared" si="2242"/>
        <v>0</v>
      </c>
      <c r="AE908" s="2208">
        <f t="shared" si="2243"/>
        <v>1017</v>
      </c>
      <c r="AF908" s="1993">
        <f>SUM(AF904:AF907)</f>
        <v>0</v>
      </c>
      <c r="AG908" s="1993">
        <f>SUM(AG904:AG907)</f>
        <v>0</v>
      </c>
      <c r="AH908" s="1993">
        <f>SUM(AH904:AH907)</f>
        <v>0</v>
      </c>
      <c r="AI908" s="2206">
        <f t="shared" si="2244"/>
        <v>0</v>
      </c>
      <c r="AJ908" s="2208">
        <f t="shared" si="2258"/>
        <v>1017</v>
      </c>
      <c r="AK908" s="1993">
        <f>SUM(AK904:AK907)</f>
        <v>0</v>
      </c>
      <c r="AL908" s="1993">
        <f>SUM(AL904:AL907)</f>
        <v>0</v>
      </c>
      <c r="AM908" s="1993">
        <f>SUM(AM904:AM907)</f>
        <v>0</v>
      </c>
      <c r="AN908" s="2080">
        <f t="shared" si="2259"/>
        <v>0</v>
      </c>
      <c r="AO908" s="2216">
        <f t="shared" si="2260"/>
        <v>1017</v>
      </c>
      <c r="AP908" s="1515"/>
      <c r="AQ908" s="1515"/>
      <c r="AR908" s="1515"/>
      <c r="AS908" s="1515"/>
      <c r="AT908" s="1515"/>
      <c r="AU908" s="1515"/>
      <c r="AV908" s="1515"/>
      <c r="AW908" s="1515"/>
      <c r="AX908" s="1515"/>
      <c r="AY908" s="1515"/>
      <c r="AZ908" s="1515"/>
    </row>
    <row r="909" s="1510" customFormat="1">
      <c r="A909" s="1179" t="s">
        <v>766</v>
      </c>
      <c r="B909" s="1868"/>
      <c r="C909" s="1868"/>
      <c r="D909" s="1868"/>
      <c r="E909" s="1851">
        <f t="shared" si="2240"/>
        <v>0</v>
      </c>
      <c r="F909" s="1868"/>
      <c r="G909" s="1868"/>
      <c r="H909" s="1868"/>
      <c r="I909" s="2214">
        <f t="shared" si="2249"/>
        <v>0</v>
      </c>
      <c r="J909" s="2215">
        <f t="shared" si="2250"/>
        <v>0</v>
      </c>
      <c r="K909" s="1868"/>
      <c r="L909" s="1868"/>
      <c r="M909" s="1868"/>
      <c r="N909" s="1851">
        <f t="shared" si="2255"/>
        <v>0</v>
      </c>
      <c r="O909" s="1852">
        <f t="shared" si="2256"/>
        <v>0</v>
      </c>
      <c r="P909" s="1868"/>
      <c r="Q909" s="1868"/>
      <c r="R909" s="1868"/>
      <c r="S909" s="1851">
        <f t="shared" si="2263"/>
        <v>0</v>
      </c>
      <c r="T909" s="1897">
        <f t="shared" ref="T909:T910" si="2264">SUM(B909:R909)</f>
        <v>0</v>
      </c>
      <c r="U909" s="1526"/>
      <c r="V909" s="1179" t="s">
        <v>766</v>
      </c>
      <c r="W909" s="2007"/>
      <c r="X909" s="2007"/>
      <c r="Y909" s="2007"/>
      <c r="Z909" s="2206">
        <f t="shared" si="2241"/>
        <v>0</v>
      </c>
      <c r="AA909" s="2007"/>
      <c r="AB909" s="2007"/>
      <c r="AC909" s="2007"/>
      <c r="AD909" s="2206">
        <f t="shared" si="2242"/>
        <v>0</v>
      </c>
      <c r="AE909" s="2208">
        <f t="shared" si="2243"/>
        <v>0</v>
      </c>
      <c r="AF909" s="2007"/>
      <c r="AG909" s="2007"/>
      <c r="AH909" s="2007"/>
      <c r="AI909" s="2206">
        <f t="shared" si="2244"/>
        <v>0</v>
      </c>
      <c r="AJ909" s="2208">
        <f t="shared" si="2258"/>
        <v>0</v>
      </c>
      <c r="AK909" s="2007"/>
      <c r="AL909" s="2007"/>
      <c r="AM909" s="2007"/>
      <c r="AN909" s="2080">
        <f t="shared" si="2259"/>
        <v>0</v>
      </c>
      <c r="AO909" s="2216">
        <f t="shared" si="2260"/>
        <v>0</v>
      </c>
      <c r="AP909" s="1515"/>
      <c r="AQ909" s="1515"/>
      <c r="AR909" s="1515"/>
      <c r="AS909" s="1515"/>
      <c r="AT909" s="1515"/>
      <c r="AU909" s="1515"/>
      <c r="AV909" s="1515"/>
      <c r="AW909" s="1515"/>
      <c r="AX909" s="1515"/>
      <c r="AY909" s="1515"/>
      <c r="AZ909" s="1515"/>
    </row>
    <row r="910" s="1510" customFormat="1">
      <c r="A910" s="1179" t="s">
        <v>767</v>
      </c>
      <c r="B910" s="1868"/>
      <c r="C910" s="1868"/>
      <c r="D910" s="1868"/>
      <c r="E910" s="1851">
        <f t="shared" si="2240"/>
        <v>0</v>
      </c>
      <c r="F910" s="1868"/>
      <c r="G910" s="1868"/>
      <c r="H910" s="1868"/>
      <c r="I910" s="2214">
        <f t="shared" si="2249"/>
        <v>0</v>
      </c>
      <c r="J910" s="2215">
        <f t="shared" si="2250"/>
        <v>0</v>
      </c>
      <c r="K910" s="1868"/>
      <c r="L910" s="1868"/>
      <c r="M910" s="1868"/>
      <c r="N910" s="1851">
        <f t="shared" si="2255"/>
        <v>0</v>
      </c>
      <c r="O910" s="1852">
        <f t="shared" si="2256"/>
        <v>0</v>
      </c>
      <c r="P910" s="1868"/>
      <c r="Q910" s="1868"/>
      <c r="R910" s="1868"/>
      <c r="S910" s="1851">
        <f t="shared" si="2263"/>
        <v>0</v>
      </c>
      <c r="T910" s="1897">
        <f t="shared" si="2264"/>
        <v>0</v>
      </c>
      <c r="U910" s="1526"/>
      <c r="V910" s="1179" t="s">
        <v>767</v>
      </c>
      <c r="W910" s="2007"/>
      <c r="X910" s="2007"/>
      <c r="Y910" s="2007"/>
      <c r="Z910" s="2206">
        <f t="shared" si="2241"/>
        <v>0</v>
      </c>
      <c r="AA910" s="2007"/>
      <c r="AB910" s="2007"/>
      <c r="AC910" s="2007"/>
      <c r="AD910" s="2206">
        <f t="shared" si="2242"/>
        <v>0</v>
      </c>
      <c r="AE910" s="2208">
        <f t="shared" si="2243"/>
        <v>0</v>
      </c>
      <c r="AF910" s="2007"/>
      <c r="AG910" s="2007"/>
      <c r="AH910" s="2007"/>
      <c r="AI910" s="2206">
        <f t="shared" si="2244"/>
        <v>0</v>
      </c>
      <c r="AJ910" s="2208">
        <f t="shared" si="2258"/>
        <v>0</v>
      </c>
      <c r="AK910" s="2007"/>
      <c r="AL910" s="2007"/>
      <c r="AM910" s="2007"/>
      <c r="AN910" s="2080">
        <f t="shared" si="2259"/>
        <v>0</v>
      </c>
      <c r="AO910" s="2216">
        <f t="shared" si="2260"/>
        <v>0</v>
      </c>
      <c r="AP910" s="1515"/>
      <c r="AQ910" s="1515"/>
      <c r="AR910" s="1515"/>
      <c r="AS910" s="1515"/>
      <c r="AT910" s="1515"/>
      <c r="AU910" s="1515"/>
      <c r="AV910" s="1515"/>
      <c r="AW910" s="1515"/>
      <c r="AX910" s="1515"/>
      <c r="AY910" s="1515"/>
      <c r="AZ910" s="1515"/>
    </row>
    <row r="911" s="2222" customFormat="1">
      <c r="A911" s="1179" t="s">
        <v>768</v>
      </c>
      <c r="B911" s="1868"/>
      <c r="C911" s="1868"/>
      <c r="D911" s="1868"/>
      <c r="E911" s="1851"/>
      <c r="F911" s="1868"/>
      <c r="G911" s="1868"/>
      <c r="H911" s="1868"/>
      <c r="I911" s="2214"/>
      <c r="J911" s="2215"/>
      <c r="K911" s="1868"/>
      <c r="L911" s="1868"/>
      <c r="M911" s="1868"/>
      <c r="N911" s="1851"/>
      <c r="O911" s="1852"/>
      <c r="P911" s="1868"/>
      <c r="Q911" s="1868"/>
      <c r="R911" s="1868"/>
      <c r="S911" s="1851"/>
      <c r="T911" s="1897"/>
      <c r="U911" s="1526"/>
      <c r="V911" s="1179" t="s">
        <v>769</v>
      </c>
      <c r="W911" s="2007"/>
      <c r="X911" s="2007"/>
      <c r="Y911" s="2007"/>
      <c r="Z911" s="2206"/>
      <c r="AA911" s="2007"/>
      <c r="AB911" s="2007"/>
      <c r="AC911" s="2007"/>
      <c r="AD911" s="2206"/>
      <c r="AE911" s="2208"/>
      <c r="AF911" s="2007"/>
      <c r="AG911" s="2007"/>
      <c r="AH911" s="2007"/>
      <c r="AI911" s="2206"/>
      <c r="AJ911" s="2208"/>
      <c r="AK911" s="2007"/>
      <c r="AL911" s="2007"/>
      <c r="AM911" s="2007"/>
      <c r="AN911" s="2080"/>
      <c r="AO911" s="2216"/>
      <c r="AP911" s="1515"/>
      <c r="AQ911" s="1515"/>
      <c r="AR911" s="1515"/>
      <c r="AS911" s="1515"/>
      <c r="AT911" s="1515"/>
      <c r="AU911" s="1515"/>
      <c r="AV911" s="1515"/>
      <c r="AW911" s="1515"/>
      <c r="AX911" s="1515"/>
      <c r="AY911" s="1515"/>
      <c r="AZ911" s="1515"/>
    </row>
    <row r="912">
      <c r="A912" s="1511" t="s">
        <v>756</v>
      </c>
      <c r="B912" s="1954">
        <f>SUM(B908:B911)</f>
        <v>5302</v>
      </c>
      <c r="C912" s="1954">
        <f>SUM(C908:C911)</f>
        <v>6104.5</v>
      </c>
      <c r="D912" s="1954">
        <f>SUM(D908:D911)</f>
        <v>0</v>
      </c>
      <c r="E912" s="1971">
        <f t="shared" si="2240"/>
        <v>11406.5</v>
      </c>
      <c r="F912" s="1954">
        <f>SUM(F908:F911)</f>
        <v>0</v>
      </c>
      <c r="G912" s="1954">
        <f>SUM(G908:G911)</f>
        <v>0</v>
      </c>
      <c r="H912" s="1954">
        <f>SUM(H908:H911)</f>
        <v>0</v>
      </c>
      <c r="I912" s="1971">
        <f t="shared" si="2249"/>
        <v>0</v>
      </c>
      <c r="J912" s="2223">
        <f t="shared" si="2250"/>
        <v>11406.5</v>
      </c>
      <c r="K912" s="1954">
        <f>SUM(K908:K911)</f>
        <v>0</v>
      </c>
      <c r="L912" s="1858">
        <f>SUM(L908:L911)</f>
        <v>0</v>
      </c>
      <c r="M912" s="1858">
        <f>SUM(M908:M911)</f>
        <v>0</v>
      </c>
      <c r="N912" s="1971">
        <f t="shared" si="2255"/>
        <v>0</v>
      </c>
      <c r="O912" s="2223">
        <f t="shared" si="2256"/>
        <v>11406.5</v>
      </c>
      <c r="P912" s="1858">
        <f>SUM(P908:P911)</f>
        <v>0</v>
      </c>
      <c r="Q912" s="1858">
        <f>SUM(Q908:Q911)</f>
        <v>0</v>
      </c>
      <c r="R912" s="1858">
        <f>SUM(R908:R911)</f>
        <v>0</v>
      </c>
      <c r="S912" s="1899">
        <f t="shared" si="2263"/>
        <v>0</v>
      </c>
      <c r="T912" s="1959">
        <f>SUM(T908:T911)</f>
        <v>11381</v>
      </c>
      <c r="U912" s="1526"/>
      <c r="V912" s="1511" t="s">
        <v>770</v>
      </c>
      <c r="W912" s="1993">
        <f>SUM(W908:W911)</f>
        <v>502</v>
      </c>
      <c r="X912" s="1993">
        <f>SUM(X908:X911)</f>
        <v>515</v>
      </c>
      <c r="Y912" s="1993">
        <f>SUM(Y908:Y911)</f>
        <v>0</v>
      </c>
      <c r="Z912" s="1944">
        <f t="shared" si="2241"/>
        <v>1017</v>
      </c>
      <c r="AA912" s="1993">
        <f>SUM(AA908:AA911)</f>
        <v>0</v>
      </c>
      <c r="AB912" s="1993">
        <f>SUM(AB908:AB911)</f>
        <v>0</v>
      </c>
      <c r="AC912" s="1993">
        <f>SUM(AC908:AC911)</f>
        <v>0</v>
      </c>
      <c r="AD912" s="1944">
        <f t="shared" si="2242"/>
        <v>0</v>
      </c>
      <c r="AE912" s="2224">
        <f t="shared" si="2243"/>
        <v>1017</v>
      </c>
      <c r="AF912" s="1993">
        <f>SUM(AF908:AF911)</f>
        <v>0</v>
      </c>
      <c r="AG912" s="1993">
        <f>SUM(AG908:AG911)</f>
        <v>0</v>
      </c>
      <c r="AH912" s="1993">
        <f>SUM(AH908:AH911)</f>
        <v>0</v>
      </c>
      <c r="AI912" s="2206">
        <f t="shared" si="2244"/>
        <v>0</v>
      </c>
      <c r="AJ912" s="2208">
        <f t="shared" si="2258"/>
        <v>1017</v>
      </c>
      <c r="AK912" s="1993">
        <f>SUM(AK908:AK911)</f>
        <v>0</v>
      </c>
      <c r="AL912" s="1993">
        <f>SUM(AL908:AL911)</f>
        <v>0</v>
      </c>
      <c r="AM912" s="1993">
        <f>SUM(AM908:AM911)</f>
        <v>0</v>
      </c>
      <c r="AN912" s="1448">
        <f t="shared" si="2259"/>
        <v>0</v>
      </c>
      <c r="AO912" s="2124">
        <f t="shared" si="2260"/>
        <v>1017</v>
      </c>
      <c r="AP912" s="1515"/>
      <c r="AQ912" s="1515"/>
      <c r="AR912" s="1515"/>
      <c r="AS912" s="1515"/>
      <c r="AT912" s="1515"/>
      <c r="AU912" s="1515"/>
      <c r="AV912" s="1515"/>
      <c r="AW912" s="1515"/>
      <c r="AX912" s="1515"/>
      <c r="AY912" s="1515"/>
      <c r="AZ912" s="1515"/>
    </row>
    <row r="913">
      <c r="A913" s="1413"/>
      <c r="B913" s="2188">
        <v>1692</v>
      </c>
      <c r="C913" s="1838">
        <v>2453</v>
      </c>
      <c r="D913" s="2225"/>
      <c r="E913" s="2226"/>
      <c r="F913" s="1515"/>
      <c r="G913" s="2227"/>
      <c r="H913" s="2227"/>
      <c r="I913" s="2228"/>
      <c r="J913" s="2228"/>
      <c r="K913" s="2225"/>
      <c r="L913" s="1515"/>
      <c r="M913" s="2229"/>
      <c r="N913" s="2062"/>
      <c r="O913" s="2062"/>
      <c r="P913" s="1526">
        <v>2690</v>
      </c>
      <c r="Q913" s="1515"/>
      <c r="R913" s="1526"/>
      <c r="S913" s="2212"/>
      <c r="T913" s="2230"/>
      <c r="W913" s="1413">
        <v>159</v>
      </c>
      <c r="X913" s="1409">
        <v>230</v>
      </c>
      <c r="AA913" s="1863"/>
      <c r="AC913" s="1413"/>
      <c r="AD913" s="1414"/>
      <c r="AE913" s="2199"/>
      <c r="AK913" s="1413">
        <v>257</v>
      </c>
      <c r="AL913" s="2231"/>
    </row>
    <row r="914" s="1434" customFormat="1" ht="14.25" customHeight="1">
      <c r="A914" s="1409"/>
      <c r="B914" s="2232">
        <f>B912-B913</f>
        <v>3610</v>
      </c>
      <c r="C914" s="2232">
        <f>C912-C913</f>
        <v>3651.5</v>
      </c>
      <c r="D914" s="2225"/>
      <c r="E914" s="2226"/>
      <c r="F914" s="1515"/>
      <c r="G914" s="2227"/>
      <c r="H914" s="2227"/>
      <c r="I914" s="2228"/>
      <c r="J914" s="2228"/>
      <c r="K914" s="2225"/>
      <c r="L914" s="1515"/>
      <c r="M914" s="2229"/>
      <c r="N914" s="2062"/>
      <c r="O914" s="2062"/>
      <c r="P914" s="1866">
        <f>P912-P913</f>
        <v>-2690</v>
      </c>
      <c r="Q914" s="1515"/>
      <c r="R914" s="1526"/>
      <c r="S914" s="2212"/>
      <c r="T914" s="2230"/>
      <c r="U914" s="1409"/>
      <c r="V914" s="1409"/>
      <c r="W914" s="2232">
        <f>W912-W913</f>
        <v>343</v>
      </c>
      <c r="X914" s="2232">
        <f>X912-X913</f>
        <v>285</v>
      </c>
      <c r="Y914" s="1409"/>
      <c r="Z914" s="1411"/>
      <c r="AA914" s="1863"/>
      <c r="AB914" s="1409"/>
      <c r="AC914" s="1409"/>
      <c r="AD914" s="1411"/>
      <c r="AE914" s="1416"/>
      <c r="AF914" s="1409"/>
      <c r="AG914" s="1409"/>
      <c r="AH914" s="1409"/>
      <c r="AI914" s="1411"/>
      <c r="AJ914" s="1416"/>
      <c r="AK914" s="1866">
        <f>AK912-AK913</f>
        <v>-257</v>
      </c>
      <c r="AL914" s="2231"/>
      <c r="AM914" s="1409"/>
      <c r="AN914" s="1411"/>
      <c r="AO914" s="1418"/>
      <c r="AP914" s="1409"/>
      <c r="AQ914" s="1409"/>
      <c r="AR914" s="1409"/>
      <c r="AS914" s="1409"/>
      <c r="AT914" s="1409"/>
      <c r="AU914" s="1409"/>
      <c r="AV914" s="1409"/>
      <c r="AW914" s="1409"/>
      <c r="AX914" s="1409"/>
      <c r="AY914" s="1409"/>
      <c r="AZ914" s="1409"/>
    </row>
    <row r="915" s="1434" customFormat="1" ht="23.25" customHeight="1">
      <c r="A915" s="1409"/>
      <c r="B915" s="2232"/>
      <c r="C915" s="1838"/>
      <c r="D915" s="2225"/>
      <c r="E915" s="2226"/>
      <c r="F915" s="1515"/>
      <c r="G915" s="2227"/>
      <c r="H915" s="2227"/>
      <c r="I915" s="2228"/>
      <c r="J915" s="2228"/>
      <c r="K915" s="2225"/>
      <c r="L915" s="1515"/>
      <c r="M915" s="2229"/>
      <c r="N915" s="2062"/>
      <c r="O915" s="2062"/>
      <c r="P915" s="1866"/>
      <c r="Q915" s="1515"/>
      <c r="R915" s="1526"/>
      <c r="S915" s="2212"/>
      <c r="T915" s="2230"/>
      <c r="U915" s="1409"/>
      <c r="V915" s="1409"/>
      <c r="W915" s="1515"/>
      <c r="X915" s="1409"/>
      <c r="Y915" s="1409"/>
      <c r="Z915" s="1411"/>
      <c r="AA915" s="1863"/>
      <c r="AB915" s="1409"/>
      <c r="AC915" s="1409"/>
      <c r="AD915" s="1411"/>
      <c r="AE915" s="1416"/>
      <c r="AF915" s="1409"/>
      <c r="AG915" s="1409"/>
      <c r="AH915" s="1409"/>
      <c r="AI915" s="1411"/>
      <c r="AJ915" s="1416"/>
      <c r="AK915" s="1866"/>
      <c r="AL915" s="1417"/>
      <c r="AM915" s="1409"/>
      <c r="AN915" s="1411"/>
      <c r="AO915" s="1418"/>
      <c r="AP915" s="1409"/>
      <c r="AQ915" s="1409"/>
      <c r="AR915" s="1409"/>
      <c r="AS915" s="1409"/>
      <c r="AT915" s="1409"/>
      <c r="AU915" s="1409"/>
      <c r="AV915" s="1409"/>
      <c r="AW915" s="1409"/>
      <c r="AX915" s="1409"/>
      <c r="AY915" s="1409"/>
      <c r="AZ915" s="1409"/>
    </row>
    <row r="916" ht="23.25" customHeight="1">
      <c r="A916" s="1842" t="s">
        <v>771</v>
      </c>
      <c r="B916" s="1891" t="s">
        <v>738</v>
      </c>
      <c r="C916" s="1892"/>
      <c r="D916" s="1892"/>
      <c r="E916" s="1892"/>
      <c r="F916" s="1892"/>
      <c r="G916" s="1892"/>
      <c r="H916" s="1892"/>
      <c r="I916" s="1892"/>
      <c r="J916" s="1892"/>
      <c r="K916" s="1892"/>
      <c r="L916" s="1892"/>
      <c r="M916" s="1892"/>
      <c r="N916" s="1892"/>
      <c r="O916" s="1892"/>
      <c r="P916" s="1892"/>
      <c r="Q916" s="1892"/>
      <c r="R916" s="1892"/>
      <c r="S916" s="1892"/>
      <c r="T916" s="1892"/>
      <c r="X916" s="1409" t="s">
        <v>492</v>
      </c>
    </row>
    <row r="917" s="1445" customFormat="1" ht="27" customHeight="1">
      <c r="A917" s="1446" t="s">
        <v>173</v>
      </c>
      <c r="B917" s="1446" t="s">
        <v>6</v>
      </c>
      <c r="C917" s="1446" t="s">
        <v>7</v>
      </c>
      <c r="D917" s="1913" t="s">
        <v>8</v>
      </c>
      <c r="E917" s="2080" t="s">
        <v>9</v>
      </c>
      <c r="F917" s="1447" t="s">
        <v>10</v>
      </c>
      <c r="G917" s="1447" t="s">
        <v>11</v>
      </c>
      <c r="H917" s="1447" t="s">
        <v>12</v>
      </c>
      <c r="I917" s="1448" t="s">
        <v>174</v>
      </c>
      <c r="J917" s="1449" t="s">
        <v>175</v>
      </c>
      <c r="K917" s="1447" t="s">
        <v>14</v>
      </c>
      <c r="L917" s="1447" t="s">
        <v>15</v>
      </c>
      <c r="M917" s="1447" t="s">
        <v>16</v>
      </c>
      <c r="N917" s="1448" t="s">
        <v>17</v>
      </c>
      <c r="O917" s="1449" t="s">
        <v>176</v>
      </c>
      <c r="P917" s="1447" t="s">
        <v>18</v>
      </c>
      <c r="Q917" s="1447" t="s">
        <v>19</v>
      </c>
      <c r="R917" s="1447" t="s">
        <v>20</v>
      </c>
      <c r="S917" s="1448" t="s">
        <v>177</v>
      </c>
      <c r="T917" s="1450" t="s">
        <v>22</v>
      </c>
      <c r="U917" s="1409"/>
      <c r="V917" s="1409"/>
      <c r="W917" s="1409"/>
      <c r="X917" s="1446" t="s">
        <v>7</v>
      </c>
      <c r="Y917" s="1409"/>
      <c r="Z917" s="1411"/>
      <c r="AA917" s="1409"/>
      <c r="AB917" s="1409"/>
      <c r="AC917" s="1409"/>
      <c r="AD917" s="1411"/>
      <c r="AE917" s="1416"/>
      <c r="AF917" s="1409"/>
      <c r="AG917" s="1409"/>
      <c r="AH917" s="1409"/>
      <c r="AI917" s="1411"/>
      <c r="AJ917" s="1416"/>
      <c r="AK917" s="1409"/>
      <c r="AL917" s="1417"/>
      <c r="AM917" s="1409"/>
      <c r="AN917" s="1411"/>
      <c r="AO917" s="1418"/>
      <c r="AP917" s="1409"/>
      <c r="AQ917" s="1409"/>
      <c r="AR917" s="1409"/>
      <c r="AS917" s="1409"/>
      <c r="AT917" s="1409"/>
      <c r="AU917" s="1409"/>
      <c r="AV917" s="1409"/>
      <c r="AW917" s="1409"/>
      <c r="AX917" s="1409"/>
      <c r="AY917" s="1409"/>
      <c r="AZ917" s="1409"/>
    </row>
    <row r="918" ht="23.25" customHeight="1">
      <c r="A918" s="1179" t="s">
        <v>178</v>
      </c>
      <c r="B918" s="1850"/>
      <c r="C918" s="1850"/>
      <c r="D918" s="1850"/>
      <c r="E918" s="1851">
        <f t="shared" si="2240"/>
        <v>0</v>
      </c>
      <c r="F918" s="1850"/>
      <c r="G918" s="1850"/>
      <c r="H918" s="1850"/>
      <c r="I918" s="1851">
        <f t="shared" si="2249"/>
        <v>0</v>
      </c>
      <c r="J918" s="1852">
        <f t="shared" si="2250"/>
        <v>0</v>
      </c>
      <c r="K918" s="1850"/>
      <c r="L918" s="1850"/>
      <c r="M918" s="1850"/>
      <c r="N918" s="1851">
        <f t="shared" si="2255"/>
        <v>0</v>
      </c>
      <c r="O918" s="1852">
        <f t="shared" si="2256"/>
        <v>0</v>
      </c>
      <c r="P918" s="1850"/>
      <c r="Q918" s="2142"/>
      <c r="R918" s="1850"/>
      <c r="S918" s="1851">
        <f t="shared" si="2263"/>
        <v>0</v>
      </c>
      <c r="T918" s="1853">
        <f t="shared" ref="T918:T981" si="2265">O918+S918</f>
        <v>0</v>
      </c>
      <c r="U918" s="1863"/>
      <c r="X918" s="2193"/>
      <c r="Y918" s="1863"/>
      <c r="Z918" s="2233"/>
    </row>
    <row r="919">
      <c r="A919" s="1179" t="s">
        <v>772</v>
      </c>
      <c r="B919" s="1850">
        <f>1433.5+105+128</f>
        <v>1666.5</v>
      </c>
      <c r="C919" s="1850">
        <f>1713+29+195</f>
        <v>1937</v>
      </c>
      <c r="D919" s="1850"/>
      <c r="E919" s="1851">
        <f t="shared" si="2240"/>
        <v>3603.5</v>
      </c>
      <c r="F919" s="1850"/>
      <c r="G919" s="1850"/>
      <c r="H919" s="1850"/>
      <c r="I919" s="1851">
        <f t="shared" si="2249"/>
        <v>0</v>
      </c>
      <c r="J919" s="1852">
        <f t="shared" si="2250"/>
        <v>3603.5</v>
      </c>
      <c r="K919" s="1850"/>
      <c r="L919" s="1850"/>
      <c r="M919" s="1850"/>
      <c r="N919" s="1851">
        <f t="shared" si="2255"/>
        <v>0</v>
      </c>
      <c r="O919" s="1852">
        <f t="shared" si="2256"/>
        <v>3603.5</v>
      </c>
      <c r="P919" s="1850"/>
      <c r="Q919" s="1850"/>
      <c r="R919" s="1850"/>
      <c r="S919" s="1851">
        <f t="shared" si="2263"/>
        <v>0</v>
      </c>
      <c r="T919" s="1853">
        <f t="shared" si="2265"/>
        <v>3603.5</v>
      </c>
      <c r="U919" s="1863"/>
      <c r="W919" s="1410"/>
      <c r="X919" s="2193">
        <f>927+12+61</f>
        <v>1000</v>
      </c>
      <c r="Y919" s="1863"/>
      <c r="Z919" s="2233"/>
    </row>
    <row r="920">
      <c r="A920" s="1179" t="s">
        <v>181</v>
      </c>
      <c r="B920" s="1850">
        <f>14</f>
        <v>14</v>
      </c>
      <c r="C920" s="1850">
        <v>34</v>
      </c>
      <c r="D920" s="1850"/>
      <c r="E920" s="1851">
        <f t="shared" si="2240"/>
        <v>48</v>
      </c>
      <c r="F920" s="1850"/>
      <c r="G920" s="1850"/>
      <c r="H920" s="1850"/>
      <c r="I920" s="1851">
        <f t="shared" si="2249"/>
        <v>0</v>
      </c>
      <c r="J920" s="1852">
        <f t="shared" si="2250"/>
        <v>48</v>
      </c>
      <c r="K920" s="1850"/>
      <c r="L920" s="1850"/>
      <c r="M920" s="1850"/>
      <c r="N920" s="1851">
        <f t="shared" si="2255"/>
        <v>0</v>
      </c>
      <c r="O920" s="1852">
        <f t="shared" si="2256"/>
        <v>48</v>
      </c>
      <c r="P920" s="1850"/>
      <c r="Q920" s="1850"/>
      <c r="R920" s="1850"/>
      <c r="S920" s="1851">
        <f t="shared" si="2263"/>
        <v>0</v>
      </c>
      <c r="T920" s="1853">
        <f t="shared" si="2265"/>
        <v>48</v>
      </c>
      <c r="U920" s="1863"/>
      <c r="W920" s="1410"/>
      <c r="X920" s="2193">
        <v>17</v>
      </c>
      <c r="Y920" s="1863"/>
      <c r="Z920" s="2233"/>
    </row>
    <row r="921">
      <c r="A921" s="1179" t="s">
        <v>182</v>
      </c>
      <c r="B921" s="1850">
        <f>2068+539+846</f>
        <v>3453</v>
      </c>
      <c r="C921" s="1850">
        <f>2167+356+876</f>
        <v>3399</v>
      </c>
      <c r="D921" s="1850"/>
      <c r="E921" s="1851">
        <f t="shared" si="2240"/>
        <v>6852</v>
      </c>
      <c r="F921" s="1850"/>
      <c r="G921" s="1850"/>
      <c r="H921" s="1850"/>
      <c r="I921" s="1851">
        <f t="shared" si="2249"/>
        <v>0</v>
      </c>
      <c r="J921" s="1852">
        <f t="shared" si="2250"/>
        <v>6852</v>
      </c>
      <c r="K921" s="1850"/>
      <c r="L921" s="1850"/>
      <c r="M921" s="1850"/>
      <c r="N921" s="1851">
        <f t="shared" si="2255"/>
        <v>0</v>
      </c>
      <c r="O921" s="1852">
        <f t="shared" si="2256"/>
        <v>6852</v>
      </c>
      <c r="P921" s="1850"/>
      <c r="Q921" s="1850"/>
      <c r="R921" s="1850"/>
      <c r="S921" s="1851">
        <f t="shared" si="2263"/>
        <v>0</v>
      </c>
      <c r="T921" s="1853">
        <f t="shared" si="2265"/>
        <v>6852</v>
      </c>
      <c r="U921" s="1863"/>
      <c r="W921" s="1410"/>
      <c r="X921" s="2193">
        <f>1363+178+438</f>
        <v>1979</v>
      </c>
      <c r="Y921" s="1863"/>
      <c r="Z921" s="2233"/>
    </row>
    <row r="922">
      <c r="A922" s="1179" t="s">
        <v>183</v>
      </c>
      <c r="B922" s="1850"/>
      <c r="C922" s="1850">
        <f>98</f>
        <v>98</v>
      </c>
      <c r="D922" s="1850"/>
      <c r="E922" s="1851">
        <f t="shared" si="2240"/>
        <v>98</v>
      </c>
      <c r="F922" s="1850"/>
      <c r="G922" s="1850"/>
      <c r="H922" s="1850"/>
      <c r="I922" s="1851">
        <f t="shared" si="2249"/>
        <v>0</v>
      </c>
      <c r="J922" s="1852">
        <f t="shared" si="2250"/>
        <v>98</v>
      </c>
      <c r="K922" s="1850"/>
      <c r="L922" s="1850"/>
      <c r="M922" s="1850"/>
      <c r="N922" s="1851">
        <f t="shared" si="2255"/>
        <v>0</v>
      </c>
      <c r="O922" s="1852">
        <f t="shared" si="2256"/>
        <v>98</v>
      </c>
      <c r="P922" s="1850"/>
      <c r="Q922" s="1850"/>
      <c r="R922" s="1850"/>
      <c r="S922" s="1851">
        <f t="shared" si="2263"/>
        <v>0</v>
      </c>
      <c r="T922" s="1853">
        <f t="shared" si="2265"/>
        <v>98</v>
      </c>
      <c r="U922" s="1863"/>
      <c r="W922" s="1410"/>
      <c r="X922" s="2193">
        <v>49</v>
      </c>
      <c r="Y922" s="1863"/>
      <c r="Z922" s="2233"/>
    </row>
    <row r="923">
      <c r="A923" s="1179" t="s">
        <v>184</v>
      </c>
      <c r="B923" s="1850">
        <f>2502+591+686</f>
        <v>3779</v>
      </c>
      <c r="C923" s="1850">
        <f>4312+702+1234</f>
        <v>6248</v>
      </c>
      <c r="D923" s="1850"/>
      <c r="E923" s="1851">
        <f t="shared" si="2240"/>
        <v>10027</v>
      </c>
      <c r="F923" s="1850"/>
      <c r="G923" s="1850"/>
      <c r="H923" s="1850"/>
      <c r="I923" s="1851">
        <f t="shared" si="2249"/>
        <v>0</v>
      </c>
      <c r="J923" s="1852">
        <f t="shared" si="2250"/>
        <v>10027</v>
      </c>
      <c r="K923" s="1850"/>
      <c r="L923" s="1850"/>
      <c r="M923" s="1850"/>
      <c r="N923" s="1851">
        <f t="shared" si="2255"/>
        <v>0</v>
      </c>
      <c r="O923" s="1852">
        <f t="shared" si="2256"/>
        <v>10027</v>
      </c>
      <c r="P923" s="1850"/>
      <c r="Q923" s="1850"/>
      <c r="R923" s="1850"/>
      <c r="S923" s="1851">
        <f t="shared" si="2263"/>
        <v>0</v>
      </c>
      <c r="T923" s="1853">
        <f t="shared" si="2265"/>
        <v>10027</v>
      </c>
      <c r="U923" s="1863"/>
      <c r="W923" s="1410"/>
      <c r="X923" s="2193">
        <f>2156+234+617</f>
        <v>3007</v>
      </c>
      <c r="Y923" s="1863"/>
      <c r="Z923" s="2233"/>
    </row>
    <row r="924">
      <c r="A924" s="1179" t="s">
        <v>741</v>
      </c>
      <c r="B924" s="1850">
        <f>12+110</f>
        <v>122</v>
      </c>
      <c r="C924" s="1850">
        <f>194+195</f>
        <v>389</v>
      </c>
      <c r="D924" s="1850"/>
      <c r="E924" s="1851">
        <f t="shared" si="2240"/>
        <v>511</v>
      </c>
      <c r="F924" s="1850"/>
      <c r="G924" s="1850"/>
      <c r="H924" s="1850"/>
      <c r="I924" s="1851">
        <f t="shared" si="2249"/>
        <v>0</v>
      </c>
      <c r="J924" s="1852">
        <f t="shared" si="2250"/>
        <v>511</v>
      </c>
      <c r="K924" s="1850"/>
      <c r="L924" s="1850"/>
      <c r="M924" s="1850"/>
      <c r="N924" s="1851">
        <f t="shared" si="2255"/>
        <v>0</v>
      </c>
      <c r="O924" s="1852">
        <f t="shared" si="2256"/>
        <v>511</v>
      </c>
      <c r="P924" s="1850"/>
      <c r="Q924" s="1850"/>
      <c r="R924" s="1850"/>
      <c r="S924" s="1851"/>
      <c r="T924" s="1853"/>
      <c r="U924" s="1863"/>
      <c r="W924" s="1410"/>
      <c r="X924" s="2193">
        <f>97+78</f>
        <v>175</v>
      </c>
      <c r="Y924" s="1863"/>
      <c r="Z924" s="2233"/>
    </row>
    <row r="925" s="1510" customFormat="1">
      <c r="A925" s="1179" t="s">
        <v>185</v>
      </c>
      <c r="B925" s="1850">
        <f>1340+183+442</f>
        <v>1965</v>
      </c>
      <c r="C925" s="1850">
        <f>1734+201+676</f>
        <v>2611</v>
      </c>
      <c r="D925" s="1850"/>
      <c r="E925" s="1851">
        <f t="shared" si="2240"/>
        <v>4576</v>
      </c>
      <c r="F925" s="1850"/>
      <c r="G925" s="1850"/>
      <c r="H925" s="1850"/>
      <c r="I925" s="1851">
        <f t="shared" si="2249"/>
        <v>0</v>
      </c>
      <c r="J925" s="1852">
        <f t="shared" si="2250"/>
        <v>4576</v>
      </c>
      <c r="K925" s="1850"/>
      <c r="L925" s="1850"/>
      <c r="M925" s="1850"/>
      <c r="N925" s="1851">
        <f t="shared" si="2255"/>
        <v>0</v>
      </c>
      <c r="O925" s="1852">
        <f t="shared" si="2256"/>
        <v>4576</v>
      </c>
      <c r="P925" s="1850"/>
      <c r="Q925" s="1850"/>
      <c r="R925" s="1850"/>
      <c r="S925" s="1851">
        <f t="shared" si="2263"/>
        <v>0</v>
      </c>
      <c r="T925" s="1853">
        <f t="shared" si="2265"/>
        <v>4576</v>
      </c>
      <c r="U925" s="1863"/>
      <c r="V925" s="1409"/>
      <c r="W925" s="1410"/>
      <c r="X925" s="2193">
        <f>867+67+338</f>
        <v>1272</v>
      </c>
      <c r="Y925" s="1863"/>
      <c r="Z925" s="2233"/>
      <c r="AA925" s="1409"/>
      <c r="AB925" s="1409"/>
      <c r="AC925" s="1409"/>
      <c r="AD925" s="1411"/>
      <c r="AE925" s="1416"/>
      <c r="AF925" s="1409"/>
      <c r="AG925" s="1409"/>
      <c r="AH925" s="1409"/>
      <c r="AI925" s="1411"/>
      <c r="AJ925" s="1416"/>
      <c r="AK925" s="1409"/>
      <c r="AL925" s="1417"/>
      <c r="AM925" s="1409"/>
      <c r="AN925" s="1411"/>
      <c r="AO925" s="1418"/>
      <c r="AP925" s="1409"/>
      <c r="AQ925" s="1409"/>
      <c r="AR925" s="1409"/>
      <c r="AS925" s="1409"/>
      <c r="AT925" s="1409"/>
      <c r="AU925" s="1409"/>
      <c r="AV925" s="1409"/>
      <c r="AW925" s="1409"/>
      <c r="AX925" s="1409"/>
      <c r="AY925" s="1409"/>
      <c r="AZ925" s="1409"/>
    </row>
    <row r="926" s="1510" customFormat="1">
      <c r="A926" s="1511" t="s">
        <v>363</v>
      </c>
      <c r="B926" s="1858">
        <f>SUM(B918:B925)</f>
        <v>10999.5</v>
      </c>
      <c r="C926" s="1858">
        <f>SUM(C918:C925)</f>
        <v>14716</v>
      </c>
      <c r="D926" s="1858">
        <f>SUM(D918:D925)</f>
        <v>0</v>
      </c>
      <c r="E926" s="1859">
        <f t="shared" si="2240"/>
        <v>25715.5</v>
      </c>
      <c r="F926" s="1858">
        <f>SUM(F918:F925)</f>
        <v>0</v>
      </c>
      <c r="G926" s="1858">
        <f>SUM(G918:G925)</f>
        <v>0</v>
      </c>
      <c r="H926" s="1858">
        <f>SUM(H918:H925)</f>
        <v>0</v>
      </c>
      <c r="I926" s="1859">
        <f t="shared" si="2249"/>
        <v>0</v>
      </c>
      <c r="J926" s="1860">
        <f t="shared" si="2250"/>
        <v>25715.5</v>
      </c>
      <c r="K926" s="1858">
        <f>SUM(K918:K925)</f>
        <v>0</v>
      </c>
      <c r="L926" s="1858">
        <f>SUM(L918:L925)</f>
        <v>0</v>
      </c>
      <c r="M926" s="1858">
        <f>SUM(M918:M925)</f>
        <v>0</v>
      </c>
      <c r="N926" s="1859">
        <f t="shared" si="2255"/>
        <v>0</v>
      </c>
      <c r="O926" s="1860">
        <f t="shared" si="2256"/>
        <v>25715.5</v>
      </c>
      <c r="P926" s="1858">
        <f>SUM(P918:P925)</f>
        <v>0</v>
      </c>
      <c r="Q926" s="1858">
        <f>SUM(Q918:Q925)</f>
        <v>0</v>
      </c>
      <c r="R926" s="1858">
        <f>SUM(R918:R925)</f>
        <v>0</v>
      </c>
      <c r="S926" s="1859">
        <f t="shared" si="2263"/>
        <v>0</v>
      </c>
      <c r="T926" s="1861">
        <f>SUM(T918:T925)</f>
        <v>25204.5</v>
      </c>
      <c r="U926" s="1866"/>
      <c r="V926" s="1515"/>
      <c r="W926" s="1838"/>
      <c r="X926" s="1858">
        <f>SUM(X918:X925)</f>
        <v>7499</v>
      </c>
      <c r="Y926" s="1866"/>
      <c r="Z926" s="2234"/>
      <c r="AA926" s="1515"/>
      <c r="AB926" s="1515"/>
      <c r="AC926" s="1515"/>
      <c r="AD926" s="2152"/>
      <c r="AE926" s="2153"/>
      <c r="AF926" s="1515"/>
      <c r="AG926" s="1515"/>
      <c r="AH926" s="1515"/>
      <c r="AI926" s="2152"/>
      <c r="AJ926" s="2153"/>
      <c r="AK926" s="1515"/>
      <c r="AL926" s="1886"/>
      <c r="AM926" s="1515"/>
      <c r="AN926" s="2152"/>
      <c r="AO926" s="2062"/>
      <c r="AP926" s="1515"/>
      <c r="AQ926" s="1515"/>
      <c r="AR926" s="1515"/>
      <c r="AS926" s="1515"/>
      <c r="AT926" s="1515"/>
      <c r="AU926" s="1515"/>
      <c r="AV926" s="1515"/>
      <c r="AW926" s="1515"/>
      <c r="AX926" s="1515"/>
      <c r="AY926" s="1515"/>
      <c r="AZ926" s="1515"/>
    </row>
    <row r="927">
      <c r="A927" s="1179" t="s">
        <v>542</v>
      </c>
      <c r="B927" s="1850"/>
      <c r="C927" s="1850"/>
      <c r="D927" s="1850"/>
      <c r="E927" s="1851">
        <f t="shared" si="2240"/>
        <v>0</v>
      </c>
      <c r="F927" s="1850"/>
      <c r="G927" s="1850"/>
      <c r="H927" s="1850"/>
      <c r="I927" s="1851">
        <f t="shared" si="2249"/>
        <v>0</v>
      </c>
      <c r="J927" s="1852">
        <f t="shared" si="2250"/>
        <v>0</v>
      </c>
      <c r="K927" s="1850"/>
      <c r="L927" s="1850"/>
      <c r="M927" s="1850"/>
      <c r="N927" s="1851">
        <f t="shared" si="2255"/>
        <v>0</v>
      </c>
      <c r="O927" s="1852">
        <f t="shared" si="2256"/>
        <v>0</v>
      </c>
      <c r="P927" s="1850"/>
      <c r="Q927" s="2142"/>
      <c r="R927" s="1850"/>
      <c r="S927" s="1851">
        <f t="shared" si="2263"/>
        <v>0</v>
      </c>
      <c r="T927" s="1853">
        <f t="shared" si="2265"/>
        <v>0</v>
      </c>
      <c r="U927" s="1863"/>
      <c r="W927" s="1838"/>
      <c r="X927" s="2193"/>
      <c r="Y927" s="1863"/>
      <c r="Z927" s="2233"/>
    </row>
    <row r="928">
      <c r="A928" s="1179" t="s">
        <v>195</v>
      </c>
      <c r="B928" s="1850">
        <f>262+123+116</f>
        <v>501</v>
      </c>
      <c r="C928" s="1850">
        <f>240+162+191</f>
        <v>593</v>
      </c>
      <c r="D928" s="1850"/>
      <c r="E928" s="1851">
        <f t="shared" si="2240"/>
        <v>1094</v>
      </c>
      <c r="F928" s="1850"/>
      <c r="G928" s="1850"/>
      <c r="H928" s="1850"/>
      <c r="I928" s="1851">
        <f t="shared" si="2249"/>
        <v>0</v>
      </c>
      <c r="J928" s="1852">
        <f t="shared" si="2250"/>
        <v>1094</v>
      </c>
      <c r="K928" s="1850"/>
      <c r="L928" s="1850"/>
      <c r="M928" s="1850"/>
      <c r="N928" s="1851">
        <f t="shared" si="2255"/>
        <v>0</v>
      </c>
      <c r="O928" s="1852">
        <f t="shared" si="2256"/>
        <v>1094</v>
      </c>
      <c r="P928" s="1850"/>
      <c r="Q928" s="1850"/>
      <c r="R928" s="1850"/>
      <c r="S928" s="1851">
        <f t="shared" si="2263"/>
        <v>0</v>
      </c>
      <c r="T928" s="1853">
        <f t="shared" si="2265"/>
        <v>1094</v>
      </c>
      <c r="U928" s="1863"/>
      <c r="W928" s="1410"/>
      <c r="X928" s="2193">
        <f>62+54+109</f>
        <v>225</v>
      </c>
      <c r="Y928" s="1863"/>
      <c r="Z928" s="2233"/>
    </row>
    <row r="929">
      <c r="A929" s="1179" t="s">
        <v>196</v>
      </c>
      <c r="B929" s="1850">
        <f>858+44+196</f>
        <v>1098</v>
      </c>
      <c r="C929" s="1850">
        <f>1586+63+364</f>
        <v>2013</v>
      </c>
      <c r="D929" s="1850"/>
      <c r="E929" s="1851">
        <f t="shared" si="2240"/>
        <v>3111</v>
      </c>
      <c r="F929" s="1850"/>
      <c r="G929" s="1850"/>
      <c r="H929" s="1850"/>
      <c r="I929" s="1851">
        <f t="shared" si="2249"/>
        <v>0</v>
      </c>
      <c r="J929" s="1852">
        <f t="shared" si="2250"/>
        <v>3111</v>
      </c>
      <c r="K929" s="1850"/>
      <c r="L929" s="1850"/>
      <c r="M929" s="1850"/>
      <c r="N929" s="1851">
        <f t="shared" si="2255"/>
        <v>0</v>
      </c>
      <c r="O929" s="1852">
        <f t="shared" si="2256"/>
        <v>3111</v>
      </c>
      <c r="P929" s="1850"/>
      <c r="Q929" s="1850"/>
      <c r="R929" s="1850"/>
      <c r="S929" s="1851">
        <f t="shared" si="2263"/>
        <v>0</v>
      </c>
      <c r="T929" s="1853">
        <f t="shared" si="2265"/>
        <v>3111</v>
      </c>
      <c r="U929" s="1863"/>
      <c r="W929" s="1410"/>
      <c r="X929" s="2193">
        <f>407+30+201</f>
        <v>638</v>
      </c>
      <c r="Y929" s="1863"/>
      <c r="Z929" s="2233"/>
    </row>
    <row r="930">
      <c r="A930" s="1179" t="s">
        <v>367</v>
      </c>
      <c r="B930" s="1850"/>
      <c r="C930" s="1850"/>
      <c r="D930" s="1850"/>
      <c r="E930" s="1851">
        <f t="shared" si="2240"/>
        <v>0</v>
      </c>
      <c r="F930" s="1850"/>
      <c r="G930" s="1850"/>
      <c r="H930" s="1850"/>
      <c r="I930" s="1851">
        <f t="shared" si="2249"/>
        <v>0</v>
      </c>
      <c r="J930" s="1852">
        <f t="shared" si="2250"/>
        <v>0</v>
      </c>
      <c r="K930" s="1850"/>
      <c r="L930" s="1850"/>
      <c r="M930" s="1850"/>
      <c r="N930" s="1851">
        <f t="shared" si="2255"/>
        <v>0</v>
      </c>
      <c r="O930" s="1852">
        <f t="shared" si="2256"/>
        <v>0</v>
      </c>
      <c r="P930" s="1850"/>
      <c r="Q930" s="2142"/>
      <c r="R930" s="1850"/>
      <c r="S930" s="1851">
        <f t="shared" si="2263"/>
        <v>0</v>
      </c>
      <c r="T930" s="1853">
        <f t="shared" si="2265"/>
        <v>0</v>
      </c>
      <c r="U930" s="1863"/>
      <c r="W930" s="1410"/>
      <c r="X930" s="2193"/>
      <c r="Y930" s="1863"/>
      <c r="Z930" s="2233"/>
    </row>
    <row r="931">
      <c r="A931" s="1179" t="s">
        <v>201</v>
      </c>
      <c r="B931" s="1850">
        <f>324+54</f>
        <v>378</v>
      </c>
      <c r="C931" s="1850">
        <f>460+15+72</f>
        <v>547</v>
      </c>
      <c r="D931" s="1850"/>
      <c r="E931" s="1851">
        <f t="shared" si="2240"/>
        <v>925</v>
      </c>
      <c r="F931" s="1850"/>
      <c r="G931" s="1850"/>
      <c r="H931" s="1850"/>
      <c r="I931" s="1851">
        <f t="shared" si="2249"/>
        <v>0</v>
      </c>
      <c r="J931" s="1852">
        <f t="shared" si="2250"/>
        <v>925</v>
      </c>
      <c r="K931" s="1850"/>
      <c r="L931" s="1850"/>
      <c r="M931" s="1850"/>
      <c r="N931" s="1851">
        <f t="shared" si="2255"/>
        <v>0</v>
      </c>
      <c r="O931" s="1852">
        <f t="shared" si="2256"/>
        <v>925</v>
      </c>
      <c r="P931" s="1850"/>
      <c r="Q931" s="1850"/>
      <c r="R931" s="1850"/>
      <c r="S931" s="1851">
        <f t="shared" si="2263"/>
        <v>0</v>
      </c>
      <c r="T931" s="1853">
        <f t="shared" si="2265"/>
        <v>925</v>
      </c>
      <c r="U931" s="1863"/>
      <c r="W931" s="1410"/>
      <c r="X931" s="2193">
        <f>131+5+38</f>
        <v>174</v>
      </c>
      <c r="Y931" s="1863"/>
      <c r="Z931" s="2233"/>
    </row>
    <row r="932">
      <c r="A932" s="1179" t="s">
        <v>203</v>
      </c>
      <c r="B932" s="1850">
        <v>729</v>
      </c>
      <c r="C932" s="1850">
        <f>1135.5+12</f>
        <v>1147.5</v>
      </c>
      <c r="D932" s="1850"/>
      <c r="E932" s="1851">
        <f t="shared" si="2240"/>
        <v>1876.5</v>
      </c>
      <c r="F932" s="1850"/>
      <c r="G932" s="1850"/>
      <c r="H932" s="1850"/>
      <c r="I932" s="1851">
        <f t="shared" si="2249"/>
        <v>0</v>
      </c>
      <c r="J932" s="1852">
        <f t="shared" si="2250"/>
        <v>1876.5</v>
      </c>
      <c r="K932" s="1850"/>
      <c r="L932" s="1850"/>
      <c r="M932" s="1850"/>
      <c r="N932" s="1851">
        <f t="shared" si="2255"/>
        <v>0</v>
      </c>
      <c r="O932" s="1852">
        <f t="shared" si="2256"/>
        <v>1876.5</v>
      </c>
      <c r="P932" s="1850"/>
      <c r="Q932" s="1850"/>
      <c r="R932" s="1850"/>
      <c r="S932" s="1851">
        <f t="shared" si="2263"/>
        <v>0</v>
      </c>
      <c r="T932" s="1853">
        <f t="shared" si="2265"/>
        <v>1876.5</v>
      </c>
      <c r="U932" s="1863"/>
      <c r="W932" s="1410"/>
      <c r="X932" s="2193">
        <f>646+4</f>
        <v>650</v>
      </c>
      <c r="Y932" s="1863"/>
      <c r="Z932" s="2233"/>
    </row>
    <row r="933">
      <c r="A933" s="1179" t="s">
        <v>204</v>
      </c>
      <c r="B933" s="1850">
        <f>567+104</f>
        <v>671</v>
      </c>
      <c r="C933" s="1850">
        <f>1383+136</f>
        <v>1519</v>
      </c>
      <c r="D933" s="1850"/>
      <c r="E933" s="1851">
        <f t="shared" si="2240"/>
        <v>2190</v>
      </c>
      <c r="F933" s="1850"/>
      <c r="G933" s="1850"/>
      <c r="H933" s="1850"/>
      <c r="I933" s="1851">
        <f t="shared" si="2249"/>
        <v>0</v>
      </c>
      <c r="J933" s="1852">
        <f t="shared" si="2250"/>
        <v>2190</v>
      </c>
      <c r="K933" s="1850"/>
      <c r="L933" s="1850"/>
      <c r="M933" s="1850"/>
      <c r="N933" s="1851">
        <f t="shared" si="2255"/>
        <v>0</v>
      </c>
      <c r="O933" s="1852">
        <f t="shared" si="2256"/>
        <v>2190</v>
      </c>
      <c r="P933" s="1850"/>
      <c r="Q933" s="1850"/>
      <c r="R933" s="1850"/>
      <c r="S933" s="1851">
        <f t="shared" si="2263"/>
        <v>0</v>
      </c>
      <c r="T933" s="1853">
        <f t="shared" si="2265"/>
        <v>2190</v>
      </c>
      <c r="U933" s="1863"/>
      <c r="W933" s="1410"/>
      <c r="X933" s="2193">
        <f>695+68</f>
        <v>763</v>
      </c>
      <c r="Y933" s="1863"/>
      <c r="Z933" s="2233"/>
    </row>
    <row r="934">
      <c r="A934" s="1179" t="s">
        <v>205</v>
      </c>
      <c r="B934" s="1850">
        <f>300+396+66+2+2</f>
        <v>766</v>
      </c>
      <c r="C934" s="1850">
        <f>512+204+74</f>
        <v>790</v>
      </c>
      <c r="D934" s="1850"/>
      <c r="E934" s="1851">
        <f t="shared" ref="E934:E997" si="2266">B934+C934+D934</f>
        <v>1556</v>
      </c>
      <c r="F934" s="1850"/>
      <c r="G934" s="1850"/>
      <c r="H934" s="1850"/>
      <c r="I934" s="1851">
        <f t="shared" si="2249"/>
        <v>0</v>
      </c>
      <c r="J934" s="1852">
        <f t="shared" si="2250"/>
        <v>1556</v>
      </c>
      <c r="K934" s="1850"/>
      <c r="L934" s="1850"/>
      <c r="M934" s="1850"/>
      <c r="N934" s="1851">
        <f t="shared" si="2255"/>
        <v>0</v>
      </c>
      <c r="O934" s="1852">
        <f t="shared" si="2256"/>
        <v>1556</v>
      </c>
      <c r="P934" s="1850"/>
      <c r="Q934" s="1850"/>
      <c r="R934" s="1850"/>
      <c r="S934" s="1851">
        <f t="shared" si="2263"/>
        <v>0</v>
      </c>
      <c r="T934" s="1853">
        <f t="shared" si="2265"/>
        <v>1556</v>
      </c>
      <c r="U934" s="1863"/>
      <c r="W934" s="1410"/>
      <c r="X934" s="2193">
        <f>130+68+37</f>
        <v>235</v>
      </c>
      <c r="Y934" s="1863"/>
      <c r="Z934" s="2233"/>
    </row>
    <row r="935">
      <c r="A935" s="1179" t="s">
        <v>206</v>
      </c>
      <c r="B935" s="1850">
        <f>152.5+14+54</f>
        <v>220.5</v>
      </c>
      <c r="C935" s="1850">
        <f>338+3</f>
        <v>341</v>
      </c>
      <c r="D935" s="1850"/>
      <c r="E935" s="1851">
        <f t="shared" si="2266"/>
        <v>561.5</v>
      </c>
      <c r="F935" s="1850"/>
      <c r="G935" s="1850"/>
      <c r="H935" s="1850"/>
      <c r="I935" s="1851">
        <f t="shared" si="2249"/>
        <v>0</v>
      </c>
      <c r="J935" s="1852">
        <f t="shared" si="2250"/>
        <v>561.5</v>
      </c>
      <c r="K935" s="1850"/>
      <c r="L935" s="1850"/>
      <c r="M935" s="1850"/>
      <c r="N935" s="1851">
        <f t="shared" si="2255"/>
        <v>0</v>
      </c>
      <c r="O935" s="1852">
        <f t="shared" si="2256"/>
        <v>561.5</v>
      </c>
      <c r="P935" s="1850"/>
      <c r="Q935" s="1850"/>
      <c r="R935" s="1850"/>
      <c r="S935" s="1851">
        <f t="shared" si="2263"/>
        <v>0</v>
      </c>
      <c r="T935" s="1853">
        <f t="shared" si="2265"/>
        <v>561.5</v>
      </c>
      <c r="U935" s="1863"/>
      <c r="W935" s="1410"/>
      <c r="X935" s="2193">
        <f>167+3</f>
        <v>170</v>
      </c>
      <c r="Y935" s="1863"/>
      <c r="Z935" s="2233"/>
    </row>
    <row r="936">
      <c r="A936" s="1179" t="s">
        <v>207</v>
      </c>
      <c r="B936" s="1850">
        <f>669+150+308</f>
        <v>1127</v>
      </c>
      <c r="C936" s="1850">
        <f>1260+200+466</f>
        <v>1926</v>
      </c>
      <c r="D936" s="1850"/>
      <c r="E936" s="1851">
        <f t="shared" si="2266"/>
        <v>3053</v>
      </c>
      <c r="F936" s="1850"/>
      <c r="G936" s="1850"/>
      <c r="H936" s="1850"/>
      <c r="I936" s="1851">
        <f t="shared" si="2249"/>
        <v>0</v>
      </c>
      <c r="J936" s="1852">
        <f t="shared" si="2250"/>
        <v>3053</v>
      </c>
      <c r="K936" s="1850"/>
      <c r="L936" s="1850"/>
      <c r="M936" s="1850"/>
      <c r="N936" s="1851">
        <f t="shared" si="2255"/>
        <v>0</v>
      </c>
      <c r="O936" s="1852">
        <f t="shared" si="2256"/>
        <v>3053</v>
      </c>
      <c r="P936" s="1850"/>
      <c r="Q936" s="1850"/>
      <c r="R936" s="1850"/>
      <c r="S936" s="1851">
        <f t="shared" si="2263"/>
        <v>0</v>
      </c>
      <c r="T936" s="1853">
        <f t="shared" si="2265"/>
        <v>3053</v>
      </c>
      <c r="U936" s="1863"/>
      <c r="W936" s="1410"/>
      <c r="X936" s="2193">
        <f>364+53+245</f>
        <v>662</v>
      </c>
      <c r="Y936" s="1863"/>
      <c r="Z936" s="2233"/>
    </row>
    <row r="937">
      <c r="A937" s="1179" t="s">
        <v>209</v>
      </c>
      <c r="B937" s="1850">
        <f>76+12</f>
        <v>88</v>
      </c>
      <c r="C937" s="1850">
        <f>52</f>
        <v>52</v>
      </c>
      <c r="D937" s="1850"/>
      <c r="E937" s="1851">
        <f t="shared" si="2266"/>
        <v>140</v>
      </c>
      <c r="F937" s="1850"/>
      <c r="G937" s="1850"/>
      <c r="H937" s="1850"/>
      <c r="I937" s="1851">
        <f t="shared" si="2249"/>
        <v>0</v>
      </c>
      <c r="J937" s="1852">
        <f t="shared" si="2250"/>
        <v>140</v>
      </c>
      <c r="K937" s="1850"/>
      <c r="L937" s="1850"/>
      <c r="M937" s="1850"/>
      <c r="N937" s="1851">
        <f t="shared" si="2255"/>
        <v>0</v>
      </c>
      <c r="O937" s="1852">
        <f t="shared" si="2256"/>
        <v>140</v>
      </c>
      <c r="P937" s="1850"/>
      <c r="Q937" s="1850"/>
      <c r="R937" s="1850"/>
      <c r="S937" s="1851">
        <f t="shared" si="2263"/>
        <v>0</v>
      </c>
      <c r="T937" s="1853">
        <f t="shared" si="2265"/>
        <v>140</v>
      </c>
      <c r="U937" s="1863"/>
      <c r="W937" s="1410"/>
      <c r="X937" s="2193">
        <v>26</v>
      </c>
      <c r="Y937" s="1863"/>
      <c r="Z937" s="2233"/>
    </row>
    <row r="938">
      <c r="A938" s="1179" t="s">
        <v>773</v>
      </c>
      <c r="B938" s="1850">
        <f>334+18+48</f>
        <v>400</v>
      </c>
      <c r="C938" s="1850">
        <f>102+18+20</f>
        <v>140</v>
      </c>
      <c r="D938" s="1850"/>
      <c r="E938" s="1851">
        <f t="shared" si="2266"/>
        <v>540</v>
      </c>
      <c r="F938" s="1850"/>
      <c r="G938" s="1850"/>
      <c r="H938" s="1850"/>
      <c r="I938" s="1851">
        <f t="shared" si="2249"/>
        <v>0</v>
      </c>
      <c r="J938" s="1852">
        <f t="shared" si="2250"/>
        <v>540</v>
      </c>
      <c r="K938" s="1850"/>
      <c r="L938" s="1850"/>
      <c r="M938" s="1850"/>
      <c r="N938" s="1851">
        <f t="shared" si="2255"/>
        <v>0</v>
      </c>
      <c r="O938" s="1852">
        <f t="shared" si="2256"/>
        <v>540</v>
      </c>
      <c r="P938" s="1850"/>
      <c r="Q938" s="1850"/>
      <c r="R938" s="1850"/>
      <c r="S938" s="1851">
        <f t="shared" si="2263"/>
        <v>0</v>
      </c>
      <c r="T938" s="1853">
        <f t="shared" si="2265"/>
        <v>540</v>
      </c>
      <c r="U938" s="1863"/>
      <c r="W938" s="1410"/>
      <c r="X938" s="2193">
        <f>57+6+10</f>
        <v>73</v>
      </c>
      <c r="Y938" s="1863"/>
      <c r="Z938" s="2233"/>
    </row>
    <row r="939" s="1510" customFormat="1">
      <c r="A939" s="1179" t="s">
        <v>211</v>
      </c>
      <c r="B939" s="1850">
        <f>691+22+28</f>
        <v>741</v>
      </c>
      <c r="C939" s="1850">
        <f>618+5</f>
        <v>623</v>
      </c>
      <c r="D939" s="1850"/>
      <c r="E939" s="1851">
        <f t="shared" si="2266"/>
        <v>1364</v>
      </c>
      <c r="F939" s="1850"/>
      <c r="G939" s="1850"/>
      <c r="H939" s="1850"/>
      <c r="I939" s="1851">
        <f t="shared" si="2249"/>
        <v>0</v>
      </c>
      <c r="J939" s="1852">
        <f t="shared" si="2250"/>
        <v>1364</v>
      </c>
      <c r="K939" s="1850"/>
      <c r="L939" s="1850"/>
      <c r="M939" s="1850"/>
      <c r="N939" s="1851">
        <f t="shared" si="2255"/>
        <v>0</v>
      </c>
      <c r="O939" s="1852">
        <f t="shared" si="2256"/>
        <v>1364</v>
      </c>
      <c r="P939" s="1850"/>
      <c r="Q939" s="1850"/>
      <c r="R939" s="1850"/>
      <c r="S939" s="1851">
        <f t="shared" si="2263"/>
        <v>0</v>
      </c>
      <c r="T939" s="1853">
        <f t="shared" si="2265"/>
        <v>1364</v>
      </c>
      <c r="U939" s="1863"/>
      <c r="V939" s="1409"/>
      <c r="W939" s="1410"/>
      <c r="X939" s="2193">
        <f>293+5</f>
        <v>298</v>
      </c>
      <c r="Y939" s="1863"/>
      <c r="Z939" s="2233"/>
      <c r="AA939" s="1409"/>
      <c r="AB939" s="1409"/>
      <c r="AC939" s="1409"/>
      <c r="AD939" s="1411"/>
      <c r="AE939" s="1416"/>
      <c r="AF939" s="1409"/>
      <c r="AG939" s="1409"/>
      <c r="AH939" s="1409"/>
      <c r="AI939" s="1411"/>
      <c r="AJ939" s="1416"/>
      <c r="AK939" s="1409"/>
      <c r="AL939" s="1417"/>
      <c r="AM939" s="1409"/>
      <c r="AN939" s="1411"/>
      <c r="AO939" s="1418"/>
      <c r="AP939" s="1409"/>
      <c r="AQ939" s="1409"/>
      <c r="AR939" s="1409"/>
      <c r="AS939" s="1409"/>
      <c r="AT939" s="1409"/>
      <c r="AU939" s="1409"/>
      <c r="AV939" s="1409"/>
      <c r="AW939" s="1409"/>
      <c r="AX939" s="1409"/>
      <c r="AY939" s="1409"/>
      <c r="AZ939" s="1409"/>
    </row>
    <row r="940" s="1510" customFormat="1">
      <c r="A940" s="1511" t="s">
        <v>363</v>
      </c>
      <c r="B940" s="1858">
        <f>SUM(B927:B939)</f>
        <v>6719.5</v>
      </c>
      <c r="C940" s="1858">
        <f>SUM(C927:C939)</f>
        <v>9691.5</v>
      </c>
      <c r="D940" s="1858">
        <f>SUM(D927:D939)</f>
        <v>0</v>
      </c>
      <c r="E940" s="1859">
        <f t="shared" si="2266"/>
        <v>16411</v>
      </c>
      <c r="F940" s="1858">
        <f>SUM(F927:F939)</f>
        <v>0</v>
      </c>
      <c r="G940" s="1858">
        <f>SUM(G927:G939)</f>
        <v>0</v>
      </c>
      <c r="H940" s="1858">
        <f>SUM(H927:H939)</f>
        <v>0</v>
      </c>
      <c r="I940" s="1859">
        <f t="shared" si="2249"/>
        <v>0</v>
      </c>
      <c r="J940" s="1860">
        <f t="shared" si="2250"/>
        <v>16411</v>
      </c>
      <c r="K940" s="1858">
        <f>SUM(K927:K939)</f>
        <v>0</v>
      </c>
      <c r="L940" s="1858">
        <f>SUM(L927:L939)</f>
        <v>0</v>
      </c>
      <c r="M940" s="1858">
        <f>SUM(M927:M939)</f>
        <v>0</v>
      </c>
      <c r="N940" s="1859">
        <f t="shared" si="2255"/>
        <v>0</v>
      </c>
      <c r="O940" s="1860">
        <f t="shared" si="2256"/>
        <v>16411</v>
      </c>
      <c r="P940" s="1858">
        <f>SUM(P927:P939)</f>
        <v>0</v>
      </c>
      <c r="Q940" s="1858">
        <f>SUM(Q927:Q939)</f>
        <v>0</v>
      </c>
      <c r="R940" s="1858">
        <f>SUM(R927:R939)</f>
        <v>0</v>
      </c>
      <c r="S940" s="1859">
        <f t="shared" si="2263"/>
        <v>0</v>
      </c>
      <c r="T940" s="1861">
        <f>SUM(T927:T939)</f>
        <v>16411</v>
      </c>
      <c r="U940" s="1866"/>
      <c r="V940" s="1515"/>
      <c r="W940" s="1838"/>
      <c r="X940" s="1858">
        <f>SUM(X927:X939)</f>
        <v>3914</v>
      </c>
      <c r="Y940" s="1866"/>
      <c r="Z940" s="2234"/>
      <c r="AA940" s="1515"/>
      <c r="AB940" s="1515"/>
      <c r="AC940" s="1515"/>
      <c r="AD940" s="2152"/>
      <c r="AE940" s="2153"/>
      <c r="AF940" s="1515"/>
      <c r="AG940" s="1515"/>
      <c r="AH940" s="1515"/>
      <c r="AI940" s="2152"/>
      <c r="AJ940" s="2153"/>
      <c r="AK940" s="1515"/>
      <c r="AL940" s="1886"/>
      <c r="AM940" s="1515"/>
      <c r="AN940" s="2152"/>
      <c r="AO940" s="2062"/>
      <c r="AP940" s="1515"/>
      <c r="AQ940" s="1515"/>
      <c r="AR940" s="1515"/>
      <c r="AS940" s="1515"/>
      <c r="AT940" s="1515"/>
      <c r="AU940" s="1515"/>
      <c r="AV940" s="1515"/>
      <c r="AW940" s="1515"/>
      <c r="AX940" s="1515"/>
      <c r="AY940" s="1515"/>
      <c r="AZ940" s="1515"/>
    </row>
    <row r="941">
      <c r="A941" s="1179" t="s">
        <v>774</v>
      </c>
      <c r="B941" s="1850">
        <f>1254.5+173+178</f>
        <v>1605.5</v>
      </c>
      <c r="C941" s="1850">
        <f>1616+268+230</f>
        <v>2114</v>
      </c>
      <c r="D941" s="1850"/>
      <c r="E941" s="1851">
        <f t="shared" si="2266"/>
        <v>3719.5</v>
      </c>
      <c r="F941" s="1850"/>
      <c r="G941" s="1850"/>
      <c r="H941" s="1850"/>
      <c r="I941" s="1851">
        <f t="shared" si="2249"/>
        <v>0</v>
      </c>
      <c r="J941" s="1852">
        <f t="shared" si="2250"/>
        <v>3719.5</v>
      </c>
      <c r="K941" s="1850"/>
      <c r="L941" s="1850"/>
      <c r="M941" s="1850"/>
      <c r="N941" s="1851">
        <f t="shared" si="2255"/>
        <v>0</v>
      </c>
      <c r="O941" s="1852">
        <f t="shared" si="2256"/>
        <v>3719.5</v>
      </c>
      <c r="P941" s="1850"/>
      <c r="Q941" s="1850"/>
      <c r="R941" s="1850"/>
      <c r="S941" s="1851">
        <f t="shared" si="2263"/>
        <v>0</v>
      </c>
      <c r="T941" s="1853">
        <f t="shared" si="2265"/>
        <v>3719.5</v>
      </c>
      <c r="U941" s="1863"/>
      <c r="W941" s="1838"/>
      <c r="X941" s="2193">
        <f>834+256+230</f>
        <v>1320</v>
      </c>
      <c r="Y941" s="1863"/>
      <c r="Z941" s="2233"/>
    </row>
    <row r="942">
      <c r="A942" s="1561" t="s">
        <v>775</v>
      </c>
      <c r="B942" s="1850">
        <f>132.5+200</f>
        <v>332.5</v>
      </c>
      <c r="C942" s="1850">
        <f>197.5+376</f>
        <v>573.5</v>
      </c>
      <c r="D942" s="1850"/>
      <c r="E942" s="1851">
        <f t="shared" si="2266"/>
        <v>906</v>
      </c>
      <c r="F942" s="1850"/>
      <c r="G942" s="1850"/>
      <c r="H942" s="1850"/>
      <c r="I942" s="1851">
        <f t="shared" si="2249"/>
        <v>0</v>
      </c>
      <c r="J942" s="1852">
        <f t="shared" si="2250"/>
        <v>906</v>
      </c>
      <c r="K942" s="1850"/>
      <c r="L942" s="1850"/>
      <c r="M942" s="1850"/>
      <c r="N942" s="1851">
        <f t="shared" si="2255"/>
        <v>0</v>
      </c>
      <c r="O942" s="1852">
        <f t="shared" si="2256"/>
        <v>906</v>
      </c>
      <c r="P942" s="1850"/>
      <c r="Q942" s="1850"/>
      <c r="R942" s="1850"/>
      <c r="S942" s="1851">
        <f t="shared" si="2263"/>
        <v>0</v>
      </c>
      <c r="T942" s="1853">
        <f t="shared" si="2265"/>
        <v>906</v>
      </c>
      <c r="U942" s="1863"/>
      <c r="W942" s="1838"/>
      <c r="X942" s="2193">
        <f>108+188</f>
        <v>296</v>
      </c>
      <c r="Y942" s="1863"/>
      <c r="Z942" s="2233"/>
    </row>
    <row r="943">
      <c r="A943" s="1561" t="s">
        <v>776</v>
      </c>
      <c r="B943" s="1850">
        <f>50</f>
        <v>50</v>
      </c>
      <c r="C943" s="1850">
        <f>140</f>
        <v>140</v>
      </c>
      <c r="D943" s="1850"/>
      <c r="E943" s="1851">
        <f t="shared" si="2266"/>
        <v>190</v>
      </c>
      <c r="F943" s="1850"/>
      <c r="G943" s="1850"/>
      <c r="H943" s="1850"/>
      <c r="I943" s="1851">
        <f t="shared" si="2249"/>
        <v>0</v>
      </c>
      <c r="J943" s="1852">
        <f t="shared" si="2250"/>
        <v>190</v>
      </c>
      <c r="K943" s="1850"/>
      <c r="L943" s="1850"/>
      <c r="M943" s="1850"/>
      <c r="N943" s="1851">
        <f t="shared" si="2255"/>
        <v>0</v>
      </c>
      <c r="O943" s="1852">
        <f t="shared" si="2256"/>
        <v>190</v>
      </c>
      <c r="P943" s="1850"/>
      <c r="Q943" s="1850"/>
      <c r="R943" s="1850"/>
      <c r="S943" s="1851">
        <f t="shared" si="2263"/>
        <v>0</v>
      </c>
      <c r="T943" s="1853">
        <f t="shared" si="2265"/>
        <v>190</v>
      </c>
      <c r="U943" s="1863"/>
      <c r="W943" s="1838"/>
      <c r="X943" s="2193">
        <v>28</v>
      </c>
      <c r="Y943" s="1863"/>
      <c r="Z943" s="2233"/>
    </row>
    <row r="944" s="1510" customFormat="1">
      <c r="A944" s="1551" t="s">
        <v>543</v>
      </c>
      <c r="B944" s="1850"/>
      <c r="C944" s="1850"/>
      <c r="D944" s="1850"/>
      <c r="E944" s="1851">
        <f t="shared" si="2266"/>
        <v>0</v>
      </c>
      <c r="F944" s="1850"/>
      <c r="G944" s="1850"/>
      <c r="H944" s="1850"/>
      <c r="I944" s="1851">
        <f t="shared" si="2249"/>
        <v>0</v>
      </c>
      <c r="J944" s="1852">
        <f t="shared" si="2250"/>
        <v>0</v>
      </c>
      <c r="K944" s="1850"/>
      <c r="L944" s="1850"/>
      <c r="M944" s="1850"/>
      <c r="N944" s="1851">
        <f t="shared" si="2255"/>
        <v>0</v>
      </c>
      <c r="O944" s="1852">
        <f t="shared" si="2256"/>
        <v>0</v>
      </c>
      <c r="P944" s="1850"/>
      <c r="Q944" s="1850"/>
      <c r="R944" s="1850"/>
      <c r="S944" s="1851">
        <f t="shared" si="2263"/>
        <v>0</v>
      </c>
      <c r="T944" s="1853">
        <f t="shared" si="2265"/>
        <v>0</v>
      </c>
      <c r="U944" s="1863"/>
      <c r="V944" s="1409"/>
      <c r="W944" s="1410"/>
      <c r="X944" s="2193"/>
      <c r="Y944" s="1863"/>
      <c r="Z944" s="2233"/>
      <c r="AA944" s="1409"/>
      <c r="AB944" s="1409"/>
      <c r="AC944" s="1409"/>
      <c r="AD944" s="1411"/>
      <c r="AE944" s="1416"/>
      <c r="AF944" s="1409"/>
      <c r="AG944" s="1409"/>
      <c r="AH944" s="1409"/>
      <c r="AI944" s="1411"/>
      <c r="AJ944" s="1416"/>
      <c r="AK944" s="1409"/>
      <c r="AL944" s="1417"/>
      <c r="AM944" s="1409"/>
      <c r="AN944" s="1411"/>
      <c r="AO944" s="1418"/>
      <c r="AP944" s="1409"/>
      <c r="AQ944" s="1409"/>
      <c r="AR944" s="1409"/>
      <c r="AS944" s="1409"/>
      <c r="AT944" s="1409"/>
      <c r="AU944" s="1409"/>
      <c r="AV944" s="1409"/>
      <c r="AW944" s="1409"/>
      <c r="AX944" s="1409"/>
      <c r="AY944" s="1409"/>
      <c r="AZ944" s="1409"/>
    </row>
    <row r="945" s="1510" customFormat="1">
      <c r="A945" s="1511" t="s">
        <v>544</v>
      </c>
      <c r="B945" s="1858">
        <f>SUM(B941:B944)</f>
        <v>1988</v>
      </c>
      <c r="C945" s="1858">
        <f>SUM(C941:C944)</f>
        <v>2827.5</v>
      </c>
      <c r="D945" s="1858">
        <f>SUM(D941:D944)</f>
        <v>0</v>
      </c>
      <c r="E945" s="1859">
        <f t="shared" si="2266"/>
        <v>4815.5</v>
      </c>
      <c r="F945" s="1858">
        <f>SUM(F941:F944)</f>
        <v>0</v>
      </c>
      <c r="G945" s="1858">
        <f>SUM(G941:G944)</f>
        <v>0</v>
      </c>
      <c r="H945" s="1858">
        <f>SUM(H941:H944)</f>
        <v>0</v>
      </c>
      <c r="I945" s="1859">
        <f t="shared" si="2249"/>
        <v>0</v>
      </c>
      <c r="J945" s="1860">
        <f t="shared" si="2250"/>
        <v>4815.5</v>
      </c>
      <c r="K945" s="1858">
        <f>SUM(K941:K944)</f>
        <v>0</v>
      </c>
      <c r="L945" s="1858">
        <f>SUM(L941:L944)</f>
        <v>0</v>
      </c>
      <c r="M945" s="1858">
        <f>SUM(M941:M944)</f>
        <v>0</v>
      </c>
      <c r="N945" s="1859">
        <f t="shared" si="2255"/>
        <v>0</v>
      </c>
      <c r="O945" s="1860">
        <f t="shared" si="2256"/>
        <v>4815.5</v>
      </c>
      <c r="P945" s="1858">
        <f>SUM(P941:P944)</f>
        <v>0</v>
      </c>
      <c r="Q945" s="1858">
        <f>SUM(Q941:Q944)</f>
        <v>0</v>
      </c>
      <c r="R945" s="1858">
        <f>SUM(R941:R944)</f>
        <v>0</v>
      </c>
      <c r="S945" s="1859">
        <f t="shared" si="2263"/>
        <v>0</v>
      </c>
      <c r="T945" s="1861">
        <f>SUM(T941:T944)</f>
        <v>4815.5</v>
      </c>
      <c r="U945" s="1866"/>
      <c r="V945" s="1515"/>
      <c r="W945" s="1838"/>
      <c r="X945" s="1858">
        <f>SUM(X941:X944)</f>
        <v>1644</v>
      </c>
      <c r="Y945" s="1866"/>
      <c r="Z945" s="2234"/>
      <c r="AA945" s="1515"/>
      <c r="AB945" s="1515"/>
      <c r="AC945" s="1515"/>
      <c r="AD945" s="2152"/>
      <c r="AE945" s="2153"/>
      <c r="AF945" s="1515"/>
      <c r="AG945" s="1515"/>
      <c r="AH945" s="1515"/>
      <c r="AI945" s="2152"/>
      <c r="AJ945" s="2153"/>
      <c r="AK945" s="1515"/>
      <c r="AL945" s="1886"/>
      <c r="AM945" s="1515"/>
      <c r="AN945" s="2152"/>
      <c r="AO945" s="2062"/>
      <c r="AP945" s="1515"/>
      <c r="AQ945" s="1515"/>
      <c r="AR945" s="1515"/>
      <c r="AS945" s="1515"/>
      <c r="AT945" s="1515"/>
      <c r="AU945" s="1515"/>
      <c r="AV945" s="1515"/>
      <c r="AW945" s="1515"/>
      <c r="AX945" s="1515"/>
      <c r="AY945" s="1515"/>
      <c r="AZ945" s="1515"/>
    </row>
    <row r="946">
      <c r="A946" s="1179" t="s">
        <v>777</v>
      </c>
      <c r="B946" s="1850">
        <f>102+15+1736</f>
        <v>1853</v>
      </c>
      <c r="C946" s="1850">
        <f>55+1181</f>
        <v>1236</v>
      </c>
      <c r="D946" s="1850"/>
      <c r="E946" s="1851">
        <f t="shared" si="2266"/>
        <v>3089</v>
      </c>
      <c r="F946" s="1850"/>
      <c r="G946" s="1850"/>
      <c r="H946" s="1850"/>
      <c r="I946" s="1851">
        <f t="shared" si="2249"/>
        <v>0</v>
      </c>
      <c r="J946" s="1852">
        <f t="shared" si="2250"/>
        <v>3089</v>
      </c>
      <c r="K946" s="1850"/>
      <c r="L946" s="1850"/>
      <c r="M946" s="1850"/>
      <c r="N946" s="1851">
        <f t="shared" si="2255"/>
        <v>0</v>
      </c>
      <c r="O946" s="1852">
        <f t="shared" si="2256"/>
        <v>3089</v>
      </c>
      <c r="P946" s="1850"/>
      <c r="Q946" s="1850"/>
      <c r="R946" s="1850"/>
      <c r="S946" s="1851">
        <f t="shared" si="2263"/>
        <v>0</v>
      </c>
      <c r="T946" s="1853">
        <f t="shared" si="2265"/>
        <v>3089</v>
      </c>
      <c r="U946" s="1863"/>
      <c r="W946" s="1410"/>
      <c r="X946" s="2193">
        <f>19+607</f>
        <v>626</v>
      </c>
      <c r="Y946" s="1863"/>
      <c r="Z946" s="2233"/>
    </row>
    <row r="947">
      <c r="A947" s="1179" t="s">
        <v>392</v>
      </c>
      <c r="B947" s="1850"/>
      <c r="C947" s="1850"/>
      <c r="D947" s="1850"/>
      <c r="E947" s="1851">
        <f t="shared" si="2266"/>
        <v>0</v>
      </c>
      <c r="F947" s="1850"/>
      <c r="G947" s="1850"/>
      <c r="H947" s="1850"/>
      <c r="I947" s="1851">
        <f t="shared" si="2249"/>
        <v>0</v>
      </c>
      <c r="J947" s="1852">
        <f t="shared" si="2250"/>
        <v>0</v>
      </c>
      <c r="K947" s="1850"/>
      <c r="L947" s="1850"/>
      <c r="M947" s="1850"/>
      <c r="N947" s="1851">
        <f t="shared" si="2255"/>
        <v>0</v>
      </c>
      <c r="O947" s="1852">
        <f t="shared" si="2256"/>
        <v>0</v>
      </c>
      <c r="P947" s="1850"/>
      <c r="Q947" s="1850"/>
      <c r="R947" s="1850"/>
      <c r="S947" s="1851">
        <f t="shared" si="2263"/>
        <v>0</v>
      </c>
      <c r="T947" s="1853">
        <f t="shared" si="2265"/>
        <v>0</v>
      </c>
      <c r="U947" s="1863"/>
      <c r="W947" s="1410"/>
      <c r="X947" s="2193"/>
      <c r="Y947" s="1863"/>
      <c r="Z947" s="2233"/>
    </row>
    <row r="948" s="1510" customFormat="1">
      <c r="A948" s="1179" t="s">
        <v>265</v>
      </c>
      <c r="B948" s="1850"/>
      <c r="C948" s="1850"/>
      <c r="D948" s="1850"/>
      <c r="E948" s="1851">
        <f t="shared" si="2266"/>
        <v>0</v>
      </c>
      <c r="F948" s="1850"/>
      <c r="G948" s="1850"/>
      <c r="H948" s="1850"/>
      <c r="I948" s="1851">
        <f t="shared" si="2249"/>
        <v>0</v>
      </c>
      <c r="J948" s="1852">
        <f t="shared" si="2250"/>
        <v>0</v>
      </c>
      <c r="K948" s="1850"/>
      <c r="L948" s="1850"/>
      <c r="M948" s="1850"/>
      <c r="N948" s="1851">
        <f t="shared" si="2255"/>
        <v>0</v>
      </c>
      <c r="O948" s="1852">
        <f t="shared" si="2256"/>
        <v>0</v>
      </c>
      <c r="P948" s="1850"/>
      <c r="Q948" s="1850"/>
      <c r="R948" s="1850"/>
      <c r="S948" s="1851">
        <f t="shared" si="2263"/>
        <v>0</v>
      </c>
      <c r="T948" s="1853">
        <f t="shared" si="2265"/>
        <v>0</v>
      </c>
      <c r="U948" s="1863"/>
      <c r="V948" s="1409"/>
      <c r="W948" s="1410"/>
      <c r="X948" s="2193"/>
      <c r="Y948" s="1863"/>
      <c r="Z948" s="2233"/>
      <c r="AA948" s="1409"/>
      <c r="AB948" s="1409"/>
      <c r="AC948" s="1409"/>
      <c r="AD948" s="1411"/>
      <c r="AE948" s="1416"/>
      <c r="AF948" s="1409"/>
      <c r="AG948" s="1409"/>
      <c r="AH948" s="1409"/>
      <c r="AI948" s="1411"/>
      <c r="AJ948" s="1416"/>
      <c r="AK948" s="1409"/>
      <c r="AL948" s="1417"/>
      <c r="AM948" s="1409"/>
      <c r="AN948" s="1411"/>
      <c r="AO948" s="1418"/>
      <c r="AP948" s="1409"/>
      <c r="AQ948" s="1409"/>
      <c r="AR948" s="1409"/>
      <c r="AS948" s="1409"/>
      <c r="AT948" s="1409"/>
      <c r="AU948" s="1409"/>
      <c r="AV948" s="1409"/>
      <c r="AW948" s="1409"/>
      <c r="AX948" s="1409"/>
      <c r="AY948" s="1409"/>
      <c r="AZ948" s="1409"/>
    </row>
    <row r="949" s="1510" customFormat="1">
      <c r="A949" s="1511" t="s">
        <v>394</v>
      </c>
      <c r="B949" s="1858">
        <f>SUM(B946:B948)</f>
        <v>1853</v>
      </c>
      <c r="C949" s="1858">
        <f>SUM(C946:C948)</f>
        <v>1236</v>
      </c>
      <c r="D949" s="1858">
        <f>SUM(D946:D948)</f>
        <v>0</v>
      </c>
      <c r="E949" s="1859">
        <f t="shared" si="2266"/>
        <v>3089</v>
      </c>
      <c r="F949" s="1858">
        <f>SUM(F946:F948)</f>
        <v>0</v>
      </c>
      <c r="G949" s="1858">
        <f>SUM(G946:G948)</f>
        <v>0</v>
      </c>
      <c r="H949" s="1858">
        <f>SUM(H946:H948)</f>
        <v>0</v>
      </c>
      <c r="I949" s="1859">
        <f t="shared" si="2249"/>
        <v>0</v>
      </c>
      <c r="J949" s="1860">
        <f t="shared" si="2250"/>
        <v>3089</v>
      </c>
      <c r="K949" s="1858">
        <f>SUM(K946:K948)</f>
        <v>0</v>
      </c>
      <c r="L949" s="1858">
        <f>SUM(L946:L948)</f>
        <v>0</v>
      </c>
      <c r="M949" s="1858">
        <f>SUM(M946:M948)</f>
        <v>0</v>
      </c>
      <c r="N949" s="1859">
        <f t="shared" si="2255"/>
        <v>0</v>
      </c>
      <c r="O949" s="1860">
        <f t="shared" si="2256"/>
        <v>3089</v>
      </c>
      <c r="P949" s="1858">
        <f>SUM(P946:P948)</f>
        <v>0</v>
      </c>
      <c r="Q949" s="1858">
        <f>SUM(Q946:Q948)</f>
        <v>0</v>
      </c>
      <c r="R949" s="1858">
        <f>SUM(R946:R948)</f>
        <v>0</v>
      </c>
      <c r="S949" s="1859">
        <f t="shared" si="2263"/>
        <v>0</v>
      </c>
      <c r="T949" s="1861">
        <f t="shared" si="2265"/>
        <v>3089</v>
      </c>
      <c r="U949" s="1866"/>
      <c r="V949" s="1515"/>
      <c r="W949" s="1838"/>
      <c r="X949" s="1858">
        <f>SUM(X946:X948)</f>
        <v>626</v>
      </c>
      <c r="Y949" s="1866"/>
      <c r="Z949" s="2234"/>
      <c r="AA949" s="1515"/>
      <c r="AB949" s="1515"/>
      <c r="AC949" s="1879"/>
      <c r="AD949" s="2152"/>
      <c r="AE949" s="2153"/>
      <c r="AF949" s="1515"/>
      <c r="AG949" s="1515"/>
      <c r="AH949" s="1515"/>
      <c r="AI949" s="2152"/>
      <c r="AJ949" s="2153"/>
      <c r="AK949" s="1515"/>
      <c r="AL949" s="1886"/>
      <c r="AM949" s="1515"/>
      <c r="AN949" s="2152"/>
      <c r="AO949" s="2062"/>
      <c r="AP949" s="1515"/>
      <c r="AQ949" s="1515"/>
      <c r="AR949" s="1515"/>
      <c r="AS949" s="1515"/>
      <c r="AT949" s="1515"/>
      <c r="AU949" s="1515"/>
      <c r="AV949" s="1515"/>
      <c r="AW949" s="1515"/>
      <c r="AX949" s="1515"/>
      <c r="AY949" s="1515"/>
      <c r="AZ949" s="1515"/>
    </row>
    <row r="950" s="1510" customFormat="1">
      <c r="A950" s="1904" t="s">
        <v>545</v>
      </c>
      <c r="B950" s="2191">
        <f>B926+B940+B945+B949</f>
        <v>21560</v>
      </c>
      <c r="C950" s="2191">
        <f>C926+C940+C945+C949</f>
        <v>28471</v>
      </c>
      <c r="D950" s="2191">
        <f>D926+D940+D945+D949</f>
        <v>0</v>
      </c>
      <c r="E950" s="1859">
        <f t="shared" si="2266"/>
        <v>50031</v>
      </c>
      <c r="F950" s="2191">
        <f>F926+F940+F945+F949</f>
        <v>0</v>
      </c>
      <c r="G950" s="2191">
        <f>G926+G940+G945+G949</f>
        <v>0</v>
      </c>
      <c r="H950" s="2191">
        <f>H926+H940+H945+H949</f>
        <v>0</v>
      </c>
      <c r="I950" s="1859">
        <f t="shared" si="2249"/>
        <v>0</v>
      </c>
      <c r="J950" s="1859">
        <f t="shared" si="2250"/>
        <v>50031</v>
      </c>
      <c r="K950" s="2191">
        <f>K926+K940+K945+K949</f>
        <v>0</v>
      </c>
      <c r="L950" s="2191">
        <f>L926+L940+L945+L949</f>
        <v>0</v>
      </c>
      <c r="M950" s="2191">
        <f>M926+M940+M945+M949</f>
        <v>0</v>
      </c>
      <c r="N950" s="1859">
        <f t="shared" si="2255"/>
        <v>0</v>
      </c>
      <c r="O950" s="1859">
        <f t="shared" si="2256"/>
        <v>50031</v>
      </c>
      <c r="P950" s="2191">
        <f>P926+P940+P945+P949</f>
        <v>0</v>
      </c>
      <c r="Q950" s="2191">
        <f>Q926+Q940+Q945+Q949</f>
        <v>0</v>
      </c>
      <c r="R950" s="2191">
        <f>R926+R940+R945+R949</f>
        <v>0</v>
      </c>
      <c r="S950" s="1859">
        <f t="shared" si="2263"/>
        <v>0</v>
      </c>
      <c r="T950" s="1859">
        <f t="shared" si="2265"/>
        <v>50031</v>
      </c>
      <c r="U950" s="1866"/>
      <c r="V950" s="1515"/>
      <c r="W950" s="1838"/>
      <c r="X950" s="2191">
        <f>X926+X940+X945+X949</f>
        <v>13683</v>
      </c>
      <c r="Y950" s="1866"/>
      <c r="Z950" s="2234"/>
      <c r="AA950" s="1515"/>
      <c r="AB950" s="1515"/>
      <c r="AC950" s="1515"/>
      <c r="AD950" s="2152"/>
      <c r="AE950" s="2153"/>
      <c r="AF950" s="1515"/>
      <c r="AG950" s="1515"/>
      <c r="AH950" s="1515"/>
      <c r="AI950" s="2152"/>
      <c r="AJ950" s="2153"/>
      <c r="AK950" s="1515"/>
      <c r="AL950" s="1886"/>
      <c r="AM950" s="1515"/>
      <c r="AN950" s="2152"/>
      <c r="AO950" s="2062"/>
      <c r="AP950" s="1515"/>
      <c r="AQ950" s="1515"/>
      <c r="AR950" s="1515"/>
      <c r="AS950" s="1515"/>
      <c r="AT950" s="1515"/>
      <c r="AU950" s="1515"/>
      <c r="AV950" s="1515"/>
      <c r="AW950" s="1515"/>
      <c r="AX950" s="1515"/>
      <c r="AY950" s="1515"/>
      <c r="AZ950" s="1515"/>
    </row>
    <row r="951">
      <c r="A951" s="1179" t="s">
        <v>778</v>
      </c>
      <c r="B951" s="1850">
        <f>80+87+70+8+8</f>
        <v>253</v>
      </c>
      <c r="C951" s="1850">
        <f>136+60+127</f>
        <v>323</v>
      </c>
      <c r="D951" s="1850"/>
      <c r="E951" s="1851">
        <f t="shared" si="2266"/>
        <v>576</v>
      </c>
      <c r="F951" s="1850"/>
      <c r="G951" s="1850"/>
      <c r="H951" s="1850"/>
      <c r="I951" s="1851">
        <f t="shared" si="2249"/>
        <v>0</v>
      </c>
      <c r="J951" s="1852">
        <f t="shared" si="2250"/>
        <v>576</v>
      </c>
      <c r="K951" s="1850"/>
      <c r="L951" s="1850"/>
      <c r="M951" s="1850"/>
      <c r="N951" s="1851">
        <f t="shared" si="2255"/>
        <v>0</v>
      </c>
      <c r="O951" s="1852">
        <f t="shared" si="2256"/>
        <v>576</v>
      </c>
      <c r="P951" s="1850"/>
      <c r="Q951" s="1850"/>
      <c r="R951" s="1850"/>
      <c r="S951" s="1851">
        <f t="shared" si="2263"/>
        <v>0</v>
      </c>
      <c r="T951" s="1853">
        <f t="shared" si="2265"/>
        <v>576</v>
      </c>
      <c r="U951" s="1863"/>
      <c r="X951" s="2193">
        <f>34+30+72</f>
        <v>136</v>
      </c>
      <c r="Y951" s="1863"/>
      <c r="Z951" s="2233"/>
    </row>
    <row r="952">
      <c r="A952" s="1179" t="s">
        <v>397</v>
      </c>
      <c r="B952" s="1850"/>
      <c r="C952" s="1850"/>
      <c r="D952" s="1850"/>
      <c r="E952" s="1851">
        <f t="shared" si="2266"/>
        <v>0</v>
      </c>
      <c r="F952" s="1850"/>
      <c r="G952" s="1850"/>
      <c r="H952" s="1850"/>
      <c r="I952" s="1851">
        <f t="shared" si="2249"/>
        <v>0</v>
      </c>
      <c r="J952" s="1852">
        <f t="shared" si="2250"/>
        <v>0</v>
      </c>
      <c r="K952" s="1850"/>
      <c r="L952" s="1850"/>
      <c r="M952" s="1850"/>
      <c r="N952" s="1851">
        <f t="shared" si="2255"/>
        <v>0</v>
      </c>
      <c r="O952" s="1852">
        <f t="shared" si="2256"/>
        <v>0</v>
      </c>
      <c r="P952" s="1850"/>
      <c r="Q952" s="1850"/>
      <c r="R952" s="1850"/>
      <c r="S952" s="1851">
        <f t="shared" si="2263"/>
        <v>0</v>
      </c>
      <c r="T952" s="1853">
        <f t="shared" si="2265"/>
        <v>0</v>
      </c>
      <c r="U952" s="1863"/>
      <c r="X952" s="2193"/>
      <c r="Y952" s="1863"/>
      <c r="Z952" s="2233"/>
    </row>
    <row r="953">
      <c r="A953" s="1179" t="s">
        <v>546</v>
      </c>
      <c r="B953" s="1850"/>
      <c r="C953" s="1850"/>
      <c r="D953" s="1850"/>
      <c r="E953" s="1851">
        <f t="shared" si="2266"/>
        <v>0</v>
      </c>
      <c r="F953" s="1850"/>
      <c r="G953" s="1850"/>
      <c r="H953" s="1850"/>
      <c r="I953" s="1851">
        <f t="shared" si="2249"/>
        <v>0</v>
      </c>
      <c r="J953" s="1852">
        <f t="shared" si="2250"/>
        <v>0</v>
      </c>
      <c r="K953" s="1850"/>
      <c r="L953" s="1850"/>
      <c r="M953" s="1850"/>
      <c r="N953" s="1851">
        <f t="shared" si="2255"/>
        <v>0</v>
      </c>
      <c r="O953" s="1852">
        <f t="shared" si="2256"/>
        <v>0</v>
      </c>
      <c r="P953" s="1850"/>
      <c r="Q953" s="1850"/>
      <c r="R953" s="1850"/>
      <c r="S953" s="1851">
        <f t="shared" si="2263"/>
        <v>0</v>
      </c>
      <c r="T953" s="1853">
        <f t="shared" si="2265"/>
        <v>0</v>
      </c>
      <c r="U953" s="1863"/>
      <c r="W953" s="1863"/>
      <c r="X953" s="2193"/>
      <c r="Y953" s="1863"/>
      <c r="Z953" s="2233"/>
    </row>
    <row r="954">
      <c r="A954" s="1179" t="s">
        <v>779</v>
      </c>
      <c r="B954" s="1850"/>
      <c r="C954" s="1850"/>
      <c r="D954" s="1850"/>
      <c r="E954" s="1851">
        <f t="shared" si="2266"/>
        <v>0</v>
      </c>
      <c r="F954" s="1850"/>
      <c r="G954" s="1850"/>
      <c r="H954" s="1850"/>
      <c r="I954" s="1851">
        <f t="shared" ref="I954:I1014" si="2267">F954+G954+H954</f>
        <v>0</v>
      </c>
      <c r="J954" s="1852">
        <f t="shared" ref="J954:J1014" si="2268">E954+I954</f>
        <v>0</v>
      </c>
      <c r="K954" s="1850"/>
      <c r="L954" s="1850"/>
      <c r="M954" s="1850"/>
      <c r="N954" s="1851">
        <f t="shared" si="2255"/>
        <v>0</v>
      </c>
      <c r="O954" s="1852">
        <f t="shared" si="2256"/>
        <v>0</v>
      </c>
      <c r="P954" s="1850"/>
      <c r="Q954" s="1850"/>
      <c r="R954" s="1850"/>
      <c r="S954" s="1851">
        <f t="shared" si="2263"/>
        <v>0</v>
      </c>
      <c r="T954" s="1853">
        <f t="shared" si="2265"/>
        <v>0</v>
      </c>
      <c r="U954" s="1863"/>
      <c r="X954" s="2193"/>
      <c r="Y954" s="1863"/>
      <c r="Z954" s="2233"/>
    </row>
    <row r="955">
      <c r="A955" s="1179" t="s">
        <v>548</v>
      </c>
      <c r="B955" s="1850">
        <f>6488+209+251</f>
        <v>6948</v>
      </c>
      <c r="C955" s="1850">
        <f>9505+306+200</f>
        <v>10011</v>
      </c>
      <c r="D955" s="1850"/>
      <c r="E955" s="1851">
        <f t="shared" si="2266"/>
        <v>16959</v>
      </c>
      <c r="F955" s="1850"/>
      <c r="G955" s="1850"/>
      <c r="H955" s="1850"/>
      <c r="I955" s="1851">
        <f t="shared" si="2267"/>
        <v>0</v>
      </c>
      <c r="J955" s="1852">
        <f t="shared" si="2268"/>
        <v>16959</v>
      </c>
      <c r="K955" s="1850"/>
      <c r="L955" s="1850"/>
      <c r="M955" s="1850"/>
      <c r="N955" s="1851">
        <f t="shared" si="2255"/>
        <v>0</v>
      </c>
      <c r="O955" s="1852">
        <f t="shared" si="2256"/>
        <v>16959</v>
      </c>
      <c r="P955" s="1850"/>
      <c r="Q955" s="1850"/>
      <c r="R955" s="1850"/>
      <c r="S955" s="1851">
        <f t="shared" si="2263"/>
        <v>0</v>
      </c>
      <c r="T955" s="1853">
        <f t="shared" si="2265"/>
        <v>16959</v>
      </c>
      <c r="U955" s="1863"/>
      <c r="X955" s="2193">
        <f>3975+120+62</f>
        <v>4157</v>
      </c>
      <c r="Y955" s="1863"/>
      <c r="Z955" s="2233"/>
    </row>
    <row r="956">
      <c r="A956" s="1179" t="s">
        <v>549</v>
      </c>
      <c r="B956" s="1850">
        <f>68+21</f>
        <v>89</v>
      </c>
      <c r="C956" s="1850">
        <f>348+24</f>
        <v>372</v>
      </c>
      <c r="D956" s="1850"/>
      <c r="E956" s="1851">
        <f t="shared" si="2266"/>
        <v>461</v>
      </c>
      <c r="F956" s="1850"/>
      <c r="G956" s="1850"/>
      <c r="H956" s="1850"/>
      <c r="I956" s="1851">
        <f t="shared" si="2267"/>
        <v>0</v>
      </c>
      <c r="J956" s="1852">
        <f t="shared" si="2268"/>
        <v>461</v>
      </c>
      <c r="K956" s="1850"/>
      <c r="L956" s="1850"/>
      <c r="M956" s="1850"/>
      <c r="N956" s="1851">
        <f t="shared" si="2255"/>
        <v>0</v>
      </c>
      <c r="O956" s="1852">
        <f t="shared" si="2256"/>
        <v>461</v>
      </c>
      <c r="P956" s="1850"/>
      <c r="Q956" s="1850"/>
      <c r="R956" s="1850"/>
      <c r="S956" s="1851">
        <f t="shared" si="2263"/>
        <v>0</v>
      </c>
      <c r="T956" s="1853">
        <f t="shared" si="2265"/>
        <v>461</v>
      </c>
      <c r="U956" s="1863"/>
      <c r="X956" s="2193">
        <f>177+8</f>
        <v>185</v>
      </c>
      <c r="Y956" s="1863"/>
      <c r="Z956" s="2233"/>
    </row>
    <row r="957" s="1880" customFormat="1">
      <c r="A957" s="1904" t="s">
        <v>22</v>
      </c>
      <c r="B957" s="2191">
        <f>SUM(B950:B956)</f>
        <v>28850</v>
      </c>
      <c r="C957" s="2191">
        <f>SUM(C950:C956)</f>
        <v>39177</v>
      </c>
      <c r="D957" s="2191">
        <f>SUM(D950:D956)</f>
        <v>0</v>
      </c>
      <c r="E957" s="1859">
        <f t="shared" si="2266"/>
        <v>68027</v>
      </c>
      <c r="F957" s="2191">
        <f>SUM(F950:F956)</f>
        <v>0</v>
      </c>
      <c r="G957" s="2191">
        <f>SUM(G950:G956)</f>
        <v>0</v>
      </c>
      <c r="H957" s="2191">
        <f>SUM(H950:H956)</f>
        <v>0</v>
      </c>
      <c r="I957" s="1859">
        <f t="shared" si="2267"/>
        <v>0</v>
      </c>
      <c r="J957" s="1859">
        <f t="shared" si="2268"/>
        <v>68027</v>
      </c>
      <c r="K957" s="2191">
        <f>SUM(K950:K956)</f>
        <v>0</v>
      </c>
      <c r="L957" s="2191">
        <f>SUM(L950:L956)</f>
        <v>0</v>
      </c>
      <c r="M957" s="2191">
        <f>SUM(M950:M956)</f>
        <v>0</v>
      </c>
      <c r="N957" s="1859">
        <f t="shared" si="2255"/>
        <v>0</v>
      </c>
      <c r="O957" s="1859">
        <f t="shared" si="2256"/>
        <v>68027</v>
      </c>
      <c r="P957" s="2191">
        <f>SUM(P950:P956)</f>
        <v>0</v>
      </c>
      <c r="Q957" s="2191">
        <f>SUM(Q950:Q956)</f>
        <v>0</v>
      </c>
      <c r="R957" s="2191">
        <f>SUM(R950:R956)</f>
        <v>0</v>
      </c>
      <c r="S957" s="1859">
        <f t="shared" si="2263"/>
        <v>0</v>
      </c>
      <c r="T957" s="1859">
        <f t="shared" si="2265"/>
        <v>68027</v>
      </c>
      <c r="U957" s="1866"/>
      <c r="V957" s="1866"/>
      <c r="W957" s="1866"/>
      <c r="X957" s="2191">
        <f>SUM(X950:X956)</f>
        <v>18161</v>
      </c>
      <c r="Y957" s="1515"/>
      <c r="Z957" s="2152"/>
      <c r="AA957" s="1515"/>
      <c r="AB957" s="1515"/>
      <c r="AC957" s="1515"/>
      <c r="AD957" s="2152"/>
      <c r="AE957" s="2153"/>
      <c r="AF957" s="1515"/>
      <c r="AG957" s="1515"/>
      <c r="AH957" s="1515"/>
      <c r="AI957" s="2152"/>
      <c r="AJ957" s="2153"/>
      <c r="AK957" s="1515"/>
      <c r="AL957" s="1886"/>
      <c r="AM957" s="1515"/>
      <c r="AN957" s="2152"/>
      <c r="AO957" s="2062"/>
      <c r="AP957" s="1515"/>
      <c r="AQ957" s="1515"/>
      <c r="AR957" s="1515"/>
      <c r="AS957" s="1515"/>
      <c r="AT957" s="1515"/>
      <c r="AU957" s="1515"/>
      <c r="AV957" s="1515"/>
      <c r="AW957" s="1515"/>
      <c r="AX957" s="1515"/>
      <c r="AY957" s="1515"/>
      <c r="AZ957" s="1515"/>
    </row>
    <row r="958" s="1001" customFormat="1">
      <c r="A958" s="2235" t="s">
        <v>780</v>
      </c>
      <c r="B958" s="1302"/>
      <c r="C958" s="1302"/>
      <c r="D958" s="2086"/>
      <c r="E958" s="1851">
        <f t="shared" si="2266"/>
        <v>0</v>
      </c>
      <c r="F958" s="2086"/>
      <c r="G958" s="2086"/>
      <c r="H958" s="2086"/>
      <c r="I958" s="1851">
        <f t="shared" si="2267"/>
        <v>0</v>
      </c>
      <c r="J958" s="1852">
        <f t="shared" si="2268"/>
        <v>0</v>
      </c>
      <c r="K958" s="2086"/>
      <c r="L958" s="2086"/>
      <c r="M958" s="2086"/>
      <c r="N958" s="1851">
        <f t="shared" ref="N958:N1014" si="2269">K958+L958+M958</f>
        <v>0</v>
      </c>
      <c r="O958" s="1852">
        <f t="shared" ref="O958:O1014" si="2270">J958+N958</f>
        <v>0</v>
      </c>
      <c r="P958" s="2086"/>
      <c r="Q958" s="2086"/>
      <c r="R958" s="2086"/>
      <c r="S958" s="1851">
        <f t="shared" si="2263"/>
        <v>0</v>
      </c>
      <c r="T958" s="1853">
        <f t="shared" si="2265"/>
        <v>0</v>
      </c>
      <c r="U958" s="1017"/>
      <c r="V958" s="1017"/>
      <c r="W958" s="1879"/>
      <c r="X958" s="1017"/>
      <c r="Y958" s="1017"/>
      <c r="Z958" s="2236"/>
      <c r="AA958" s="1017"/>
      <c r="AB958" s="1017"/>
      <c r="AC958" s="1017"/>
      <c r="AD958" s="2236"/>
      <c r="AE958" s="2237"/>
      <c r="AF958" s="1017"/>
      <c r="AG958" s="1017"/>
      <c r="AH958" s="1017"/>
      <c r="AI958" s="2236"/>
      <c r="AJ958" s="2237"/>
      <c r="AK958" s="1017"/>
      <c r="AL958" s="1417"/>
      <c r="AM958" s="1017"/>
      <c r="AN958" s="2236"/>
      <c r="AO958" s="2201"/>
      <c r="AP958" s="1017"/>
      <c r="AQ958" s="1017"/>
      <c r="AR958" s="1017"/>
      <c r="AS958" s="1017"/>
      <c r="AT958" s="1017"/>
      <c r="AU958" s="1017"/>
      <c r="AV958" s="1017"/>
      <c r="AW958" s="1017"/>
      <c r="AX958" s="1017"/>
      <c r="AY958" s="1017"/>
      <c r="AZ958" s="1017"/>
    </row>
    <row r="959" s="1880" customFormat="1">
      <c r="A959" s="2086" t="s">
        <v>27</v>
      </c>
      <c r="B959" s="1302">
        <f>B957+B958</f>
        <v>28850</v>
      </c>
      <c r="C959" s="1302">
        <f>C957+C958</f>
        <v>39177</v>
      </c>
      <c r="D959" s="1302">
        <f>D957+D958</f>
        <v>0</v>
      </c>
      <c r="E959" s="1859">
        <f t="shared" si="2266"/>
        <v>68027</v>
      </c>
      <c r="F959" s="1302">
        <f>F957+F958</f>
        <v>0</v>
      </c>
      <c r="G959" s="1302">
        <f>G957+G958</f>
        <v>0</v>
      </c>
      <c r="H959" s="1302">
        <f>H957+H958</f>
        <v>0</v>
      </c>
      <c r="I959" s="1859">
        <f t="shared" si="2267"/>
        <v>0</v>
      </c>
      <c r="J959" s="1860">
        <f t="shared" si="2268"/>
        <v>68027</v>
      </c>
      <c r="K959" s="1302">
        <f>K957+K958</f>
        <v>0</v>
      </c>
      <c r="L959" s="1302">
        <f>L957+L958</f>
        <v>0</v>
      </c>
      <c r="M959" s="1302">
        <f t="shared" ref="M959:R959" si="2271">M957+M958</f>
        <v>0</v>
      </c>
      <c r="N959" s="1859">
        <f t="shared" si="2269"/>
        <v>0</v>
      </c>
      <c r="O959" s="1860">
        <f t="shared" si="2270"/>
        <v>68027</v>
      </c>
      <c r="P959" s="1302">
        <f t="shared" si="2271"/>
        <v>0</v>
      </c>
      <c r="Q959" s="1302">
        <f>957:957+Q958</f>
        <v>0</v>
      </c>
      <c r="R959" s="1302">
        <f t="shared" si="2271"/>
        <v>0</v>
      </c>
      <c r="S959" s="1859">
        <f t="shared" si="2263"/>
        <v>0</v>
      </c>
      <c r="T959" s="1861">
        <f t="shared" si="2265"/>
        <v>68027</v>
      </c>
      <c r="U959" s="1879"/>
      <c r="V959" s="1879"/>
      <c r="W959" s="1879"/>
      <c r="X959" s="1302">
        <f>X957+X958</f>
        <v>18161</v>
      </c>
      <c r="Y959" s="1879"/>
      <c r="Z959" s="2238"/>
      <c r="AA959" s="1879"/>
      <c r="AB959" s="1879"/>
      <c r="AC959" s="1879"/>
      <c r="AD959" s="2238"/>
      <c r="AE959" s="2239"/>
      <c r="AF959" s="1879"/>
      <c r="AG959" s="1879"/>
      <c r="AH959" s="1879"/>
      <c r="AI959" s="2238"/>
      <c r="AJ959" s="2239"/>
      <c r="AK959" s="1879"/>
      <c r="AL959" s="1886"/>
      <c r="AM959" s="1879"/>
      <c r="AN959" s="2238"/>
      <c r="AO959" s="1884"/>
      <c r="AP959" s="1879"/>
      <c r="AQ959" s="1879"/>
      <c r="AR959" s="1879"/>
      <c r="AS959" s="1879"/>
      <c r="AT959" s="1879"/>
      <c r="AU959" s="1879"/>
      <c r="AV959" s="1879"/>
      <c r="AW959" s="1879"/>
      <c r="AX959" s="1879"/>
      <c r="AY959" s="1879"/>
      <c r="AZ959" s="1879"/>
    </row>
    <row r="960">
      <c r="A960" s="2240" t="s">
        <v>781</v>
      </c>
      <c r="B960" s="2241">
        <v>549</v>
      </c>
      <c r="C960" s="2241">
        <v>814</v>
      </c>
      <c r="D960" s="2242"/>
      <c r="E960" s="2243"/>
      <c r="F960" s="2244"/>
      <c r="G960" s="2244"/>
      <c r="H960" s="2242"/>
      <c r="I960" s="2243"/>
      <c r="J960" s="2243"/>
      <c r="K960" s="2242"/>
      <c r="L960" s="2242"/>
      <c r="M960" s="2242"/>
      <c r="N960" s="2242"/>
      <c r="O960" s="2242"/>
      <c r="P960" s="2242"/>
      <c r="Q960" s="2242"/>
      <c r="R960" s="2242"/>
      <c r="S960" s="2242"/>
      <c r="T960" s="1853">
        <f t="shared" si="2265"/>
        <v>0</v>
      </c>
      <c r="U960" s="1017"/>
      <c r="V960" s="1017"/>
      <c r="W960" s="1879"/>
      <c r="X960" s="1017"/>
      <c r="Y960" s="1017"/>
      <c r="Z960" s="2236"/>
      <c r="AA960" s="1017"/>
      <c r="AB960" s="1017"/>
      <c r="AC960" s="1017"/>
      <c r="AD960" s="2236"/>
      <c r="AE960" s="2237"/>
      <c r="AF960" s="1017"/>
      <c r="AG960" s="1017"/>
      <c r="AH960" s="1017"/>
      <c r="AI960" s="2236"/>
      <c r="AJ960" s="2237"/>
      <c r="AK960" s="1017"/>
      <c r="AM960" s="1017"/>
      <c r="AN960" s="2236"/>
      <c r="AO960" s="2201"/>
      <c r="AP960" s="1017"/>
      <c r="AQ960" s="1017"/>
      <c r="AR960" s="1017"/>
      <c r="AS960" s="1017"/>
      <c r="AT960" s="1017"/>
      <c r="AU960" s="1017"/>
      <c r="AV960" s="1017"/>
      <c r="AW960" s="1017"/>
      <c r="AX960" s="1017"/>
      <c r="AY960" s="1017"/>
      <c r="AZ960" s="1017"/>
    </row>
    <row r="961" s="968" customFormat="1" ht="12.75">
      <c r="A961" s="2245"/>
      <c r="B961" s="2246">
        <v>20575</v>
      </c>
      <c r="C961" s="2246">
        <v>29898</v>
      </c>
      <c r="D961" s="2246"/>
      <c r="E961" s="2247"/>
      <c r="F961" s="2246"/>
      <c r="G961" s="2246"/>
      <c r="H961" s="2246"/>
      <c r="I961" s="2247"/>
      <c r="J961" s="2247"/>
      <c r="K961" s="2246"/>
      <c r="L961" s="2246"/>
      <c r="M961" s="2248"/>
      <c r="N961" s="2247"/>
      <c r="O961" s="2247"/>
      <c r="P961" s="2246"/>
      <c r="Q961" s="2246"/>
      <c r="R961" s="2246"/>
      <c r="S961" s="2247"/>
      <c r="T961" s="2247"/>
      <c r="U961" s="2245"/>
      <c r="V961" s="2245"/>
      <c r="W961" s="2245"/>
      <c r="X961" s="2245">
        <v>13652</v>
      </c>
      <c r="Y961" s="2245"/>
      <c r="Z961" s="2249"/>
      <c r="AA961" s="2245"/>
      <c r="AB961" s="2245"/>
      <c r="AC961" s="2245"/>
      <c r="AD961" s="2249"/>
      <c r="AE961" s="2249"/>
      <c r="AF961" s="2245"/>
      <c r="AG961" s="2245"/>
      <c r="AH961" s="2245"/>
      <c r="AI961" s="2249"/>
      <c r="AJ961" s="2249"/>
      <c r="AK961" s="2245"/>
      <c r="AL961" s="2250"/>
      <c r="AM961" s="2245"/>
      <c r="AN961" s="2249"/>
      <c r="AO961" s="2249"/>
      <c r="AP961" s="2245"/>
      <c r="AQ961" s="2245"/>
      <c r="AR961" s="2245"/>
      <c r="AS961" s="2245"/>
      <c r="AT961" s="2245"/>
      <c r="AU961" s="2245"/>
      <c r="AV961" s="2245"/>
      <c r="AW961" s="2245"/>
      <c r="AX961" s="2245"/>
      <c r="AY961" s="2245"/>
      <c r="AZ961" s="2245"/>
    </row>
    <row r="962" s="968" customFormat="1" ht="12.75">
      <c r="A962" s="2245"/>
      <c r="B962" s="2246">
        <v>2872</v>
      </c>
      <c r="C962" s="2246">
        <v>2651</v>
      </c>
      <c r="D962" s="2246"/>
      <c r="E962" s="2247"/>
      <c r="F962" s="2246"/>
      <c r="G962" s="2246"/>
      <c r="H962" s="2246"/>
      <c r="I962" s="2247"/>
      <c r="J962" s="2247"/>
      <c r="K962" s="2246"/>
      <c r="L962" s="2246"/>
      <c r="M962" s="2248"/>
      <c r="N962" s="2247"/>
      <c r="O962" s="2247"/>
      <c r="P962" s="2246"/>
      <c r="Q962" s="2246"/>
      <c r="R962" s="2246"/>
      <c r="S962" s="2247"/>
      <c r="T962" s="2247"/>
      <c r="U962" s="2245"/>
      <c r="V962" s="2245"/>
      <c r="W962" s="2245"/>
      <c r="X962" s="2245">
        <v>1235</v>
      </c>
      <c r="Y962" s="2245"/>
      <c r="Z962" s="2249"/>
      <c r="AA962" s="2245"/>
      <c r="AB962" s="2245"/>
      <c r="AC962" s="2245"/>
      <c r="AD962" s="2249"/>
      <c r="AE962" s="2249"/>
      <c r="AF962" s="2245"/>
      <c r="AG962" s="2245"/>
      <c r="AH962" s="2245"/>
      <c r="AI962" s="2249"/>
      <c r="AJ962" s="2249"/>
      <c r="AK962" s="2245"/>
      <c r="AL962" s="2250"/>
      <c r="AM962" s="2245"/>
      <c r="AN962" s="2249"/>
      <c r="AO962" s="2249"/>
      <c r="AP962" s="2245"/>
      <c r="AQ962" s="2245"/>
      <c r="AR962" s="2245"/>
      <c r="AS962" s="2245"/>
      <c r="AT962" s="2245"/>
      <c r="AU962" s="2245"/>
      <c r="AV962" s="2245"/>
      <c r="AW962" s="2245"/>
      <c r="AX962" s="2245"/>
      <c r="AY962" s="2245"/>
      <c r="AZ962" s="2245"/>
    </row>
    <row r="963" s="968" customFormat="1" ht="12.75">
      <c r="A963" s="2245"/>
      <c r="B963" s="2246">
        <v>5403</v>
      </c>
      <c r="C963" s="2246">
        <v>6328</v>
      </c>
      <c r="D963" s="2246"/>
      <c r="E963" s="2247"/>
      <c r="F963" s="2246"/>
      <c r="G963" s="2246"/>
      <c r="H963" s="2246"/>
      <c r="I963" s="2247"/>
      <c r="J963" s="2247"/>
      <c r="K963" s="2246"/>
      <c r="L963" s="2246"/>
      <c r="M963" s="2248"/>
      <c r="N963" s="2247"/>
      <c r="O963" s="2247"/>
      <c r="P963" s="2246"/>
      <c r="Q963" s="2246"/>
      <c r="R963" s="2246"/>
      <c r="S963" s="2247"/>
      <c r="T963" s="2247"/>
      <c r="U963" s="2245"/>
      <c r="V963" s="2245"/>
      <c r="W963" s="2245"/>
      <c r="X963" s="2245">
        <v>3274</v>
      </c>
      <c r="Y963" s="2245"/>
      <c r="Z963" s="2249"/>
      <c r="AA963" s="2245"/>
      <c r="AB963" s="2245"/>
      <c r="AC963" s="2245"/>
      <c r="AD963" s="2249"/>
      <c r="AE963" s="2249"/>
      <c r="AF963" s="2245"/>
      <c r="AG963" s="2245"/>
      <c r="AH963" s="2245"/>
      <c r="AI963" s="2249"/>
      <c r="AJ963" s="2249"/>
      <c r="AK963" s="2245"/>
      <c r="AL963" s="2250"/>
      <c r="AM963" s="2245"/>
      <c r="AN963" s="2249"/>
      <c r="AO963" s="2249"/>
      <c r="AP963" s="2245"/>
      <c r="AQ963" s="2245"/>
      <c r="AR963" s="2245"/>
      <c r="AS963" s="2245"/>
      <c r="AT963" s="2245"/>
      <c r="AU963" s="2245"/>
      <c r="AV963" s="2245"/>
      <c r="AW963" s="2245"/>
      <c r="AX963" s="2245"/>
      <c r="AY963" s="2245"/>
      <c r="AZ963" s="2245"/>
    </row>
    <row r="964">
      <c r="A964" s="1225"/>
      <c r="B964" s="1866">
        <f>SUM(B961:B963)</f>
        <v>28850</v>
      </c>
      <c r="C964" s="1866">
        <f>SUM(C961:C963)</f>
        <v>38877</v>
      </c>
      <c r="D964" s="1866">
        <f>SUM(D961:D963)</f>
        <v>0</v>
      </c>
      <c r="E964" s="2251"/>
      <c r="F964" s="1866">
        <f>SUM(F961:F963)</f>
        <v>0</v>
      </c>
      <c r="G964" s="1866">
        <f>SUM(G961:G963)</f>
        <v>0</v>
      </c>
      <c r="H964" s="1866">
        <f>SUM(H961:H963)</f>
        <v>0</v>
      </c>
      <c r="I964" s="2251"/>
      <c r="J964" s="2251"/>
      <c r="K964" s="1391"/>
      <c r="L964" s="1866">
        <f>SUM(L961:L963)</f>
        <v>0</v>
      </c>
      <c r="M964" s="1866">
        <f>SUM(M961:M963)</f>
        <v>0</v>
      </c>
      <c r="N964" s="2251"/>
      <c r="O964" s="2251"/>
      <c r="P964" s="1866">
        <f>SUM(P961:P963)</f>
        <v>0</v>
      </c>
      <c r="Q964" s="1866">
        <f>SUM(Q961:Q963)</f>
        <v>0</v>
      </c>
      <c r="R964" s="1866">
        <f>SUM(R961:R963)</f>
        <v>0</v>
      </c>
      <c r="S964" s="2252"/>
      <c r="T964" s="2252"/>
      <c r="U964" s="1017"/>
      <c r="V964" s="1017"/>
      <c r="W964" s="1879"/>
      <c r="X964" s="1866">
        <f>SUM(X961:X963)</f>
        <v>18161</v>
      </c>
      <c r="Y964" s="1017"/>
      <c r="Z964" s="2201"/>
      <c r="AA964" s="1017"/>
      <c r="AB964" s="1017"/>
      <c r="AC964" s="1017"/>
      <c r="AD964" s="2201"/>
      <c r="AE964" s="2201"/>
      <c r="AF964" s="1017"/>
      <c r="AG964" s="1017"/>
      <c r="AH964" s="1017"/>
      <c r="AI964" s="2201"/>
      <c r="AJ964" s="2201"/>
      <c r="AK964" s="1017"/>
      <c r="AM964" s="1017"/>
      <c r="AN964" s="2201"/>
      <c r="AO964" s="2201"/>
      <c r="AP964" s="1017"/>
      <c r="AQ964" s="1017"/>
      <c r="AR964" s="1017"/>
      <c r="AS964" s="1017"/>
      <c r="AT964" s="1017"/>
      <c r="AU964" s="1017"/>
      <c r="AV964" s="1017"/>
      <c r="AW964" s="1017"/>
      <c r="AX964" s="1017"/>
      <c r="AY964" s="1017"/>
      <c r="AZ964" s="1017"/>
    </row>
    <row r="965" ht="32.25" customHeight="1">
      <c r="A965" s="1515"/>
      <c r="B965" s="1838"/>
      <c r="C965" s="1879"/>
      <c r="D965" s="1408"/>
      <c r="E965" s="2253"/>
      <c r="F965" s="1515"/>
      <c r="G965" s="1866"/>
      <c r="H965" s="1515"/>
      <c r="I965" s="2062"/>
      <c r="J965" s="2062"/>
      <c r="K965" s="1879"/>
      <c r="L965" s="1866"/>
      <c r="M965" s="1001">
        <f>M959-M960</f>
        <v>0</v>
      </c>
      <c r="N965" s="2253"/>
      <c r="O965" s="2253"/>
      <c r="P965" s="1879"/>
      <c r="Q965" s="1515"/>
      <c r="R965" s="1526"/>
      <c r="S965" s="2212"/>
    </row>
    <row r="966" s="1848" customFormat="1" ht="56.25" customHeight="1">
      <c r="A966" s="1842" t="s">
        <v>782</v>
      </c>
      <c r="B966" s="1887" t="s">
        <v>783</v>
      </c>
      <c r="C966" s="1888"/>
      <c r="D966" s="1888"/>
      <c r="E966" s="1888"/>
      <c r="F966" s="1888"/>
      <c r="G966" s="1888"/>
      <c r="H966" s="1888"/>
      <c r="I966" s="1888"/>
      <c r="J966" s="1888"/>
      <c r="K966" s="1888"/>
      <c r="L966" s="1888"/>
      <c r="M966" s="1888"/>
      <c r="N966" s="1888"/>
      <c r="O966" s="1888"/>
      <c r="P966" s="1888"/>
      <c r="Q966" s="1888"/>
      <c r="R966" s="1888"/>
      <c r="S966" s="1888"/>
      <c r="T966" s="1889"/>
      <c r="U966" s="1413"/>
      <c r="V966" s="1842" t="s">
        <v>784</v>
      </c>
      <c r="W966" s="2254" t="s">
        <v>785</v>
      </c>
      <c r="X966" s="2255"/>
      <c r="Y966" s="2255"/>
      <c r="Z966" s="2255"/>
      <c r="AA966" s="2255"/>
      <c r="AB966" s="2255"/>
      <c r="AC966" s="2255"/>
      <c r="AD966" s="2255"/>
      <c r="AE966" s="2255"/>
      <c r="AF966" s="2255"/>
      <c r="AG966" s="2255"/>
      <c r="AH966" s="2255"/>
      <c r="AI966" s="2255"/>
      <c r="AJ966" s="2255"/>
      <c r="AK966" s="2255"/>
      <c r="AL966" s="2255"/>
      <c r="AM966" s="2255"/>
      <c r="AN966" s="2255"/>
      <c r="AO966" s="2255"/>
      <c r="AP966" s="1409"/>
      <c r="AQ966" s="1409"/>
      <c r="AR966" s="1409"/>
      <c r="AS966" s="1409"/>
      <c r="AT966" s="1409"/>
      <c r="AU966" s="1409"/>
      <c r="AV966" s="1409"/>
      <c r="AW966" s="1409"/>
      <c r="AX966" s="1409"/>
      <c r="AY966" s="1409"/>
      <c r="AZ966" s="1409"/>
    </row>
    <row r="967" s="1445" customFormat="1">
      <c r="A967" s="1427" t="s">
        <v>173</v>
      </c>
      <c r="B967" s="1427" t="s">
        <v>6</v>
      </c>
      <c r="C967" s="1427" t="s">
        <v>7</v>
      </c>
      <c r="D967" s="1849" t="s">
        <v>8</v>
      </c>
      <c r="E967" s="2168" t="s">
        <v>9</v>
      </c>
      <c r="F967" s="1421" t="s">
        <v>10</v>
      </c>
      <c r="G967" s="1421" t="s">
        <v>11</v>
      </c>
      <c r="H967" s="1421" t="s">
        <v>12</v>
      </c>
      <c r="I967" s="1425" t="s">
        <v>174</v>
      </c>
      <c r="J967" s="1430" t="s">
        <v>175</v>
      </c>
      <c r="K967" s="1421" t="s">
        <v>14</v>
      </c>
      <c r="L967" s="1421" t="s">
        <v>786</v>
      </c>
      <c r="M967" s="1421" t="s">
        <v>787</v>
      </c>
      <c r="N967" s="1425" t="s">
        <v>17</v>
      </c>
      <c r="O967" s="1430" t="s">
        <v>176</v>
      </c>
      <c r="P967" s="1421" t="s">
        <v>18</v>
      </c>
      <c r="Q967" s="1421" t="s">
        <v>19</v>
      </c>
      <c r="R967" s="1421" t="s">
        <v>788</v>
      </c>
      <c r="S967" s="1448" t="s">
        <v>177</v>
      </c>
      <c r="T967" s="1426" t="s">
        <v>22</v>
      </c>
      <c r="U967" s="1621"/>
      <c r="V967" s="1421"/>
      <c r="W967" s="1421" t="s">
        <v>6</v>
      </c>
      <c r="X967" s="1421" t="s">
        <v>7</v>
      </c>
      <c r="Y967" s="1849" t="s">
        <v>8</v>
      </c>
      <c r="Z967" s="2168" t="s">
        <v>9</v>
      </c>
      <c r="AA967" s="1421" t="s">
        <v>10</v>
      </c>
      <c r="AB967" s="1421" t="s">
        <v>11</v>
      </c>
      <c r="AC967" s="1421" t="s">
        <v>12</v>
      </c>
      <c r="AD967" s="1425" t="s">
        <v>174</v>
      </c>
      <c r="AE967" s="1430" t="s">
        <v>175</v>
      </c>
      <c r="AF967" s="1421" t="s">
        <v>14</v>
      </c>
      <c r="AG967" s="1421" t="s">
        <v>15</v>
      </c>
      <c r="AH967" s="1421" t="s">
        <v>16</v>
      </c>
      <c r="AI967" s="1425" t="s">
        <v>17</v>
      </c>
      <c r="AJ967" s="1430" t="s">
        <v>176</v>
      </c>
      <c r="AK967" s="1421" t="s">
        <v>18</v>
      </c>
      <c r="AL967" s="1424" t="s">
        <v>19</v>
      </c>
      <c r="AM967" s="1421" t="s">
        <v>20</v>
      </c>
      <c r="AN967" s="1425" t="s">
        <v>537</v>
      </c>
      <c r="AO967" s="1426" t="s">
        <v>22</v>
      </c>
      <c r="AP967" s="1621"/>
      <c r="AQ967" s="1621"/>
      <c r="AR967" s="1621"/>
      <c r="AS967" s="1621"/>
      <c r="AT967" s="1621"/>
      <c r="AU967" s="1621"/>
      <c r="AV967" s="1621"/>
      <c r="AW967" s="1621"/>
      <c r="AX967" s="1621"/>
      <c r="AY967" s="1621"/>
      <c r="AZ967" s="1621"/>
    </row>
    <row r="968" ht="23.25" customHeight="1">
      <c r="A968" s="1179" t="s">
        <v>178</v>
      </c>
      <c r="B968" s="1868">
        <v>0</v>
      </c>
      <c r="C968" s="2256"/>
      <c r="D968" s="2175"/>
      <c r="E968" s="1899">
        <f t="shared" si="2266"/>
        <v>0</v>
      </c>
      <c r="F968" s="2256"/>
      <c r="G968" s="2256"/>
      <c r="H968" s="1868"/>
      <c r="I968" s="1895">
        <f t="shared" si="2267"/>
        <v>0</v>
      </c>
      <c r="J968" s="1896">
        <f t="shared" si="2268"/>
        <v>0</v>
      </c>
      <c r="K968" s="2256"/>
      <c r="L968" s="2256"/>
      <c r="M968" s="2256"/>
      <c r="N968" s="1895">
        <f t="shared" si="2269"/>
        <v>0</v>
      </c>
      <c r="O968" s="1896">
        <f t="shared" si="2270"/>
        <v>0</v>
      </c>
      <c r="P968" s="2256"/>
      <c r="Q968" s="2256"/>
      <c r="R968" s="2256"/>
      <c r="S968" s="1895">
        <f t="shared" si="2263"/>
        <v>0</v>
      </c>
      <c r="T968" s="1897">
        <f t="shared" si="2265"/>
        <v>0</v>
      </c>
      <c r="U968" s="1413"/>
      <c r="V968" s="1179" t="s">
        <v>178</v>
      </c>
      <c r="W968" s="1868">
        <v>0</v>
      </c>
      <c r="X968" s="2256"/>
      <c r="Y968" s="2175"/>
      <c r="Z968" s="2257">
        <f t="shared" ref="Z934:Z997" si="2272">W968+X968+Y968</f>
        <v>0</v>
      </c>
      <c r="AA968" s="2256"/>
      <c r="AB968" s="2256"/>
      <c r="AC968" s="1868"/>
      <c r="AD968" s="1895">
        <f t="shared" ref="AD934:AD997" si="2273">AA968+AB968+AC968</f>
        <v>0</v>
      </c>
      <c r="AE968" s="1898">
        <f t="shared" ref="AE934:AE997" si="2274">Z968+AD968</f>
        <v>0</v>
      </c>
      <c r="AF968" s="2256"/>
      <c r="AG968" s="2256"/>
      <c r="AH968" s="2256"/>
      <c r="AI968" s="2258">
        <f t="shared" ref="AI934:AI997" si="2275">AF968+AG968+AH968</f>
        <v>0</v>
      </c>
      <c r="AJ968" s="2259">
        <f t="shared" ref="AJ959:AJ1014" si="2276">AE968+AI968</f>
        <v>0</v>
      </c>
      <c r="AK968" s="2256"/>
      <c r="AL968" s="2260"/>
      <c r="AM968" s="2256"/>
      <c r="AN968" s="2261">
        <f t="shared" ref="AN959:AN1014" si="2277">AK968+AL968+AM968</f>
        <v>0</v>
      </c>
      <c r="AO968" s="2262">
        <f t="shared" ref="AO959:AO1014" si="2278">AJ968+AN968</f>
        <v>0</v>
      </c>
    </row>
    <row r="969" hidden="1">
      <c r="A969" s="1179" t="s">
        <v>354</v>
      </c>
      <c r="B969" s="1868"/>
      <c r="C969" s="1868"/>
      <c r="D969" s="1868"/>
      <c r="E969" s="1899">
        <f t="shared" si="2266"/>
        <v>0</v>
      </c>
      <c r="F969" s="1868"/>
      <c r="G969" s="1868"/>
      <c r="H969" s="1868"/>
      <c r="I969" s="1895">
        <f t="shared" si="2267"/>
        <v>0</v>
      </c>
      <c r="J969" s="1896">
        <f t="shared" si="2268"/>
        <v>0</v>
      </c>
      <c r="K969" s="1868"/>
      <c r="L969" s="1868"/>
      <c r="M969" s="1868"/>
      <c r="N969" s="1895">
        <f t="shared" si="2269"/>
        <v>0</v>
      </c>
      <c r="O969" s="1896">
        <f t="shared" si="2270"/>
        <v>0</v>
      </c>
      <c r="P969" s="1868"/>
      <c r="Q969" s="1868"/>
      <c r="R969" s="1868"/>
      <c r="S969" s="1895">
        <f t="shared" si="2263"/>
        <v>0</v>
      </c>
      <c r="T969" s="1897">
        <f t="shared" si="2265"/>
        <v>0</v>
      </c>
      <c r="U969" s="1413"/>
      <c r="V969" s="1179" t="s">
        <v>354</v>
      </c>
      <c r="W969" s="1868"/>
      <c r="X969" s="1868"/>
      <c r="Y969" s="1868"/>
      <c r="Z969" s="2257">
        <f t="shared" si="2272"/>
        <v>0</v>
      </c>
      <c r="AA969" s="1868"/>
      <c r="AB969" s="1868"/>
      <c r="AC969" s="1868"/>
      <c r="AD969" s="1895">
        <f t="shared" si="2273"/>
        <v>0</v>
      </c>
      <c r="AE969" s="1898">
        <f t="shared" si="2274"/>
        <v>0</v>
      </c>
      <c r="AF969" s="1868"/>
      <c r="AG969" s="1868"/>
      <c r="AH969" s="1868"/>
      <c r="AI969" s="2258">
        <f t="shared" si="2275"/>
        <v>0</v>
      </c>
      <c r="AJ969" s="2259">
        <f t="shared" si="2276"/>
        <v>0</v>
      </c>
      <c r="AK969" s="1868"/>
      <c r="AL969" s="2126"/>
      <c r="AM969" s="1868"/>
      <c r="AN969" s="2261">
        <f t="shared" si="2277"/>
        <v>0</v>
      </c>
      <c r="AO969" s="2262">
        <f t="shared" si="2278"/>
        <v>0</v>
      </c>
    </row>
    <row r="970" hidden="1">
      <c r="A970" s="1179" t="s">
        <v>181</v>
      </c>
      <c r="B970" s="1868"/>
      <c r="C970" s="1868"/>
      <c r="D970" s="1868"/>
      <c r="E970" s="1899">
        <f t="shared" si="2266"/>
        <v>0</v>
      </c>
      <c r="F970" s="1868"/>
      <c r="G970" s="1868"/>
      <c r="H970" s="1868"/>
      <c r="I970" s="1895">
        <f t="shared" si="2267"/>
        <v>0</v>
      </c>
      <c r="J970" s="1896">
        <f t="shared" si="2268"/>
        <v>0</v>
      </c>
      <c r="K970" s="1868"/>
      <c r="L970" s="1868"/>
      <c r="M970" s="1868"/>
      <c r="N970" s="1895">
        <f t="shared" si="2269"/>
        <v>0</v>
      </c>
      <c r="O970" s="1896">
        <f t="shared" si="2270"/>
        <v>0</v>
      </c>
      <c r="P970" s="1868"/>
      <c r="Q970" s="1868"/>
      <c r="R970" s="1868"/>
      <c r="S970" s="1895">
        <f t="shared" si="2263"/>
        <v>0</v>
      </c>
      <c r="T970" s="1897">
        <f t="shared" si="2265"/>
        <v>0</v>
      </c>
      <c r="U970" s="1413"/>
      <c r="V970" s="1179" t="s">
        <v>181</v>
      </c>
      <c r="W970" s="1868"/>
      <c r="X970" s="1868"/>
      <c r="Y970" s="1868"/>
      <c r="Z970" s="2257">
        <f t="shared" si="2272"/>
        <v>0</v>
      </c>
      <c r="AA970" s="1868"/>
      <c r="AB970" s="1868"/>
      <c r="AC970" s="1868"/>
      <c r="AD970" s="1895">
        <f t="shared" si="2273"/>
        <v>0</v>
      </c>
      <c r="AE970" s="1898">
        <f t="shared" si="2274"/>
        <v>0</v>
      </c>
      <c r="AF970" s="1868"/>
      <c r="AG970" s="1868"/>
      <c r="AH970" s="1868"/>
      <c r="AI970" s="2258">
        <f t="shared" si="2275"/>
        <v>0</v>
      </c>
      <c r="AJ970" s="2259">
        <f t="shared" si="2276"/>
        <v>0</v>
      </c>
      <c r="AK970" s="1868"/>
      <c r="AL970" s="2126"/>
      <c r="AM970" s="1868"/>
      <c r="AN970" s="2261">
        <f t="shared" si="2277"/>
        <v>0</v>
      </c>
      <c r="AO970" s="2262">
        <f t="shared" si="2278"/>
        <v>0</v>
      </c>
    </row>
    <row r="971" hidden="1">
      <c r="A971" s="1179" t="s">
        <v>182</v>
      </c>
      <c r="B971" s="1868"/>
      <c r="C971" s="1868"/>
      <c r="D971" s="1868"/>
      <c r="E971" s="1899">
        <f t="shared" si="2266"/>
        <v>0</v>
      </c>
      <c r="F971" s="1868"/>
      <c r="G971" s="1868"/>
      <c r="H971" s="1868"/>
      <c r="I971" s="1895">
        <f t="shared" si="2267"/>
        <v>0</v>
      </c>
      <c r="J971" s="1896">
        <f t="shared" si="2268"/>
        <v>0</v>
      </c>
      <c r="K971" s="1868"/>
      <c r="L971" s="1868"/>
      <c r="M971" s="1868"/>
      <c r="N971" s="1895">
        <f t="shared" si="2269"/>
        <v>0</v>
      </c>
      <c r="O971" s="1896">
        <f t="shared" si="2270"/>
        <v>0</v>
      </c>
      <c r="P971" s="1868"/>
      <c r="Q971" s="1868"/>
      <c r="R971" s="1868"/>
      <c r="S971" s="1895">
        <f t="shared" si="2263"/>
        <v>0</v>
      </c>
      <c r="T971" s="1897">
        <f t="shared" si="2265"/>
        <v>0</v>
      </c>
      <c r="U971" s="1413"/>
      <c r="V971" s="1179" t="s">
        <v>182</v>
      </c>
      <c r="W971" s="1868"/>
      <c r="X971" s="1868"/>
      <c r="Y971" s="1868"/>
      <c r="Z971" s="2257">
        <f t="shared" si="2272"/>
        <v>0</v>
      </c>
      <c r="AA971" s="1868"/>
      <c r="AB971" s="1868"/>
      <c r="AC971" s="1868"/>
      <c r="AD971" s="1895">
        <f t="shared" si="2273"/>
        <v>0</v>
      </c>
      <c r="AE971" s="1898">
        <f t="shared" si="2274"/>
        <v>0</v>
      </c>
      <c r="AF971" s="1868"/>
      <c r="AG971" s="1868"/>
      <c r="AH971" s="1868"/>
      <c r="AI971" s="2258">
        <f t="shared" si="2275"/>
        <v>0</v>
      </c>
      <c r="AJ971" s="2259">
        <f t="shared" si="2276"/>
        <v>0</v>
      </c>
      <c r="AK971" s="1868"/>
      <c r="AL971" s="2126"/>
      <c r="AM971" s="1868"/>
      <c r="AN971" s="2261">
        <f t="shared" si="2277"/>
        <v>0</v>
      </c>
      <c r="AO971" s="2262">
        <f t="shared" si="2278"/>
        <v>0</v>
      </c>
    </row>
    <row r="972" hidden="1">
      <c r="A972" s="1179" t="s">
        <v>183</v>
      </c>
      <c r="B972" s="1868"/>
      <c r="C972" s="1868"/>
      <c r="D972" s="1868"/>
      <c r="E972" s="1899">
        <f t="shared" si="2266"/>
        <v>0</v>
      </c>
      <c r="F972" s="1868"/>
      <c r="G972" s="1868"/>
      <c r="H972" s="1868"/>
      <c r="I972" s="1895">
        <f t="shared" si="2267"/>
        <v>0</v>
      </c>
      <c r="J972" s="1896">
        <f t="shared" si="2268"/>
        <v>0</v>
      </c>
      <c r="K972" s="1868"/>
      <c r="L972" s="1868"/>
      <c r="M972" s="1868"/>
      <c r="N972" s="1895">
        <f t="shared" si="2269"/>
        <v>0</v>
      </c>
      <c r="O972" s="1896">
        <f t="shared" si="2270"/>
        <v>0</v>
      </c>
      <c r="P972" s="1868"/>
      <c r="Q972" s="1868"/>
      <c r="R972" s="1868"/>
      <c r="S972" s="1895">
        <f t="shared" ref="S972:S1014" si="2279">P972+Q972+R972</f>
        <v>0</v>
      </c>
      <c r="T972" s="1897">
        <f t="shared" si="2265"/>
        <v>0</v>
      </c>
      <c r="U972" s="1413"/>
      <c r="V972" s="1179" t="s">
        <v>183</v>
      </c>
      <c r="W972" s="1868"/>
      <c r="X972" s="1868"/>
      <c r="Y972" s="1868"/>
      <c r="Z972" s="2257">
        <f t="shared" si="2272"/>
        <v>0</v>
      </c>
      <c r="AA972" s="1868"/>
      <c r="AB972" s="1868"/>
      <c r="AC972" s="1868"/>
      <c r="AD972" s="1895">
        <f t="shared" si="2273"/>
        <v>0</v>
      </c>
      <c r="AE972" s="1898">
        <f t="shared" si="2274"/>
        <v>0</v>
      </c>
      <c r="AF972" s="1868"/>
      <c r="AG972" s="1868"/>
      <c r="AH972" s="1868"/>
      <c r="AI972" s="2258">
        <f t="shared" si="2275"/>
        <v>0</v>
      </c>
      <c r="AJ972" s="2259">
        <f t="shared" si="2276"/>
        <v>0</v>
      </c>
      <c r="AK972" s="1868"/>
      <c r="AL972" s="2126"/>
      <c r="AM972" s="1868"/>
      <c r="AN972" s="2261">
        <f t="shared" si="2277"/>
        <v>0</v>
      </c>
      <c r="AO972" s="2262">
        <f t="shared" si="2278"/>
        <v>0</v>
      </c>
    </row>
    <row r="973" hidden="1">
      <c r="A973" s="1179" t="s">
        <v>184</v>
      </c>
      <c r="B973" s="1868"/>
      <c r="C973" s="1868"/>
      <c r="D973" s="1868"/>
      <c r="E973" s="1899">
        <f t="shared" si="2266"/>
        <v>0</v>
      </c>
      <c r="F973" s="1868"/>
      <c r="G973" s="1868"/>
      <c r="H973" s="1868"/>
      <c r="I973" s="1895">
        <f t="shared" si="2267"/>
        <v>0</v>
      </c>
      <c r="J973" s="1896">
        <f t="shared" si="2268"/>
        <v>0</v>
      </c>
      <c r="K973" s="1868"/>
      <c r="L973" s="1868"/>
      <c r="M973" s="1868"/>
      <c r="N973" s="1895">
        <f t="shared" si="2269"/>
        <v>0</v>
      </c>
      <c r="O973" s="1896">
        <f t="shared" si="2270"/>
        <v>0</v>
      </c>
      <c r="P973" s="1868"/>
      <c r="Q973" s="1868"/>
      <c r="R973" s="1868"/>
      <c r="S973" s="1895">
        <f t="shared" si="2279"/>
        <v>0</v>
      </c>
      <c r="T973" s="1897">
        <f t="shared" si="2265"/>
        <v>0</v>
      </c>
      <c r="U973" s="1413"/>
      <c r="V973" s="1179" t="s">
        <v>184</v>
      </c>
      <c r="W973" s="1868"/>
      <c r="X973" s="1868"/>
      <c r="Y973" s="1868"/>
      <c r="Z973" s="2257">
        <f t="shared" si="2272"/>
        <v>0</v>
      </c>
      <c r="AA973" s="1868"/>
      <c r="AB973" s="1868"/>
      <c r="AC973" s="1868"/>
      <c r="AD973" s="1895">
        <f t="shared" si="2273"/>
        <v>0</v>
      </c>
      <c r="AE973" s="1898">
        <f t="shared" si="2274"/>
        <v>0</v>
      </c>
      <c r="AF973" s="1868"/>
      <c r="AG973" s="1868"/>
      <c r="AH973" s="1868"/>
      <c r="AI973" s="2258">
        <f t="shared" si="2275"/>
        <v>0</v>
      </c>
      <c r="AJ973" s="2259">
        <f t="shared" si="2276"/>
        <v>0</v>
      </c>
      <c r="AK973" s="1868"/>
      <c r="AL973" s="2126"/>
      <c r="AM973" s="1868"/>
      <c r="AN973" s="2261">
        <f t="shared" si="2277"/>
        <v>0</v>
      </c>
      <c r="AO973" s="2262">
        <f t="shared" si="2278"/>
        <v>0</v>
      </c>
    </row>
    <row r="974" hidden="1">
      <c r="A974" s="1179" t="s">
        <v>185</v>
      </c>
      <c r="B974" s="1868"/>
      <c r="C974" s="1868"/>
      <c r="D974" s="1868"/>
      <c r="E974" s="1899">
        <f t="shared" si="2266"/>
        <v>0</v>
      </c>
      <c r="F974" s="1868"/>
      <c r="G974" s="1868"/>
      <c r="H974" s="1868"/>
      <c r="I974" s="1895">
        <f t="shared" si="2267"/>
        <v>0</v>
      </c>
      <c r="J974" s="1896">
        <f t="shared" si="2268"/>
        <v>0</v>
      </c>
      <c r="K974" s="1868"/>
      <c r="L974" s="1868"/>
      <c r="M974" s="1868"/>
      <c r="N974" s="1895">
        <f t="shared" si="2269"/>
        <v>0</v>
      </c>
      <c r="O974" s="1896">
        <f t="shared" si="2270"/>
        <v>0</v>
      </c>
      <c r="P974" s="1868"/>
      <c r="Q974" s="1868"/>
      <c r="R974" s="1868"/>
      <c r="S974" s="1895">
        <f t="shared" si="2279"/>
        <v>0</v>
      </c>
      <c r="T974" s="1897">
        <f t="shared" si="2265"/>
        <v>0</v>
      </c>
      <c r="U974" s="1413"/>
      <c r="V974" s="1179" t="s">
        <v>185</v>
      </c>
      <c r="W974" s="1868"/>
      <c r="X974" s="1868"/>
      <c r="Y974" s="1868"/>
      <c r="Z974" s="2257">
        <f t="shared" si="2272"/>
        <v>0</v>
      </c>
      <c r="AA974" s="1868"/>
      <c r="AB974" s="1868"/>
      <c r="AC974" s="1868"/>
      <c r="AD974" s="1895">
        <f t="shared" si="2273"/>
        <v>0</v>
      </c>
      <c r="AE974" s="1898">
        <f t="shared" si="2274"/>
        <v>0</v>
      </c>
      <c r="AF974" s="1868"/>
      <c r="AG974" s="1868"/>
      <c r="AH974" s="1868"/>
      <c r="AI974" s="2258">
        <f t="shared" si="2275"/>
        <v>0</v>
      </c>
      <c r="AJ974" s="2259">
        <f t="shared" si="2276"/>
        <v>0</v>
      </c>
      <c r="AK974" s="1868"/>
      <c r="AL974" s="2126"/>
      <c r="AM974" s="1868"/>
      <c r="AN974" s="2261">
        <f t="shared" si="2277"/>
        <v>0</v>
      </c>
      <c r="AO974" s="2262">
        <f t="shared" si="2278"/>
        <v>0</v>
      </c>
    </row>
    <row r="975" hidden="1">
      <c r="A975" s="2096" t="s">
        <v>363</v>
      </c>
      <c r="B975" s="1871">
        <f>SUM(B968:B974)</f>
        <v>0</v>
      </c>
      <c r="C975" s="1871">
        <f>SUM(C968:C974)</f>
        <v>0</v>
      </c>
      <c r="D975" s="1871">
        <f>SUM(D968:D974)</f>
        <v>0</v>
      </c>
      <c r="E975" s="1899">
        <f t="shared" si="2266"/>
        <v>0</v>
      </c>
      <c r="F975" s="1871">
        <f>SUM(F968:F974)</f>
        <v>0</v>
      </c>
      <c r="G975" s="1871">
        <f>SUM(G968:G974)</f>
        <v>0</v>
      </c>
      <c r="H975" s="1871">
        <f>SUM(H968:H974)</f>
        <v>0</v>
      </c>
      <c r="I975" s="1899">
        <f t="shared" si="2267"/>
        <v>0</v>
      </c>
      <c r="J975" s="1900">
        <f t="shared" si="2268"/>
        <v>0</v>
      </c>
      <c r="K975" s="1871">
        <f>SUM(K968:K974)</f>
        <v>0</v>
      </c>
      <c r="L975" s="1871">
        <f>SUM(L968:L974)</f>
        <v>0</v>
      </c>
      <c r="M975" s="1871">
        <f>SUM(M968:M974)</f>
        <v>0</v>
      </c>
      <c r="N975" s="1899">
        <f t="shared" si="2269"/>
        <v>0</v>
      </c>
      <c r="O975" s="1900">
        <f t="shared" si="2270"/>
        <v>0</v>
      </c>
      <c r="P975" s="1871">
        <f>SUM(P968:P974)</f>
        <v>0</v>
      </c>
      <c r="Q975" s="1871">
        <f>SUM(Q968:Q974)</f>
        <v>0</v>
      </c>
      <c r="R975" s="1871">
        <f>SUM(R968:R974)</f>
        <v>0</v>
      </c>
      <c r="S975" s="1899">
        <f t="shared" si="2279"/>
        <v>0</v>
      </c>
      <c r="T975" s="1901">
        <f t="shared" si="2265"/>
        <v>0</v>
      </c>
      <c r="U975" s="1413"/>
      <c r="V975" s="1511" t="s">
        <v>363</v>
      </c>
      <c r="W975" s="1871">
        <f t="shared" ref="W975:AC975" si="2280">SUM(W968:W974)</f>
        <v>0</v>
      </c>
      <c r="X975" s="1871">
        <f t="shared" si="2280"/>
        <v>0</v>
      </c>
      <c r="Y975" s="1871">
        <f t="shared" si="2280"/>
        <v>0</v>
      </c>
      <c r="Z975" s="2257">
        <f t="shared" si="2272"/>
        <v>0</v>
      </c>
      <c r="AA975" s="1871">
        <f t="shared" si="2280"/>
        <v>0</v>
      </c>
      <c r="AB975" s="1871">
        <f t="shared" si="2280"/>
        <v>0</v>
      </c>
      <c r="AC975" s="1871">
        <f t="shared" si="2280"/>
        <v>0</v>
      </c>
      <c r="AD975" s="1895">
        <f t="shared" si="2273"/>
        <v>0</v>
      </c>
      <c r="AE975" s="1898">
        <f t="shared" si="2274"/>
        <v>0</v>
      </c>
      <c r="AF975" s="1871">
        <f>SUM(AF968:AF974)</f>
        <v>0</v>
      </c>
      <c r="AG975" s="1871">
        <f t="shared" ref="AG975:AM975" si="2281">SUM(AG968:AG974)</f>
        <v>0</v>
      </c>
      <c r="AH975" s="1871">
        <f t="shared" si="2281"/>
        <v>0</v>
      </c>
      <c r="AI975" s="2258">
        <f t="shared" si="2275"/>
        <v>0</v>
      </c>
      <c r="AJ975" s="2259">
        <f t="shared" si="2276"/>
        <v>0</v>
      </c>
      <c r="AK975" s="1871">
        <f t="shared" si="2281"/>
        <v>0</v>
      </c>
      <c r="AL975" s="2263">
        <f t="shared" si="2281"/>
        <v>0</v>
      </c>
      <c r="AM975" s="1871">
        <f t="shared" si="2281"/>
        <v>0</v>
      </c>
      <c r="AN975" s="2261">
        <f t="shared" si="2277"/>
        <v>0</v>
      </c>
      <c r="AO975" s="2262">
        <f t="shared" si="2278"/>
        <v>0</v>
      </c>
    </row>
    <row r="976" hidden="1">
      <c r="A976" s="1179" t="s">
        <v>542</v>
      </c>
      <c r="B976" s="1868"/>
      <c r="C976" s="1868"/>
      <c r="D976" s="1868"/>
      <c r="E976" s="1899">
        <f t="shared" si="2266"/>
        <v>0</v>
      </c>
      <c r="F976" s="1868"/>
      <c r="G976" s="1868"/>
      <c r="H976" s="1868"/>
      <c r="I976" s="1895">
        <f t="shared" si="2267"/>
        <v>0</v>
      </c>
      <c r="J976" s="1896">
        <f t="shared" si="2268"/>
        <v>0</v>
      </c>
      <c r="K976" s="1868"/>
      <c r="L976" s="1868"/>
      <c r="M976" s="1868"/>
      <c r="N976" s="1895">
        <f t="shared" si="2269"/>
        <v>0</v>
      </c>
      <c r="O976" s="1896">
        <f t="shared" si="2270"/>
        <v>0</v>
      </c>
      <c r="P976" s="1868"/>
      <c r="Q976" s="1868"/>
      <c r="R976" s="1868"/>
      <c r="S976" s="1895">
        <f t="shared" si="2279"/>
        <v>0</v>
      </c>
      <c r="T976" s="1897">
        <f t="shared" si="2265"/>
        <v>0</v>
      </c>
      <c r="U976" s="1413"/>
      <c r="V976" s="1179" t="s">
        <v>542</v>
      </c>
      <c r="W976" s="1868"/>
      <c r="X976" s="1868"/>
      <c r="Y976" s="1868"/>
      <c r="Z976" s="2257">
        <f t="shared" si="2272"/>
        <v>0</v>
      </c>
      <c r="AA976" s="1868"/>
      <c r="AB976" s="1868"/>
      <c r="AC976" s="1868"/>
      <c r="AD976" s="1895">
        <f t="shared" si="2273"/>
        <v>0</v>
      </c>
      <c r="AE976" s="1898">
        <f t="shared" si="2274"/>
        <v>0</v>
      </c>
      <c r="AF976" s="1868"/>
      <c r="AG976" s="1868"/>
      <c r="AH976" s="1868"/>
      <c r="AI976" s="2258">
        <f t="shared" si="2275"/>
        <v>0</v>
      </c>
      <c r="AJ976" s="2259">
        <f t="shared" si="2276"/>
        <v>0</v>
      </c>
      <c r="AK976" s="1868"/>
      <c r="AL976" s="2126"/>
      <c r="AM976" s="1868"/>
      <c r="AN976" s="2261">
        <f t="shared" si="2277"/>
        <v>0</v>
      </c>
      <c r="AO976" s="2262">
        <f t="shared" si="2278"/>
        <v>0</v>
      </c>
    </row>
    <row r="977" hidden="1">
      <c r="A977" s="1179" t="s">
        <v>195</v>
      </c>
      <c r="B977" s="1868"/>
      <c r="C977" s="1868"/>
      <c r="D977" s="1868"/>
      <c r="E977" s="1899">
        <f t="shared" si="2266"/>
        <v>0</v>
      </c>
      <c r="F977" s="1868"/>
      <c r="G977" s="1868"/>
      <c r="H977" s="1868"/>
      <c r="I977" s="1895">
        <f t="shared" si="2267"/>
        <v>0</v>
      </c>
      <c r="J977" s="1896">
        <f t="shared" si="2268"/>
        <v>0</v>
      </c>
      <c r="K977" s="1868"/>
      <c r="L977" s="1868"/>
      <c r="M977" s="1868"/>
      <c r="N977" s="1895">
        <f t="shared" si="2269"/>
        <v>0</v>
      </c>
      <c r="O977" s="1896">
        <f t="shared" si="2270"/>
        <v>0</v>
      </c>
      <c r="P977" s="1868"/>
      <c r="Q977" s="1868"/>
      <c r="R977" s="1868"/>
      <c r="S977" s="1895">
        <f t="shared" si="2279"/>
        <v>0</v>
      </c>
      <c r="T977" s="1897">
        <f t="shared" si="2265"/>
        <v>0</v>
      </c>
      <c r="U977" s="1413"/>
      <c r="V977" s="1179" t="s">
        <v>195</v>
      </c>
      <c r="W977" s="1868"/>
      <c r="X977" s="1868"/>
      <c r="Y977" s="1868"/>
      <c r="Z977" s="2257">
        <f t="shared" si="2272"/>
        <v>0</v>
      </c>
      <c r="AA977" s="1868"/>
      <c r="AB977" s="1868"/>
      <c r="AC977" s="1868"/>
      <c r="AD977" s="1895">
        <f t="shared" si="2273"/>
        <v>0</v>
      </c>
      <c r="AE977" s="1898">
        <f t="shared" si="2274"/>
        <v>0</v>
      </c>
      <c r="AF977" s="1868"/>
      <c r="AG977" s="1868"/>
      <c r="AH977" s="1868"/>
      <c r="AI977" s="2258">
        <f t="shared" si="2275"/>
        <v>0</v>
      </c>
      <c r="AJ977" s="2259">
        <f t="shared" si="2276"/>
        <v>0</v>
      </c>
      <c r="AK977" s="1868"/>
      <c r="AL977" s="2126"/>
      <c r="AM977" s="1868"/>
      <c r="AN977" s="2261">
        <f t="shared" si="2277"/>
        <v>0</v>
      </c>
      <c r="AO977" s="2262">
        <f t="shared" si="2278"/>
        <v>0</v>
      </c>
    </row>
    <row r="978" hidden="1">
      <c r="A978" s="1179" t="s">
        <v>196</v>
      </c>
      <c r="B978" s="1868"/>
      <c r="C978" s="1868"/>
      <c r="D978" s="1868"/>
      <c r="E978" s="1899">
        <f t="shared" si="2266"/>
        <v>0</v>
      </c>
      <c r="F978" s="1868"/>
      <c r="G978" s="1868"/>
      <c r="H978" s="1868"/>
      <c r="I978" s="1895">
        <f t="shared" si="2267"/>
        <v>0</v>
      </c>
      <c r="J978" s="1896">
        <f t="shared" si="2268"/>
        <v>0</v>
      </c>
      <c r="K978" s="1868"/>
      <c r="L978" s="1868"/>
      <c r="M978" s="1868"/>
      <c r="N978" s="1895">
        <f t="shared" si="2269"/>
        <v>0</v>
      </c>
      <c r="O978" s="1896">
        <f t="shared" si="2270"/>
        <v>0</v>
      </c>
      <c r="P978" s="1868"/>
      <c r="Q978" s="1868"/>
      <c r="R978" s="1868"/>
      <c r="S978" s="1895">
        <f t="shared" si="2279"/>
        <v>0</v>
      </c>
      <c r="T978" s="1897">
        <f t="shared" si="2265"/>
        <v>0</v>
      </c>
      <c r="U978" s="1413"/>
      <c r="V978" s="1179" t="s">
        <v>196</v>
      </c>
      <c r="W978" s="1868"/>
      <c r="X978" s="1868"/>
      <c r="Y978" s="1868"/>
      <c r="Z978" s="2257">
        <f t="shared" si="2272"/>
        <v>0</v>
      </c>
      <c r="AA978" s="1868"/>
      <c r="AB978" s="1868"/>
      <c r="AC978" s="1868"/>
      <c r="AD978" s="1895">
        <f t="shared" si="2273"/>
        <v>0</v>
      </c>
      <c r="AE978" s="1898">
        <f t="shared" si="2274"/>
        <v>0</v>
      </c>
      <c r="AF978" s="1868"/>
      <c r="AG978" s="1868"/>
      <c r="AH978" s="1868"/>
      <c r="AI978" s="2258">
        <f t="shared" si="2275"/>
        <v>0</v>
      </c>
      <c r="AJ978" s="2259">
        <f t="shared" si="2276"/>
        <v>0</v>
      </c>
      <c r="AK978" s="1868"/>
      <c r="AL978" s="2126"/>
      <c r="AM978" s="1868"/>
      <c r="AN978" s="2261">
        <f t="shared" si="2277"/>
        <v>0</v>
      </c>
      <c r="AO978" s="2262">
        <f t="shared" si="2278"/>
        <v>0</v>
      </c>
    </row>
    <row r="979" hidden="1">
      <c r="A979" s="1179" t="s">
        <v>367</v>
      </c>
      <c r="B979" s="1868"/>
      <c r="C979" s="1868"/>
      <c r="D979" s="1868"/>
      <c r="E979" s="1899">
        <f t="shared" si="2266"/>
        <v>0</v>
      </c>
      <c r="F979" s="1868"/>
      <c r="G979" s="1868"/>
      <c r="H979" s="1868"/>
      <c r="I979" s="1895">
        <f t="shared" si="2267"/>
        <v>0</v>
      </c>
      <c r="J979" s="1896">
        <f t="shared" si="2268"/>
        <v>0</v>
      </c>
      <c r="K979" s="1868"/>
      <c r="L979" s="1868"/>
      <c r="M979" s="1868"/>
      <c r="N979" s="1895">
        <f t="shared" si="2269"/>
        <v>0</v>
      </c>
      <c r="O979" s="1896">
        <f t="shared" si="2270"/>
        <v>0</v>
      </c>
      <c r="P979" s="1868"/>
      <c r="Q979" s="1868"/>
      <c r="R979" s="1868"/>
      <c r="S979" s="1895">
        <f t="shared" si="2279"/>
        <v>0</v>
      </c>
      <c r="T979" s="1897">
        <f t="shared" si="2265"/>
        <v>0</v>
      </c>
      <c r="U979" s="1413"/>
      <c r="V979" s="1179" t="s">
        <v>367</v>
      </c>
      <c r="W979" s="1868"/>
      <c r="X979" s="1868"/>
      <c r="Y979" s="1868"/>
      <c r="Z979" s="2257">
        <f t="shared" si="2272"/>
        <v>0</v>
      </c>
      <c r="AA979" s="1868"/>
      <c r="AB979" s="1868"/>
      <c r="AC979" s="1868"/>
      <c r="AD979" s="1895">
        <f t="shared" si="2273"/>
        <v>0</v>
      </c>
      <c r="AE979" s="1898">
        <f t="shared" si="2274"/>
        <v>0</v>
      </c>
      <c r="AF979" s="1868"/>
      <c r="AG979" s="1868"/>
      <c r="AH979" s="1868"/>
      <c r="AI979" s="2258">
        <f t="shared" si="2275"/>
        <v>0</v>
      </c>
      <c r="AJ979" s="2259">
        <f t="shared" si="2276"/>
        <v>0</v>
      </c>
      <c r="AK979" s="1868"/>
      <c r="AL979" s="2126"/>
      <c r="AM979" s="1868"/>
      <c r="AN979" s="2261">
        <f t="shared" si="2277"/>
        <v>0</v>
      </c>
      <c r="AO979" s="2262">
        <f t="shared" si="2278"/>
        <v>0</v>
      </c>
    </row>
    <row r="980" hidden="1">
      <c r="A980" s="1179" t="s">
        <v>201</v>
      </c>
      <c r="B980" s="1868"/>
      <c r="C980" s="1868"/>
      <c r="D980" s="1868"/>
      <c r="E980" s="1899">
        <f t="shared" si="2266"/>
        <v>0</v>
      </c>
      <c r="F980" s="1868"/>
      <c r="G980" s="1868"/>
      <c r="H980" s="1868"/>
      <c r="I980" s="1895">
        <f t="shared" si="2267"/>
        <v>0</v>
      </c>
      <c r="J980" s="1896">
        <f t="shared" si="2268"/>
        <v>0</v>
      </c>
      <c r="K980" s="1868"/>
      <c r="L980" s="1868"/>
      <c r="M980" s="1868"/>
      <c r="N980" s="1895">
        <f t="shared" si="2269"/>
        <v>0</v>
      </c>
      <c r="O980" s="1896">
        <f t="shared" si="2270"/>
        <v>0</v>
      </c>
      <c r="P980" s="1868"/>
      <c r="Q980" s="1868"/>
      <c r="R980" s="1868"/>
      <c r="S980" s="1895">
        <f t="shared" si="2279"/>
        <v>0</v>
      </c>
      <c r="T980" s="1897">
        <f t="shared" si="2265"/>
        <v>0</v>
      </c>
      <c r="U980" s="1413"/>
      <c r="V980" s="1179" t="s">
        <v>201</v>
      </c>
      <c r="W980" s="1868"/>
      <c r="X980" s="1868"/>
      <c r="Y980" s="1868"/>
      <c r="Z980" s="2257">
        <f t="shared" si="2272"/>
        <v>0</v>
      </c>
      <c r="AA980" s="1868"/>
      <c r="AB980" s="1868"/>
      <c r="AC980" s="1868"/>
      <c r="AD980" s="1895">
        <f t="shared" si="2273"/>
        <v>0</v>
      </c>
      <c r="AE980" s="1898">
        <f t="shared" si="2274"/>
        <v>0</v>
      </c>
      <c r="AF980" s="1868"/>
      <c r="AG980" s="1868"/>
      <c r="AH980" s="1868"/>
      <c r="AI980" s="2258">
        <f t="shared" si="2275"/>
        <v>0</v>
      </c>
      <c r="AJ980" s="2259">
        <f t="shared" si="2276"/>
        <v>0</v>
      </c>
      <c r="AK980" s="1868"/>
      <c r="AL980" s="2126"/>
      <c r="AM980" s="1868"/>
      <c r="AN980" s="2261">
        <f t="shared" si="2277"/>
        <v>0</v>
      </c>
      <c r="AO980" s="2262">
        <f t="shared" si="2278"/>
        <v>0</v>
      </c>
    </row>
    <row r="981" hidden="1">
      <c r="A981" s="1179" t="s">
        <v>203</v>
      </c>
      <c r="B981" s="1868"/>
      <c r="C981" s="1868"/>
      <c r="D981" s="1868"/>
      <c r="E981" s="1899">
        <f t="shared" si="2266"/>
        <v>0</v>
      </c>
      <c r="F981" s="1868"/>
      <c r="G981" s="1868"/>
      <c r="H981" s="1868"/>
      <c r="I981" s="1895">
        <f t="shared" si="2267"/>
        <v>0</v>
      </c>
      <c r="J981" s="1896">
        <f t="shared" si="2268"/>
        <v>0</v>
      </c>
      <c r="K981" s="1868"/>
      <c r="L981" s="1868"/>
      <c r="M981" s="1868"/>
      <c r="N981" s="1895">
        <f t="shared" si="2269"/>
        <v>0</v>
      </c>
      <c r="O981" s="1896">
        <f t="shared" si="2270"/>
        <v>0</v>
      </c>
      <c r="P981" s="1868"/>
      <c r="Q981" s="1868"/>
      <c r="R981" s="1868"/>
      <c r="S981" s="1895">
        <f t="shared" si="2279"/>
        <v>0</v>
      </c>
      <c r="T981" s="1897">
        <f t="shared" si="2265"/>
        <v>0</v>
      </c>
      <c r="U981" s="1413"/>
      <c r="V981" s="1179" t="s">
        <v>203</v>
      </c>
      <c r="W981" s="1868"/>
      <c r="X981" s="1868"/>
      <c r="Y981" s="1868"/>
      <c r="Z981" s="2257">
        <f t="shared" si="2272"/>
        <v>0</v>
      </c>
      <c r="AA981" s="1868"/>
      <c r="AB981" s="1868"/>
      <c r="AC981" s="1868"/>
      <c r="AD981" s="1895">
        <f t="shared" si="2273"/>
        <v>0</v>
      </c>
      <c r="AE981" s="1898">
        <f t="shared" si="2274"/>
        <v>0</v>
      </c>
      <c r="AF981" s="1868"/>
      <c r="AG981" s="1868"/>
      <c r="AH981" s="1868"/>
      <c r="AI981" s="2258">
        <f t="shared" si="2275"/>
        <v>0</v>
      </c>
      <c r="AJ981" s="2259">
        <f t="shared" si="2276"/>
        <v>0</v>
      </c>
      <c r="AK981" s="1868"/>
      <c r="AL981" s="2126"/>
      <c r="AM981" s="1868"/>
      <c r="AN981" s="2261">
        <f t="shared" si="2277"/>
        <v>0</v>
      </c>
      <c r="AO981" s="2262">
        <f t="shared" si="2278"/>
        <v>0</v>
      </c>
    </row>
    <row r="982" hidden="1">
      <c r="A982" s="1179" t="s">
        <v>204</v>
      </c>
      <c r="B982" s="1868"/>
      <c r="C982" s="1868"/>
      <c r="D982" s="1868"/>
      <c r="E982" s="1899">
        <f t="shared" si="2266"/>
        <v>0</v>
      </c>
      <c r="F982" s="1868"/>
      <c r="G982" s="1868"/>
      <c r="H982" s="1868"/>
      <c r="I982" s="1895">
        <f t="shared" si="2267"/>
        <v>0</v>
      </c>
      <c r="J982" s="1896">
        <f t="shared" si="2268"/>
        <v>0</v>
      </c>
      <c r="K982" s="1868"/>
      <c r="L982" s="1868"/>
      <c r="M982" s="1868"/>
      <c r="N982" s="1895">
        <f t="shared" si="2269"/>
        <v>0</v>
      </c>
      <c r="O982" s="1896">
        <f t="shared" si="2270"/>
        <v>0</v>
      </c>
      <c r="P982" s="1868"/>
      <c r="Q982" s="1868"/>
      <c r="R982" s="1868"/>
      <c r="S982" s="1895">
        <f t="shared" si="2279"/>
        <v>0</v>
      </c>
      <c r="T982" s="1897">
        <f t="shared" ref="T982:T1014" si="2282">O982+S982</f>
        <v>0</v>
      </c>
      <c r="U982" s="1413"/>
      <c r="V982" s="1179" t="s">
        <v>204</v>
      </c>
      <c r="W982" s="1868"/>
      <c r="X982" s="1868"/>
      <c r="Y982" s="1868"/>
      <c r="Z982" s="2257">
        <f t="shared" si="2272"/>
        <v>0</v>
      </c>
      <c r="AA982" s="1868"/>
      <c r="AB982" s="1868"/>
      <c r="AC982" s="1868"/>
      <c r="AD982" s="1895">
        <f t="shared" si="2273"/>
        <v>0</v>
      </c>
      <c r="AE982" s="1898">
        <f t="shared" si="2274"/>
        <v>0</v>
      </c>
      <c r="AF982" s="1868"/>
      <c r="AG982" s="1868"/>
      <c r="AH982" s="1868"/>
      <c r="AI982" s="2258">
        <f t="shared" si="2275"/>
        <v>0</v>
      </c>
      <c r="AJ982" s="2259">
        <f t="shared" si="2276"/>
        <v>0</v>
      </c>
      <c r="AK982" s="1868"/>
      <c r="AL982" s="2126"/>
      <c r="AM982" s="1868"/>
      <c r="AN982" s="2261">
        <f t="shared" si="2277"/>
        <v>0</v>
      </c>
      <c r="AO982" s="2262">
        <f t="shared" si="2278"/>
        <v>0</v>
      </c>
    </row>
    <row r="983" hidden="1">
      <c r="A983" s="1179" t="s">
        <v>205</v>
      </c>
      <c r="B983" s="1868"/>
      <c r="C983" s="1868"/>
      <c r="D983" s="1868"/>
      <c r="E983" s="1899">
        <f t="shared" si="2266"/>
        <v>0</v>
      </c>
      <c r="F983" s="1868"/>
      <c r="G983" s="1868"/>
      <c r="H983" s="1868"/>
      <c r="I983" s="1895">
        <f t="shared" si="2267"/>
        <v>0</v>
      </c>
      <c r="J983" s="1896">
        <f t="shared" si="2268"/>
        <v>0</v>
      </c>
      <c r="K983" s="1868"/>
      <c r="L983" s="1868"/>
      <c r="M983" s="1868"/>
      <c r="N983" s="1895">
        <f t="shared" si="2269"/>
        <v>0</v>
      </c>
      <c r="O983" s="1896">
        <f t="shared" si="2270"/>
        <v>0</v>
      </c>
      <c r="P983" s="1868"/>
      <c r="Q983" s="1868"/>
      <c r="R983" s="1868"/>
      <c r="S983" s="1895">
        <f t="shared" si="2279"/>
        <v>0</v>
      </c>
      <c r="T983" s="1897">
        <f t="shared" si="2282"/>
        <v>0</v>
      </c>
      <c r="U983" s="1413"/>
      <c r="V983" s="1179" t="s">
        <v>205</v>
      </c>
      <c r="W983" s="1868"/>
      <c r="X983" s="1868"/>
      <c r="Y983" s="1868"/>
      <c r="Z983" s="2257">
        <f t="shared" si="2272"/>
        <v>0</v>
      </c>
      <c r="AA983" s="1868"/>
      <c r="AB983" s="1868"/>
      <c r="AC983" s="1868"/>
      <c r="AD983" s="1895">
        <f t="shared" si="2273"/>
        <v>0</v>
      </c>
      <c r="AE983" s="1898">
        <f t="shared" si="2274"/>
        <v>0</v>
      </c>
      <c r="AF983" s="1868"/>
      <c r="AG983" s="1868"/>
      <c r="AH983" s="1868"/>
      <c r="AI983" s="2258">
        <f t="shared" si="2275"/>
        <v>0</v>
      </c>
      <c r="AJ983" s="2259">
        <f t="shared" si="2276"/>
        <v>0</v>
      </c>
      <c r="AK983" s="1868"/>
      <c r="AL983" s="2126"/>
      <c r="AM983" s="1868"/>
      <c r="AN983" s="2261">
        <f t="shared" si="2277"/>
        <v>0</v>
      </c>
      <c r="AO983" s="2262">
        <f t="shared" si="2278"/>
        <v>0</v>
      </c>
    </row>
    <row r="984" hidden="1">
      <c r="A984" s="1179" t="s">
        <v>206</v>
      </c>
      <c r="B984" s="1868"/>
      <c r="C984" s="1868"/>
      <c r="D984" s="1868"/>
      <c r="E984" s="1899">
        <f t="shared" si="2266"/>
        <v>0</v>
      </c>
      <c r="F984" s="1868"/>
      <c r="G984" s="1868"/>
      <c r="H984" s="1868"/>
      <c r="I984" s="1895">
        <f t="shared" si="2267"/>
        <v>0</v>
      </c>
      <c r="J984" s="1896">
        <f t="shared" si="2268"/>
        <v>0</v>
      </c>
      <c r="K984" s="1868"/>
      <c r="L984" s="1868"/>
      <c r="M984" s="1868"/>
      <c r="N984" s="1895">
        <f t="shared" si="2269"/>
        <v>0</v>
      </c>
      <c r="O984" s="1896">
        <f t="shared" si="2270"/>
        <v>0</v>
      </c>
      <c r="P984" s="1868"/>
      <c r="Q984" s="1868"/>
      <c r="R984" s="1868"/>
      <c r="S984" s="1895">
        <f t="shared" si="2279"/>
        <v>0</v>
      </c>
      <c r="T984" s="1897">
        <f t="shared" si="2282"/>
        <v>0</v>
      </c>
      <c r="U984" s="1413"/>
      <c r="V984" s="1179" t="s">
        <v>206</v>
      </c>
      <c r="W984" s="1868"/>
      <c r="X984" s="1868"/>
      <c r="Y984" s="1868"/>
      <c r="Z984" s="2257">
        <f t="shared" si="2272"/>
        <v>0</v>
      </c>
      <c r="AA984" s="1868"/>
      <c r="AB984" s="1868"/>
      <c r="AC984" s="1868"/>
      <c r="AD984" s="1895">
        <f t="shared" si="2273"/>
        <v>0</v>
      </c>
      <c r="AE984" s="1898">
        <f t="shared" si="2274"/>
        <v>0</v>
      </c>
      <c r="AF984" s="1868"/>
      <c r="AG984" s="1868"/>
      <c r="AH984" s="1868"/>
      <c r="AI984" s="2258">
        <f t="shared" si="2275"/>
        <v>0</v>
      </c>
      <c r="AJ984" s="2259">
        <f t="shared" si="2276"/>
        <v>0</v>
      </c>
      <c r="AK984" s="1868"/>
      <c r="AL984" s="2126"/>
      <c r="AM984" s="1868"/>
      <c r="AN984" s="2261">
        <f t="shared" si="2277"/>
        <v>0</v>
      </c>
      <c r="AO984" s="2262">
        <f t="shared" si="2278"/>
        <v>0</v>
      </c>
    </row>
    <row r="985" hidden="1">
      <c r="A985" s="1179" t="s">
        <v>207</v>
      </c>
      <c r="B985" s="1868"/>
      <c r="C985" s="1868"/>
      <c r="D985" s="1868"/>
      <c r="E985" s="1899">
        <f t="shared" si="2266"/>
        <v>0</v>
      </c>
      <c r="F985" s="1868"/>
      <c r="G985" s="1868"/>
      <c r="H985" s="1868"/>
      <c r="I985" s="1895">
        <f t="shared" si="2267"/>
        <v>0</v>
      </c>
      <c r="J985" s="1896">
        <f t="shared" si="2268"/>
        <v>0</v>
      </c>
      <c r="K985" s="1868"/>
      <c r="L985" s="1868"/>
      <c r="M985" s="1868"/>
      <c r="N985" s="1895">
        <f t="shared" si="2269"/>
        <v>0</v>
      </c>
      <c r="O985" s="1896">
        <f t="shared" si="2270"/>
        <v>0</v>
      </c>
      <c r="P985" s="1868"/>
      <c r="Q985" s="1868"/>
      <c r="R985" s="1868"/>
      <c r="S985" s="1895">
        <f t="shared" si="2279"/>
        <v>0</v>
      </c>
      <c r="T985" s="1897">
        <f t="shared" si="2282"/>
        <v>0</v>
      </c>
      <c r="U985" s="1413"/>
      <c r="V985" s="1179" t="s">
        <v>207</v>
      </c>
      <c r="W985" s="1868"/>
      <c r="X985" s="1868"/>
      <c r="Y985" s="1868"/>
      <c r="Z985" s="2257">
        <f t="shared" si="2272"/>
        <v>0</v>
      </c>
      <c r="AA985" s="1868"/>
      <c r="AB985" s="1868"/>
      <c r="AC985" s="1868"/>
      <c r="AD985" s="1895">
        <f t="shared" si="2273"/>
        <v>0</v>
      </c>
      <c r="AE985" s="1898">
        <f t="shared" si="2274"/>
        <v>0</v>
      </c>
      <c r="AF985" s="1868"/>
      <c r="AG985" s="1868"/>
      <c r="AH985" s="1868"/>
      <c r="AI985" s="2258">
        <f t="shared" si="2275"/>
        <v>0</v>
      </c>
      <c r="AJ985" s="2259">
        <f t="shared" si="2276"/>
        <v>0</v>
      </c>
      <c r="AK985" s="1868"/>
      <c r="AL985" s="2126"/>
      <c r="AM985" s="1868"/>
      <c r="AN985" s="2261">
        <f t="shared" si="2277"/>
        <v>0</v>
      </c>
      <c r="AO985" s="2262">
        <f t="shared" si="2278"/>
        <v>0</v>
      </c>
    </row>
    <row r="986" hidden="1">
      <c r="A986" s="1179" t="s">
        <v>209</v>
      </c>
      <c r="B986" s="1868"/>
      <c r="C986" s="1868"/>
      <c r="D986" s="1868"/>
      <c r="E986" s="1899">
        <f t="shared" si="2266"/>
        <v>0</v>
      </c>
      <c r="F986" s="1868"/>
      <c r="G986" s="1868"/>
      <c r="H986" s="1868"/>
      <c r="I986" s="1895">
        <f t="shared" si="2267"/>
        <v>0</v>
      </c>
      <c r="J986" s="1896">
        <f t="shared" si="2268"/>
        <v>0</v>
      </c>
      <c r="K986" s="1868"/>
      <c r="L986" s="1868"/>
      <c r="M986" s="1868"/>
      <c r="N986" s="1895">
        <f t="shared" si="2269"/>
        <v>0</v>
      </c>
      <c r="O986" s="1896">
        <f t="shared" si="2270"/>
        <v>0</v>
      </c>
      <c r="P986" s="1868"/>
      <c r="Q986" s="1868"/>
      <c r="R986" s="1868"/>
      <c r="S986" s="1895">
        <f t="shared" si="2279"/>
        <v>0</v>
      </c>
      <c r="T986" s="1897">
        <f t="shared" si="2282"/>
        <v>0</v>
      </c>
      <c r="U986" s="1413"/>
      <c r="V986" s="1179" t="s">
        <v>209</v>
      </c>
      <c r="W986" s="1868"/>
      <c r="X986" s="1868"/>
      <c r="Y986" s="1868"/>
      <c r="Z986" s="2257">
        <f t="shared" si="2272"/>
        <v>0</v>
      </c>
      <c r="AA986" s="1868"/>
      <c r="AB986" s="1868"/>
      <c r="AC986" s="1868"/>
      <c r="AD986" s="1895">
        <f t="shared" si="2273"/>
        <v>0</v>
      </c>
      <c r="AE986" s="1898">
        <f t="shared" si="2274"/>
        <v>0</v>
      </c>
      <c r="AF986" s="1868"/>
      <c r="AG986" s="1868"/>
      <c r="AH986" s="1868"/>
      <c r="AI986" s="2258">
        <f t="shared" si="2275"/>
        <v>0</v>
      </c>
      <c r="AJ986" s="2259">
        <f t="shared" si="2276"/>
        <v>0</v>
      </c>
      <c r="AK986" s="1868"/>
      <c r="AL986" s="2126"/>
      <c r="AM986" s="1868"/>
      <c r="AN986" s="2261">
        <f t="shared" si="2277"/>
        <v>0</v>
      </c>
      <c r="AO986" s="2262">
        <f t="shared" si="2278"/>
        <v>0</v>
      </c>
    </row>
    <row r="987" hidden="1">
      <c r="A987" s="1179" t="s">
        <v>210</v>
      </c>
      <c r="B987" s="1868"/>
      <c r="C987" s="1868"/>
      <c r="D987" s="1868"/>
      <c r="E987" s="1899">
        <f t="shared" si="2266"/>
        <v>0</v>
      </c>
      <c r="F987" s="1868"/>
      <c r="G987" s="1868"/>
      <c r="H987" s="1868"/>
      <c r="I987" s="1895">
        <f t="shared" si="2267"/>
        <v>0</v>
      </c>
      <c r="J987" s="1896">
        <f t="shared" si="2268"/>
        <v>0</v>
      </c>
      <c r="K987" s="1868"/>
      <c r="L987" s="1868"/>
      <c r="M987" s="1868"/>
      <c r="N987" s="1895">
        <f t="shared" si="2269"/>
        <v>0</v>
      </c>
      <c r="O987" s="1896">
        <f t="shared" si="2270"/>
        <v>0</v>
      </c>
      <c r="P987" s="1868"/>
      <c r="Q987" s="1868"/>
      <c r="R987" s="1868"/>
      <c r="S987" s="1895">
        <f t="shared" si="2279"/>
        <v>0</v>
      </c>
      <c r="T987" s="1897">
        <f t="shared" si="2282"/>
        <v>0</v>
      </c>
      <c r="U987" s="1413"/>
      <c r="V987" s="1179" t="s">
        <v>210</v>
      </c>
      <c r="W987" s="1868"/>
      <c r="X987" s="1868"/>
      <c r="Y987" s="1868"/>
      <c r="Z987" s="2257">
        <f t="shared" si="2272"/>
        <v>0</v>
      </c>
      <c r="AA987" s="1868"/>
      <c r="AB987" s="1868"/>
      <c r="AC987" s="1868"/>
      <c r="AD987" s="1895">
        <f t="shared" si="2273"/>
        <v>0</v>
      </c>
      <c r="AE987" s="1898">
        <f t="shared" si="2274"/>
        <v>0</v>
      </c>
      <c r="AF987" s="1868"/>
      <c r="AG987" s="1868"/>
      <c r="AH987" s="1868"/>
      <c r="AI987" s="2258">
        <f t="shared" si="2275"/>
        <v>0</v>
      </c>
      <c r="AJ987" s="2259">
        <f t="shared" si="2276"/>
        <v>0</v>
      </c>
      <c r="AK987" s="1868"/>
      <c r="AL987" s="2126"/>
      <c r="AM987" s="1868"/>
      <c r="AN987" s="2261">
        <f t="shared" si="2277"/>
        <v>0</v>
      </c>
      <c r="AO987" s="2262">
        <f t="shared" si="2278"/>
        <v>0</v>
      </c>
    </row>
    <row r="988" hidden="1">
      <c r="A988" s="1179" t="s">
        <v>211</v>
      </c>
      <c r="B988" s="1868"/>
      <c r="C988" s="1868"/>
      <c r="D988" s="1868"/>
      <c r="E988" s="1899">
        <f t="shared" si="2266"/>
        <v>0</v>
      </c>
      <c r="F988" s="1868"/>
      <c r="G988" s="1868"/>
      <c r="H988" s="1868"/>
      <c r="I988" s="1895">
        <f t="shared" si="2267"/>
        <v>0</v>
      </c>
      <c r="J988" s="1896">
        <f t="shared" si="2268"/>
        <v>0</v>
      </c>
      <c r="K988" s="1868"/>
      <c r="L988" s="1868"/>
      <c r="M988" s="1868"/>
      <c r="N988" s="1895">
        <f t="shared" si="2269"/>
        <v>0</v>
      </c>
      <c r="O988" s="1896">
        <f t="shared" si="2270"/>
        <v>0</v>
      </c>
      <c r="P988" s="1868"/>
      <c r="Q988" s="1868"/>
      <c r="R988" s="1868"/>
      <c r="S988" s="1895">
        <f t="shared" si="2279"/>
        <v>0</v>
      </c>
      <c r="T988" s="1897">
        <f t="shared" si="2282"/>
        <v>0</v>
      </c>
      <c r="U988" s="1413"/>
      <c r="V988" s="1179" t="s">
        <v>211</v>
      </c>
      <c r="W988" s="1868"/>
      <c r="X988" s="1868"/>
      <c r="Y988" s="1868"/>
      <c r="Z988" s="2257">
        <f t="shared" si="2272"/>
        <v>0</v>
      </c>
      <c r="AA988" s="1868"/>
      <c r="AB988" s="1868"/>
      <c r="AC988" s="1868"/>
      <c r="AD988" s="1895">
        <f t="shared" si="2273"/>
        <v>0</v>
      </c>
      <c r="AE988" s="1898">
        <f t="shared" si="2274"/>
        <v>0</v>
      </c>
      <c r="AF988" s="1868"/>
      <c r="AG988" s="1868"/>
      <c r="AH988" s="1868"/>
      <c r="AI988" s="2258">
        <f t="shared" si="2275"/>
        <v>0</v>
      </c>
      <c r="AJ988" s="2259">
        <f t="shared" si="2276"/>
        <v>0</v>
      </c>
      <c r="AK988" s="1868"/>
      <c r="AL988" s="2126"/>
      <c r="AM988" s="1868"/>
      <c r="AN988" s="2261">
        <f t="shared" si="2277"/>
        <v>0</v>
      </c>
      <c r="AO988" s="2262">
        <f t="shared" si="2278"/>
        <v>0</v>
      </c>
    </row>
    <row r="989" hidden="1">
      <c r="A989" s="1511" t="s">
        <v>363</v>
      </c>
      <c r="B989" s="1871">
        <f>SUM(B976:B988)</f>
        <v>0</v>
      </c>
      <c r="C989" s="1871">
        <f>SUM(C976:C988)</f>
        <v>0</v>
      </c>
      <c r="D989" s="1871">
        <f>SUM(D976:D988)</f>
        <v>0</v>
      </c>
      <c r="E989" s="1899">
        <f t="shared" si="2266"/>
        <v>0</v>
      </c>
      <c r="F989" s="1871">
        <f>SUM(F976:F988)</f>
        <v>0</v>
      </c>
      <c r="G989" s="1871">
        <f>SUM(G976:G988)</f>
        <v>0</v>
      </c>
      <c r="H989" s="1871">
        <f>SUM(H976:H988)</f>
        <v>0</v>
      </c>
      <c r="I989" s="1899">
        <f t="shared" si="2267"/>
        <v>0</v>
      </c>
      <c r="J989" s="1900">
        <f t="shared" si="2268"/>
        <v>0</v>
      </c>
      <c r="K989" s="1871">
        <f>SUM(K976:K988)</f>
        <v>0</v>
      </c>
      <c r="L989" s="1871">
        <f>SUM(L976:L988)</f>
        <v>0</v>
      </c>
      <c r="M989" s="1871">
        <f>SUM(M976:M988)</f>
        <v>0</v>
      </c>
      <c r="N989" s="1899">
        <f t="shared" si="2269"/>
        <v>0</v>
      </c>
      <c r="O989" s="1900">
        <f t="shared" si="2270"/>
        <v>0</v>
      </c>
      <c r="P989" s="1871">
        <f>SUM(P976:P988)</f>
        <v>0</v>
      </c>
      <c r="Q989" s="1871">
        <f>SUM(Q976:Q988)</f>
        <v>0</v>
      </c>
      <c r="R989" s="1871">
        <f>SUM(R976:R988)</f>
        <v>0</v>
      </c>
      <c r="S989" s="1899">
        <f t="shared" si="2279"/>
        <v>0</v>
      </c>
      <c r="T989" s="1901">
        <f t="shared" si="2282"/>
        <v>0</v>
      </c>
      <c r="U989" s="1413"/>
      <c r="V989" s="1511" t="s">
        <v>363</v>
      </c>
      <c r="W989" s="1871">
        <f>SUM(W976:W988)</f>
        <v>0</v>
      </c>
      <c r="X989" s="1871">
        <f t="shared" ref="X989:AM989" si="2283">SUM(X976:X988)</f>
        <v>0</v>
      </c>
      <c r="Y989" s="1871">
        <f t="shared" si="2283"/>
        <v>0</v>
      </c>
      <c r="Z989" s="2257">
        <f t="shared" si="2272"/>
        <v>0</v>
      </c>
      <c r="AA989" s="1871">
        <f t="shared" si="2283"/>
        <v>0</v>
      </c>
      <c r="AB989" s="1871">
        <f t="shared" si="2283"/>
        <v>0</v>
      </c>
      <c r="AC989" s="1871">
        <f t="shared" si="2283"/>
        <v>0</v>
      </c>
      <c r="AD989" s="1895">
        <f t="shared" si="2273"/>
        <v>0</v>
      </c>
      <c r="AE989" s="1898">
        <f t="shared" si="2274"/>
        <v>0</v>
      </c>
      <c r="AF989" s="1871">
        <f>SUM(AF976:AF988)</f>
        <v>0</v>
      </c>
      <c r="AG989" s="1871">
        <f t="shared" si="2283"/>
        <v>0</v>
      </c>
      <c r="AH989" s="1871">
        <f t="shared" si="2283"/>
        <v>0</v>
      </c>
      <c r="AI989" s="2258">
        <f t="shared" si="2275"/>
        <v>0</v>
      </c>
      <c r="AJ989" s="2259">
        <f t="shared" si="2276"/>
        <v>0</v>
      </c>
      <c r="AK989" s="1871">
        <f t="shared" si="2283"/>
        <v>0</v>
      </c>
      <c r="AL989" s="2263">
        <f t="shared" si="2283"/>
        <v>0</v>
      </c>
      <c r="AM989" s="1871">
        <f t="shared" si="2283"/>
        <v>0</v>
      </c>
      <c r="AN989" s="2261">
        <f t="shared" si="2277"/>
        <v>0</v>
      </c>
      <c r="AO989" s="2262">
        <f t="shared" si="2278"/>
        <v>0</v>
      </c>
    </row>
    <row r="990" hidden="1">
      <c r="A990" s="1179" t="s">
        <v>379</v>
      </c>
      <c r="B990" s="1868"/>
      <c r="C990" s="1868"/>
      <c r="D990" s="1868"/>
      <c r="E990" s="1899">
        <f t="shared" si="2266"/>
        <v>0</v>
      </c>
      <c r="F990" s="1868"/>
      <c r="G990" s="1868"/>
      <c r="H990" s="1868"/>
      <c r="I990" s="1895">
        <f t="shared" si="2267"/>
        <v>0</v>
      </c>
      <c r="J990" s="1896">
        <f t="shared" si="2268"/>
        <v>0</v>
      </c>
      <c r="K990" s="1868"/>
      <c r="L990" s="1868"/>
      <c r="M990" s="1868"/>
      <c r="N990" s="1895">
        <f t="shared" si="2269"/>
        <v>0</v>
      </c>
      <c r="O990" s="1896">
        <f t="shared" si="2270"/>
        <v>0</v>
      </c>
      <c r="P990" s="1868"/>
      <c r="Q990" s="1868"/>
      <c r="R990" s="1868"/>
      <c r="S990" s="1895">
        <f t="shared" si="2279"/>
        <v>0</v>
      </c>
      <c r="T990" s="1897">
        <f t="shared" si="2282"/>
        <v>0</v>
      </c>
      <c r="U990" s="1413"/>
      <c r="V990" s="1179" t="s">
        <v>379</v>
      </c>
      <c r="W990" s="1868"/>
      <c r="X990" s="1868"/>
      <c r="Y990" s="1868"/>
      <c r="Z990" s="2257">
        <f t="shared" si="2272"/>
        <v>0</v>
      </c>
      <c r="AA990" s="1868"/>
      <c r="AB990" s="1868"/>
      <c r="AC990" s="1868"/>
      <c r="AD990" s="1895">
        <f t="shared" si="2273"/>
        <v>0</v>
      </c>
      <c r="AE990" s="1898">
        <f t="shared" si="2274"/>
        <v>0</v>
      </c>
      <c r="AF990" s="1868"/>
      <c r="AG990" s="1868"/>
      <c r="AH990" s="1868"/>
      <c r="AI990" s="2258">
        <f t="shared" si="2275"/>
        <v>0</v>
      </c>
      <c r="AJ990" s="2259">
        <f t="shared" si="2276"/>
        <v>0</v>
      </c>
      <c r="AK990" s="1868"/>
      <c r="AL990" s="2126"/>
      <c r="AM990" s="1868"/>
      <c r="AN990" s="2261">
        <f t="shared" si="2277"/>
        <v>0</v>
      </c>
      <c r="AO990" s="2262">
        <f t="shared" si="2278"/>
        <v>0</v>
      </c>
    </row>
    <row r="991" hidden="1">
      <c r="A991" s="1561" t="s">
        <v>525</v>
      </c>
      <c r="B991" s="1868"/>
      <c r="C991" s="1868"/>
      <c r="D991" s="1868"/>
      <c r="E991" s="1899">
        <f t="shared" si="2266"/>
        <v>0</v>
      </c>
      <c r="F991" s="1868"/>
      <c r="G991" s="1868"/>
      <c r="H991" s="1868"/>
      <c r="I991" s="1895">
        <f t="shared" si="2267"/>
        <v>0</v>
      </c>
      <c r="J991" s="1896">
        <f t="shared" si="2268"/>
        <v>0</v>
      </c>
      <c r="K991" s="1868"/>
      <c r="L991" s="1868"/>
      <c r="M991" s="1868"/>
      <c r="N991" s="1895">
        <f t="shared" si="2269"/>
        <v>0</v>
      </c>
      <c r="O991" s="1896">
        <f t="shared" si="2270"/>
        <v>0</v>
      </c>
      <c r="P991" s="1868"/>
      <c r="Q991" s="1868"/>
      <c r="R991" s="1868"/>
      <c r="S991" s="1895">
        <f t="shared" si="2279"/>
        <v>0</v>
      </c>
      <c r="T991" s="1897">
        <f t="shared" si="2282"/>
        <v>0</v>
      </c>
      <c r="U991" s="1413"/>
      <c r="V991" s="1561" t="s">
        <v>525</v>
      </c>
      <c r="W991" s="1868"/>
      <c r="X991" s="1868"/>
      <c r="Y991" s="1868"/>
      <c r="Z991" s="2257">
        <f t="shared" si="2272"/>
        <v>0</v>
      </c>
      <c r="AA991" s="1868"/>
      <c r="AB991" s="1868"/>
      <c r="AC991" s="1868"/>
      <c r="AD991" s="1895">
        <f t="shared" si="2273"/>
        <v>0</v>
      </c>
      <c r="AE991" s="1898">
        <f t="shared" si="2274"/>
        <v>0</v>
      </c>
      <c r="AF991" s="1868"/>
      <c r="AG991" s="1868"/>
      <c r="AH991" s="1868"/>
      <c r="AI991" s="2258">
        <f t="shared" si="2275"/>
        <v>0</v>
      </c>
      <c r="AJ991" s="2259">
        <f t="shared" si="2276"/>
        <v>0</v>
      </c>
      <c r="AK991" s="1868"/>
      <c r="AL991" s="2126"/>
      <c r="AM991" s="1868"/>
      <c r="AN991" s="2261">
        <f t="shared" si="2277"/>
        <v>0</v>
      </c>
      <c r="AO991" s="2262">
        <f t="shared" si="2278"/>
        <v>0</v>
      </c>
    </row>
    <row r="992" hidden="1">
      <c r="A992" s="1551" t="s">
        <v>543</v>
      </c>
      <c r="B992" s="1868"/>
      <c r="C992" s="1868"/>
      <c r="D992" s="1868"/>
      <c r="E992" s="1899">
        <f t="shared" si="2266"/>
        <v>0</v>
      </c>
      <c r="F992" s="1868"/>
      <c r="G992" s="1868"/>
      <c r="H992" s="1868"/>
      <c r="I992" s="1895">
        <f t="shared" si="2267"/>
        <v>0</v>
      </c>
      <c r="J992" s="1896">
        <f t="shared" si="2268"/>
        <v>0</v>
      </c>
      <c r="K992" s="1868"/>
      <c r="L992" s="1868"/>
      <c r="M992" s="1868"/>
      <c r="N992" s="1895">
        <f t="shared" si="2269"/>
        <v>0</v>
      </c>
      <c r="O992" s="1896">
        <f t="shared" si="2270"/>
        <v>0</v>
      </c>
      <c r="P992" s="1868"/>
      <c r="Q992" s="1868"/>
      <c r="R992" s="1868"/>
      <c r="S992" s="1895">
        <f t="shared" si="2279"/>
        <v>0</v>
      </c>
      <c r="T992" s="1897">
        <f t="shared" si="2282"/>
        <v>0</v>
      </c>
      <c r="U992" s="1413"/>
      <c r="V992" s="1551" t="s">
        <v>543</v>
      </c>
      <c r="W992" s="1868"/>
      <c r="X992" s="1868"/>
      <c r="Y992" s="1868"/>
      <c r="Z992" s="2257">
        <f t="shared" si="2272"/>
        <v>0</v>
      </c>
      <c r="AA992" s="1868"/>
      <c r="AB992" s="1868"/>
      <c r="AC992" s="1868"/>
      <c r="AD992" s="1895">
        <f t="shared" si="2273"/>
        <v>0</v>
      </c>
      <c r="AE992" s="1898">
        <f t="shared" si="2274"/>
        <v>0</v>
      </c>
      <c r="AF992" s="1868"/>
      <c r="AG992" s="1868"/>
      <c r="AH992" s="1868"/>
      <c r="AI992" s="2258">
        <f t="shared" si="2275"/>
        <v>0</v>
      </c>
      <c r="AJ992" s="2259">
        <f t="shared" si="2276"/>
        <v>0</v>
      </c>
      <c r="AK992" s="1868"/>
      <c r="AL992" s="2126"/>
      <c r="AM992" s="1868"/>
      <c r="AN992" s="2261">
        <f t="shared" si="2277"/>
        <v>0</v>
      </c>
      <c r="AO992" s="2262">
        <f t="shared" si="2278"/>
        <v>0</v>
      </c>
    </row>
    <row r="993" hidden="1">
      <c r="A993" s="1511" t="s">
        <v>544</v>
      </c>
      <c r="B993" s="1871">
        <f t="shared" ref="B993:R997" si="2284">SUM(B990:B992)</f>
        <v>0</v>
      </c>
      <c r="C993" s="1871">
        <f t="shared" si="2284"/>
        <v>0</v>
      </c>
      <c r="D993" s="1871">
        <f t="shared" si="2284"/>
        <v>0</v>
      </c>
      <c r="E993" s="1899">
        <f t="shared" si="2266"/>
        <v>0</v>
      </c>
      <c r="F993" s="1871">
        <f>SUM(F990:F992)</f>
        <v>0</v>
      </c>
      <c r="G993" s="1871">
        <f>SUM(G990:G992)</f>
        <v>0</v>
      </c>
      <c r="H993" s="1871">
        <f t="shared" si="2284"/>
        <v>0</v>
      </c>
      <c r="I993" s="1895">
        <f t="shared" si="2267"/>
        <v>0</v>
      </c>
      <c r="J993" s="1896">
        <f t="shared" si="2268"/>
        <v>0</v>
      </c>
      <c r="K993" s="1871">
        <f>SUM(K990:K992)</f>
        <v>0</v>
      </c>
      <c r="L993" s="1871">
        <f>SUM(L990:L992)</f>
        <v>0</v>
      </c>
      <c r="M993" s="1871">
        <f t="shared" si="2284"/>
        <v>0</v>
      </c>
      <c r="N993" s="1895">
        <f t="shared" si="2269"/>
        <v>0</v>
      </c>
      <c r="O993" s="1896">
        <f t="shared" si="2270"/>
        <v>0</v>
      </c>
      <c r="P993" s="1871">
        <f t="shared" si="2284"/>
        <v>0</v>
      </c>
      <c r="Q993" s="1871">
        <f t="shared" si="2284"/>
        <v>0</v>
      </c>
      <c r="R993" s="1871">
        <f t="shared" si="2284"/>
        <v>0</v>
      </c>
      <c r="S993" s="1895">
        <f t="shared" si="2279"/>
        <v>0</v>
      </c>
      <c r="T993" s="1897">
        <f t="shared" si="2282"/>
        <v>0</v>
      </c>
      <c r="U993" s="1413"/>
      <c r="V993" s="1511" t="s">
        <v>544</v>
      </c>
      <c r="W993" s="1871">
        <f t="shared" ref="W993:AM997" si="2285">SUM(W990:W992)</f>
        <v>0</v>
      </c>
      <c r="X993" s="1871">
        <f t="shared" si="2285"/>
        <v>0</v>
      </c>
      <c r="Y993" s="1871">
        <f t="shared" si="2285"/>
        <v>0</v>
      </c>
      <c r="Z993" s="2257">
        <f t="shared" si="2272"/>
        <v>0</v>
      </c>
      <c r="AA993" s="1871">
        <f t="shared" si="2285"/>
        <v>0</v>
      </c>
      <c r="AB993" s="1871">
        <f t="shared" si="2285"/>
        <v>0</v>
      </c>
      <c r="AC993" s="1871">
        <f t="shared" si="2285"/>
        <v>0</v>
      </c>
      <c r="AD993" s="1895">
        <f t="shared" si="2273"/>
        <v>0</v>
      </c>
      <c r="AE993" s="1898">
        <f t="shared" si="2274"/>
        <v>0</v>
      </c>
      <c r="AF993" s="1871">
        <f>SUM(AF990:AF992)</f>
        <v>0</v>
      </c>
      <c r="AG993" s="1871">
        <f t="shared" si="2285"/>
        <v>0</v>
      </c>
      <c r="AH993" s="1871">
        <f t="shared" si="2285"/>
        <v>0</v>
      </c>
      <c r="AI993" s="2258">
        <f t="shared" si="2275"/>
        <v>0</v>
      </c>
      <c r="AJ993" s="2259">
        <f t="shared" si="2276"/>
        <v>0</v>
      </c>
      <c r="AK993" s="1871">
        <f t="shared" si="2285"/>
        <v>0</v>
      </c>
      <c r="AL993" s="2263">
        <f t="shared" si="2285"/>
        <v>0</v>
      </c>
      <c r="AM993" s="1871">
        <f t="shared" si="2285"/>
        <v>0</v>
      </c>
      <c r="AN993" s="2261">
        <f t="shared" si="2277"/>
        <v>0</v>
      </c>
      <c r="AO993" s="2262">
        <f t="shared" si="2278"/>
        <v>0</v>
      </c>
    </row>
    <row r="994" hidden="1">
      <c r="A994" s="1179" t="s">
        <v>390</v>
      </c>
      <c r="B994" s="1868"/>
      <c r="C994" s="1871"/>
      <c r="D994" s="1871"/>
      <c r="E994" s="1899">
        <f t="shared" si="2266"/>
        <v>0</v>
      </c>
      <c r="F994" s="1871"/>
      <c r="G994" s="1871"/>
      <c r="H994" s="1871"/>
      <c r="I994" s="1895">
        <f t="shared" si="2267"/>
        <v>0</v>
      </c>
      <c r="J994" s="1896">
        <f t="shared" si="2268"/>
        <v>0</v>
      </c>
      <c r="K994" s="1871"/>
      <c r="L994" s="1871"/>
      <c r="M994" s="1871"/>
      <c r="N994" s="1895">
        <f t="shared" si="2269"/>
        <v>0</v>
      </c>
      <c r="O994" s="1896">
        <f t="shared" si="2270"/>
        <v>0</v>
      </c>
      <c r="P994" s="1871"/>
      <c r="Q994" s="1871"/>
      <c r="R994" s="1871"/>
      <c r="S994" s="1895">
        <f t="shared" si="2279"/>
        <v>0</v>
      </c>
      <c r="T994" s="1897">
        <f t="shared" si="2282"/>
        <v>0</v>
      </c>
      <c r="U994" s="1413"/>
      <c r="V994" s="1179" t="s">
        <v>390</v>
      </c>
      <c r="W994" s="1868"/>
      <c r="X994" s="1871"/>
      <c r="Y994" s="1871"/>
      <c r="Z994" s="2257">
        <f t="shared" si="2272"/>
        <v>0</v>
      </c>
      <c r="AA994" s="1871"/>
      <c r="AB994" s="1871"/>
      <c r="AC994" s="1871"/>
      <c r="AD994" s="1895">
        <f t="shared" si="2273"/>
        <v>0</v>
      </c>
      <c r="AE994" s="1898">
        <f t="shared" si="2274"/>
        <v>0</v>
      </c>
      <c r="AF994" s="1871"/>
      <c r="AG994" s="1871"/>
      <c r="AH994" s="1871"/>
      <c r="AI994" s="2258">
        <f t="shared" si="2275"/>
        <v>0</v>
      </c>
      <c r="AJ994" s="2259">
        <f t="shared" si="2276"/>
        <v>0</v>
      </c>
      <c r="AK994" s="1871"/>
      <c r="AL994" s="2263"/>
      <c r="AM994" s="1871"/>
      <c r="AN994" s="2261">
        <f t="shared" si="2277"/>
        <v>0</v>
      </c>
      <c r="AO994" s="2262">
        <f t="shared" si="2278"/>
        <v>0</v>
      </c>
    </row>
    <row r="995" hidden="1">
      <c r="A995" s="1179" t="s">
        <v>392</v>
      </c>
      <c r="B995" s="1868"/>
      <c r="C995" s="1871"/>
      <c r="D995" s="1871"/>
      <c r="E995" s="1899">
        <f t="shared" si="2266"/>
        <v>0</v>
      </c>
      <c r="F995" s="1871"/>
      <c r="G995" s="1871"/>
      <c r="H995" s="1871"/>
      <c r="I995" s="1895">
        <f t="shared" si="2267"/>
        <v>0</v>
      </c>
      <c r="J995" s="1896">
        <f t="shared" si="2268"/>
        <v>0</v>
      </c>
      <c r="K995" s="1871"/>
      <c r="L995" s="1871"/>
      <c r="M995" s="1871"/>
      <c r="N995" s="1895">
        <f t="shared" si="2269"/>
        <v>0</v>
      </c>
      <c r="O995" s="1896">
        <f t="shared" si="2270"/>
        <v>0</v>
      </c>
      <c r="P995" s="1871"/>
      <c r="Q995" s="1871"/>
      <c r="R995" s="1871"/>
      <c r="S995" s="1895">
        <f t="shared" si="2279"/>
        <v>0</v>
      </c>
      <c r="T995" s="1897">
        <f t="shared" si="2282"/>
        <v>0</v>
      </c>
      <c r="U995" s="1413"/>
      <c r="V995" s="1179" t="s">
        <v>392</v>
      </c>
      <c r="W995" s="1868"/>
      <c r="X995" s="1871"/>
      <c r="Y995" s="1871"/>
      <c r="Z995" s="2257">
        <f t="shared" si="2272"/>
        <v>0</v>
      </c>
      <c r="AA995" s="1871"/>
      <c r="AB995" s="1871"/>
      <c r="AC995" s="1871"/>
      <c r="AD995" s="1895">
        <f t="shared" si="2273"/>
        <v>0</v>
      </c>
      <c r="AE995" s="1898">
        <f t="shared" si="2274"/>
        <v>0</v>
      </c>
      <c r="AF995" s="1871"/>
      <c r="AG995" s="1871"/>
      <c r="AH995" s="1871"/>
      <c r="AI995" s="2258">
        <f t="shared" si="2275"/>
        <v>0</v>
      </c>
      <c r="AJ995" s="2259">
        <f t="shared" si="2276"/>
        <v>0</v>
      </c>
      <c r="AK995" s="1871"/>
      <c r="AL995" s="2263"/>
      <c r="AM995" s="1871"/>
      <c r="AN995" s="2261">
        <f t="shared" si="2277"/>
        <v>0</v>
      </c>
      <c r="AO995" s="2262">
        <f t="shared" si="2278"/>
        <v>0</v>
      </c>
    </row>
    <row r="996" hidden="1">
      <c r="A996" s="1179" t="s">
        <v>265</v>
      </c>
      <c r="B996" s="1868"/>
      <c r="C996" s="1868"/>
      <c r="D996" s="2256"/>
      <c r="E996" s="1899">
        <f t="shared" si="2266"/>
        <v>0</v>
      </c>
      <c r="F996" s="2256"/>
      <c r="G996" s="2256"/>
      <c r="H996" s="2256"/>
      <c r="I996" s="1895">
        <f t="shared" si="2267"/>
        <v>0</v>
      </c>
      <c r="J996" s="1896">
        <f t="shared" si="2268"/>
        <v>0</v>
      </c>
      <c r="K996" s="2256"/>
      <c r="L996" s="2256"/>
      <c r="M996" s="2256"/>
      <c r="N996" s="1895">
        <f t="shared" si="2269"/>
        <v>0</v>
      </c>
      <c r="O996" s="1896">
        <f t="shared" si="2270"/>
        <v>0</v>
      </c>
      <c r="P996" s="2256"/>
      <c r="Q996" s="2256"/>
      <c r="R996" s="2256"/>
      <c r="S996" s="1895">
        <f t="shared" si="2279"/>
        <v>0</v>
      </c>
      <c r="T996" s="1897">
        <f t="shared" si="2282"/>
        <v>0</v>
      </c>
      <c r="U996" s="1413"/>
      <c r="V996" s="1179" t="s">
        <v>265</v>
      </c>
      <c r="W996" s="1868"/>
      <c r="X996" s="1868"/>
      <c r="Y996" s="2256"/>
      <c r="Z996" s="2257">
        <f t="shared" si="2272"/>
        <v>0</v>
      </c>
      <c r="AA996" s="2256"/>
      <c r="AB996" s="2256"/>
      <c r="AC996" s="2256"/>
      <c r="AD996" s="1895">
        <f t="shared" si="2273"/>
        <v>0</v>
      </c>
      <c r="AE996" s="1898">
        <f t="shared" si="2274"/>
        <v>0</v>
      </c>
      <c r="AF996" s="2256"/>
      <c r="AG996" s="2256"/>
      <c r="AH996" s="2256"/>
      <c r="AI996" s="2258">
        <f t="shared" si="2275"/>
        <v>0</v>
      </c>
      <c r="AJ996" s="2259">
        <f t="shared" si="2276"/>
        <v>0</v>
      </c>
      <c r="AK996" s="2256"/>
      <c r="AL996" s="2260"/>
      <c r="AM996" s="2256"/>
      <c r="AN996" s="2261">
        <f t="shared" si="2277"/>
        <v>0</v>
      </c>
      <c r="AO996" s="2262">
        <f t="shared" si="2278"/>
        <v>0</v>
      </c>
    </row>
    <row r="997" hidden="1">
      <c r="A997" s="1511" t="s">
        <v>394</v>
      </c>
      <c r="B997" s="1871">
        <f t="shared" si="2284"/>
        <v>0</v>
      </c>
      <c r="C997" s="1871">
        <f t="shared" si="2284"/>
        <v>0</v>
      </c>
      <c r="D997" s="1871">
        <f t="shared" si="2284"/>
        <v>0</v>
      </c>
      <c r="E997" s="1899">
        <f t="shared" si="2266"/>
        <v>0</v>
      </c>
      <c r="F997" s="1871">
        <f>SUM(F994:F996)</f>
        <v>0</v>
      </c>
      <c r="G997" s="1871">
        <f>SUM(G994:G996)</f>
        <v>0</v>
      </c>
      <c r="H997" s="1871">
        <f t="shared" si="2284"/>
        <v>0</v>
      </c>
      <c r="I997" s="1899">
        <f t="shared" si="2267"/>
        <v>0</v>
      </c>
      <c r="J997" s="1900">
        <f t="shared" si="2268"/>
        <v>0</v>
      </c>
      <c r="K997" s="1871">
        <f>SUM(K994:K996)</f>
        <v>0</v>
      </c>
      <c r="L997" s="1871">
        <f>SUM(L994:L996)</f>
        <v>0</v>
      </c>
      <c r="M997" s="1871">
        <f t="shared" si="2284"/>
        <v>0</v>
      </c>
      <c r="N997" s="1899">
        <f t="shared" si="2269"/>
        <v>0</v>
      </c>
      <c r="O997" s="1900">
        <f t="shared" si="2270"/>
        <v>0</v>
      </c>
      <c r="P997" s="1871">
        <f t="shared" si="2284"/>
        <v>0</v>
      </c>
      <c r="Q997" s="1871">
        <f t="shared" si="2284"/>
        <v>0</v>
      </c>
      <c r="R997" s="1871">
        <f t="shared" si="2284"/>
        <v>0</v>
      </c>
      <c r="S997" s="1899">
        <f t="shared" si="2279"/>
        <v>0</v>
      </c>
      <c r="T997" s="1901">
        <f t="shared" si="2282"/>
        <v>0</v>
      </c>
      <c r="U997" s="1902"/>
      <c r="V997" s="1511" t="s">
        <v>394</v>
      </c>
      <c r="W997" s="1871">
        <f t="shared" si="2285"/>
        <v>0</v>
      </c>
      <c r="X997" s="1871">
        <f t="shared" si="2285"/>
        <v>0</v>
      </c>
      <c r="Y997" s="1871">
        <f t="shared" si="2285"/>
        <v>0</v>
      </c>
      <c r="Z997" s="2257">
        <f t="shared" si="2272"/>
        <v>0</v>
      </c>
      <c r="AA997" s="1871">
        <f t="shared" si="2285"/>
        <v>0</v>
      </c>
      <c r="AB997" s="1871">
        <f t="shared" si="2285"/>
        <v>0</v>
      </c>
      <c r="AC997" s="1871">
        <f t="shared" si="2285"/>
        <v>0</v>
      </c>
      <c r="AD997" s="1895">
        <f t="shared" si="2273"/>
        <v>0</v>
      </c>
      <c r="AE997" s="1898">
        <f t="shared" si="2274"/>
        <v>0</v>
      </c>
      <c r="AF997" s="1871">
        <f>SUM(AF994:AF996)</f>
        <v>0</v>
      </c>
      <c r="AG997" s="1871">
        <f t="shared" si="2285"/>
        <v>0</v>
      </c>
      <c r="AH997" s="1871">
        <f t="shared" si="2285"/>
        <v>0</v>
      </c>
      <c r="AI997" s="2258">
        <f t="shared" si="2275"/>
        <v>0</v>
      </c>
      <c r="AJ997" s="2259">
        <f t="shared" si="2276"/>
        <v>0</v>
      </c>
      <c r="AK997" s="1871">
        <f t="shared" si="2285"/>
        <v>0</v>
      </c>
      <c r="AL997" s="2263">
        <f t="shared" si="2285"/>
        <v>0</v>
      </c>
      <c r="AM997" s="1871">
        <f t="shared" si="2285"/>
        <v>0</v>
      </c>
      <c r="AN997" s="2261">
        <f t="shared" si="2277"/>
        <v>0</v>
      </c>
      <c r="AO997" s="2262">
        <f t="shared" si="2278"/>
        <v>0</v>
      </c>
    </row>
    <row r="998" hidden="1">
      <c r="A998" s="1904" t="s">
        <v>545</v>
      </c>
      <c r="B998" s="1905">
        <f>B975+B989+B993+B997</f>
        <v>0</v>
      </c>
      <c r="C998" s="1905">
        <f>C975+C989+C993+C997</f>
        <v>0</v>
      </c>
      <c r="D998" s="1905">
        <f>D975+D989+D993+D997</f>
        <v>0</v>
      </c>
      <c r="E998" s="1899">
        <f t="shared" ref="E998:E1014" si="2286">B998+C998+D998</f>
        <v>0</v>
      </c>
      <c r="F998" s="1905">
        <f>F975+F989+F993+F997</f>
        <v>0</v>
      </c>
      <c r="G998" s="1905">
        <f>G975+G989+G993+G997</f>
        <v>0</v>
      </c>
      <c r="H998" s="1905">
        <f>H975+H989+H993+H997</f>
        <v>0</v>
      </c>
      <c r="I998" s="1899">
        <f t="shared" si="2267"/>
        <v>0</v>
      </c>
      <c r="J998" s="1899">
        <f t="shared" si="2268"/>
        <v>0</v>
      </c>
      <c r="K998" s="1905">
        <f>K975+K989+K993+K997</f>
        <v>0</v>
      </c>
      <c r="L998" s="1905">
        <f>L975+L989+L993+L997</f>
        <v>0</v>
      </c>
      <c r="M998" s="1905">
        <f>M975+M989+M993+M997</f>
        <v>0</v>
      </c>
      <c r="N998" s="1899">
        <f t="shared" si="2269"/>
        <v>0</v>
      </c>
      <c r="O998" s="1899">
        <f t="shared" si="2270"/>
        <v>0</v>
      </c>
      <c r="P998" s="1905">
        <f>P975+P989+P993+P997</f>
        <v>0</v>
      </c>
      <c r="Q998" s="1905">
        <f>Q975+Q989+Q993+Q997</f>
        <v>0</v>
      </c>
      <c r="R998" s="1905">
        <f>R975+R989+R993+R997</f>
        <v>0</v>
      </c>
      <c r="S998" s="1899">
        <f t="shared" si="2279"/>
        <v>0</v>
      </c>
      <c r="T998" s="1899">
        <f t="shared" si="2282"/>
        <v>0</v>
      </c>
      <c r="U998" s="1902"/>
      <c r="V998" s="1511" t="s">
        <v>545</v>
      </c>
      <c r="W998" s="1871">
        <f>W975+W989+W993+W997</f>
        <v>0</v>
      </c>
      <c r="X998" s="1871">
        <f t="shared" ref="X998:AM998" si="2287">X975+X989+X993+X997</f>
        <v>0</v>
      </c>
      <c r="Y998" s="1871">
        <f t="shared" si="2287"/>
        <v>0</v>
      </c>
      <c r="Z998" s="2257">
        <f t="shared" ref="Z998:Z1015" si="2288">W998+X998+Y998</f>
        <v>0</v>
      </c>
      <c r="AA998" s="1871">
        <f t="shared" si="2287"/>
        <v>0</v>
      </c>
      <c r="AB998" s="1871">
        <f t="shared" si="2287"/>
        <v>0</v>
      </c>
      <c r="AC998" s="1871">
        <f t="shared" si="2287"/>
        <v>0</v>
      </c>
      <c r="AD998" s="1895">
        <f t="shared" ref="AD998:AD1014" si="2289">AA998+AB998+AC998</f>
        <v>0</v>
      </c>
      <c r="AE998" s="1898">
        <f t="shared" ref="AE998:AE1014" si="2290">Z998+AD998</f>
        <v>0</v>
      </c>
      <c r="AF998" s="1871">
        <f>AF975+AF989+AF993+AF997</f>
        <v>0</v>
      </c>
      <c r="AG998" s="1871">
        <f t="shared" si="2287"/>
        <v>0</v>
      </c>
      <c r="AH998" s="1871">
        <f t="shared" si="2287"/>
        <v>0</v>
      </c>
      <c r="AI998" s="2258">
        <f t="shared" ref="AI998:AI1014" si="2291">AF998+AG998+AH998</f>
        <v>0</v>
      </c>
      <c r="AJ998" s="2259">
        <f t="shared" si="2276"/>
        <v>0</v>
      </c>
      <c r="AK998" s="1871">
        <f t="shared" si="2287"/>
        <v>0</v>
      </c>
      <c r="AL998" s="2263">
        <f t="shared" si="2287"/>
        <v>0</v>
      </c>
      <c r="AM998" s="1871">
        <f t="shared" si="2287"/>
        <v>0</v>
      </c>
      <c r="AN998" s="2261">
        <f t="shared" si="2277"/>
        <v>0</v>
      </c>
      <c r="AO998" s="2262">
        <f t="shared" si="2278"/>
        <v>0</v>
      </c>
    </row>
    <row r="999" hidden="1">
      <c r="A999" s="1179" t="s">
        <v>50</v>
      </c>
      <c r="B999" s="1868"/>
      <c r="C999" s="1868"/>
      <c r="D999" s="2256"/>
      <c r="E999" s="1899">
        <f t="shared" si="2286"/>
        <v>0</v>
      </c>
      <c r="F999" s="2256"/>
      <c r="G999" s="2256"/>
      <c r="H999" s="2256"/>
      <c r="I999" s="1895">
        <f t="shared" si="2267"/>
        <v>0</v>
      </c>
      <c r="J999" s="1896">
        <f t="shared" si="2268"/>
        <v>0</v>
      </c>
      <c r="K999" s="2256"/>
      <c r="L999" s="2256"/>
      <c r="M999" s="1868"/>
      <c r="N999" s="1895">
        <f t="shared" si="2269"/>
        <v>0</v>
      </c>
      <c r="O999" s="1896">
        <f t="shared" si="2270"/>
        <v>0</v>
      </c>
      <c r="P999" s="2256"/>
      <c r="Q999" s="2256"/>
      <c r="R999" s="2256"/>
      <c r="S999" s="1895">
        <f t="shared" si="2279"/>
        <v>0</v>
      </c>
      <c r="T999" s="1897">
        <f t="shared" si="2282"/>
        <v>0</v>
      </c>
      <c r="U999" s="1413"/>
      <c r="V999" s="1179" t="s">
        <v>50</v>
      </c>
      <c r="W999" s="1868"/>
      <c r="X999" s="1868"/>
      <c r="Y999" s="2256"/>
      <c r="Z999" s="2257">
        <f t="shared" si="2288"/>
        <v>0</v>
      </c>
      <c r="AA999" s="2256"/>
      <c r="AB999" s="2256"/>
      <c r="AC999" s="2256"/>
      <c r="AD999" s="1895">
        <f t="shared" si="2289"/>
        <v>0</v>
      </c>
      <c r="AE999" s="1898">
        <f t="shared" si="2290"/>
        <v>0</v>
      </c>
      <c r="AF999" s="2256"/>
      <c r="AG999" s="2256"/>
      <c r="AH999" s="1868"/>
      <c r="AI999" s="2258">
        <f t="shared" si="2291"/>
        <v>0</v>
      </c>
      <c r="AJ999" s="2259">
        <f t="shared" si="2276"/>
        <v>0</v>
      </c>
      <c r="AK999" s="2256"/>
      <c r="AL999" s="2260"/>
      <c r="AM999" s="2256"/>
      <c r="AN999" s="2261">
        <f t="shared" si="2277"/>
        <v>0</v>
      </c>
      <c r="AO999" s="2262">
        <f t="shared" si="2278"/>
        <v>0</v>
      </c>
    </row>
    <row r="1000" hidden="1">
      <c r="A1000" s="1179" t="s">
        <v>397</v>
      </c>
      <c r="B1000" s="1868"/>
      <c r="C1000" s="1868"/>
      <c r="D1000" s="2256"/>
      <c r="E1000" s="1899">
        <f t="shared" si="2286"/>
        <v>0</v>
      </c>
      <c r="F1000" s="2256"/>
      <c r="G1000" s="2256"/>
      <c r="H1000" s="2256"/>
      <c r="I1000" s="1895">
        <f t="shared" si="2267"/>
        <v>0</v>
      </c>
      <c r="J1000" s="1896">
        <f t="shared" si="2268"/>
        <v>0</v>
      </c>
      <c r="K1000" s="2256"/>
      <c r="L1000" s="2256"/>
      <c r="M1000" s="2256"/>
      <c r="N1000" s="1895">
        <f t="shared" si="2269"/>
        <v>0</v>
      </c>
      <c r="O1000" s="1896">
        <f t="shared" si="2270"/>
        <v>0</v>
      </c>
      <c r="P1000" s="2256"/>
      <c r="Q1000" s="2256"/>
      <c r="R1000" s="2256"/>
      <c r="S1000" s="1895">
        <f t="shared" si="2279"/>
        <v>0</v>
      </c>
      <c r="T1000" s="1897">
        <f t="shared" si="2282"/>
        <v>0</v>
      </c>
      <c r="U1000" s="1413"/>
      <c r="V1000" s="1179" t="s">
        <v>397</v>
      </c>
      <c r="W1000" s="1868"/>
      <c r="X1000" s="1868"/>
      <c r="Y1000" s="2256"/>
      <c r="Z1000" s="2257">
        <f t="shared" si="2288"/>
        <v>0</v>
      </c>
      <c r="AA1000" s="2256"/>
      <c r="AB1000" s="2256"/>
      <c r="AC1000" s="2256"/>
      <c r="AD1000" s="1895">
        <f t="shared" si="2289"/>
        <v>0</v>
      </c>
      <c r="AE1000" s="1898">
        <f t="shared" si="2290"/>
        <v>0</v>
      </c>
      <c r="AF1000" s="2256"/>
      <c r="AG1000" s="2256"/>
      <c r="AH1000" s="2256"/>
      <c r="AI1000" s="2258">
        <f t="shared" si="2291"/>
        <v>0</v>
      </c>
      <c r="AJ1000" s="2259">
        <f t="shared" si="2276"/>
        <v>0</v>
      </c>
      <c r="AK1000" s="2256"/>
      <c r="AL1000" s="2260"/>
      <c r="AM1000" s="2256"/>
      <c r="AN1000" s="2261">
        <f t="shared" si="2277"/>
        <v>0</v>
      </c>
      <c r="AO1000" s="2262">
        <f t="shared" si="2278"/>
        <v>0</v>
      </c>
    </row>
    <row r="1001" hidden="1">
      <c r="A1001" s="1179" t="s">
        <v>546</v>
      </c>
      <c r="B1001" s="1868"/>
      <c r="C1001" s="1868"/>
      <c r="D1001" s="2256"/>
      <c r="E1001" s="1899">
        <f t="shared" si="2286"/>
        <v>0</v>
      </c>
      <c r="F1001" s="2256"/>
      <c r="G1001" s="2256"/>
      <c r="H1001" s="2256"/>
      <c r="I1001" s="1895">
        <f t="shared" si="2267"/>
        <v>0</v>
      </c>
      <c r="J1001" s="1896">
        <f t="shared" si="2268"/>
        <v>0</v>
      </c>
      <c r="K1001" s="2256"/>
      <c r="L1001" s="2256"/>
      <c r="M1001" s="2256"/>
      <c r="N1001" s="1895">
        <f t="shared" si="2269"/>
        <v>0</v>
      </c>
      <c r="O1001" s="1896">
        <f t="shared" si="2270"/>
        <v>0</v>
      </c>
      <c r="P1001" s="2256"/>
      <c r="Q1001" s="2256"/>
      <c r="R1001" s="2256"/>
      <c r="S1001" s="1895">
        <f t="shared" si="2279"/>
        <v>0</v>
      </c>
      <c r="T1001" s="1897">
        <f t="shared" si="2282"/>
        <v>0</v>
      </c>
      <c r="U1001" s="1413"/>
      <c r="V1001" s="1179" t="s">
        <v>546</v>
      </c>
      <c r="W1001" s="1868"/>
      <c r="X1001" s="1868"/>
      <c r="Y1001" s="2256"/>
      <c r="Z1001" s="2257">
        <f t="shared" si="2288"/>
        <v>0</v>
      </c>
      <c r="AA1001" s="2256"/>
      <c r="AB1001" s="2256"/>
      <c r="AC1001" s="2256"/>
      <c r="AD1001" s="1895">
        <f t="shared" si="2289"/>
        <v>0</v>
      </c>
      <c r="AE1001" s="1898">
        <f t="shared" si="2290"/>
        <v>0</v>
      </c>
      <c r="AF1001" s="2256"/>
      <c r="AG1001" s="2256"/>
      <c r="AH1001" s="2256"/>
      <c r="AI1001" s="2258">
        <f t="shared" si="2291"/>
        <v>0</v>
      </c>
      <c r="AJ1001" s="2259">
        <f t="shared" si="2276"/>
        <v>0</v>
      </c>
      <c r="AK1001" s="2256"/>
      <c r="AL1001" s="2260"/>
      <c r="AM1001" s="2256"/>
      <c r="AN1001" s="2261">
        <f t="shared" si="2277"/>
        <v>0</v>
      </c>
      <c r="AO1001" s="2262">
        <f t="shared" si="2278"/>
        <v>0</v>
      </c>
    </row>
    <row r="1002" hidden="1">
      <c r="A1002" s="1179" t="s">
        <v>547</v>
      </c>
      <c r="B1002" s="1868"/>
      <c r="C1002" s="1868"/>
      <c r="D1002" s="2256"/>
      <c r="E1002" s="1899">
        <f t="shared" si="2286"/>
        <v>0</v>
      </c>
      <c r="F1002" s="2256"/>
      <c r="G1002" s="2256"/>
      <c r="H1002" s="2256"/>
      <c r="I1002" s="1895">
        <f t="shared" si="2267"/>
        <v>0</v>
      </c>
      <c r="J1002" s="1896">
        <f t="shared" si="2268"/>
        <v>0</v>
      </c>
      <c r="K1002" s="2256"/>
      <c r="L1002" s="2256"/>
      <c r="M1002" s="2256"/>
      <c r="N1002" s="1895">
        <f t="shared" si="2269"/>
        <v>0</v>
      </c>
      <c r="O1002" s="1896">
        <f t="shared" si="2270"/>
        <v>0</v>
      </c>
      <c r="P1002" s="2256"/>
      <c r="Q1002" s="2256"/>
      <c r="R1002" s="2256"/>
      <c r="S1002" s="1895">
        <f t="shared" si="2279"/>
        <v>0</v>
      </c>
      <c r="T1002" s="1897">
        <f t="shared" si="2282"/>
        <v>0</v>
      </c>
      <c r="U1002" s="1413"/>
      <c r="V1002" s="1179" t="s">
        <v>547</v>
      </c>
      <c r="W1002" s="1868"/>
      <c r="X1002" s="1868"/>
      <c r="Y1002" s="2256"/>
      <c r="Z1002" s="2257">
        <f t="shared" si="2288"/>
        <v>0</v>
      </c>
      <c r="AA1002" s="2256"/>
      <c r="AB1002" s="2256"/>
      <c r="AC1002" s="2256"/>
      <c r="AD1002" s="1895">
        <f t="shared" si="2289"/>
        <v>0</v>
      </c>
      <c r="AE1002" s="1898">
        <f t="shared" si="2290"/>
        <v>0</v>
      </c>
      <c r="AF1002" s="2256"/>
      <c r="AG1002" s="2256"/>
      <c r="AH1002" s="2256"/>
      <c r="AI1002" s="2258">
        <f t="shared" si="2291"/>
        <v>0</v>
      </c>
      <c r="AJ1002" s="2259">
        <f t="shared" si="2276"/>
        <v>0</v>
      </c>
      <c r="AK1002" s="2256"/>
      <c r="AL1002" s="2260"/>
      <c r="AM1002" s="2256"/>
      <c r="AN1002" s="2261">
        <f t="shared" si="2277"/>
        <v>0</v>
      </c>
      <c r="AO1002" s="2262">
        <f t="shared" si="2278"/>
        <v>0</v>
      </c>
    </row>
    <row r="1003" hidden="1">
      <c r="A1003" s="1179" t="s">
        <v>230</v>
      </c>
      <c r="B1003" s="1868"/>
      <c r="C1003" s="1868"/>
      <c r="D1003" s="2256"/>
      <c r="E1003" s="1899">
        <f t="shared" si="2286"/>
        <v>0</v>
      </c>
      <c r="F1003" s="2256"/>
      <c r="G1003" s="2256"/>
      <c r="H1003" s="1868"/>
      <c r="I1003" s="1895">
        <f t="shared" si="2267"/>
        <v>0</v>
      </c>
      <c r="J1003" s="1896">
        <f t="shared" si="2268"/>
        <v>0</v>
      </c>
      <c r="K1003" s="2256"/>
      <c r="L1003" s="2256"/>
      <c r="M1003" s="2256"/>
      <c r="N1003" s="1895">
        <f t="shared" si="2269"/>
        <v>0</v>
      </c>
      <c r="O1003" s="1896">
        <f t="shared" si="2270"/>
        <v>0</v>
      </c>
      <c r="P1003" s="2256"/>
      <c r="Q1003" s="2256"/>
      <c r="R1003" s="2256"/>
      <c r="S1003" s="1895">
        <f t="shared" si="2279"/>
        <v>0</v>
      </c>
      <c r="T1003" s="1897">
        <f t="shared" si="2282"/>
        <v>0</v>
      </c>
      <c r="U1003" s="1413"/>
      <c r="V1003" s="1179" t="s">
        <v>230</v>
      </c>
      <c r="W1003" s="1868"/>
      <c r="X1003" s="1868"/>
      <c r="Y1003" s="2256"/>
      <c r="Z1003" s="2257">
        <f t="shared" si="2288"/>
        <v>0</v>
      </c>
      <c r="AA1003" s="2256"/>
      <c r="AB1003" s="2256"/>
      <c r="AC1003" s="1868"/>
      <c r="AD1003" s="1895">
        <f t="shared" si="2289"/>
        <v>0</v>
      </c>
      <c r="AE1003" s="1898">
        <f t="shared" si="2290"/>
        <v>0</v>
      </c>
      <c r="AF1003" s="2256"/>
      <c r="AG1003" s="2256"/>
      <c r="AH1003" s="2256"/>
      <c r="AI1003" s="2258">
        <f t="shared" si="2291"/>
        <v>0</v>
      </c>
      <c r="AJ1003" s="2259">
        <f t="shared" si="2276"/>
        <v>0</v>
      </c>
      <c r="AK1003" s="2256"/>
      <c r="AL1003" s="2260"/>
      <c r="AM1003" s="2256"/>
      <c r="AN1003" s="2261">
        <f t="shared" si="2277"/>
        <v>0</v>
      </c>
      <c r="AO1003" s="2262">
        <f t="shared" si="2278"/>
        <v>0</v>
      </c>
    </row>
    <row r="1004" hidden="1">
      <c r="A1004" s="1179" t="s">
        <v>789</v>
      </c>
      <c r="B1004" s="1868"/>
      <c r="C1004" s="1868"/>
      <c r="D1004" s="1868"/>
      <c r="E1004" s="1899">
        <f t="shared" si="2286"/>
        <v>0</v>
      </c>
      <c r="F1004" s="1868"/>
      <c r="G1004" s="1868"/>
      <c r="H1004" s="1868"/>
      <c r="I1004" s="1895">
        <f t="shared" si="2267"/>
        <v>0</v>
      </c>
      <c r="J1004" s="1896">
        <f t="shared" si="2268"/>
        <v>0</v>
      </c>
      <c r="K1004" s="1868"/>
      <c r="L1004" s="1868"/>
      <c r="M1004" s="1868"/>
      <c r="N1004" s="1895">
        <f t="shared" si="2269"/>
        <v>0</v>
      </c>
      <c r="O1004" s="1896">
        <f t="shared" si="2270"/>
        <v>0</v>
      </c>
      <c r="P1004" s="1868"/>
      <c r="Q1004" s="1868"/>
      <c r="R1004" s="1868"/>
      <c r="S1004" s="1895">
        <f t="shared" si="2279"/>
        <v>0</v>
      </c>
      <c r="T1004" s="1897">
        <f t="shared" si="2282"/>
        <v>0</v>
      </c>
      <c r="U1004" s="1413"/>
      <c r="V1004" s="1179" t="s">
        <v>789</v>
      </c>
      <c r="W1004" s="1868"/>
      <c r="X1004" s="1868"/>
      <c r="Y1004" s="1868"/>
      <c r="Z1004" s="2257">
        <f t="shared" si="2288"/>
        <v>0</v>
      </c>
      <c r="AA1004" s="1868"/>
      <c r="AB1004" s="1868"/>
      <c r="AC1004" s="1868"/>
      <c r="AD1004" s="1895">
        <f t="shared" si="2289"/>
        <v>0</v>
      </c>
      <c r="AE1004" s="1898">
        <f t="shared" si="2290"/>
        <v>0</v>
      </c>
      <c r="AF1004" s="1868"/>
      <c r="AG1004" s="1868"/>
      <c r="AH1004" s="1868"/>
      <c r="AI1004" s="2258">
        <f t="shared" si="2291"/>
        <v>0</v>
      </c>
      <c r="AJ1004" s="2259">
        <f t="shared" si="2276"/>
        <v>0</v>
      </c>
      <c r="AK1004" s="1868"/>
      <c r="AL1004" s="2126"/>
      <c r="AM1004" s="1868"/>
      <c r="AN1004" s="2261">
        <f t="shared" si="2277"/>
        <v>0</v>
      </c>
      <c r="AO1004" s="2262">
        <f t="shared" si="2278"/>
        <v>0</v>
      </c>
    </row>
    <row r="1005" hidden="1">
      <c r="A1005" s="1179" t="s">
        <v>790</v>
      </c>
      <c r="B1005" s="1868"/>
      <c r="C1005" s="1868"/>
      <c r="D1005" s="1868"/>
      <c r="E1005" s="1899">
        <f t="shared" si="2286"/>
        <v>0</v>
      </c>
      <c r="F1005" s="1868"/>
      <c r="G1005" s="1868"/>
      <c r="H1005" s="1868"/>
      <c r="I1005" s="1895">
        <f t="shared" si="2267"/>
        <v>0</v>
      </c>
      <c r="J1005" s="1896">
        <f t="shared" si="2268"/>
        <v>0</v>
      </c>
      <c r="K1005" s="1868"/>
      <c r="L1005" s="1868"/>
      <c r="M1005" s="1868"/>
      <c r="N1005" s="1895">
        <f t="shared" si="2269"/>
        <v>0</v>
      </c>
      <c r="O1005" s="1896">
        <f t="shared" si="2270"/>
        <v>0</v>
      </c>
      <c r="P1005" s="1868"/>
      <c r="Q1005" s="1868"/>
      <c r="R1005" s="1868"/>
      <c r="S1005" s="1895">
        <f t="shared" si="2279"/>
        <v>0</v>
      </c>
      <c r="T1005" s="1897">
        <f t="shared" si="2282"/>
        <v>0</v>
      </c>
      <c r="U1005" s="1413"/>
      <c r="V1005" s="1179" t="s">
        <v>790</v>
      </c>
      <c r="W1005" s="1868"/>
      <c r="X1005" s="1868"/>
      <c r="Y1005" s="1868"/>
      <c r="Z1005" s="2257">
        <f t="shared" si="2288"/>
        <v>0</v>
      </c>
      <c r="AA1005" s="1868"/>
      <c r="AB1005" s="1868"/>
      <c r="AC1005" s="1868"/>
      <c r="AD1005" s="1895">
        <f t="shared" si="2289"/>
        <v>0</v>
      </c>
      <c r="AE1005" s="1898">
        <f t="shared" si="2290"/>
        <v>0</v>
      </c>
      <c r="AF1005" s="1868"/>
      <c r="AG1005" s="1868"/>
      <c r="AH1005" s="1868"/>
      <c r="AI1005" s="2258">
        <f t="shared" si="2291"/>
        <v>0</v>
      </c>
      <c r="AJ1005" s="2259">
        <f t="shared" si="2276"/>
        <v>0</v>
      </c>
      <c r="AK1005" s="1868"/>
      <c r="AL1005" s="2126"/>
      <c r="AM1005" s="1868"/>
      <c r="AN1005" s="2261">
        <f t="shared" si="2277"/>
        <v>0</v>
      </c>
      <c r="AO1005" s="2262">
        <f t="shared" si="2278"/>
        <v>0</v>
      </c>
    </row>
    <row r="1006" hidden="1">
      <c r="A1006" s="1179" t="s">
        <v>549</v>
      </c>
      <c r="B1006" s="1868"/>
      <c r="C1006" s="1868"/>
      <c r="D1006" s="2256"/>
      <c r="E1006" s="1899">
        <f t="shared" si="2286"/>
        <v>0</v>
      </c>
      <c r="F1006" s="2256"/>
      <c r="G1006" s="2256"/>
      <c r="H1006" s="2256"/>
      <c r="I1006" s="1895">
        <f t="shared" si="2267"/>
        <v>0</v>
      </c>
      <c r="J1006" s="1896">
        <f t="shared" si="2268"/>
        <v>0</v>
      </c>
      <c r="K1006" s="2256"/>
      <c r="L1006" s="2256"/>
      <c r="M1006" s="2256"/>
      <c r="N1006" s="1895">
        <f t="shared" si="2269"/>
        <v>0</v>
      </c>
      <c r="O1006" s="1896">
        <f t="shared" si="2270"/>
        <v>0</v>
      </c>
      <c r="P1006" s="2256"/>
      <c r="Q1006" s="2256"/>
      <c r="R1006" s="2256"/>
      <c r="S1006" s="1895">
        <f t="shared" si="2279"/>
        <v>0</v>
      </c>
      <c r="T1006" s="1897">
        <f t="shared" si="2282"/>
        <v>0</v>
      </c>
      <c r="U1006" s="1413"/>
      <c r="V1006" s="1179" t="s">
        <v>549</v>
      </c>
      <c r="W1006" s="1868"/>
      <c r="X1006" s="1868"/>
      <c r="Y1006" s="2256"/>
      <c r="Z1006" s="2257">
        <f t="shared" si="2288"/>
        <v>0</v>
      </c>
      <c r="AA1006" s="2256"/>
      <c r="AB1006" s="2256"/>
      <c r="AC1006" s="2256"/>
      <c r="AD1006" s="1895">
        <f t="shared" si="2289"/>
        <v>0</v>
      </c>
      <c r="AE1006" s="1898">
        <f t="shared" si="2290"/>
        <v>0</v>
      </c>
      <c r="AF1006" s="2256"/>
      <c r="AG1006" s="2256"/>
      <c r="AH1006" s="2256"/>
      <c r="AI1006" s="2258">
        <f t="shared" si="2291"/>
        <v>0</v>
      </c>
      <c r="AJ1006" s="2259">
        <f t="shared" si="2276"/>
        <v>0</v>
      </c>
      <c r="AK1006" s="2256"/>
      <c r="AL1006" s="2260"/>
      <c r="AM1006" s="2256"/>
      <c r="AN1006" s="2261">
        <f t="shared" si="2277"/>
        <v>0</v>
      </c>
      <c r="AO1006" s="2262">
        <f t="shared" si="2278"/>
        <v>0</v>
      </c>
    </row>
    <row r="1007" s="2264" customFormat="1" hidden="1">
      <c r="A1007" s="1904" t="s">
        <v>22</v>
      </c>
      <c r="B1007" s="1905">
        <f>SUM(B998:B1006)</f>
        <v>0</v>
      </c>
      <c r="C1007" s="1905">
        <f>SUM(C998:C1006)</f>
        <v>0</v>
      </c>
      <c r="D1007" s="1905">
        <f>SUM(D998:D1006)</f>
        <v>0</v>
      </c>
      <c r="E1007" s="1899">
        <f t="shared" si="2286"/>
        <v>0</v>
      </c>
      <c r="F1007" s="1905">
        <f>SUM(F998:F1006)</f>
        <v>0</v>
      </c>
      <c r="G1007" s="1905">
        <f>SUM(G998:G1006)</f>
        <v>0</v>
      </c>
      <c r="H1007" s="1905">
        <f>SUM(H998:H1006)</f>
        <v>0</v>
      </c>
      <c r="I1007" s="1899">
        <f t="shared" si="2267"/>
        <v>0</v>
      </c>
      <c r="J1007" s="1899">
        <f t="shared" si="2268"/>
        <v>0</v>
      </c>
      <c r="K1007" s="1905">
        <f>SUM(K998:K1006)</f>
        <v>0</v>
      </c>
      <c r="L1007" s="1905">
        <f>SUM(L998:L1006)</f>
        <v>0</v>
      </c>
      <c r="M1007" s="1905">
        <f>SUM(M998:M1006)</f>
        <v>0</v>
      </c>
      <c r="N1007" s="1899">
        <f t="shared" si="2269"/>
        <v>0</v>
      </c>
      <c r="O1007" s="1899">
        <f t="shared" si="2270"/>
        <v>0</v>
      </c>
      <c r="P1007" s="1905">
        <f>SUM(P998:P1006)</f>
        <v>0</v>
      </c>
      <c r="Q1007" s="1905">
        <f>SUM(Q998:Q1006)</f>
        <v>0</v>
      </c>
      <c r="R1007" s="1905">
        <f>SUM(R998:R1006)</f>
        <v>0</v>
      </c>
      <c r="S1007" s="1899">
        <f t="shared" si="2279"/>
        <v>0</v>
      </c>
      <c r="T1007" s="1899">
        <f t="shared" si="2282"/>
        <v>0</v>
      </c>
      <c r="U1007" s="2265"/>
      <c r="V1007" s="1511" t="s">
        <v>22</v>
      </c>
      <c r="W1007" s="1871">
        <f>SUM(W998:W1006)</f>
        <v>0</v>
      </c>
      <c r="X1007" s="1871">
        <f t="shared" ref="X1007:AM1007" si="2292">SUM(X998:X1006)</f>
        <v>0</v>
      </c>
      <c r="Y1007" s="1871">
        <f t="shared" si="2292"/>
        <v>0</v>
      </c>
      <c r="Z1007" s="2257">
        <f t="shared" si="2288"/>
        <v>0</v>
      </c>
      <c r="AA1007" s="1871">
        <f t="shared" si="2292"/>
        <v>0</v>
      </c>
      <c r="AB1007" s="1871">
        <f t="shared" si="2292"/>
        <v>0</v>
      </c>
      <c r="AC1007" s="1871">
        <f t="shared" si="2292"/>
        <v>0</v>
      </c>
      <c r="AD1007" s="1895">
        <f t="shared" si="2289"/>
        <v>0</v>
      </c>
      <c r="AE1007" s="1898">
        <f t="shared" si="2290"/>
        <v>0</v>
      </c>
      <c r="AF1007" s="1871">
        <f>SUM(AF998:AF1006)</f>
        <v>0</v>
      </c>
      <c r="AG1007" s="1871">
        <f t="shared" si="2292"/>
        <v>0</v>
      </c>
      <c r="AH1007" s="1871">
        <f t="shared" si="2292"/>
        <v>0</v>
      </c>
      <c r="AI1007" s="2258">
        <f t="shared" si="2291"/>
        <v>0</v>
      </c>
      <c r="AJ1007" s="2259">
        <f t="shared" si="2276"/>
        <v>0</v>
      </c>
      <c r="AK1007" s="1871">
        <f t="shared" si="2292"/>
        <v>0</v>
      </c>
      <c r="AL1007" s="2263">
        <f t="shared" si="2292"/>
        <v>0</v>
      </c>
      <c r="AM1007" s="1871">
        <f t="shared" si="2292"/>
        <v>0</v>
      </c>
      <c r="AN1007" s="2261">
        <f t="shared" si="2277"/>
        <v>0</v>
      </c>
      <c r="AO1007" s="2262">
        <f t="shared" si="2278"/>
        <v>0</v>
      </c>
      <c r="AP1007" s="1409"/>
      <c r="AQ1007" s="1409"/>
      <c r="AR1007" s="1409"/>
      <c r="AS1007" s="1409"/>
      <c r="AT1007" s="1409"/>
      <c r="AU1007" s="1409"/>
      <c r="AV1007" s="1409"/>
      <c r="AW1007" s="1409"/>
      <c r="AX1007" s="1409"/>
      <c r="AY1007" s="1409"/>
      <c r="AZ1007" s="1409"/>
    </row>
    <row r="1008" hidden="1">
      <c r="A1008" s="1511" t="s">
        <v>791</v>
      </c>
      <c r="B1008" s="1868"/>
      <c r="C1008" s="1868"/>
      <c r="D1008" s="1868"/>
      <c r="E1008" s="1895">
        <f t="shared" si="2286"/>
        <v>0</v>
      </c>
      <c r="F1008" s="1868"/>
      <c r="G1008" s="1868"/>
      <c r="H1008" s="1868"/>
      <c r="I1008" s="1895">
        <f t="shared" si="2267"/>
        <v>0</v>
      </c>
      <c r="J1008" s="1896">
        <f t="shared" si="2268"/>
        <v>0</v>
      </c>
      <c r="K1008" s="1868"/>
      <c r="L1008" s="1871"/>
      <c r="M1008" s="1871"/>
      <c r="N1008" s="1895">
        <f t="shared" si="2269"/>
        <v>0</v>
      </c>
      <c r="O1008" s="1896">
        <f t="shared" si="2270"/>
        <v>0</v>
      </c>
      <c r="P1008" s="1871"/>
      <c r="Q1008" s="1871"/>
      <c r="R1008" s="1871"/>
      <c r="S1008" s="1895">
        <f t="shared" si="2279"/>
        <v>0</v>
      </c>
      <c r="T1008" s="1897">
        <f t="shared" si="2282"/>
        <v>0</v>
      </c>
      <c r="U1008" s="1413"/>
      <c r="V1008" s="1511" t="s">
        <v>791</v>
      </c>
      <c r="W1008" s="1871"/>
      <c r="X1008" s="1871"/>
      <c r="Y1008" s="1871"/>
      <c r="Z1008" s="2257">
        <f t="shared" si="2288"/>
        <v>0</v>
      </c>
      <c r="AA1008" s="1871"/>
      <c r="AB1008" s="1871"/>
      <c r="AC1008" s="1871"/>
      <c r="AD1008" s="1895">
        <f t="shared" si="2289"/>
        <v>0</v>
      </c>
      <c r="AE1008" s="1898">
        <f t="shared" si="2290"/>
        <v>0</v>
      </c>
      <c r="AF1008" s="1871"/>
      <c r="AG1008" s="1871"/>
      <c r="AH1008" s="1871"/>
      <c r="AI1008" s="2258">
        <f t="shared" si="2291"/>
        <v>0</v>
      </c>
      <c r="AJ1008" s="2259">
        <f t="shared" si="2276"/>
        <v>0</v>
      </c>
      <c r="AK1008" s="1871"/>
      <c r="AL1008" s="2263"/>
      <c r="AM1008" s="1871"/>
      <c r="AN1008" s="2261">
        <f t="shared" si="2277"/>
        <v>0</v>
      </c>
      <c r="AO1008" s="2262">
        <f t="shared" si="2278"/>
        <v>0</v>
      </c>
    </row>
    <row r="1009" s="2264" customFormat="1" hidden="1">
      <c r="A1009" s="1873" t="s">
        <v>792</v>
      </c>
      <c r="B1009" s="2266">
        <f>SUM(B1007:B1008)</f>
        <v>0</v>
      </c>
      <c r="C1009" s="2266">
        <f>SUM(C1007:C1008)</f>
        <v>0</v>
      </c>
      <c r="D1009" s="2266">
        <f>SUM(D1007:D1008)</f>
        <v>0</v>
      </c>
      <c r="E1009" s="2267">
        <f t="shared" si="2286"/>
        <v>0</v>
      </c>
      <c r="F1009" s="2266">
        <f>SUM(F1007:F1008)</f>
        <v>0</v>
      </c>
      <c r="G1009" s="2266">
        <f>SUM(G1007:G1008)</f>
        <v>0</v>
      </c>
      <c r="H1009" s="2266">
        <f>SUM(H1007:H1008)</f>
        <v>0</v>
      </c>
      <c r="I1009" s="2267">
        <f t="shared" si="2267"/>
        <v>0</v>
      </c>
      <c r="J1009" s="2267">
        <f t="shared" si="2268"/>
        <v>0</v>
      </c>
      <c r="K1009" s="2266">
        <f>SUM(K1007:K1008)</f>
        <v>0</v>
      </c>
      <c r="L1009" s="2266">
        <f>SUM(L1007:L1008)</f>
        <v>0</v>
      </c>
      <c r="M1009" s="2266">
        <f>SUM(M1007:M1008)</f>
        <v>0</v>
      </c>
      <c r="N1009" s="2267">
        <f t="shared" si="2269"/>
        <v>0</v>
      </c>
      <c r="O1009" s="2267">
        <f t="shared" si="2270"/>
        <v>0</v>
      </c>
      <c r="P1009" s="2266">
        <f>SUM(P1007:P1008)</f>
        <v>0</v>
      </c>
      <c r="Q1009" s="2266">
        <f>SUM(Q1007:Q1008)</f>
        <v>0</v>
      </c>
      <c r="R1009" s="2266">
        <f>SUM(R1007:R1008)</f>
        <v>0</v>
      </c>
      <c r="S1009" s="2267">
        <f t="shared" si="2279"/>
        <v>0</v>
      </c>
      <c r="T1009" s="2267">
        <f t="shared" si="2282"/>
        <v>0</v>
      </c>
      <c r="U1009" s="1413"/>
      <c r="V1009" s="1873" t="s">
        <v>792</v>
      </c>
      <c r="W1009" s="2266">
        <f>SUM(W1007:W1008)</f>
        <v>0</v>
      </c>
      <c r="X1009" s="2266">
        <f t="shared" ref="X1009:AM1009" si="2293">SUM(X1007:X1008)</f>
        <v>0</v>
      </c>
      <c r="Y1009" s="2266">
        <f t="shared" si="2293"/>
        <v>0</v>
      </c>
      <c r="Z1009" s="2268">
        <f t="shared" si="2288"/>
        <v>0</v>
      </c>
      <c r="AA1009" s="2266">
        <f t="shared" si="2293"/>
        <v>0</v>
      </c>
      <c r="AB1009" s="2266">
        <f t="shared" si="2293"/>
        <v>0</v>
      </c>
      <c r="AC1009" s="2266">
        <f t="shared" si="2293"/>
        <v>0</v>
      </c>
      <c r="AD1009" s="2269">
        <f t="shared" si="2289"/>
        <v>0</v>
      </c>
      <c r="AE1009" s="2269">
        <f t="shared" si="2290"/>
        <v>0</v>
      </c>
      <c r="AF1009" s="2266">
        <f>SUM(AF1007:AF1008)</f>
        <v>0</v>
      </c>
      <c r="AG1009" s="2266">
        <f t="shared" si="2293"/>
        <v>0</v>
      </c>
      <c r="AH1009" s="2266">
        <f t="shared" si="2293"/>
        <v>0</v>
      </c>
      <c r="AI1009" s="2270">
        <f t="shared" si="2291"/>
        <v>0</v>
      </c>
      <c r="AJ1009" s="2270">
        <f t="shared" si="2276"/>
        <v>0</v>
      </c>
      <c r="AK1009" s="2266">
        <f t="shared" si="2293"/>
        <v>0</v>
      </c>
      <c r="AL1009" s="2271">
        <f t="shared" si="2293"/>
        <v>0</v>
      </c>
      <c r="AM1009" s="2266">
        <f t="shared" si="2293"/>
        <v>0</v>
      </c>
      <c r="AN1009" s="2272">
        <f t="shared" si="2277"/>
        <v>0</v>
      </c>
      <c r="AO1009" s="2272">
        <f t="shared" si="2278"/>
        <v>0</v>
      </c>
      <c r="AP1009" s="1409"/>
      <c r="AQ1009" s="1409"/>
      <c r="AR1009" s="1409"/>
      <c r="AS1009" s="1409"/>
      <c r="AT1009" s="1409"/>
      <c r="AU1009" s="1409"/>
      <c r="AV1009" s="1409"/>
      <c r="AW1009" s="1409"/>
      <c r="AX1009" s="1409"/>
      <c r="AY1009" s="1409"/>
      <c r="AZ1009" s="1409"/>
    </row>
    <row r="1010" hidden="1">
      <c r="A1010" s="1179" t="s">
        <v>793</v>
      </c>
      <c r="B1010" s="1871"/>
      <c r="C1010" s="1871"/>
      <c r="D1010" s="1871"/>
      <c r="E1010" s="1899">
        <f t="shared" si="2286"/>
        <v>0</v>
      </c>
      <c r="F1010" s="1868"/>
      <c r="G1010" s="1868"/>
      <c r="H1010" s="1868"/>
      <c r="I1010" s="1895">
        <f t="shared" si="2267"/>
        <v>0</v>
      </c>
      <c r="J1010" s="1896">
        <f t="shared" si="2268"/>
        <v>0</v>
      </c>
      <c r="K1010" s="1868"/>
      <c r="L1010" s="1868"/>
      <c r="M1010" s="1868"/>
      <c r="N1010" s="1895">
        <f t="shared" si="2269"/>
        <v>0</v>
      </c>
      <c r="O1010" s="1896">
        <f t="shared" si="2270"/>
        <v>0</v>
      </c>
      <c r="P1010" s="1868"/>
      <c r="Q1010" s="1868"/>
      <c r="R1010" s="1868"/>
      <c r="S1010" s="1895">
        <f t="shared" si="2279"/>
        <v>0</v>
      </c>
      <c r="T1010" s="1897">
        <f t="shared" si="2282"/>
        <v>0</v>
      </c>
      <c r="U1010" s="1413"/>
      <c r="V1010" s="1179" t="s">
        <v>793</v>
      </c>
      <c r="W1010" s="1868"/>
      <c r="X1010" s="1868"/>
      <c r="Y1010" s="1868"/>
      <c r="Z1010" s="2257">
        <f t="shared" si="2288"/>
        <v>0</v>
      </c>
      <c r="AA1010" s="1868"/>
      <c r="AB1010" s="1868"/>
      <c r="AC1010" s="1868"/>
      <c r="AD1010" s="1895">
        <f t="shared" si="2289"/>
        <v>0</v>
      </c>
      <c r="AE1010" s="1898">
        <f t="shared" si="2290"/>
        <v>0</v>
      </c>
      <c r="AF1010" s="1868"/>
      <c r="AG1010" s="1868"/>
      <c r="AH1010" s="1868"/>
      <c r="AI1010" s="2258">
        <f t="shared" si="2291"/>
        <v>0</v>
      </c>
      <c r="AJ1010" s="2259">
        <f t="shared" si="2276"/>
        <v>0</v>
      </c>
      <c r="AK1010" s="1868"/>
      <c r="AL1010" s="2126"/>
      <c r="AM1010" s="1868"/>
      <c r="AN1010" s="2261">
        <f t="shared" si="2277"/>
        <v>0</v>
      </c>
      <c r="AO1010" s="2262">
        <f t="shared" si="2278"/>
        <v>0</v>
      </c>
    </row>
    <row r="1011" s="2264" customFormat="1" hidden="1">
      <c r="A1011" s="1179" t="s">
        <v>794</v>
      </c>
      <c r="B1011" s="1871"/>
      <c r="C1011" s="1871"/>
      <c r="D1011" s="1871"/>
      <c r="E1011" s="1899">
        <f t="shared" si="2286"/>
        <v>0</v>
      </c>
      <c r="F1011" s="1868"/>
      <c r="G1011" s="1868"/>
      <c r="H1011" s="1868"/>
      <c r="I1011" s="1895">
        <f t="shared" si="2267"/>
        <v>0</v>
      </c>
      <c r="J1011" s="1896">
        <f t="shared" si="2268"/>
        <v>0</v>
      </c>
      <c r="K1011" s="1868">
        <v>0</v>
      </c>
      <c r="L1011" s="1871"/>
      <c r="M1011" s="1871"/>
      <c r="N1011" s="1895">
        <f t="shared" si="2269"/>
        <v>0</v>
      </c>
      <c r="O1011" s="1896">
        <f t="shared" si="2270"/>
        <v>0</v>
      </c>
      <c r="P1011" s="1871"/>
      <c r="Q1011" s="1871"/>
      <c r="R1011" s="1871"/>
      <c r="S1011" s="1895">
        <f t="shared" si="2279"/>
        <v>0</v>
      </c>
      <c r="T1011" s="1897">
        <f t="shared" si="2282"/>
        <v>0</v>
      </c>
      <c r="U1011" s="1413"/>
      <c r="V1011" s="1179" t="s">
        <v>794</v>
      </c>
      <c r="W1011" s="1871"/>
      <c r="X1011" s="1871"/>
      <c r="Y1011" s="1871"/>
      <c r="Z1011" s="2257">
        <f t="shared" si="2288"/>
        <v>0</v>
      </c>
      <c r="AA1011" s="1871"/>
      <c r="AB1011" s="1871"/>
      <c r="AC1011" s="1871"/>
      <c r="AD1011" s="1895">
        <f t="shared" si="2289"/>
        <v>0</v>
      </c>
      <c r="AE1011" s="1898">
        <f t="shared" si="2290"/>
        <v>0</v>
      </c>
      <c r="AF1011" s="1871">
        <f>K1011</f>
        <v>0</v>
      </c>
      <c r="AG1011" s="1871">
        <f>L1011</f>
        <v>0</v>
      </c>
      <c r="AH1011" s="1871">
        <f>M1011</f>
        <v>0</v>
      </c>
      <c r="AI1011" s="2258">
        <f t="shared" si="2291"/>
        <v>0</v>
      </c>
      <c r="AJ1011" s="2259">
        <f t="shared" si="2276"/>
        <v>0</v>
      </c>
      <c r="AK1011" s="1871">
        <f>P1011</f>
        <v>0</v>
      </c>
      <c r="AL1011" s="2263">
        <f>Q1011</f>
        <v>0</v>
      </c>
      <c r="AM1011" s="1871">
        <f>R1011</f>
        <v>0</v>
      </c>
      <c r="AN1011" s="2261">
        <f t="shared" si="2277"/>
        <v>0</v>
      </c>
      <c r="AO1011" s="2262">
        <f t="shared" si="2278"/>
        <v>0</v>
      </c>
      <c r="AP1011" s="1409"/>
      <c r="AQ1011" s="1409"/>
      <c r="AR1011" s="1409"/>
      <c r="AS1011" s="1409"/>
      <c r="AT1011" s="1409"/>
      <c r="AU1011" s="1409"/>
      <c r="AV1011" s="1409"/>
      <c r="AW1011" s="1409"/>
      <c r="AX1011" s="1409"/>
      <c r="AY1011" s="1409"/>
      <c r="AZ1011" s="1409"/>
    </row>
    <row r="1012" hidden="1">
      <c r="A1012" s="1179" t="s">
        <v>795</v>
      </c>
      <c r="B1012" s="1871"/>
      <c r="C1012" s="1871"/>
      <c r="D1012" s="1871"/>
      <c r="E1012" s="1899">
        <f t="shared" si="2286"/>
        <v>0</v>
      </c>
      <c r="F1012" s="1868"/>
      <c r="G1012" s="1868"/>
      <c r="H1012" s="1868"/>
      <c r="I1012" s="1895">
        <f t="shared" si="2267"/>
        <v>0</v>
      </c>
      <c r="J1012" s="1896">
        <f t="shared" si="2268"/>
        <v>0</v>
      </c>
      <c r="K1012" s="1871">
        <v>0</v>
      </c>
      <c r="L1012" s="1871"/>
      <c r="M1012" s="1871"/>
      <c r="N1012" s="1895">
        <f t="shared" si="2269"/>
        <v>0</v>
      </c>
      <c r="O1012" s="1896">
        <f t="shared" si="2270"/>
        <v>0</v>
      </c>
      <c r="P1012" s="1871"/>
      <c r="Q1012" s="1871"/>
      <c r="R1012" s="1871"/>
      <c r="S1012" s="1895">
        <f t="shared" si="2279"/>
        <v>0</v>
      </c>
      <c r="T1012" s="1897">
        <f t="shared" si="2282"/>
        <v>0</v>
      </c>
      <c r="U1012" s="1413"/>
      <c r="V1012" s="1179" t="s">
        <v>795</v>
      </c>
      <c r="W1012" s="1871"/>
      <c r="X1012" s="1871"/>
      <c r="Y1012" s="1868"/>
      <c r="Z1012" s="2257">
        <f t="shared" si="2288"/>
        <v>0</v>
      </c>
      <c r="AA1012" s="1868"/>
      <c r="AB1012" s="1868"/>
      <c r="AC1012" s="1871"/>
      <c r="AD1012" s="1895">
        <f t="shared" si="2289"/>
        <v>0</v>
      </c>
      <c r="AE1012" s="1898">
        <f t="shared" si="2290"/>
        <v>0</v>
      </c>
      <c r="AF1012" s="1871"/>
      <c r="AG1012" s="1871"/>
      <c r="AH1012" s="1871"/>
      <c r="AI1012" s="2258">
        <f t="shared" si="2291"/>
        <v>0</v>
      </c>
      <c r="AJ1012" s="2259">
        <f t="shared" si="2276"/>
        <v>0</v>
      </c>
      <c r="AK1012" s="1871"/>
      <c r="AL1012" s="2263"/>
      <c r="AM1012" s="1871"/>
      <c r="AN1012" s="2261">
        <f t="shared" si="2277"/>
        <v>0</v>
      </c>
      <c r="AO1012" s="2262">
        <f t="shared" si="2278"/>
        <v>0</v>
      </c>
    </row>
    <row r="1013" s="2264" customFormat="1">
      <c r="A1013" s="1873" t="s">
        <v>796</v>
      </c>
      <c r="B1013" s="2273">
        <f>B1009+B1011</f>
        <v>0</v>
      </c>
      <c r="C1013" s="2273">
        <f>C1009+C1011</f>
        <v>0</v>
      </c>
      <c r="D1013" s="2273">
        <f>D1009+D1011</f>
        <v>0</v>
      </c>
      <c r="E1013" s="2274">
        <f t="shared" si="2286"/>
        <v>0</v>
      </c>
      <c r="F1013" s="2273">
        <f>F1009+F1011</f>
        <v>0</v>
      </c>
      <c r="G1013" s="2273">
        <f>G1009+G1011</f>
        <v>0</v>
      </c>
      <c r="H1013" s="2273">
        <f>H1009+H1011</f>
        <v>0</v>
      </c>
      <c r="I1013" s="2274">
        <f t="shared" si="2267"/>
        <v>0</v>
      </c>
      <c r="J1013" s="2274">
        <f t="shared" si="2268"/>
        <v>0</v>
      </c>
      <c r="K1013" s="2273">
        <f>K1009+K1011</f>
        <v>0</v>
      </c>
      <c r="L1013" s="2273">
        <f>L1009+L1011</f>
        <v>0</v>
      </c>
      <c r="M1013" s="2273">
        <f>M1009+M1011</f>
        <v>0</v>
      </c>
      <c r="N1013" s="2274">
        <f t="shared" si="2269"/>
        <v>0</v>
      </c>
      <c r="O1013" s="2274">
        <f t="shared" si="2270"/>
        <v>0</v>
      </c>
      <c r="P1013" s="2273">
        <f>P1009+P1011</f>
        <v>0</v>
      </c>
      <c r="Q1013" s="2273">
        <f>Q1009+Q1011</f>
        <v>0</v>
      </c>
      <c r="R1013" s="2273">
        <f>R1009+R1011</f>
        <v>0</v>
      </c>
      <c r="S1013" s="2274">
        <f t="shared" si="2279"/>
        <v>0</v>
      </c>
      <c r="T1013" s="2274">
        <f t="shared" si="2282"/>
        <v>0</v>
      </c>
      <c r="U1013" s="1413"/>
      <c r="V1013" s="1873" t="s">
        <v>796</v>
      </c>
      <c r="W1013" s="2266">
        <f>W1009+W1012</f>
        <v>0</v>
      </c>
      <c r="X1013" s="2266">
        <f>X1009+X1012</f>
        <v>0</v>
      </c>
      <c r="Y1013" s="2266">
        <f>Y1009+Y1012</f>
        <v>0</v>
      </c>
      <c r="Z1013" s="2268">
        <f t="shared" si="2288"/>
        <v>0</v>
      </c>
      <c r="AA1013" s="2266">
        <f>AA1009+AA1012</f>
        <v>0</v>
      </c>
      <c r="AB1013" s="2266">
        <f>AB1009+AB1012</f>
        <v>0</v>
      </c>
      <c r="AC1013" s="2266">
        <f>AC1009+AC1012</f>
        <v>0</v>
      </c>
      <c r="AD1013" s="2269">
        <f t="shared" si="2289"/>
        <v>0</v>
      </c>
      <c r="AE1013" s="2269">
        <f t="shared" si="2290"/>
        <v>0</v>
      </c>
      <c r="AF1013" s="2266">
        <f>AF1009+AF1012</f>
        <v>0</v>
      </c>
      <c r="AG1013" s="2266">
        <f>AG1009+AG1012</f>
        <v>0</v>
      </c>
      <c r="AH1013" s="2266">
        <f>AH1009+AH1012</f>
        <v>0</v>
      </c>
      <c r="AI1013" s="2270">
        <f t="shared" si="2291"/>
        <v>0</v>
      </c>
      <c r="AJ1013" s="2270">
        <f>AE1013+AI1013</f>
        <v>0</v>
      </c>
      <c r="AK1013" s="2266">
        <f>AK1009+AK1012</f>
        <v>0</v>
      </c>
      <c r="AL1013" s="2271">
        <f>AL1009+AL1012</f>
        <v>0</v>
      </c>
      <c r="AM1013" s="2266">
        <f>AM1009+AM1012</f>
        <v>0</v>
      </c>
      <c r="AN1013" s="2272">
        <f t="shared" si="2277"/>
        <v>0</v>
      </c>
      <c r="AO1013" s="2272">
        <f t="shared" si="2278"/>
        <v>0</v>
      </c>
      <c r="AP1013" s="1409"/>
      <c r="AQ1013" s="1409"/>
      <c r="AR1013" s="1409"/>
      <c r="AS1013" s="1409"/>
      <c r="AT1013" s="1409"/>
      <c r="AU1013" s="1409"/>
      <c r="AV1013" s="1409"/>
      <c r="AW1013" s="1409"/>
      <c r="AX1013" s="1409"/>
      <c r="AY1013" s="1409"/>
      <c r="AZ1013" s="1409"/>
    </row>
    <row r="1014">
      <c r="A1014" s="1511" t="s">
        <v>797</v>
      </c>
      <c r="B1014" s="1868">
        <f>B1012+B1010</f>
        <v>0</v>
      </c>
      <c r="C1014" s="1868">
        <f>C1012+C1010</f>
        <v>0</v>
      </c>
      <c r="D1014" s="1868">
        <f>D1012+D1010</f>
        <v>0</v>
      </c>
      <c r="E1014" s="1899">
        <f t="shared" si="2286"/>
        <v>0</v>
      </c>
      <c r="F1014" s="1868">
        <f>F1012+F1010</f>
        <v>0</v>
      </c>
      <c r="G1014" s="1868">
        <f>G1012+G1010</f>
        <v>0</v>
      </c>
      <c r="H1014" s="1868">
        <f>H1012+H1010</f>
        <v>0</v>
      </c>
      <c r="I1014" s="1899">
        <f t="shared" si="2267"/>
        <v>0</v>
      </c>
      <c r="J1014" s="1900">
        <f t="shared" si="2268"/>
        <v>0</v>
      </c>
      <c r="K1014" s="1871">
        <f>K1012+K1010</f>
        <v>0</v>
      </c>
      <c r="L1014" s="1871">
        <f>L1012+L1010</f>
        <v>0</v>
      </c>
      <c r="M1014" s="1871">
        <f>M1012+M1010</f>
        <v>0</v>
      </c>
      <c r="N1014" s="1899">
        <f t="shared" si="2269"/>
        <v>0</v>
      </c>
      <c r="O1014" s="1900">
        <f t="shared" si="2270"/>
        <v>0</v>
      </c>
      <c r="P1014" s="1871">
        <f>P1012+P1010</f>
        <v>0</v>
      </c>
      <c r="Q1014" s="1871">
        <f>Q1012+Q1010</f>
        <v>0</v>
      </c>
      <c r="R1014" s="1871">
        <f>R1012+R1010</f>
        <v>0</v>
      </c>
      <c r="S1014" s="1899">
        <f t="shared" si="2279"/>
        <v>0</v>
      </c>
      <c r="T1014" s="1901">
        <f t="shared" si="2282"/>
        <v>0</v>
      </c>
      <c r="U1014" s="1413"/>
      <c r="V1014" s="1511" t="s">
        <v>797</v>
      </c>
      <c r="W1014" s="1871"/>
      <c r="X1014" s="1871"/>
      <c r="Y1014" s="1871"/>
      <c r="Z1014" s="2257">
        <f t="shared" si="2288"/>
        <v>0</v>
      </c>
      <c r="AA1014" s="1871">
        <f>AA1012+AA1010</f>
        <v>0</v>
      </c>
      <c r="AB1014" s="1871">
        <f>AB1012+AB1010</f>
        <v>0</v>
      </c>
      <c r="AC1014" s="1871">
        <f>AC1012+AC1010</f>
        <v>0</v>
      </c>
      <c r="AD1014" s="1895">
        <f t="shared" si="2289"/>
        <v>0</v>
      </c>
      <c r="AE1014" s="1898">
        <f t="shared" si="2290"/>
        <v>0</v>
      </c>
      <c r="AF1014" s="1871">
        <f>AF1012+AF1010</f>
        <v>0</v>
      </c>
      <c r="AG1014" s="1871">
        <f>AG1012+AG1010</f>
        <v>0</v>
      </c>
      <c r="AH1014" s="1871">
        <f>AH1012+AH1010</f>
        <v>0</v>
      </c>
      <c r="AI1014" s="2258">
        <f t="shared" si="2291"/>
        <v>0</v>
      </c>
      <c r="AJ1014" s="2259">
        <f t="shared" si="2276"/>
        <v>0</v>
      </c>
      <c r="AK1014" s="1871">
        <f>AK1012+AK1010</f>
        <v>0</v>
      </c>
      <c r="AL1014" s="2263">
        <f>AL1012+AL1010</f>
        <v>0</v>
      </c>
      <c r="AM1014" s="1871">
        <f>AM1012+AM1010</f>
        <v>0</v>
      </c>
      <c r="AN1014" s="2261">
        <f t="shared" si="2277"/>
        <v>0</v>
      </c>
      <c r="AO1014" s="2262">
        <f t="shared" si="2278"/>
        <v>0</v>
      </c>
    </row>
    <row r="1015">
      <c r="A1015" s="2275"/>
      <c r="B1015" s="1908"/>
      <c r="C1015" s="2085"/>
      <c r="D1015" s="2085"/>
      <c r="E1015" s="2276"/>
      <c r="F1015" s="2085"/>
      <c r="G1015" s="2085"/>
      <c r="H1015" s="2085"/>
      <c r="I1015" s="2277"/>
      <c r="J1015" s="2277"/>
      <c r="K1015" s="2278" t="s">
        <v>798</v>
      </c>
      <c r="L1015" s="2279" t="s">
        <v>799</v>
      </c>
      <c r="M1015" s="2085"/>
      <c r="N1015" s="2277"/>
      <c r="O1015" s="2277"/>
      <c r="P1015" s="2085"/>
      <c r="Q1015" s="2085"/>
      <c r="R1015" s="2278"/>
      <c r="S1015" s="2276"/>
      <c r="T1015" s="1836"/>
      <c r="U1015" s="1413"/>
      <c r="V1015" s="2275" t="s">
        <v>800</v>
      </c>
      <c r="W1015" s="1872"/>
      <c r="X1015" s="2278"/>
      <c r="Y1015" s="1872"/>
      <c r="Z1015" s="2257">
        <f t="shared" si="2288"/>
        <v>0</v>
      </c>
      <c r="AA1015" s="2085"/>
      <c r="AB1015" s="2085"/>
      <c r="AC1015" s="2085"/>
      <c r="AD1015" s="2280"/>
      <c r="AE1015" s="2281"/>
      <c r="AF1015" s="2278"/>
      <c r="AG1015" s="2085"/>
      <c r="AH1015" s="2085"/>
      <c r="AI1015" s="2280"/>
      <c r="AJ1015" s="2281"/>
      <c r="AK1015" s="2085"/>
      <c r="AL1015" s="1886"/>
      <c r="AM1015" s="2085"/>
      <c r="AN1015" s="2280"/>
      <c r="AO1015" s="1910"/>
      <c r="AP1015" s="1413"/>
      <c r="AQ1015" s="1413"/>
      <c r="AR1015" s="1413"/>
      <c r="AS1015" s="1413"/>
      <c r="AT1015" s="1413"/>
      <c r="AU1015" s="1413"/>
      <c r="AV1015" s="1413"/>
      <c r="AW1015" s="1413"/>
      <c r="AX1015" s="1413"/>
      <c r="AY1015" s="1413"/>
      <c r="AZ1015" s="1413"/>
    </row>
    <row r="1016" ht="23.25" customHeight="1">
      <c r="A1016" s="1515"/>
      <c r="B1016" s="1908"/>
      <c r="C1016" s="2085"/>
      <c r="D1016" s="2085"/>
      <c r="E1016" s="2277"/>
      <c r="F1016" s="2085"/>
      <c r="G1016" s="2085"/>
      <c r="H1016" s="2085"/>
      <c r="I1016" s="2277"/>
      <c r="J1016" s="2277"/>
      <c r="K1016" s="2085"/>
      <c r="L1016" s="2085"/>
      <c r="M1016" s="2085"/>
      <c r="N1016" s="2277"/>
      <c r="O1016" s="2277"/>
      <c r="P1016" s="2085"/>
      <c r="Q1016" s="2085"/>
      <c r="R1016" s="2278"/>
      <c r="S1016" s="2276"/>
      <c r="T1016" s="1836"/>
      <c r="V1016" s="1515"/>
      <c r="W1016" s="1908"/>
      <c r="X1016" s="2085"/>
      <c r="Y1016" s="2085"/>
      <c r="Z1016" s="2280"/>
      <c r="AA1016" s="2085"/>
      <c r="AB1016" s="2085"/>
      <c r="AC1016" s="2085"/>
      <c r="AD1016" s="2280"/>
      <c r="AE1016" s="2281"/>
      <c r="AF1016" s="2278" t="s">
        <v>801</v>
      </c>
      <c r="AG1016" s="2085"/>
      <c r="AH1016" s="2085"/>
      <c r="AI1016" s="2280"/>
      <c r="AJ1016" s="2281"/>
      <c r="AK1016" s="2085"/>
      <c r="AL1016" s="1886"/>
      <c r="AM1016" s="2085"/>
      <c r="AN1016" s="2280"/>
      <c r="AO1016" s="1910"/>
    </row>
    <row r="1017" ht="23.25" customHeight="1">
      <c r="A1017" s="1842" t="s">
        <v>802</v>
      </c>
      <c r="B1017" s="1887" t="s">
        <v>803</v>
      </c>
      <c r="C1017" s="1888"/>
      <c r="D1017" s="1888"/>
      <c r="E1017" s="1888"/>
      <c r="F1017" s="1888"/>
      <c r="G1017" s="1888"/>
      <c r="H1017" s="1888"/>
      <c r="I1017" s="1888"/>
      <c r="J1017" s="1888"/>
      <c r="K1017" s="1888"/>
      <c r="L1017" s="1888"/>
      <c r="M1017" s="1888"/>
      <c r="N1017" s="1888"/>
      <c r="O1017" s="1888"/>
      <c r="P1017" s="1888"/>
      <c r="Q1017" s="1888"/>
      <c r="R1017" s="1888"/>
      <c r="S1017" s="1888"/>
      <c r="T1017" s="1889"/>
      <c r="V1017" s="2282"/>
    </row>
    <row r="1018" s="1445" customFormat="1">
      <c r="A1018" s="1446" t="s">
        <v>173</v>
      </c>
      <c r="B1018" s="1446" t="s">
        <v>6</v>
      </c>
      <c r="C1018" s="1446" t="s">
        <v>7</v>
      </c>
      <c r="D1018" s="1913" t="s">
        <v>8</v>
      </c>
      <c r="E1018" s="2080" t="s">
        <v>9</v>
      </c>
      <c r="F1018" s="1447" t="s">
        <v>10</v>
      </c>
      <c r="G1018" s="1447" t="s">
        <v>11</v>
      </c>
      <c r="H1018" s="1447" t="s">
        <v>12</v>
      </c>
      <c r="I1018" s="1448" t="s">
        <v>174</v>
      </c>
      <c r="J1018" s="1449" t="s">
        <v>175</v>
      </c>
      <c r="K1018" s="1447" t="s">
        <v>14</v>
      </c>
      <c r="L1018" s="1447" t="s">
        <v>15</v>
      </c>
      <c r="M1018" s="1447" t="s">
        <v>16</v>
      </c>
      <c r="N1018" s="1448" t="s">
        <v>17</v>
      </c>
      <c r="O1018" s="1449" t="s">
        <v>176</v>
      </c>
      <c r="P1018" s="1447" t="s">
        <v>18</v>
      </c>
      <c r="Q1018" s="1447" t="s">
        <v>19</v>
      </c>
      <c r="R1018" s="1447" t="s">
        <v>20</v>
      </c>
      <c r="S1018" s="1448" t="s">
        <v>177</v>
      </c>
      <c r="T1018" s="1450" t="s">
        <v>22</v>
      </c>
      <c r="U1018" s="1409"/>
      <c r="V1018" s="1409"/>
      <c r="W1018" s="1409"/>
      <c r="X1018" s="1409"/>
      <c r="Y1018" s="1409"/>
      <c r="Z1018" s="1411"/>
      <c r="AA1018" s="1409"/>
      <c r="AB1018" s="1409"/>
      <c r="AC1018" s="1409"/>
      <c r="AD1018" s="1411"/>
      <c r="AE1018" s="1416"/>
      <c r="AF1018" s="1409"/>
      <c r="AG1018" s="1409"/>
      <c r="AH1018" s="1409"/>
      <c r="AI1018" s="1411"/>
      <c r="AJ1018" s="1416"/>
      <c r="AK1018" s="1409"/>
      <c r="AL1018" s="1417"/>
      <c r="AM1018" s="1409"/>
      <c r="AN1018" s="1411"/>
      <c r="AO1018" s="1418"/>
      <c r="AP1018" s="1409"/>
      <c r="AQ1018" s="1409"/>
      <c r="AR1018" s="1409"/>
      <c r="AS1018" s="1409"/>
      <c r="AT1018" s="1409"/>
      <c r="AU1018" s="1409"/>
      <c r="AV1018" s="1409"/>
      <c r="AW1018" s="1409"/>
      <c r="AX1018" s="1409"/>
      <c r="AY1018" s="1409"/>
      <c r="AZ1018" s="1409"/>
    </row>
    <row r="1019" ht="23.25" customHeight="1">
      <c r="A1019" s="1179" t="s">
        <v>178</v>
      </c>
      <c r="B1019" s="1868">
        <v>35</v>
      </c>
      <c r="C1019" s="1868">
        <v>42</v>
      </c>
      <c r="D1019" s="1868"/>
      <c r="E1019" s="1895">
        <f t="shared" ref="E1019:E1082" si="2294">B1019+C1019+D1019</f>
        <v>77</v>
      </c>
      <c r="F1019" s="1868"/>
      <c r="G1019" s="1868"/>
      <c r="H1019" s="1868"/>
      <c r="I1019" s="1895">
        <f t="shared" ref="I1019:I1082" si="2295">F1019+G1019+H1019</f>
        <v>0</v>
      </c>
      <c r="J1019" s="1896">
        <f t="shared" ref="J1019:J1082" si="2296">E1019+I1019</f>
        <v>77</v>
      </c>
      <c r="K1019" s="1868"/>
      <c r="L1019" s="1868"/>
      <c r="M1019" s="1868"/>
      <c r="N1019" s="1895">
        <f t="shared" ref="N1019:N1082" si="2297">K1019+L1019+M1019</f>
        <v>0</v>
      </c>
      <c r="O1019" s="1896">
        <f t="shared" ref="O1019:O1082" si="2298">J1019+N1019</f>
        <v>77</v>
      </c>
      <c r="P1019" s="1868"/>
      <c r="Q1019" s="1868"/>
      <c r="R1019" s="1868"/>
      <c r="S1019" s="1895">
        <f t="shared" ref="S1019:S1082" si="2299">P1019+Q1019+R1019</f>
        <v>0</v>
      </c>
      <c r="T1019" s="1897">
        <f t="shared" ref="T1019:T1082" si="2300">O1019+S1019</f>
        <v>77</v>
      </c>
    </row>
    <row r="1020">
      <c r="A1020" s="1179" t="s">
        <v>354</v>
      </c>
      <c r="B1020" s="1868">
        <v>70</v>
      </c>
      <c r="C1020" s="1868">
        <v>111</v>
      </c>
      <c r="D1020" s="1868"/>
      <c r="E1020" s="1895">
        <f t="shared" si="2294"/>
        <v>181</v>
      </c>
      <c r="F1020" s="1868"/>
      <c r="G1020" s="1868"/>
      <c r="H1020" s="1868"/>
      <c r="I1020" s="1895">
        <f t="shared" si="2295"/>
        <v>0</v>
      </c>
      <c r="J1020" s="1896">
        <f t="shared" si="2296"/>
        <v>181</v>
      </c>
      <c r="K1020" s="1868"/>
      <c r="L1020" s="1868"/>
      <c r="M1020" s="1868"/>
      <c r="N1020" s="1895">
        <f t="shared" si="2297"/>
        <v>0</v>
      </c>
      <c r="O1020" s="1896">
        <f t="shared" si="2298"/>
        <v>181</v>
      </c>
      <c r="P1020" s="1868"/>
      <c r="Q1020" s="1868"/>
      <c r="R1020" s="1868"/>
      <c r="S1020" s="1895">
        <f t="shared" si="2299"/>
        <v>0</v>
      </c>
      <c r="T1020" s="1897">
        <f t="shared" si="2300"/>
        <v>181</v>
      </c>
    </row>
    <row r="1021">
      <c r="A1021" s="1179" t="s">
        <v>181</v>
      </c>
      <c r="B1021" s="1868"/>
      <c r="C1021" s="1868">
        <v>1</v>
      </c>
      <c r="D1021" s="1868"/>
      <c r="E1021" s="1895">
        <f t="shared" si="2294"/>
        <v>1</v>
      </c>
      <c r="F1021" s="1868"/>
      <c r="G1021" s="1868"/>
      <c r="H1021" s="1868"/>
      <c r="I1021" s="1895">
        <f t="shared" si="2295"/>
        <v>0</v>
      </c>
      <c r="J1021" s="1896">
        <f t="shared" si="2296"/>
        <v>1</v>
      </c>
      <c r="K1021" s="1868"/>
      <c r="L1021" s="1868"/>
      <c r="M1021" s="1868"/>
      <c r="N1021" s="1895">
        <f t="shared" si="2297"/>
        <v>0</v>
      </c>
      <c r="O1021" s="1896">
        <f t="shared" si="2298"/>
        <v>1</v>
      </c>
      <c r="P1021" s="1868"/>
      <c r="Q1021" s="1868"/>
      <c r="R1021" s="1868"/>
      <c r="S1021" s="1895">
        <f t="shared" si="2299"/>
        <v>0</v>
      </c>
      <c r="T1021" s="1897">
        <f t="shared" si="2300"/>
        <v>1</v>
      </c>
    </row>
    <row r="1022">
      <c r="A1022" s="1179" t="s">
        <v>182</v>
      </c>
      <c r="B1022" s="1868"/>
      <c r="C1022" s="1868">
        <v>1</v>
      </c>
      <c r="D1022" s="1868"/>
      <c r="E1022" s="1895">
        <f t="shared" si="2294"/>
        <v>1</v>
      </c>
      <c r="F1022" s="1868"/>
      <c r="G1022" s="1868"/>
      <c r="H1022" s="1868"/>
      <c r="I1022" s="1895">
        <f t="shared" si="2295"/>
        <v>0</v>
      </c>
      <c r="J1022" s="1896">
        <f t="shared" si="2296"/>
        <v>1</v>
      </c>
      <c r="K1022" s="1868"/>
      <c r="L1022" s="1868"/>
      <c r="M1022" s="1868"/>
      <c r="N1022" s="1895">
        <f t="shared" si="2297"/>
        <v>0</v>
      </c>
      <c r="O1022" s="1896">
        <f t="shared" si="2298"/>
        <v>1</v>
      </c>
      <c r="P1022" s="1868"/>
      <c r="Q1022" s="1868"/>
      <c r="R1022" s="1868"/>
      <c r="S1022" s="1895">
        <f t="shared" si="2299"/>
        <v>0</v>
      </c>
      <c r="T1022" s="1897">
        <f t="shared" si="2300"/>
        <v>1</v>
      </c>
    </row>
    <row r="1023">
      <c r="A1023" s="1179" t="s">
        <v>183</v>
      </c>
      <c r="B1023" s="1868"/>
      <c r="C1023" s="1868"/>
      <c r="D1023" s="1868"/>
      <c r="E1023" s="1895">
        <f t="shared" si="2294"/>
        <v>0</v>
      </c>
      <c r="F1023" s="1868"/>
      <c r="G1023" s="1868"/>
      <c r="H1023" s="1868"/>
      <c r="I1023" s="1895">
        <f t="shared" si="2295"/>
        <v>0</v>
      </c>
      <c r="J1023" s="1896">
        <f t="shared" si="2296"/>
        <v>0</v>
      </c>
      <c r="K1023" s="1868"/>
      <c r="L1023" s="1868"/>
      <c r="M1023" s="1868"/>
      <c r="N1023" s="1895">
        <f t="shared" si="2297"/>
        <v>0</v>
      </c>
      <c r="O1023" s="1896">
        <f t="shared" si="2298"/>
        <v>0</v>
      </c>
      <c r="P1023" s="1868"/>
      <c r="Q1023" s="1868"/>
      <c r="R1023" s="1868"/>
      <c r="S1023" s="1895">
        <f t="shared" si="2299"/>
        <v>0</v>
      </c>
      <c r="T1023" s="1897">
        <f t="shared" si="2300"/>
        <v>0</v>
      </c>
    </row>
    <row r="1024">
      <c r="A1024" s="1179" t="s">
        <v>184</v>
      </c>
      <c r="B1024" s="1868"/>
      <c r="C1024" s="1868">
        <v>11</v>
      </c>
      <c r="D1024" s="1868"/>
      <c r="E1024" s="1895">
        <f t="shared" si="2294"/>
        <v>11</v>
      </c>
      <c r="F1024" s="1868"/>
      <c r="G1024" s="1868"/>
      <c r="H1024" s="1868"/>
      <c r="I1024" s="1895">
        <f t="shared" si="2295"/>
        <v>0</v>
      </c>
      <c r="J1024" s="1896">
        <f t="shared" si="2296"/>
        <v>11</v>
      </c>
      <c r="K1024" s="1868"/>
      <c r="L1024" s="1868"/>
      <c r="M1024" s="1868"/>
      <c r="N1024" s="1895">
        <f t="shared" si="2297"/>
        <v>0</v>
      </c>
      <c r="O1024" s="1896">
        <f t="shared" si="2298"/>
        <v>11</v>
      </c>
      <c r="P1024" s="1868"/>
      <c r="Q1024" s="1868"/>
      <c r="R1024" s="1868"/>
      <c r="S1024" s="1895">
        <f t="shared" si="2299"/>
        <v>0</v>
      </c>
      <c r="T1024" s="1897">
        <f t="shared" si="2300"/>
        <v>11</v>
      </c>
    </row>
    <row r="1025">
      <c r="A1025" s="1179" t="s">
        <v>804</v>
      </c>
      <c r="B1025" s="1868">
        <v>4</v>
      </c>
      <c r="C1025" s="1868">
        <v>25</v>
      </c>
      <c r="D1025" s="1868"/>
      <c r="E1025" s="1895"/>
      <c r="F1025" s="1868"/>
      <c r="G1025" s="1868"/>
      <c r="H1025" s="1868"/>
      <c r="I1025" s="1895">
        <f t="shared" si="2295"/>
        <v>0</v>
      </c>
      <c r="J1025" s="1896">
        <f t="shared" si="2296"/>
        <v>0</v>
      </c>
      <c r="K1025" s="1868"/>
      <c r="L1025" s="1868"/>
      <c r="M1025" s="1868"/>
      <c r="N1025" s="1895">
        <f t="shared" si="2297"/>
        <v>0</v>
      </c>
      <c r="O1025" s="1896">
        <f t="shared" si="2298"/>
        <v>0</v>
      </c>
      <c r="P1025" s="1868"/>
      <c r="Q1025" s="1868"/>
      <c r="R1025" s="1868"/>
      <c r="S1025" s="1895">
        <f t="shared" si="2299"/>
        <v>0</v>
      </c>
      <c r="T1025" s="1897">
        <f t="shared" si="2300"/>
        <v>0</v>
      </c>
    </row>
    <row r="1026">
      <c r="A1026" s="1179" t="s">
        <v>185</v>
      </c>
      <c r="B1026" s="1868"/>
      <c r="C1026" s="1868"/>
      <c r="D1026" s="1868"/>
      <c r="E1026" s="1895">
        <f t="shared" si="2294"/>
        <v>0</v>
      </c>
      <c r="F1026" s="1868"/>
      <c r="G1026" s="1868"/>
      <c r="H1026" s="1868"/>
      <c r="I1026" s="1895">
        <f t="shared" si="2295"/>
        <v>0</v>
      </c>
      <c r="J1026" s="1896">
        <f t="shared" si="2296"/>
        <v>0</v>
      </c>
      <c r="K1026" s="1868"/>
      <c r="L1026" s="1868"/>
      <c r="M1026" s="1868"/>
      <c r="N1026" s="1895">
        <f t="shared" si="2297"/>
        <v>0</v>
      </c>
      <c r="O1026" s="1896">
        <f t="shared" si="2298"/>
        <v>0</v>
      </c>
      <c r="P1026" s="1868"/>
      <c r="Q1026" s="1868"/>
      <c r="R1026" s="1868"/>
      <c r="S1026" s="1895">
        <f t="shared" si="2299"/>
        <v>0</v>
      </c>
      <c r="T1026" s="1897">
        <f t="shared" si="2300"/>
        <v>0</v>
      </c>
    </row>
    <row r="1027">
      <c r="A1027" s="1511" t="s">
        <v>363</v>
      </c>
      <c r="B1027" s="1871">
        <f>SUM(B1019:B1026)</f>
        <v>109</v>
      </c>
      <c r="C1027" s="1871">
        <f>SUM(C1019:C1026)</f>
        <v>191</v>
      </c>
      <c r="D1027" s="1871">
        <f>SUM(D1019:D1026)</f>
        <v>0</v>
      </c>
      <c r="E1027" s="1895">
        <f t="shared" si="2294"/>
        <v>300</v>
      </c>
      <c r="F1027" s="1871">
        <f>SUM(F1019:F1026)</f>
        <v>0</v>
      </c>
      <c r="G1027" s="1871">
        <f>SUM(G1019:G1026)</f>
        <v>0</v>
      </c>
      <c r="H1027" s="1871">
        <f>SUM(H1019:H1026)</f>
        <v>0</v>
      </c>
      <c r="I1027" s="1899">
        <f t="shared" si="2295"/>
        <v>0</v>
      </c>
      <c r="J1027" s="1900">
        <f t="shared" si="2296"/>
        <v>300</v>
      </c>
      <c r="K1027" s="1871">
        <f>SUM(K1019:K1026)</f>
        <v>0</v>
      </c>
      <c r="L1027" s="1871">
        <f>SUM(L1019:L1026)</f>
        <v>0</v>
      </c>
      <c r="M1027" s="1871">
        <f>SUM(M1019:M1026)</f>
        <v>0</v>
      </c>
      <c r="N1027" s="1895">
        <f t="shared" si="2297"/>
        <v>0</v>
      </c>
      <c r="O1027" s="1896">
        <f t="shared" si="2298"/>
        <v>300</v>
      </c>
      <c r="P1027" s="1871">
        <f>SUM(P1019:P1026)</f>
        <v>0</v>
      </c>
      <c r="Q1027" s="1871">
        <f>SUM(Q1019:Q1026)</f>
        <v>0</v>
      </c>
      <c r="R1027" s="1871">
        <f>SUM(R1019:R1026)</f>
        <v>0</v>
      </c>
      <c r="S1027" s="1899">
        <f t="shared" si="2299"/>
        <v>0</v>
      </c>
      <c r="T1027" s="1901">
        <f t="shared" si="2300"/>
        <v>300</v>
      </c>
    </row>
    <row r="1028">
      <c r="A1028" s="1179" t="s">
        <v>542</v>
      </c>
      <c r="B1028" s="1868"/>
      <c r="C1028" s="1868"/>
      <c r="D1028" s="1868"/>
      <c r="E1028" s="1895">
        <f t="shared" si="2294"/>
        <v>0</v>
      </c>
      <c r="F1028" s="1868"/>
      <c r="G1028" s="1868"/>
      <c r="H1028" s="1868"/>
      <c r="I1028" s="1895">
        <f t="shared" si="2295"/>
        <v>0</v>
      </c>
      <c r="J1028" s="1896">
        <f t="shared" si="2296"/>
        <v>0</v>
      </c>
      <c r="K1028" s="1868"/>
      <c r="L1028" s="1868"/>
      <c r="M1028" s="1868"/>
      <c r="N1028" s="1895">
        <f t="shared" si="2297"/>
        <v>0</v>
      </c>
      <c r="O1028" s="1896">
        <f t="shared" si="2298"/>
        <v>0</v>
      </c>
      <c r="P1028" s="1868"/>
      <c r="Q1028" s="1868"/>
      <c r="R1028" s="1868"/>
      <c r="S1028" s="1895">
        <f t="shared" si="2299"/>
        <v>0</v>
      </c>
      <c r="T1028" s="1897">
        <f t="shared" si="2300"/>
        <v>0</v>
      </c>
    </row>
    <row r="1029">
      <c r="A1029" s="1179" t="s">
        <v>195</v>
      </c>
      <c r="B1029" s="1868">
        <v>180</v>
      </c>
      <c r="C1029" s="1868">
        <v>418</v>
      </c>
      <c r="D1029" s="1868"/>
      <c r="E1029" s="1895">
        <f t="shared" si="2294"/>
        <v>598</v>
      </c>
      <c r="F1029" s="1868"/>
      <c r="G1029" s="1868"/>
      <c r="H1029" s="1868"/>
      <c r="I1029" s="1895">
        <f t="shared" si="2295"/>
        <v>0</v>
      </c>
      <c r="J1029" s="1896">
        <f t="shared" si="2296"/>
        <v>598</v>
      </c>
      <c r="K1029" s="1868"/>
      <c r="L1029" s="1868"/>
      <c r="M1029" s="1868"/>
      <c r="N1029" s="1895">
        <f t="shared" si="2297"/>
        <v>0</v>
      </c>
      <c r="O1029" s="1896">
        <f t="shared" si="2298"/>
        <v>598</v>
      </c>
      <c r="P1029" s="1868"/>
      <c r="Q1029" s="1868"/>
      <c r="R1029" s="1868"/>
      <c r="S1029" s="1895">
        <f t="shared" si="2299"/>
        <v>0</v>
      </c>
      <c r="T1029" s="1897">
        <f t="shared" si="2300"/>
        <v>598</v>
      </c>
    </row>
    <row r="1030">
      <c r="A1030" s="1179" t="s">
        <v>196</v>
      </c>
      <c r="B1030" s="1868"/>
      <c r="C1030" s="1868">
        <v>69</v>
      </c>
      <c r="D1030" s="1868"/>
      <c r="E1030" s="1895">
        <f t="shared" si="2294"/>
        <v>69</v>
      </c>
      <c r="F1030" s="1868"/>
      <c r="G1030" s="1868"/>
      <c r="H1030" s="1868"/>
      <c r="I1030" s="1895">
        <f t="shared" si="2295"/>
        <v>0</v>
      </c>
      <c r="J1030" s="1896">
        <f t="shared" si="2296"/>
        <v>69</v>
      </c>
      <c r="K1030" s="1868"/>
      <c r="L1030" s="1868"/>
      <c r="M1030" s="1868"/>
      <c r="N1030" s="1895">
        <f t="shared" si="2297"/>
        <v>0</v>
      </c>
      <c r="O1030" s="1896">
        <f t="shared" si="2298"/>
        <v>69</v>
      </c>
      <c r="P1030" s="1868"/>
      <c r="Q1030" s="1868"/>
      <c r="R1030" s="1868"/>
      <c r="S1030" s="1895">
        <f t="shared" si="2299"/>
        <v>0</v>
      </c>
      <c r="T1030" s="1897">
        <f t="shared" si="2300"/>
        <v>69</v>
      </c>
    </row>
    <row r="1031">
      <c r="A1031" s="1179" t="s">
        <v>367</v>
      </c>
      <c r="B1031" s="1868"/>
      <c r="C1031" s="1868"/>
      <c r="D1031" s="1868"/>
      <c r="E1031" s="1895">
        <f t="shared" si="2294"/>
        <v>0</v>
      </c>
      <c r="F1031" s="1868"/>
      <c r="G1031" s="1868"/>
      <c r="H1031" s="1868"/>
      <c r="I1031" s="1895">
        <f t="shared" si="2295"/>
        <v>0</v>
      </c>
      <c r="J1031" s="1896">
        <f t="shared" si="2296"/>
        <v>0</v>
      </c>
      <c r="K1031" s="1868"/>
      <c r="L1031" s="1868"/>
      <c r="M1031" s="1868"/>
      <c r="N1031" s="1895">
        <f t="shared" si="2297"/>
        <v>0</v>
      </c>
      <c r="O1031" s="1896">
        <f t="shared" si="2298"/>
        <v>0</v>
      </c>
      <c r="P1031" s="1868"/>
      <c r="Q1031" s="1868"/>
      <c r="R1031" s="1868"/>
      <c r="S1031" s="1895">
        <f t="shared" si="2299"/>
        <v>0</v>
      </c>
      <c r="T1031" s="1897">
        <f t="shared" si="2300"/>
        <v>0</v>
      </c>
    </row>
    <row r="1032">
      <c r="A1032" s="1179" t="s">
        <v>201</v>
      </c>
      <c r="B1032" s="1868">
        <v>199</v>
      </c>
      <c r="C1032" s="1868">
        <v>317</v>
      </c>
      <c r="D1032" s="1868"/>
      <c r="E1032" s="1895">
        <f t="shared" si="2294"/>
        <v>516</v>
      </c>
      <c r="F1032" s="1868"/>
      <c r="G1032" s="1868"/>
      <c r="H1032" s="1868"/>
      <c r="I1032" s="1895">
        <f t="shared" si="2295"/>
        <v>0</v>
      </c>
      <c r="J1032" s="1896">
        <f t="shared" si="2296"/>
        <v>516</v>
      </c>
      <c r="K1032" s="1868"/>
      <c r="L1032" s="1868"/>
      <c r="M1032" s="1868"/>
      <c r="N1032" s="1895">
        <f t="shared" si="2297"/>
        <v>0</v>
      </c>
      <c r="O1032" s="1896">
        <f t="shared" si="2298"/>
        <v>516</v>
      </c>
      <c r="P1032" s="1868"/>
      <c r="Q1032" s="1868"/>
      <c r="R1032" s="1868"/>
      <c r="S1032" s="1895">
        <f t="shared" si="2299"/>
        <v>0</v>
      </c>
      <c r="T1032" s="1897">
        <f t="shared" si="2300"/>
        <v>516</v>
      </c>
    </row>
    <row r="1033">
      <c r="A1033" s="1179" t="s">
        <v>203</v>
      </c>
      <c r="B1033" s="1868">
        <v>46</v>
      </c>
      <c r="C1033" s="1868">
        <v>65</v>
      </c>
      <c r="D1033" s="1868"/>
      <c r="E1033" s="1895">
        <f t="shared" si="2294"/>
        <v>111</v>
      </c>
      <c r="F1033" s="1868"/>
      <c r="G1033" s="1868"/>
      <c r="H1033" s="1868"/>
      <c r="I1033" s="1895">
        <f t="shared" si="2295"/>
        <v>0</v>
      </c>
      <c r="J1033" s="1896">
        <f t="shared" si="2296"/>
        <v>111</v>
      </c>
      <c r="K1033" s="1868"/>
      <c r="L1033" s="1868"/>
      <c r="M1033" s="1868"/>
      <c r="N1033" s="1895">
        <f t="shared" si="2297"/>
        <v>0</v>
      </c>
      <c r="O1033" s="1896">
        <f t="shared" si="2298"/>
        <v>111</v>
      </c>
      <c r="P1033" s="1868"/>
      <c r="Q1033" s="1868"/>
      <c r="R1033" s="1868"/>
      <c r="S1033" s="1895">
        <f t="shared" si="2299"/>
        <v>0</v>
      </c>
      <c r="T1033" s="1897">
        <f t="shared" si="2300"/>
        <v>111</v>
      </c>
    </row>
    <row r="1034">
      <c r="A1034" s="1179" t="s">
        <v>204</v>
      </c>
      <c r="B1034" s="1868">
        <v>11</v>
      </c>
      <c r="C1034" s="1868">
        <v>168</v>
      </c>
      <c r="D1034" s="1868"/>
      <c r="E1034" s="1895">
        <f t="shared" si="2294"/>
        <v>179</v>
      </c>
      <c r="F1034" s="1868"/>
      <c r="G1034" s="1868"/>
      <c r="H1034" s="1868"/>
      <c r="I1034" s="1895">
        <f t="shared" si="2295"/>
        <v>0</v>
      </c>
      <c r="J1034" s="1896">
        <f t="shared" si="2296"/>
        <v>179</v>
      </c>
      <c r="K1034" s="1868"/>
      <c r="L1034" s="1868"/>
      <c r="M1034" s="1868"/>
      <c r="N1034" s="1895">
        <f t="shared" si="2297"/>
        <v>0</v>
      </c>
      <c r="O1034" s="1896">
        <f t="shared" si="2298"/>
        <v>179</v>
      </c>
      <c r="P1034" s="1868"/>
      <c r="Q1034" s="1868"/>
      <c r="R1034" s="1868"/>
      <c r="S1034" s="1895">
        <f t="shared" si="2299"/>
        <v>0</v>
      </c>
      <c r="T1034" s="1897">
        <f t="shared" si="2300"/>
        <v>179</v>
      </c>
    </row>
    <row r="1035">
      <c r="A1035" s="1179" t="s">
        <v>205</v>
      </c>
      <c r="B1035" s="1868">
        <v>297</v>
      </c>
      <c r="C1035" s="1868">
        <v>304</v>
      </c>
      <c r="D1035" s="1868"/>
      <c r="E1035" s="1895">
        <f t="shared" si="2294"/>
        <v>601</v>
      </c>
      <c r="F1035" s="1868"/>
      <c r="G1035" s="1868"/>
      <c r="H1035" s="1868"/>
      <c r="I1035" s="1895">
        <f t="shared" si="2295"/>
        <v>0</v>
      </c>
      <c r="J1035" s="1896">
        <f t="shared" si="2296"/>
        <v>601</v>
      </c>
      <c r="K1035" s="1868"/>
      <c r="L1035" s="1868"/>
      <c r="M1035" s="1868"/>
      <c r="N1035" s="1895">
        <f t="shared" si="2297"/>
        <v>0</v>
      </c>
      <c r="O1035" s="1896">
        <f t="shared" si="2298"/>
        <v>601</v>
      </c>
      <c r="P1035" s="1868"/>
      <c r="Q1035" s="1868"/>
      <c r="R1035" s="1868"/>
      <c r="S1035" s="1895">
        <f t="shared" si="2299"/>
        <v>0</v>
      </c>
      <c r="T1035" s="1897">
        <f t="shared" si="2300"/>
        <v>601</v>
      </c>
    </row>
    <row r="1036">
      <c r="A1036" s="1179" t="s">
        <v>805</v>
      </c>
      <c r="B1036" s="1868">
        <f>138+65</f>
        <v>203</v>
      </c>
      <c r="C1036" s="1868">
        <f>138+86</f>
        <v>224</v>
      </c>
      <c r="D1036" s="1868"/>
      <c r="E1036" s="1895">
        <f t="shared" si="2294"/>
        <v>427</v>
      </c>
      <c r="F1036" s="1868"/>
      <c r="G1036" s="1868"/>
      <c r="H1036" s="1868"/>
      <c r="I1036" s="1895">
        <f t="shared" si="2295"/>
        <v>0</v>
      </c>
      <c r="J1036" s="1896">
        <f t="shared" si="2296"/>
        <v>427</v>
      </c>
      <c r="K1036" s="1868"/>
      <c r="L1036" s="1868"/>
      <c r="M1036" s="1868"/>
      <c r="N1036" s="1895">
        <f t="shared" si="2297"/>
        <v>0</v>
      </c>
      <c r="O1036" s="1896">
        <f t="shared" si="2298"/>
        <v>427</v>
      </c>
      <c r="P1036" s="1868"/>
      <c r="Q1036" s="1868"/>
      <c r="R1036" s="1868"/>
      <c r="S1036" s="1895">
        <f t="shared" si="2299"/>
        <v>0</v>
      </c>
      <c r="T1036" s="1897">
        <f t="shared" si="2300"/>
        <v>427</v>
      </c>
    </row>
    <row r="1037">
      <c r="A1037" s="1179" t="s">
        <v>207</v>
      </c>
      <c r="B1037" s="1868">
        <v>96</v>
      </c>
      <c r="C1037" s="1868">
        <v>182</v>
      </c>
      <c r="D1037" s="1868"/>
      <c r="E1037" s="1895">
        <f t="shared" si="2294"/>
        <v>278</v>
      </c>
      <c r="F1037" s="1868"/>
      <c r="G1037" s="1868"/>
      <c r="H1037" s="1868"/>
      <c r="I1037" s="1895">
        <f t="shared" si="2295"/>
        <v>0</v>
      </c>
      <c r="J1037" s="1896">
        <f t="shared" si="2296"/>
        <v>278</v>
      </c>
      <c r="K1037" s="1868"/>
      <c r="L1037" s="1868"/>
      <c r="M1037" s="1868"/>
      <c r="N1037" s="1895">
        <f t="shared" si="2297"/>
        <v>0</v>
      </c>
      <c r="O1037" s="1896">
        <f t="shared" si="2298"/>
        <v>278</v>
      </c>
      <c r="P1037" s="1868"/>
      <c r="Q1037" s="1868"/>
      <c r="R1037" s="1868"/>
      <c r="S1037" s="1895">
        <f t="shared" si="2299"/>
        <v>0</v>
      </c>
      <c r="T1037" s="1897">
        <f t="shared" si="2300"/>
        <v>278</v>
      </c>
    </row>
    <row r="1038">
      <c r="A1038" s="1179" t="s">
        <v>209</v>
      </c>
      <c r="B1038" s="1868">
        <v>59</v>
      </c>
      <c r="C1038" s="1868">
        <v>76</v>
      </c>
      <c r="D1038" s="1868"/>
      <c r="E1038" s="1895">
        <f t="shared" si="2294"/>
        <v>135</v>
      </c>
      <c r="F1038" s="1868"/>
      <c r="G1038" s="1868"/>
      <c r="H1038" s="1868"/>
      <c r="I1038" s="1895">
        <f t="shared" si="2295"/>
        <v>0</v>
      </c>
      <c r="J1038" s="1896">
        <f t="shared" si="2296"/>
        <v>135</v>
      </c>
      <c r="K1038" s="1868"/>
      <c r="L1038" s="1868"/>
      <c r="M1038" s="1868"/>
      <c r="N1038" s="1895">
        <f t="shared" si="2297"/>
        <v>0</v>
      </c>
      <c r="O1038" s="1896">
        <f t="shared" si="2298"/>
        <v>135</v>
      </c>
      <c r="P1038" s="1868"/>
      <c r="Q1038" s="1868"/>
      <c r="R1038" s="1868"/>
      <c r="S1038" s="1895">
        <f t="shared" si="2299"/>
        <v>0</v>
      </c>
      <c r="T1038" s="1897">
        <f t="shared" si="2300"/>
        <v>135</v>
      </c>
    </row>
    <row r="1039">
      <c r="A1039" s="1179" t="s">
        <v>210</v>
      </c>
      <c r="B1039" s="1868">
        <v>584</v>
      </c>
      <c r="C1039" s="1868">
        <v>306</v>
      </c>
      <c r="D1039" s="1868"/>
      <c r="E1039" s="1895">
        <f t="shared" si="2294"/>
        <v>890</v>
      </c>
      <c r="F1039" s="1868"/>
      <c r="G1039" s="1868"/>
      <c r="H1039" s="1868"/>
      <c r="I1039" s="1895">
        <f t="shared" si="2295"/>
        <v>0</v>
      </c>
      <c r="J1039" s="1896">
        <f t="shared" si="2296"/>
        <v>890</v>
      </c>
      <c r="K1039" s="1868"/>
      <c r="L1039" s="1868"/>
      <c r="M1039" s="1868"/>
      <c r="N1039" s="1895">
        <f t="shared" si="2297"/>
        <v>0</v>
      </c>
      <c r="O1039" s="1896">
        <f t="shared" si="2298"/>
        <v>890</v>
      </c>
      <c r="P1039" s="1868"/>
      <c r="Q1039" s="1868"/>
      <c r="R1039" s="1868"/>
      <c r="S1039" s="1895">
        <f t="shared" si="2299"/>
        <v>0</v>
      </c>
      <c r="T1039" s="1897">
        <f t="shared" si="2300"/>
        <v>890</v>
      </c>
    </row>
    <row r="1040">
      <c r="A1040" s="1179" t="s">
        <v>211</v>
      </c>
      <c r="B1040" s="1868">
        <v>268</v>
      </c>
      <c r="C1040" s="1868">
        <v>319</v>
      </c>
      <c r="D1040" s="1868"/>
      <c r="E1040" s="1895">
        <f t="shared" si="2294"/>
        <v>587</v>
      </c>
      <c r="F1040" s="1868"/>
      <c r="G1040" s="1868"/>
      <c r="H1040" s="1868"/>
      <c r="I1040" s="1895">
        <f t="shared" si="2295"/>
        <v>0</v>
      </c>
      <c r="J1040" s="1896">
        <f t="shared" si="2296"/>
        <v>587</v>
      </c>
      <c r="K1040" s="1868"/>
      <c r="L1040" s="1868"/>
      <c r="M1040" s="1868"/>
      <c r="N1040" s="1895">
        <f t="shared" si="2297"/>
        <v>0</v>
      </c>
      <c r="O1040" s="1896">
        <f t="shared" si="2298"/>
        <v>587</v>
      </c>
      <c r="P1040" s="1868"/>
      <c r="Q1040" s="1868"/>
      <c r="R1040" s="1868"/>
      <c r="S1040" s="1895">
        <f t="shared" si="2299"/>
        <v>0</v>
      </c>
      <c r="T1040" s="1897">
        <f t="shared" si="2300"/>
        <v>587</v>
      </c>
    </row>
    <row r="1041">
      <c r="A1041" s="1511" t="s">
        <v>363</v>
      </c>
      <c r="B1041" s="1871">
        <f>SUM(B1028:B1040)</f>
        <v>1943</v>
      </c>
      <c r="C1041" s="1871">
        <f>SUM(C1028:C1040)</f>
        <v>2448</v>
      </c>
      <c r="D1041" s="1871">
        <f>SUM(D1028:D1040)</f>
        <v>0</v>
      </c>
      <c r="E1041" s="1895">
        <f t="shared" si="2294"/>
        <v>4391</v>
      </c>
      <c r="F1041" s="1871">
        <f>SUM(F1028:F1040)</f>
        <v>0</v>
      </c>
      <c r="G1041" s="1871">
        <f>SUM(G1028:G1040)</f>
        <v>0</v>
      </c>
      <c r="H1041" s="1871">
        <f>SUM(H1028:H1040)</f>
        <v>0</v>
      </c>
      <c r="I1041" s="1899">
        <f t="shared" si="2295"/>
        <v>0</v>
      </c>
      <c r="J1041" s="1900">
        <f t="shared" si="2296"/>
        <v>4391</v>
      </c>
      <c r="K1041" s="1871">
        <f>SUM(K1028:K1040)</f>
        <v>0</v>
      </c>
      <c r="L1041" s="1871">
        <f>SUM(L1028:L1040)</f>
        <v>0</v>
      </c>
      <c r="M1041" s="1871">
        <f>SUM(M1028:M1040)</f>
        <v>0</v>
      </c>
      <c r="N1041" s="1895">
        <f t="shared" si="2297"/>
        <v>0</v>
      </c>
      <c r="O1041" s="1896">
        <f t="shared" si="2298"/>
        <v>4391</v>
      </c>
      <c r="P1041" s="1871">
        <f>SUM(P1028:P1040)</f>
        <v>0</v>
      </c>
      <c r="Q1041" s="1871">
        <f>SUM(Q1028:Q1040)</f>
        <v>0</v>
      </c>
      <c r="R1041" s="1871">
        <f>SUM(R1028:R1040)</f>
        <v>0</v>
      </c>
      <c r="S1041" s="1899">
        <f t="shared" si="2299"/>
        <v>0</v>
      </c>
      <c r="T1041" s="1901">
        <f t="shared" si="2300"/>
        <v>4391</v>
      </c>
      <c r="V1041" s="1908"/>
    </row>
    <row r="1042">
      <c r="A1042" s="1179" t="s">
        <v>379</v>
      </c>
      <c r="B1042" s="1868">
        <v>485</v>
      </c>
      <c r="C1042" s="1868">
        <v>421</v>
      </c>
      <c r="D1042" s="1868"/>
      <c r="E1042" s="1895">
        <f t="shared" si="2294"/>
        <v>906</v>
      </c>
      <c r="F1042" s="1868"/>
      <c r="G1042" s="1868"/>
      <c r="H1042" s="1868"/>
      <c r="I1042" s="1895">
        <f t="shared" si="2295"/>
        <v>0</v>
      </c>
      <c r="J1042" s="1896">
        <f t="shared" si="2296"/>
        <v>906</v>
      </c>
      <c r="K1042" s="1868"/>
      <c r="L1042" s="1868"/>
      <c r="M1042" s="1868"/>
      <c r="N1042" s="1895">
        <f t="shared" si="2297"/>
        <v>0</v>
      </c>
      <c r="O1042" s="1896">
        <f t="shared" si="2298"/>
        <v>906</v>
      </c>
      <c r="P1042" s="1868"/>
      <c r="Q1042" s="1868"/>
      <c r="R1042" s="1868"/>
      <c r="S1042" s="1895">
        <f t="shared" si="2299"/>
        <v>0</v>
      </c>
      <c r="T1042" s="1897">
        <f t="shared" si="2300"/>
        <v>906</v>
      </c>
      <c r="V1042" s="1832"/>
    </row>
    <row r="1043">
      <c r="A1043" s="1551" t="s">
        <v>525</v>
      </c>
      <c r="B1043" s="1868">
        <v>55</v>
      </c>
      <c r="C1043" s="1868">
        <v>76</v>
      </c>
      <c r="D1043" s="1868"/>
      <c r="E1043" s="1895">
        <f t="shared" si="2294"/>
        <v>131</v>
      </c>
      <c r="F1043" s="1868"/>
      <c r="G1043" s="1868"/>
      <c r="H1043" s="1868"/>
      <c r="I1043" s="1895">
        <f t="shared" si="2295"/>
        <v>0</v>
      </c>
      <c r="J1043" s="1896">
        <f t="shared" si="2296"/>
        <v>131</v>
      </c>
      <c r="K1043" s="1868"/>
      <c r="L1043" s="1868"/>
      <c r="M1043" s="1868"/>
      <c r="N1043" s="1895">
        <f t="shared" si="2297"/>
        <v>0</v>
      </c>
      <c r="O1043" s="1896">
        <f t="shared" si="2298"/>
        <v>131</v>
      </c>
      <c r="P1043" s="1868"/>
      <c r="Q1043" s="1868"/>
      <c r="R1043" s="1868"/>
      <c r="S1043" s="1895">
        <f t="shared" si="2299"/>
        <v>0</v>
      </c>
      <c r="T1043" s="1897">
        <f t="shared" si="2300"/>
        <v>131</v>
      </c>
      <c r="V1043" s="1832"/>
    </row>
    <row r="1044">
      <c r="A1044" s="1179" t="s">
        <v>387</v>
      </c>
      <c r="B1044" s="1868">
        <v>838</v>
      </c>
      <c r="C1044" s="1868">
        <v>959</v>
      </c>
      <c r="D1044" s="1868"/>
      <c r="E1044" s="1895">
        <f t="shared" si="2294"/>
        <v>1797</v>
      </c>
      <c r="F1044" s="1868"/>
      <c r="G1044" s="1868"/>
      <c r="H1044" s="1868"/>
      <c r="I1044" s="1895">
        <f t="shared" si="2295"/>
        <v>0</v>
      </c>
      <c r="J1044" s="1896">
        <f t="shared" si="2296"/>
        <v>1797</v>
      </c>
      <c r="K1044" s="1868"/>
      <c r="L1044" s="1868"/>
      <c r="M1044" s="1868"/>
      <c r="N1044" s="1895">
        <f t="shared" si="2297"/>
        <v>0</v>
      </c>
      <c r="O1044" s="1896">
        <f t="shared" si="2298"/>
        <v>1797</v>
      </c>
      <c r="P1044" s="1868"/>
      <c r="Q1044" s="1868"/>
      <c r="R1044" s="1868"/>
      <c r="S1044" s="1895">
        <f t="shared" si="2299"/>
        <v>0</v>
      </c>
      <c r="T1044" s="1897">
        <f t="shared" si="2300"/>
        <v>1797</v>
      </c>
      <c r="V1044" s="1832"/>
    </row>
    <row r="1045">
      <c r="A1045" s="1551" t="s">
        <v>806</v>
      </c>
      <c r="B1045" s="1868">
        <v>353</v>
      </c>
      <c r="C1045" s="1868">
        <v>464</v>
      </c>
      <c r="D1045" s="1868"/>
      <c r="E1045" s="1895">
        <f t="shared" si="2294"/>
        <v>817</v>
      </c>
      <c r="F1045" s="1868"/>
      <c r="G1045" s="1868"/>
      <c r="H1045" s="1868"/>
      <c r="I1045" s="1895">
        <f t="shared" si="2295"/>
        <v>0</v>
      </c>
      <c r="J1045" s="1896">
        <f t="shared" si="2296"/>
        <v>817</v>
      </c>
      <c r="K1045" s="1868"/>
      <c r="L1045" s="1868"/>
      <c r="M1045" s="1868"/>
      <c r="N1045" s="1895">
        <f t="shared" si="2297"/>
        <v>0</v>
      </c>
      <c r="O1045" s="1896">
        <f t="shared" si="2298"/>
        <v>817</v>
      </c>
      <c r="P1045" s="1868"/>
      <c r="Q1045" s="1868"/>
      <c r="R1045" s="1868"/>
      <c r="S1045" s="1895">
        <f t="shared" si="2299"/>
        <v>0</v>
      </c>
      <c r="T1045" s="1897">
        <f t="shared" si="2300"/>
        <v>817</v>
      </c>
      <c r="V1045" s="1832"/>
    </row>
    <row r="1046">
      <c r="A1046" s="1511" t="s">
        <v>544</v>
      </c>
      <c r="B1046" s="1871">
        <f t="shared" ref="B1046:H1046" si="2301">SUM(B1042:B1045)</f>
        <v>1731</v>
      </c>
      <c r="C1046" s="1871">
        <f t="shared" si="2301"/>
        <v>1920</v>
      </c>
      <c r="D1046" s="1871">
        <f t="shared" si="2301"/>
        <v>0</v>
      </c>
      <c r="E1046" s="1895">
        <f t="shared" si="2294"/>
        <v>3651</v>
      </c>
      <c r="F1046" s="1871">
        <f>SUM(F1042:F1045)</f>
        <v>0</v>
      </c>
      <c r="G1046" s="1871">
        <f>SUM(G1042:G1045)</f>
        <v>0</v>
      </c>
      <c r="H1046" s="1871">
        <f t="shared" si="2301"/>
        <v>0</v>
      </c>
      <c r="I1046" s="1899">
        <f t="shared" si="2295"/>
        <v>0</v>
      </c>
      <c r="J1046" s="1900">
        <f t="shared" si="2296"/>
        <v>3651</v>
      </c>
      <c r="K1046" s="1871">
        <f>SUM(K1042:K1045)</f>
        <v>0</v>
      </c>
      <c r="L1046" s="1871">
        <f>SUM(L1042:L1045)</f>
        <v>0</v>
      </c>
      <c r="M1046" s="1871">
        <f>SUM(M1042:M1045)</f>
        <v>0</v>
      </c>
      <c r="N1046" s="1895">
        <f t="shared" si="2297"/>
        <v>0</v>
      </c>
      <c r="O1046" s="1896">
        <f t="shared" si="2298"/>
        <v>3651</v>
      </c>
      <c r="P1046" s="1871">
        <f>SUM(P1042:P1045)</f>
        <v>0</v>
      </c>
      <c r="Q1046" s="1871">
        <f>SUM(Q1042:Q1045)</f>
        <v>0</v>
      </c>
      <c r="R1046" s="1871">
        <f>SUM(R1042:R1045)</f>
        <v>0</v>
      </c>
      <c r="S1046" s="1899">
        <f t="shared" si="2299"/>
        <v>0</v>
      </c>
      <c r="T1046" s="1901">
        <f t="shared" si="2300"/>
        <v>3651</v>
      </c>
      <c r="V1046" s="1908"/>
    </row>
    <row r="1047">
      <c r="A1047" s="1179" t="s">
        <v>390</v>
      </c>
      <c r="B1047" s="1868">
        <v>38</v>
      </c>
      <c r="C1047" s="1868">
        <v>61</v>
      </c>
      <c r="D1047" s="1868"/>
      <c r="E1047" s="1895">
        <f t="shared" si="2294"/>
        <v>99</v>
      </c>
      <c r="F1047" s="1868"/>
      <c r="G1047" s="1868"/>
      <c r="H1047" s="1868"/>
      <c r="I1047" s="1895">
        <f t="shared" si="2295"/>
        <v>0</v>
      </c>
      <c r="J1047" s="1896">
        <f t="shared" si="2296"/>
        <v>99</v>
      </c>
      <c r="K1047" s="1868"/>
      <c r="L1047" s="1868"/>
      <c r="M1047" s="1868"/>
      <c r="N1047" s="1895">
        <f t="shared" si="2297"/>
        <v>0</v>
      </c>
      <c r="O1047" s="1896">
        <f t="shared" si="2298"/>
        <v>99</v>
      </c>
      <c r="P1047" s="1868"/>
      <c r="Q1047" s="1868"/>
      <c r="R1047" s="1868"/>
      <c r="S1047" s="1895">
        <f t="shared" si="2299"/>
        <v>0</v>
      </c>
      <c r="T1047" s="1897">
        <f t="shared" si="2300"/>
        <v>99</v>
      </c>
      <c r="V1047" s="1832"/>
    </row>
    <row r="1048">
      <c r="A1048" s="1179" t="s">
        <v>392</v>
      </c>
      <c r="B1048" s="1868">
        <v>63</v>
      </c>
      <c r="C1048" s="1868">
        <v>40</v>
      </c>
      <c r="D1048" s="1868"/>
      <c r="E1048" s="1895">
        <f t="shared" si="2294"/>
        <v>103</v>
      </c>
      <c r="F1048" s="1868"/>
      <c r="G1048" s="1868"/>
      <c r="H1048" s="1868"/>
      <c r="I1048" s="1895">
        <f t="shared" si="2295"/>
        <v>0</v>
      </c>
      <c r="J1048" s="1896">
        <f t="shared" si="2296"/>
        <v>103</v>
      </c>
      <c r="K1048" s="1868"/>
      <c r="L1048" s="1868"/>
      <c r="M1048" s="1868"/>
      <c r="N1048" s="1895">
        <f t="shared" si="2297"/>
        <v>0</v>
      </c>
      <c r="O1048" s="1896">
        <f t="shared" si="2298"/>
        <v>103</v>
      </c>
      <c r="P1048" s="1868"/>
      <c r="Q1048" s="1868"/>
      <c r="R1048" s="1868"/>
      <c r="S1048" s="1895">
        <f t="shared" si="2299"/>
        <v>0</v>
      </c>
      <c r="T1048" s="1897">
        <f t="shared" si="2300"/>
        <v>103</v>
      </c>
      <c r="V1048" s="1832"/>
    </row>
    <row r="1049">
      <c r="A1049" s="1179" t="s">
        <v>265</v>
      </c>
      <c r="B1049" s="1868">
        <v>382</v>
      </c>
      <c r="C1049" s="1868">
        <v>427</v>
      </c>
      <c r="D1049" s="1868"/>
      <c r="E1049" s="1895">
        <f t="shared" si="2294"/>
        <v>809</v>
      </c>
      <c r="F1049" s="1868"/>
      <c r="G1049" s="1868"/>
      <c r="H1049" s="1868"/>
      <c r="I1049" s="1895">
        <f t="shared" si="2295"/>
        <v>0</v>
      </c>
      <c r="J1049" s="1896">
        <f t="shared" si="2296"/>
        <v>809</v>
      </c>
      <c r="K1049" s="1868"/>
      <c r="L1049" s="1868"/>
      <c r="M1049" s="1868"/>
      <c r="N1049" s="1895">
        <f t="shared" si="2297"/>
        <v>0</v>
      </c>
      <c r="O1049" s="1896">
        <f t="shared" si="2298"/>
        <v>809</v>
      </c>
      <c r="P1049" s="1868"/>
      <c r="Q1049" s="1868"/>
      <c r="R1049" s="1868"/>
      <c r="S1049" s="1895">
        <f t="shared" si="2299"/>
        <v>0</v>
      </c>
      <c r="T1049" s="1897">
        <f t="shared" si="2300"/>
        <v>809</v>
      </c>
      <c r="V1049" s="1832"/>
    </row>
    <row r="1050">
      <c r="A1050" s="1511" t="s">
        <v>394</v>
      </c>
      <c r="B1050" s="1871">
        <f>SUM(B1047:B1049)</f>
        <v>483</v>
      </c>
      <c r="C1050" s="1871">
        <f>SUM(C1047:C1049)</f>
        <v>528</v>
      </c>
      <c r="D1050" s="1871">
        <f>SUM(D1047:D1049)</f>
        <v>0</v>
      </c>
      <c r="E1050" s="1895">
        <f t="shared" si="2294"/>
        <v>1011</v>
      </c>
      <c r="F1050" s="1871">
        <f>SUM(F1047:F1049)</f>
        <v>0</v>
      </c>
      <c r="G1050" s="1871">
        <f>SUM(G1047:G1049)</f>
        <v>0</v>
      </c>
      <c r="H1050" s="1871">
        <f>SUM(H1047:H1049)</f>
        <v>0</v>
      </c>
      <c r="I1050" s="1899">
        <f t="shared" si="2295"/>
        <v>0</v>
      </c>
      <c r="J1050" s="1900">
        <f t="shared" si="2296"/>
        <v>1011</v>
      </c>
      <c r="K1050" s="1871">
        <f>SUM(K1047:K1049)</f>
        <v>0</v>
      </c>
      <c r="L1050" s="1871">
        <f>SUM(L1047:L1049)</f>
        <v>0</v>
      </c>
      <c r="M1050" s="1871">
        <f>SUM(M1047:M1049)</f>
        <v>0</v>
      </c>
      <c r="N1050" s="1895">
        <f t="shared" si="2297"/>
        <v>0</v>
      </c>
      <c r="O1050" s="1896">
        <f t="shared" si="2298"/>
        <v>1011</v>
      </c>
      <c r="P1050" s="1871">
        <f>SUM(P1047:P1049)</f>
        <v>0</v>
      </c>
      <c r="Q1050" s="1871">
        <f>SUM(Q1047:Q1049)</f>
        <v>0</v>
      </c>
      <c r="R1050" s="1871">
        <f>SUM(R1047:R1049)</f>
        <v>0</v>
      </c>
      <c r="S1050" s="1899">
        <f t="shared" si="2299"/>
        <v>0</v>
      </c>
      <c r="T1050" s="1901">
        <f t="shared" si="2300"/>
        <v>1011</v>
      </c>
      <c r="V1050" s="1908"/>
    </row>
    <row r="1051">
      <c r="A1051" s="1511" t="s">
        <v>545</v>
      </c>
      <c r="B1051" s="1871">
        <f>SUM(B1050,B1046,B1041,B1027)</f>
        <v>4266</v>
      </c>
      <c r="C1051" s="1871">
        <f>SUM(C1050,C1046,C1041,C1027)</f>
        <v>5087</v>
      </c>
      <c r="D1051" s="1871">
        <f>SUM(D1050,D1046,D1041,D1027)</f>
        <v>0</v>
      </c>
      <c r="E1051" s="1895">
        <f t="shared" si="2294"/>
        <v>9353</v>
      </c>
      <c r="F1051" s="1871">
        <f>SUM(F1050,F1046,F1041,F1027)</f>
        <v>0</v>
      </c>
      <c r="G1051" s="1871">
        <f>SUM(G1050,G1046,G1041,G1027)</f>
        <v>0</v>
      </c>
      <c r="H1051" s="1871">
        <f>SUM(H1050,H1046,H1041,H1027)</f>
        <v>0</v>
      </c>
      <c r="I1051" s="1899">
        <f t="shared" si="2295"/>
        <v>0</v>
      </c>
      <c r="J1051" s="1900">
        <f t="shared" si="2296"/>
        <v>9353</v>
      </c>
      <c r="K1051" s="1871">
        <f>SUM(K1050,K1046,K1041,K1027)</f>
        <v>0</v>
      </c>
      <c r="L1051" s="1871">
        <f>SUM(L1050,L1046,L1041,L1027)</f>
        <v>0</v>
      </c>
      <c r="M1051" s="1871">
        <f>SUM(M1050,M1046,M1041,M1027)</f>
        <v>0</v>
      </c>
      <c r="N1051" s="1895">
        <f t="shared" si="2297"/>
        <v>0</v>
      </c>
      <c r="O1051" s="1896">
        <f t="shared" si="2298"/>
        <v>9353</v>
      </c>
      <c r="P1051" s="1871">
        <f>SUM(P1050,P1046,P1041,P1027)</f>
        <v>0</v>
      </c>
      <c r="Q1051" s="1871">
        <f>SUM(Q1050,Q1046,Q1041,Q1027)</f>
        <v>0</v>
      </c>
      <c r="R1051" s="1871">
        <f>SUM(R1050,R1046,R1041,R1027)</f>
        <v>0</v>
      </c>
      <c r="S1051" s="1899">
        <f t="shared" si="2299"/>
        <v>0</v>
      </c>
      <c r="T1051" s="1901">
        <f t="shared" si="2300"/>
        <v>9353</v>
      </c>
      <c r="V1051" s="1908"/>
    </row>
    <row r="1052">
      <c r="A1052" s="1179" t="s">
        <v>50</v>
      </c>
      <c r="B1052" s="1868">
        <v>632</v>
      </c>
      <c r="C1052" s="1868">
        <v>783</v>
      </c>
      <c r="D1052" s="1868"/>
      <c r="E1052" s="1895">
        <f t="shared" si="2294"/>
        <v>1415</v>
      </c>
      <c r="F1052" s="1868"/>
      <c r="G1052" s="1868"/>
      <c r="H1052" s="1868"/>
      <c r="I1052" s="1895">
        <f t="shared" si="2295"/>
        <v>0</v>
      </c>
      <c r="J1052" s="1896">
        <f t="shared" si="2296"/>
        <v>1415</v>
      </c>
      <c r="K1052" s="1868"/>
      <c r="L1052" s="1868"/>
      <c r="M1052" s="1868"/>
      <c r="N1052" s="1895">
        <f t="shared" si="2297"/>
        <v>0</v>
      </c>
      <c r="O1052" s="1896">
        <f t="shared" si="2298"/>
        <v>1415</v>
      </c>
      <c r="P1052" s="1868"/>
      <c r="Q1052" s="1868"/>
      <c r="R1052" s="1868"/>
      <c r="S1052" s="1895">
        <f t="shared" si="2299"/>
        <v>0</v>
      </c>
      <c r="T1052" s="1897">
        <f t="shared" si="2300"/>
        <v>1415</v>
      </c>
      <c r="V1052" s="1832"/>
    </row>
    <row r="1053">
      <c r="A1053" s="1179" t="s">
        <v>397</v>
      </c>
      <c r="B1053" s="1868">
        <v>248</v>
      </c>
      <c r="C1053" s="1868">
        <v>271</v>
      </c>
      <c r="D1053" s="1868"/>
      <c r="E1053" s="1895">
        <f t="shared" si="2294"/>
        <v>519</v>
      </c>
      <c r="F1053" s="1868"/>
      <c r="G1053" s="1868"/>
      <c r="H1053" s="1868"/>
      <c r="I1053" s="1895">
        <f t="shared" si="2295"/>
        <v>0</v>
      </c>
      <c r="J1053" s="1896">
        <f t="shared" si="2296"/>
        <v>519</v>
      </c>
      <c r="K1053" s="1868"/>
      <c r="L1053" s="1868"/>
      <c r="M1053" s="1868"/>
      <c r="N1053" s="1895">
        <f t="shared" si="2297"/>
        <v>0</v>
      </c>
      <c r="O1053" s="1896">
        <f t="shared" si="2298"/>
        <v>519</v>
      </c>
      <c r="P1053" s="1868"/>
      <c r="Q1053" s="1868"/>
      <c r="R1053" s="1868"/>
      <c r="S1053" s="1895">
        <f t="shared" si="2299"/>
        <v>0</v>
      </c>
      <c r="T1053" s="1897">
        <f t="shared" si="2300"/>
        <v>519</v>
      </c>
      <c r="V1053" s="1832"/>
    </row>
    <row r="1054">
      <c r="A1054" s="1179" t="s">
        <v>546</v>
      </c>
      <c r="B1054" s="1868">
        <v>323</v>
      </c>
      <c r="C1054" s="1868">
        <v>438</v>
      </c>
      <c r="D1054" s="1868"/>
      <c r="E1054" s="1895">
        <f t="shared" si="2294"/>
        <v>761</v>
      </c>
      <c r="F1054" s="1868"/>
      <c r="G1054" s="1868"/>
      <c r="H1054" s="1868"/>
      <c r="I1054" s="1895">
        <f t="shared" si="2295"/>
        <v>0</v>
      </c>
      <c r="J1054" s="1896">
        <f t="shared" si="2296"/>
        <v>761</v>
      </c>
      <c r="K1054" s="1868"/>
      <c r="L1054" s="1868"/>
      <c r="M1054" s="1868"/>
      <c r="N1054" s="1895">
        <f t="shared" si="2297"/>
        <v>0</v>
      </c>
      <c r="O1054" s="1896">
        <f t="shared" si="2298"/>
        <v>761</v>
      </c>
      <c r="P1054" s="1868"/>
      <c r="Q1054" s="1868"/>
      <c r="R1054" s="1868"/>
      <c r="S1054" s="1895">
        <f t="shared" si="2299"/>
        <v>0</v>
      </c>
      <c r="T1054" s="1897">
        <f t="shared" si="2300"/>
        <v>761</v>
      </c>
      <c r="V1054" s="1832"/>
    </row>
    <row r="1055">
      <c r="A1055" s="1179" t="s">
        <v>548</v>
      </c>
      <c r="B1055" s="1868">
        <f>3+12</f>
        <v>15</v>
      </c>
      <c r="C1055" s="1868">
        <f>30+25+18</f>
        <v>73</v>
      </c>
      <c r="D1055" s="1868"/>
      <c r="E1055" s="1895">
        <f t="shared" si="2294"/>
        <v>88</v>
      </c>
      <c r="F1055" s="1868"/>
      <c r="G1055" s="1868"/>
      <c r="H1055" s="1868"/>
      <c r="I1055" s="1895">
        <f t="shared" si="2295"/>
        <v>0</v>
      </c>
      <c r="J1055" s="1896">
        <f t="shared" si="2296"/>
        <v>88</v>
      </c>
      <c r="K1055" s="1868"/>
      <c r="L1055" s="1868"/>
      <c r="M1055" s="1868"/>
      <c r="N1055" s="1895">
        <f t="shared" si="2297"/>
        <v>0</v>
      </c>
      <c r="O1055" s="1896">
        <f t="shared" si="2298"/>
        <v>88</v>
      </c>
      <c r="P1055" s="1868"/>
      <c r="Q1055" s="1868"/>
      <c r="R1055" s="1868"/>
      <c r="S1055" s="1895">
        <f t="shared" si="2299"/>
        <v>0</v>
      </c>
      <c r="T1055" s="1897">
        <f t="shared" si="2300"/>
        <v>88</v>
      </c>
      <c r="U1055" s="2103"/>
      <c r="V1055" s="1832"/>
    </row>
    <row r="1056">
      <c r="A1056" s="1179" t="s">
        <v>549</v>
      </c>
      <c r="B1056" s="1868">
        <f>98+8+70</f>
        <v>176</v>
      </c>
      <c r="C1056" s="1868">
        <f>26+17+74</f>
        <v>117</v>
      </c>
      <c r="D1056" s="1868"/>
      <c r="E1056" s="1895">
        <f t="shared" si="2294"/>
        <v>293</v>
      </c>
      <c r="F1056" s="1868"/>
      <c r="G1056" s="1868"/>
      <c r="H1056" s="1868"/>
      <c r="I1056" s="1895">
        <f t="shared" si="2295"/>
        <v>0</v>
      </c>
      <c r="J1056" s="1896">
        <f t="shared" si="2296"/>
        <v>293</v>
      </c>
      <c r="K1056" s="1868"/>
      <c r="L1056" s="1868"/>
      <c r="M1056" s="1868"/>
      <c r="N1056" s="1895">
        <f t="shared" si="2297"/>
        <v>0</v>
      </c>
      <c r="O1056" s="1896">
        <f t="shared" si="2298"/>
        <v>293</v>
      </c>
      <c r="P1056" s="1868"/>
      <c r="Q1056" s="1868"/>
      <c r="R1056" s="1868"/>
      <c r="S1056" s="1895">
        <f t="shared" si="2299"/>
        <v>0</v>
      </c>
      <c r="T1056" s="1897">
        <f t="shared" si="2300"/>
        <v>293</v>
      </c>
      <c r="V1056" s="1832"/>
    </row>
    <row r="1057">
      <c r="A1057" s="1511" t="s">
        <v>22</v>
      </c>
      <c r="B1057" s="1871">
        <f>SUM(B1051:B1056)</f>
        <v>5660</v>
      </c>
      <c r="C1057" s="1871">
        <f>SUM(C1051:C1056)</f>
        <v>6769</v>
      </c>
      <c r="D1057" s="1871">
        <f>SUM(D1051:D1056)</f>
        <v>0</v>
      </c>
      <c r="E1057" s="1895">
        <f t="shared" si="2294"/>
        <v>12429</v>
      </c>
      <c r="F1057" s="1871">
        <f>SUM(F1051:F1056)</f>
        <v>0</v>
      </c>
      <c r="G1057" s="1871">
        <f>SUM(G1051:G1056)</f>
        <v>0</v>
      </c>
      <c r="H1057" s="1871">
        <f>SUM(H1051:H1056)</f>
        <v>0</v>
      </c>
      <c r="I1057" s="1899">
        <f t="shared" si="2295"/>
        <v>0</v>
      </c>
      <c r="J1057" s="1900">
        <f t="shared" si="2296"/>
        <v>12429</v>
      </c>
      <c r="K1057" s="1871">
        <f>SUM(K1051:K1056)</f>
        <v>0</v>
      </c>
      <c r="L1057" s="1871">
        <f>SUM(L1051:L1056)</f>
        <v>0</v>
      </c>
      <c r="M1057" s="1871">
        <f>SUM(M1051:M1056)</f>
        <v>0</v>
      </c>
      <c r="N1057" s="1895">
        <f t="shared" si="2297"/>
        <v>0</v>
      </c>
      <c r="O1057" s="1896">
        <f t="shared" si="2298"/>
        <v>12429</v>
      </c>
      <c r="P1057" s="1871">
        <f>SUM(P1051:P1056)</f>
        <v>0</v>
      </c>
      <c r="Q1057" s="1871">
        <f>SUM(Q1051:Q1056)</f>
        <v>0</v>
      </c>
      <c r="R1057" s="1871">
        <f>SUM(R1051:R1056)</f>
        <v>0</v>
      </c>
      <c r="S1057" s="1899">
        <f t="shared" si="2299"/>
        <v>0</v>
      </c>
      <c r="T1057" s="1901">
        <f t="shared" si="2300"/>
        <v>12429</v>
      </c>
      <c r="V1057" s="1908"/>
    </row>
    <row r="1058">
      <c r="A1058" s="1179" t="s">
        <v>241</v>
      </c>
      <c r="B1058" s="1868">
        <v>395</v>
      </c>
      <c r="C1058" s="1868">
        <v>292</v>
      </c>
      <c r="D1058" s="1868"/>
      <c r="E1058" s="1895">
        <f t="shared" si="2294"/>
        <v>687</v>
      </c>
      <c r="F1058" s="1868"/>
      <c r="G1058" s="1868"/>
      <c r="H1058" s="1868"/>
      <c r="I1058" s="1895">
        <f t="shared" si="2295"/>
        <v>0</v>
      </c>
      <c r="J1058" s="1896">
        <f t="shared" si="2296"/>
        <v>687</v>
      </c>
      <c r="K1058" s="1868"/>
      <c r="L1058" s="1868"/>
      <c r="M1058" s="1868"/>
      <c r="N1058" s="1895">
        <f t="shared" si="2297"/>
        <v>0</v>
      </c>
      <c r="O1058" s="1896">
        <f t="shared" si="2298"/>
        <v>687</v>
      </c>
      <c r="P1058" s="1868"/>
      <c r="Q1058" s="1868"/>
      <c r="R1058" s="1868"/>
      <c r="S1058" s="1895">
        <f t="shared" si="2299"/>
        <v>0</v>
      </c>
      <c r="T1058" s="1897">
        <f t="shared" si="2300"/>
        <v>687</v>
      </c>
      <c r="V1058" s="1832"/>
    </row>
    <row r="1059">
      <c r="A1059" s="1179" t="s">
        <v>68</v>
      </c>
      <c r="B1059" s="1868">
        <v>1159</v>
      </c>
      <c r="C1059" s="1868">
        <v>1131</v>
      </c>
      <c r="D1059" s="1868"/>
      <c r="E1059" s="1895">
        <f t="shared" si="2294"/>
        <v>2290</v>
      </c>
      <c r="F1059" s="1868"/>
      <c r="G1059" s="1868"/>
      <c r="H1059" s="1868"/>
      <c r="I1059" s="1895">
        <f t="shared" si="2295"/>
        <v>0</v>
      </c>
      <c r="J1059" s="1896">
        <f t="shared" si="2296"/>
        <v>2290</v>
      </c>
      <c r="K1059" s="1868"/>
      <c r="L1059" s="1868"/>
      <c r="M1059" s="1868"/>
      <c r="N1059" s="1895">
        <f t="shared" si="2297"/>
        <v>0</v>
      </c>
      <c r="O1059" s="1896">
        <f t="shared" si="2298"/>
        <v>2290</v>
      </c>
      <c r="P1059" s="1868"/>
      <c r="Q1059" s="1868"/>
      <c r="R1059" s="1868"/>
      <c r="S1059" s="1895">
        <f t="shared" si="2299"/>
        <v>0</v>
      </c>
      <c r="T1059" s="1897">
        <f t="shared" si="2300"/>
        <v>2290</v>
      </c>
      <c r="V1059" s="1832"/>
    </row>
    <row r="1060">
      <c r="A1060" s="1179" t="s">
        <v>632</v>
      </c>
      <c r="B1060" s="1868">
        <v>104</v>
      </c>
      <c r="C1060" s="1868">
        <v>109</v>
      </c>
      <c r="D1060" s="1868"/>
      <c r="E1060" s="1895">
        <f t="shared" si="2294"/>
        <v>213</v>
      </c>
      <c r="F1060" s="1868"/>
      <c r="G1060" s="1868"/>
      <c r="H1060" s="1868"/>
      <c r="I1060" s="1895">
        <f t="shared" si="2295"/>
        <v>0</v>
      </c>
      <c r="J1060" s="1896">
        <f t="shared" si="2296"/>
        <v>213</v>
      </c>
      <c r="K1060" s="1868"/>
      <c r="L1060" s="1868"/>
      <c r="M1060" s="1868"/>
      <c r="N1060" s="1895">
        <f t="shared" si="2297"/>
        <v>0</v>
      </c>
      <c r="O1060" s="1896">
        <f t="shared" si="2298"/>
        <v>213</v>
      </c>
      <c r="P1060" s="1868"/>
      <c r="Q1060" s="1868"/>
      <c r="R1060" s="1868"/>
      <c r="S1060" s="1895">
        <f t="shared" si="2299"/>
        <v>0</v>
      </c>
      <c r="T1060" s="1897">
        <f t="shared" si="2300"/>
        <v>213</v>
      </c>
      <c r="V1060" s="1832"/>
    </row>
    <row r="1061">
      <c r="A1061" s="1179" t="s">
        <v>807</v>
      </c>
      <c r="B1061" s="1868"/>
      <c r="C1061" s="1868">
        <v>7</v>
      </c>
      <c r="D1061" s="1868"/>
      <c r="E1061" s="1895">
        <f t="shared" si="2294"/>
        <v>7</v>
      </c>
      <c r="F1061" s="1868"/>
      <c r="G1061" s="1868"/>
      <c r="H1061" s="1868"/>
      <c r="I1061" s="1895">
        <f t="shared" si="2295"/>
        <v>0</v>
      </c>
      <c r="J1061" s="1896">
        <f t="shared" si="2296"/>
        <v>7</v>
      </c>
      <c r="K1061" s="1868"/>
      <c r="L1061" s="1868"/>
      <c r="M1061" s="1868"/>
      <c r="N1061" s="1895">
        <f t="shared" si="2297"/>
        <v>0</v>
      </c>
      <c r="O1061" s="1896">
        <f t="shared" si="2298"/>
        <v>7</v>
      </c>
      <c r="P1061" s="1868"/>
      <c r="Q1061" s="1868"/>
      <c r="R1061" s="1868"/>
      <c r="S1061" s="1895">
        <f t="shared" si="2299"/>
        <v>0</v>
      </c>
      <c r="T1061" s="2262">
        <f t="shared" si="2300"/>
        <v>7</v>
      </c>
      <c r="U1061" s="2103"/>
      <c r="V1061" s="1832"/>
    </row>
    <row r="1062">
      <c r="A1062" s="1179" t="s">
        <v>808</v>
      </c>
      <c r="B1062" s="1868">
        <v>20</v>
      </c>
      <c r="C1062" s="1868">
        <v>83</v>
      </c>
      <c r="D1062" s="1868"/>
      <c r="E1062" s="1895">
        <f t="shared" si="2294"/>
        <v>103</v>
      </c>
      <c r="F1062" s="1868"/>
      <c r="G1062" s="1868"/>
      <c r="H1062" s="1868"/>
      <c r="I1062" s="1895">
        <f t="shared" si="2295"/>
        <v>0</v>
      </c>
      <c r="J1062" s="1896">
        <f t="shared" si="2296"/>
        <v>103</v>
      </c>
      <c r="K1062" s="1868"/>
      <c r="L1062" s="1868"/>
      <c r="M1062" s="1868"/>
      <c r="N1062" s="1895">
        <f t="shared" si="2297"/>
        <v>0</v>
      </c>
      <c r="O1062" s="1896">
        <f t="shared" si="2298"/>
        <v>103</v>
      </c>
      <c r="P1062" s="1868"/>
      <c r="Q1062" s="1868"/>
      <c r="R1062" s="1868"/>
      <c r="S1062" s="1895">
        <f t="shared" si="2299"/>
        <v>0</v>
      </c>
      <c r="T1062" s="1897">
        <f t="shared" si="2300"/>
        <v>103</v>
      </c>
      <c r="V1062" s="1832"/>
    </row>
    <row r="1063">
      <c r="A1063" s="1179" t="s">
        <v>809</v>
      </c>
      <c r="B1063" s="1868">
        <v>80</v>
      </c>
      <c r="C1063" s="1868">
        <f>26+91</f>
        <v>117</v>
      </c>
      <c r="D1063" s="1868"/>
      <c r="E1063" s="1895">
        <f t="shared" si="2294"/>
        <v>197</v>
      </c>
      <c r="F1063" s="1868"/>
      <c r="G1063" s="1868"/>
      <c r="H1063" s="1868"/>
      <c r="I1063" s="1895">
        <f t="shared" si="2295"/>
        <v>0</v>
      </c>
      <c r="J1063" s="1896">
        <f t="shared" si="2296"/>
        <v>197</v>
      </c>
      <c r="K1063" s="1868"/>
      <c r="L1063" s="1868"/>
      <c r="M1063" s="1868"/>
      <c r="N1063" s="1895">
        <f t="shared" si="2297"/>
        <v>0</v>
      </c>
      <c r="O1063" s="1896">
        <f t="shared" si="2298"/>
        <v>197</v>
      </c>
      <c r="P1063" s="1868"/>
      <c r="Q1063" s="1868"/>
      <c r="R1063" s="1868"/>
      <c r="S1063" s="1895">
        <f t="shared" si="2299"/>
        <v>0</v>
      </c>
      <c r="T1063" s="1897">
        <f t="shared" si="2300"/>
        <v>197</v>
      </c>
      <c r="V1063" s="1832"/>
    </row>
    <row r="1064">
      <c r="A1064" s="1179" t="s">
        <v>810</v>
      </c>
      <c r="B1064" s="1868">
        <v>3792</v>
      </c>
      <c r="C1064" s="1868">
        <v>4017</v>
      </c>
      <c r="D1064" s="1868"/>
      <c r="E1064" s="1895">
        <f t="shared" si="2294"/>
        <v>7809</v>
      </c>
      <c r="F1064" s="1868"/>
      <c r="G1064" s="1868"/>
      <c r="H1064" s="1868"/>
      <c r="I1064" s="1895">
        <f t="shared" si="2295"/>
        <v>0</v>
      </c>
      <c r="J1064" s="1896">
        <f t="shared" si="2296"/>
        <v>7809</v>
      </c>
      <c r="K1064" s="1868"/>
      <c r="L1064" s="1868"/>
      <c r="M1064" s="1868"/>
      <c r="N1064" s="1895">
        <f t="shared" si="2297"/>
        <v>0</v>
      </c>
      <c r="O1064" s="1896">
        <f t="shared" si="2298"/>
        <v>7809</v>
      </c>
      <c r="P1064" s="1868"/>
      <c r="Q1064" s="1868"/>
      <c r="R1064" s="1868"/>
      <c r="S1064" s="1895">
        <f t="shared" si="2299"/>
        <v>0</v>
      </c>
      <c r="T1064" s="1897">
        <f t="shared" si="2300"/>
        <v>7809</v>
      </c>
      <c r="V1064" s="1832"/>
    </row>
    <row r="1065">
      <c r="A1065" s="1179" t="s">
        <v>811</v>
      </c>
      <c r="B1065" s="1868">
        <v>2339</v>
      </c>
      <c r="C1065" s="1868">
        <v>2764</v>
      </c>
      <c r="D1065" s="1868"/>
      <c r="E1065" s="1895">
        <f t="shared" si="2294"/>
        <v>5103</v>
      </c>
      <c r="F1065" s="1868"/>
      <c r="G1065" s="1868"/>
      <c r="H1065" s="1868"/>
      <c r="I1065" s="1895">
        <f t="shared" si="2295"/>
        <v>0</v>
      </c>
      <c r="J1065" s="1896">
        <f t="shared" si="2296"/>
        <v>5103</v>
      </c>
      <c r="K1065" s="1868"/>
      <c r="L1065" s="1868"/>
      <c r="M1065" s="1868"/>
      <c r="N1065" s="1895">
        <f t="shared" si="2297"/>
        <v>0</v>
      </c>
      <c r="O1065" s="1896">
        <f t="shared" si="2298"/>
        <v>5103</v>
      </c>
      <c r="P1065" s="1868"/>
      <c r="Q1065" s="1868"/>
      <c r="R1065" s="1868"/>
      <c r="S1065" s="1895">
        <f t="shared" si="2299"/>
        <v>0</v>
      </c>
      <c r="T1065" s="1897">
        <f t="shared" si="2300"/>
        <v>5103</v>
      </c>
      <c r="V1065" s="1832"/>
    </row>
    <row r="1066">
      <c r="A1066" s="1179" t="s">
        <v>812</v>
      </c>
      <c r="B1066" s="1868">
        <v>10</v>
      </c>
      <c r="C1066" s="1868">
        <v>9</v>
      </c>
      <c r="D1066" s="1868"/>
      <c r="E1066" s="1895">
        <f t="shared" si="2294"/>
        <v>19</v>
      </c>
      <c r="F1066" s="1868"/>
      <c r="G1066" s="1868"/>
      <c r="H1066" s="1868"/>
      <c r="I1066" s="1895">
        <f t="shared" si="2295"/>
        <v>0</v>
      </c>
      <c r="J1066" s="1896">
        <f t="shared" si="2296"/>
        <v>19</v>
      </c>
      <c r="K1066" s="1868"/>
      <c r="L1066" s="1868"/>
      <c r="M1066" s="1868"/>
      <c r="N1066" s="1895">
        <f t="shared" si="2297"/>
        <v>0</v>
      </c>
      <c r="O1066" s="1896">
        <f t="shared" si="2298"/>
        <v>19</v>
      </c>
      <c r="P1066" s="1868"/>
      <c r="Q1066" s="1868"/>
      <c r="R1066" s="1868"/>
      <c r="S1066" s="1895">
        <f t="shared" si="2299"/>
        <v>0</v>
      </c>
      <c r="T1066" s="1897">
        <f t="shared" si="2300"/>
        <v>19</v>
      </c>
      <c r="V1066" s="1832"/>
    </row>
    <row r="1067">
      <c r="A1067" s="1179" t="s">
        <v>813</v>
      </c>
      <c r="B1067" s="1868">
        <v>11</v>
      </c>
      <c r="C1067" s="1868">
        <v>11</v>
      </c>
      <c r="D1067" s="1868"/>
      <c r="E1067" s="1895">
        <f t="shared" si="2294"/>
        <v>22</v>
      </c>
      <c r="F1067" s="1868"/>
      <c r="G1067" s="1868"/>
      <c r="H1067" s="1868"/>
      <c r="I1067" s="1895">
        <f t="shared" si="2295"/>
        <v>0</v>
      </c>
      <c r="J1067" s="1896">
        <f t="shared" si="2296"/>
        <v>22</v>
      </c>
      <c r="K1067" s="1868"/>
      <c r="L1067" s="1868"/>
      <c r="M1067" s="1868"/>
      <c r="N1067" s="1895">
        <f t="shared" si="2297"/>
        <v>0</v>
      </c>
      <c r="O1067" s="1896">
        <f t="shared" si="2298"/>
        <v>22</v>
      </c>
      <c r="P1067" s="1868"/>
      <c r="Q1067" s="1868"/>
      <c r="R1067" s="1868"/>
      <c r="S1067" s="1895">
        <f t="shared" si="2299"/>
        <v>0</v>
      </c>
      <c r="T1067" s="2262">
        <f t="shared" si="2300"/>
        <v>22</v>
      </c>
      <c r="V1067" s="1832"/>
    </row>
    <row r="1068">
      <c r="A1068" s="1179" t="s">
        <v>814</v>
      </c>
      <c r="B1068" s="1868"/>
      <c r="C1068" s="1868"/>
      <c r="D1068" s="1868"/>
      <c r="E1068" s="1895">
        <f t="shared" si="2294"/>
        <v>0</v>
      </c>
      <c r="F1068" s="1868"/>
      <c r="G1068" s="1868"/>
      <c r="H1068" s="1868"/>
      <c r="I1068" s="1895">
        <f t="shared" si="2295"/>
        <v>0</v>
      </c>
      <c r="J1068" s="1896">
        <f t="shared" si="2296"/>
        <v>0</v>
      </c>
      <c r="K1068" s="1868"/>
      <c r="L1068" s="1868"/>
      <c r="M1068" s="1868"/>
      <c r="N1068" s="1895">
        <f t="shared" si="2297"/>
        <v>0</v>
      </c>
      <c r="O1068" s="1896">
        <f t="shared" si="2298"/>
        <v>0</v>
      </c>
      <c r="P1068" s="1868"/>
      <c r="Q1068" s="1868"/>
      <c r="R1068" s="1868"/>
      <c r="S1068" s="1895">
        <f t="shared" si="2299"/>
        <v>0</v>
      </c>
      <c r="T1068" s="1897">
        <f t="shared" si="2300"/>
        <v>0</v>
      </c>
      <c r="V1068" s="1832"/>
    </row>
    <row r="1069">
      <c r="A1069" s="1179" t="s">
        <v>815</v>
      </c>
      <c r="B1069" s="1868">
        <v>17</v>
      </c>
      <c r="C1069" s="1868">
        <v>21</v>
      </c>
      <c r="D1069" s="1868"/>
      <c r="E1069" s="1895">
        <f t="shared" si="2294"/>
        <v>38</v>
      </c>
      <c r="F1069" s="1868"/>
      <c r="G1069" s="1868"/>
      <c r="H1069" s="1868"/>
      <c r="I1069" s="1895">
        <f t="shared" si="2295"/>
        <v>0</v>
      </c>
      <c r="J1069" s="1896">
        <f t="shared" si="2296"/>
        <v>38</v>
      </c>
      <c r="K1069" s="1868"/>
      <c r="L1069" s="1868"/>
      <c r="M1069" s="1868"/>
      <c r="N1069" s="1895">
        <f t="shared" si="2297"/>
        <v>0</v>
      </c>
      <c r="O1069" s="1896">
        <f t="shared" si="2298"/>
        <v>38</v>
      </c>
      <c r="P1069" s="1868"/>
      <c r="Q1069" s="1868"/>
      <c r="R1069" s="1868"/>
      <c r="S1069" s="1895">
        <f t="shared" si="2299"/>
        <v>0</v>
      </c>
      <c r="T1069" s="1897">
        <f t="shared" si="2300"/>
        <v>38</v>
      </c>
      <c r="V1069" s="1832"/>
    </row>
    <row r="1070">
      <c r="A1070" s="1179" t="s">
        <v>816</v>
      </c>
      <c r="B1070" s="1868">
        <v>88</v>
      </c>
      <c r="C1070" s="1868">
        <v>76</v>
      </c>
      <c r="D1070" s="1868"/>
      <c r="E1070" s="1895">
        <f t="shared" si="2294"/>
        <v>164</v>
      </c>
      <c r="F1070" s="1868"/>
      <c r="G1070" s="1868"/>
      <c r="H1070" s="1868"/>
      <c r="I1070" s="1895">
        <f t="shared" si="2295"/>
        <v>0</v>
      </c>
      <c r="J1070" s="1896">
        <f t="shared" si="2296"/>
        <v>164</v>
      </c>
      <c r="K1070" s="1868"/>
      <c r="L1070" s="1868"/>
      <c r="M1070" s="1868"/>
      <c r="N1070" s="1895">
        <f t="shared" si="2297"/>
        <v>0</v>
      </c>
      <c r="O1070" s="1896">
        <f t="shared" si="2298"/>
        <v>164</v>
      </c>
      <c r="P1070" s="1868"/>
      <c r="Q1070" s="1868"/>
      <c r="R1070" s="1868"/>
      <c r="S1070" s="1895">
        <f t="shared" si="2299"/>
        <v>0</v>
      </c>
      <c r="T1070" s="1897">
        <f t="shared" si="2300"/>
        <v>164</v>
      </c>
      <c r="V1070" s="1832"/>
    </row>
    <row r="1071">
      <c r="A1071" s="1179" t="s">
        <v>817</v>
      </c>
      <c r="B1071" s="1868">
        <v>23</v>
      </c>
      <c r="C1071" s="1868">
        <v>3</v>
      </c>
      <c r="D1071" s="1868"/>
      <c r="E1071" s="1895">
        <f t="shared" si="2294"/>
        <v>26</v>
      </c>
      <c r="F1071" s="1868"/>
      <c r="G1071" s="1868"/>
      <c r="H1071" s="1868"/>
      <c r="I1071" s="1895">
        <f t="shared" si="2295"/>
        <v>0</v>
      </c>
      <c r="J1071" s="1896">
        <f t="shared" si="2296"/>
        <v>26</v>
      </c>
      <c r="K1071" s="1868"/>
      <c r="L1071" s="1868"/>
      <c r="M1071" s="1868"/>
      <c r="N1071" s="1895">
        <f t="shared" si="2297"/>
        <v>0</v>
      </c>
      <c r="O1071" s="1896">
        <f t="shared" si="2298"/>
        <v>26</v>
      </c>
      <c r="P1071" s="1868"/>
      <c r="Q1071" s="1868"/>
      <c r="R1071" s="1868"/>
      <c r="S1071" s="1895">
        <f t="shared" si="2299"/>
        <v>0</v>
      </c>
      <c r="T1071" s="2262">
        <f t="shared" si="2300"/>
        <v>26</v>
      </c>
      <c r="V1071" s="1832"/>
    </row>
    <row r="1072">
      <c r="A1072" s="1179" t="s">
        <v>818</v>
      </c>
      <c r="B1072" s="1868">
        <v>4</v>
      </c>
      <c r="C1072" s="1868"/>
      <c r="D1072" s="1868"/>
      <c r="E1072" s="1895">
        <f t="shared" si="2294"/>
        <v>4</v>
      </c>
      <c r="F1072" s="1868"/>
      <c r="G1072" s="1868"/>
      <c r="H1072" s="1868"/>
      <c r="I1072" s="1895">
        <f t="shared" si="2295"/>
        <v>0</v>
      </c>
      <c r="J1072" s="1896">
        <f t="shared" si="2296"/>
        <v>4</v>
      </c>
      <c r="K1072" s="1868"/>
      <c r="L1072" s="1868"/>
      <c r="M1072" s="1868"/>
      <c r="N1072" s="1895">
        <f t="shared" si="2297"/>
        <v>0</v>
      </c>
      <c r="O1072" s="1896">
        <f t="shared" si="2298"/>
        <v>4</v>
      </c>
      <c r="P1072" s="1868"/>
      <c r="Q1072" s="1868"/>
      <c r="R1072" s="1868"/>
      <c r="S1072" s="1895">
        <f t="shared" si="2299"/>
        <v>0</v>
      </c>
      <c r="T1072" s="2262">
        <f t="shared" si="2300"/>
        <v>4</v>
      </c>
      <c r="V1072" s="1832"/>
    </row>
    <row r="1073">
      <c r="A1073" s="1179" t="s">
        <v>819</v>
      </c>
      <c r="B1073" s="1868"/>
      <c r="C1073" s="1868"/>
      <c r="D1073" s="1868"/>
      <c r="E1073" s="1895">
        <f t="shared" si="2294"/>
        <v>0</v>
      </c>
      <c r="F1073" s="1868"/>
      <c r="G1073" s="1868"/>
      <c r="H1073" s="1868"/>
      <c r="I1073" s="1895">
        <f t="shared" si="2295"/>
        <v>0</v>
      </c>
      <c r="J1073" s="1896">
        <f t="shared" si="2296"/>
        <v>0</v>
      </c>
      <c r="K1073" s="1868"/>
      <c r="L1073" s="1868"/>
      <c r="M1073" s="1868"/>
      <c r="N1073" s="1895">
        <f t="shared" si="2297"/>
        <v>0</v>
      </c>
      <c r="O1073" s="1896">
        <f t="shared" si="2298"/>
        <v>0</v>
      </c>
      <c r="P1073" s="1868"/>
      <c r="Q1073" s="1868"/>
      <c r="R1073" s="1868"/>
      <c r="S1073" s="1895">
        <f t="shared" si="2299"/>
        <v>0</v>
      </c>
      <c r="T1073" s="2262">
        <f t="shared" si="2300"/>
        <v>0</v>
      </c>
      <c r="V1073" s="1832"/>
    </row>
    <row r="1074">
      <c r="A1074" s="1179" t="s">
        <v>820</v>
      </c>
      <c r="B1074" s="1868">
        <v>31</v>
      </c>
      <c r="C1074" s="1868">
        <v>55</v>
      </c>
      <c r="D1074" s="1868"/>
      <c r="E1074" s="1895">
        <f t="shared" si="2294"/>
        <v>86</v>
      </c>
      <c r="F1074" s="1868"/>
      <c r="G1074" s="1868"/>
      <c r="H1074" s="1868"/>
      <c r="I1074" s="1895">
        <f t="shared" si="2295"/>
        <v>0</v>
      </c>
      <c r="J1074" s="1896">
        <f t="shared" si="2296"/>
        <v>86</v>
      </c>
      <c r="K1074" s="1868"/>
      <c r="L1074" s="1868"/>
      <c r="M1074" s="1868"/>
      <c r="N1074" s="1895">
        <f t="shared" si="2297"/>
        <v>0</v>
      </c>
      <c r="O1074" s="1896">
        <f t="shared" si="2298"/>
        <v>86</v>
      </c>
      <c r="P1074" s="1868"/>
      <c r="Q1074" s="1868"/>
      <c r="R1074" s="1868"/>
      <c r="S1074" s="1895">
        <f t="shared" si="2299"/>
        <v>0</v>
      </c>
      <c r="T1074" s="2262">
        <f t="shared" si="2300"/>
        <v>86</v>
      </c>
      <c r="V1074" s="1832"/>
    </row>
    <row r="1075">
      <c r="A1075" s="1179" t="s">
        <v>821</v>
      </c>
      <c r="B1075" s="1868"/>
      <c r="C1075" s="1868">
        <v>17</v>
      </c>
      <c r="D1075" s="1868"/>
      <c r="E1075" s="1895">
        <f t="shared" si="2294"/>
        <v>17</v>
      </c>
      <c r="F1075" s="1868"/>
      <c r="G1075" s="1868"/>
      <c r="H1075" s="1868"/>
      <c r="I1075" s="1895">
        <f t="shared" si="2295"/>
        <v>0</v>
      </c>
      <c r="J1075" s="1896">
        <f t="shared" si="2296"/>
        <v>17</v>
      </c>
      <c r="K1075" s="1868"/>
      <c r="L1075" s="1868"/>
      <c r="M1075" s="1868"/>
      <c r="N1075" s="1895">
        <f t="shared" si="2297"/>
        <v>0</v>
      </c>
      <c r="O1075" s="1896">
        <f t="shared" si="2298"/>
        <v>17</v>
      </c>
      <c r="P1075" s="1868"/>
      <c r="Q1075" s="1868"/>
      <c r="R1075" s="1868"/>
      <c r="S1075" s="1895">
        <f t="shared" si="2299"/>
        <v>0</v>
      </c>
      <c r="T1075" s="2262">
        <f t="shared" si="2300"/>
        <v>17</v>
      </c>
      <c r="V1075" s="1832"/>
    </row>
    <row r="1076">
      <c r="A1076" s="1179" t="s">
        <v>316</v>
      </c>
      <c r="B1076" s="1868">
        <f>59+11+37+5</f>
        <v>112</v>
      </c>
      <c r="C1076" s="1868">
        <f>11+19+7+36+4</f>
        <v>77</v>
      </c>
      <c r="D1076" s="1868"/>
      <c r="E1076" s="1895">
        <f t="shared" si="2294"/>
        <v>189</v>
      </c>
      <c r="F1076" s="1868"/>
      <c r="G1076" s="1868"/>
      <c r="H1076" s="1868"/>
      <c r="I1076" s="1895">
        <f t="shared" si="2295"/>
        <v>0</v>
      </c>
      <c r="J1076" s="1896">
        <f t="shared" si="2296"/>
        <v>189</v>
      </c>
      <c r="K1076" s="1868"/>
      <c r="L1076" s="1868"/>
      <c r="M1076" s="1868"/>
      <c r="N1076" s="1895">
        <f t="shared" si="2297"/>
        <v>0</v>
      </c>
      <c r="O1076" s="1896">
        <f t="shared" si="2298"/>
        <v>189</v>
      </c>
      <c r="P1076" s="1868"/>
      <c r="Q1076" s="1868"/>
      <c r="R1076" s="1868"/>
      <c r="S1076" s="1895">
        <f t="shared" si="2299"/>
        <v>0</v>
      </c>
      <c r="T1076" s="2262">
        <f t="shared" si="2300"/>
        <v>189</v>
      </c>
      <c r="V1076" s="1832"/>
    </row>
    <row r="1077">
      <c r="A1077" s="1179" t="s">
        <v>822</v>
      </c>
      <c r="B1077" s="1868">
        <v>62</v>
      </c>
      <c r="C1077" s="1868"/>
      <c r="D1077" s="1868"/>
      <c r="E1077" s="1895">
        <f t="shared" si="2294"/>
        <v>62</v>
      </c>
      <c r="F1077" s="1868"/>
      <c r="G1077" s="1868"/>
      <c r="H1077" s="1868"/>
      <c r="I1077" s="1895">
        <f t="shared" si="2295"/>
        <v>0</v>
      </c>
      <c r="J1077" s="1896">
        <f t="shared" si="2296"/>
        <v>62</v>
      </c>
      <c r="K1077" s="1868"/>
      <c r="L1077" s="1868"/>
      <c r="M1077" s="1868"/>
      <c r="N1077" s="1895">
        <f t="shared" si="2297"/>
        <v>0</v>
      </c>
      <c r="O1077" s="1896">
        <f t="shared" si="2298"/>
        <v>62</v>
      </c>
      <c r="P1077" s="1868"/>
      <c r="Q1077" s="1868"/>
      <c r="R1077" s="1868"/>
      <c r="S1077" s="1895">
        <f t="shared" si="2299"/>
        <v>0</v>
      </c>
      <c r="T1077" s="2262">
        <f t="shared" si="2300"/>
        <v>62</v>
      </c>
      <c r="V1077" s="1832"/>
    </row>
    <row r="1078">
      <c r="A1078" s="1179" t="s">
        <v>319</v>
      </c>
      <c r="B1078" s="1868"/>
      <c r="C1078" s="1868"/>
      <c r="D1078" s="1868"/>
      <c r="E1078" s="1895">
        <f t="shared" si="2294"/>
        <v>0</v>
      </c>
      <c r="F1078" s="1868"/>
      <c r="G1078" s="1868"/>
      <c r="H1078" s="1868"/>
      <c r="I1078" s="1895">
        <f t="shared" si="2295"/>
        <v>0</v>
      </c>
      <c r="J1078" s="1896">
        <f t="shared" si="2296"/>
        <v>0</v>
      </c>
      <c r="K1078" s="1868"/>
      <c r="L1078" s="1868"/>
      <c r="M1078" s="1868"/>
      <c r="N1078" s="1895">
        <f t="shared" si="2297"/>
        <v>0</v>
      </c>
      <c r="O1078" s="1896">
        <f t="shared" si="2298"/>
        <v>0</v>
      </c>
      <c r="P1078" s="1868"/>
      <c r="Q1078" s="1868"/>
      <c r="R1078" s="1868"/>
      <c r="S1078" s="1895">
        <f t="shared" si="2299"/>
        <v>0</v>
      </c>
      <c r="T1078" s="2262">
        <f t="shared" si="2300"/>
        <v>0</v>
      </c>
      <c r="V1078" s="1832"/>
    </row>
    <row r="1079">
      <c r="A1079" s="1179" t="s">
        <v>320</v>
      </c>
      <c r="B1079" s="1868"/>
      <c r="C1079" s="1868"/>
      <c r="D1079" s="1868"/>
      <c r="E1079" s="1895">
        <f t="shared" si="2294"/>
        <v>0</v>
      </c>
      <c r="F1079" s="1868"/>
      <c r="G1079" s="1868"/>
      <c r="H1079" s="1868"/>
      <c r="I1079" s="1895">
        <f t="shared" si="2295"/>
        <v>0</v>
      </c>
      <c r="J1079" s="1896">
        <f t="shared" si="2296"/>
        <v>0</v>
      </c>
      <c r="K1079" s="1868"/>
      <c r="L1079" s="1868"/>
      <c r="M1079" s="1868"/>
      <c r="N1079" s="1895">
        <f t="shared" si="2297"/>
        <v>0</v>
      </c>
      <c r="O1079" s="1896">
        <f t="shared" si="2298"/>
        <v>0</v>
      </c>
      <c r="P1079" s="1868"/>
      <c r="Q1079" s="1868"/>
      <c r="R1079" s="1868"/>
      <c r="S1079" s="1895">
        <f t="shared" si="2299"/>
        <v>0</v>
      </c>
      <c r="T1079" s="2262">
        <f t="shared" si="2300"/>
        <v>0</v>
      </c>
      <c r="U1079" s="2103"/>
      <c r="V1079" s="1832"/>
    </row>
    <row r="1080">
      <c r="A1080" s="1179" t="s">
        <v>823</v>
      </c>
      <c r="B1080" s="1868"/>
      <c r="C1080" s="1868"/>
      <c r="D1080" s="1868"/>
      <c r="E1080" s="1895">
        <f t="shared" si="2294"/>
        <v>0</v>
      </c>
      <c r="F1080" s="1868"/>
      <c r="G1080" s="1868"/>
      <c r="H1080" s="1868"/>
      <c r="I1080" s="1895">
        <f t="shared" si="2295"/>
        <v>0</v>
      </c>
      <c r="J1080" s="1896">
        <f t="shared" si="2296"/>
        <v>0</v>
      </c>
      <c r="K1080" s="1868"/>
      <c r="L1080" s="1868"/>
      <c r="M1080" s="1868"/>
      <c r="N1080" s="1895">
        <f t="shared" si="2297"/>
        <v>0</v>
      </c>
      <c r="O1080" s="1896">
        <f t="shared" si="2298"/>
        <v>0</v>
      </c>
      <c r="P1080" s="1868"/>
      <c r="Q1080" s="1868"/>
      <c r="R1080" s="1868"/>
      <c r="S1080" s="1895">
        <f t="shared" si="2299"/>
        <v>0</v>
      </c>
      <c r="T1080" s="2262">
        <f t="shared" si="2300"/>
        <v>0</v>
      </c>
      <c r="V1080" s="1832"/>
    </row>
    <row r="1081">
      <c r="A1081" s="1179" t="s">
        <v>619</v>
      </c>
      <c r="B1081" s="1868"/>
      <c r="C1081" s="1868"/>
      <c r="D1081" s="1868"/>
      <c r="E1081" s="1895"/>
      <c r="F1081" s="1868"/>
      <c r="G1081" s="1868"/>
      <c r="H1081" s="1868"/>
      <c r="I1081" s="1895">
        <f t="shared" si="2295"/>
        <v>0</v>
      </c>
      <c r="J1081" s="1896">
        <f t="shared" si="2296"/>
        <v>0</v>
      </c>
      <c r="K1081" s="1868"/>
      <c r="L1081" s="1868"/>
      <c r="M1081" s="1868"/>
      <c r="N1081" s="1895">
        <f t="shared" si="2297"/>
        <v>0</v>
      </c>
      <c r="O1081" s="1896">
        <f t="shared" si="2298"/>
        <v>0</v>
      </c>
      <c r="P1081" s="1868"/>
      <c r="Q1081" s="1868"/>
      <c r="R1081" s="1868"/>
      <c r="S1081" s="1895">
        <f t="shared" si="2299"/>
        <v>0</v>
      </c>
      <c r="T1081" s="2262">
        <f t="shared" si="2300"/>
        <v>0</v>
      </c>
      <c r="V1081" s="1832"/>
    </row>
    <row r="1082">
      <c r="A1082" s="1179" t="s">
        <v>303</v>
      </c>
      <c r="B1082" s="1868"/>
      <c r="C1082" s="1868"/>
      <c r="D1082" s="1868"/>
      <c r="E1082" s="1895">
        <f t="shared" si="2294"/>
        <v>0</v>
      </c>
      <c r="F1082" s="1868"/>
      <c r="G1082" s="1868"/>
      <c r="H1082" s="1868"/>
      <c r="I1082" s="1895">
        <f t="shared" si="2295"/>
        <v>0</v>
      </c>
      <c r="J1082" s="1896">
        <f t="shared" si="2296"/>
        <v>0</v>
      </c>
      <c r="K1082" s="1868"/>
      <c r="L1082" s="1868"/>
      <c r="M1082" s="1868"/>
      <c r="N1082" s="1895">
        <f t="shared" si="2297"/>
        <v>0</v>
      </c>
      <c r="O1082" s="1896">
        <f t="shared" si="2298"/>
        <v>0</v>
      </c>
      <c r="P1082" s="1868"/>
      <c r="Q1082" s="1868"/>
      <c r="R1082" s="1868"/>
      <c r="S1082" s="1895">
        <f t="shared" si="2299"/>
        <v>0</v>
      </c>
      <c r="T1082" s="2262">
        <f t="shared" si="2300"/>
        <v>0</v>
      </c>
      <c r="V1082" s="1832"/>
    </row>
    <row r="1083">
      <c r="A1083" s="1179" t="s">
        <v>824</v>
      </c>
      <c r="B1083" s="1868"/>
      <c r="C1083" s="1868"/>
      <c r="D1083" s="1868"/>
      <c r="E1083" s="1895">
        <f t="shared" ref="E1083:E1146" si="2302">B1083+C1083+D1083</f>
        <v>0</v>
      </c>
      <c r="F1083" s="1868"/>
      <c r="G1083" s="1868"/>
      <c r="H1083" s="1868"/>
      <c r="I1083" s="1895">
        <f t="shared" ref="I1083:I1146" si="2303">F1083+G1083+H1083</f>
        <v>0</v>
      </c>
      <c r="J1083" s="1896">
        <f t="shared" ref="J1083:J1146" si="2304">E1083+I1083</f>
        <v>0</v>
      </c>
      <c r="K1083" s="1868"/>
      <c r="L1083" s="1868"/>
      <c r="M1083" s="1868"/>
      <c r="N1083" s="1895">
        <f t="shared" ref="N1083:N1146" si="2305">K1083+L1083+M1083</f>
        <v>0</v>
      </c>
      <c r="O1083" s="1896">
        <f t="shared" ref="O1083:O1146" si="2306">J1083+N1083</f>
        <v>0</v>
      </c>
      <c r="P1083" s="1868"/>
      <c r="Q1083" s="1868"/>
      <c r="R1083" s="1868"/>
      <c r="S1083" s="1895">
        <f t="shared" ref="S1083:S1146" si="2307">P1083+Q1083+R1083</f>
        <v>0</v>
      </c>
      <c r="T1083" s="2262">
        <f t="shared" ref="T1083:T1146" si="2308">O1083+S1083</f>
        <v>0</v>
      </c>
      <c r="V1083" s="1832"/>
    </row>
    <row r="1084" s="1510" customFormat="1">
      <c r="A1084" s="1179" t="s">
        <v>825</v>
      </c>
      <c r="B1084" s="1868"/>
      <c r="C1084" s="1868"/>
      <c r="D1084" s="1868"/>
      <c r="E1084" s="1895">
        <f t="shared" si="2302"/>
        <v>0</v>
      </c>
      <c r="F1084" s="1868"/>
      <c r="G1084" s="1868"/>
      <c r="H1084" s="1868"/>
      <c r="I1084" s="1895">
        <f t="shared" si="2303"/>
        <v>0</v>
      </c>
      <c r="J1084" s="1896">
        <f t="shared" si="2304"/>
        <v>0</v>
      </c>
      <c r="K1084" s="1868"/>
      <c r="L1084" s="1868"/>
      <c r="M1084" s="1868"/>
      <c r="N1084" s="1895">
        <f t="shared" si="2305"/>
        <v>0</v>
      </c>
      <c r="O1084" s="1896">
        <f t="shared" si="2306"/>
        <v>0</v>
      </c>
      <c r="P1084" s="1868"/>
      <c r="Q1084" s="1868"/>
      <c r="R1084" s="1868"/>
      <c r="S1084" s="1895">
        <f t="shared" si="2307"/>
        <v>0</v>
      </c>
      <c r="T1084" s="2262">
        <f t="shared" si="2308"/>
        <v>0</v>
      </c>
      <c r="U1084" s="1409"/>
      <c r="V1084" s="1832"/>
      <c r="W1084" s="1409"/>
      <c r="X1084" s="1409"/>
      <c r="Y1084" s="1409"/>
      <c r="Z1084" s="1411"/>
      <c r="AA1084" s="1409"/>
      <c r="AB1084" s="1409"/>
      <c r="AC1084" s="1409"/>
      <c r="AD1084" s="1411"/>
      <c r="AE1084" s="1416"/>
      <c r="AF1084" s="1409"/>
      <c r="AG1084" s="1409"/>
      <c r="AH1084" s="1409"/>
      <c r="AI1084" s="1411"/>
      <c r="AJ1084" s="1416"/>
      <c r="AK1084" s="1409"/>
      <c r="AL1084" s="1417"/>
      <c r="AM1084" s="1409"/>
      <c r="AN1084" s="1411"/>
      <c r="AO1084" s="1418"/>
      <c r="AP1084" s="1409"/>
      <c r="AQ1084" s="1409"/>
      <c r="AR1084" s="1409"/>
      <c r="AS1084" s="1409"/>
      <c r="AT1084" s="1409"/>
      <c r="AU1084" s="1409"/>
      <c r="AV1084" s="1409"/>
      <c r="AW1084" s="1409"/>
      <c r="AX1084" s="1409"/>
      <c r="AY1084" s="1409"/>
      <c r="AZ1084" s="1409"/>
    </row>
    <row r="1085">
      <c r="A1085" s="1511" t="s">
        <v>65</v>
      </c>
      <c r="B1085" s="1871">
        <f>SUM(B1057:B1084)</f>
        <v>13907</v>
      </c>
      <c r="C1085" s="1871">
        <f>SUM(C1057:C1084)</f>
        <v>15558</v>
      </c>
      <c r="D1085" s="1871">
        <f>SUM(D1057:D1084)</f>
        <v>0</v>
      </c>
      <c r="E1085" s="1895">
        <f t="shared" si="2302"/>
        <v>29465</v>
      </c>
      <c r="F1085" s="1871">
        <f>SUM(F1057:F1084)</f>
        <v>0</v>
      </c>
      <c r="G1085" s="1871">
        <f>SUM(G1057:G1084)</f>
        <v>0</v>
      </c>
      <c r="H1085" s="1871">
        <f>SUM(H1057:H1084)</f>
        <v>0</v>
      </c>
      <c r="I1085" s="1899">
        <f t="shared" si="2303"/>
        <v>0</v>
      </c>
      <c r="J1085" s="1900">
        <f t="shared" si="2304"/>
        <v>29465</v>
      </c>
      <c r="K1085" s="1871">
        <f>SUM(K1057:K1084)</f>
        <v>0</v>
      </c>
      <c r="L1085" s="1871">
        <f>SUM(L1057:L1084)</f>
        <v>0</v>
      </c>
      <c r="M1085" s="1871">
        <f>SUM(M1057:M1084)</f>
        <v>0</v>
      </c>
      <c r="N1085" s="1895">
        <f t="shared" si="2305"/>
        <v>0</v>
      </c>
      <c r="O1085" s="1896">
        <f t="shared" si="2306"/>
        <v>29465</v>
      </c>
      <c r="P1085" s="1871">
        <f>SUM(P1057:P1084)</f>
        <v>0</v>
      </c>
      <c r="Q1085" s="1871">
        <f>SUM(Q1057:Q1084)</f>
        <v>0</v>
      </c>
      <c r="R1085" s="1871">
        <f>SUM(R1057:R1084)</f>
        <v>0</v>
      </c>
      <c r="S1085" s="1899">
        <f t="shared" si="2307"/>
        <v>0</v>
      </c>
      <c r="T1085" s="1901">
        <f t="shared" si="2308"/>
        <v>29465</v>
      </c>
      <c r="U1085" s="1515"/>
      <c r="V1085" s="2085"/>
      <c r="W1085" s="1515"/>
      <c r="X1085" s="1515"/>
      <c r="Y1085" s="1515"/>
      <c r="Z1085" s="2152"/>
      <c r="AA1085" s="1515"/>
      <c r="AB1085" s="1515"/>
      <c r="AC1085" s="1515"/>
      <c r="AD1085" s="2152"/>
      <c r="AE1085" s="2153"/>
      <c r="AF1085" s="1515"/>
      <c r="AG1085" s="1515"/>
      <c r="AH1085" s="1515"/>
      <c r="AI1085" s="2152"/>
      <c r="AJ1085" s="2153"/>
      <c r="AK1085" s="1515"/>
      <c r="AL1085" s="1886"/>
      <c r="AM1085" s="1515"/>
      <c r="AN1085" s="2152"/>
      <c r="AO1085" s="2062"/>
      <c r="AP1085" s="1515"/>
      <c r="AQ1085" s="1515"/>
      <c r="AR1085" s="1515"/>
      <c r="AS1085" s="1515"/>
      <c r="AT1085" s="1515"/>
      <c r="AU1085" s="1515"/>
      <c r="AV1085" s="1515"/>
      <c r="AW1085" s="1515"/>
      <c r="AX1085" s="1515"/>
      <c r="AY1085" s="1515"/>
      <c r="AZ1085" s="1515"/>
    </row>
    <row r="1086">
      <c r="A1086" s="1511" t="s">
        <v>618</v>
      </c>
      <c r="B1086" s="1446"/>
      <c r="C1086" s="1446">
        <v>13</v>
      </c>
      <c r="D1086" s="1446"/>
      <c r="E1086" s="1895">
        <f t="shared" si="2302"/>
        <v>13</v>
      </c>
      <c r="F1086" s="1446"/>
      <c r="G1086" s="1446"/>
      <c r="H1086" s="1446"/>
      <c r="I1086" s="1899">
        <f t="shared" si="2303"/>
        <v>0</v>
      </c>
      <c r="J1086" s="1900">
        <f t="shared" si="2304"/>
        <v>13</v>
      </c>
      <c r="K1086" s="1446"/>
      <c r="L1086" s="1446"/>
      <c r="M1086" s="1446"/>
      <c r="N1086" s="1895">
        <f t="shared" si="2305"/>
        <v>0</v>
      </c>
      <c r="O1086" s="1896">
        <f t="shared" si="2306"/>
        <v>13</v>
      </c>
      <c r="P1086" s="1446"/>
      <c r="Q1086" s="1446"/>
      <c r="R1086" s="1446"/>
      <c r="S1086" s="1895">
        <f t="shared" si="2307"/>
        <v>0</v>
      </c>
      <c r="T1086" s="1897">
        <f t="shared" si="2308"/>
        <v>13</v>
      </c>
    </row>
    <row r="1087">
      <c r="A1087" s="1511" t="s">
        <v>22</v>
      </c>
      <c r="B1087" s="1871">
        <f>B1085+B1086</f>
        <v>13907</v>
      </c>
      <c r="C1087" s="1871">
        <f>C1085+C1086</f>
        <v>15571</v>
      </c>
      <c r="D1087" s="1871">
        <f>D1085+D1086</f>
        <v>0</v>
      </c>
      <c r="E1087" s="1895">
        <f t="shared" si="2302"/>
        <v>29478</v>
      </c>
      <c r="F1087" s="1871">
        <f>F1085+F1086</f>
        <v>0</v>
      </c>
      <c r="G1087" s="1871">
        <f>G1085+G1086</f>
        <v>0</v>
      </c>
      <c r="H1087" s="1871">
        <f>H1085+H1086</f>
        <v>0</v>
      </c>
      <c r="I1087" s="1899">
        <f t="shared" si="2303"/>
        <v>0</v>
      </c>
      <c r="J1087" s="1900">
        <f t="shared" si="2304"/>
        <v>29478</v>
      </c>
      <c r="K1087" s="1871">
        <f>K1085+K1086</f>
        <v>0</v>
      </c>
      <c r="L1087" s="1871">
        <f>L1085+L1086</f>
        <v>0</v>
      </c>
      <c r="M1087" s="1871">
        <f>M1085+M1086</f>
        <v>0</v>
      </c>
      <c r="N1087" s="1895">
        <f t="shared" si="2305"/>
        <v>0</v>
      </c>
      <c r="O1087" s="1896">
        <f t="shared" si="2306"/>
        <v>29478</v>
      </c>
      <c r="P1087" s="1871">
        <f>P1085+P1086</f>
        <v>0</v>
      </c>
      <c r="Q1087" s="1871">
        <f>Q1085+Q1086</f>
        <v>0</v>
      </c>
      <c r="R1087" s="1871">
        <f>R1085+R1086</f>
        <v>0</v>
      </c>
      <c r="S1087" s="1899">
        <f t="shared" si="2307"/>
        <v>0</v>
      </c>
      <c r="T1087" s="1901">
        <f t="shared" si="2308"/>
        <v>29478</v>
      </c>
    </row>
    <row r="1088">
      <c r="A1088" s="1515"/>
      <c r="B1088" s="1410">
        <v>4790</v>
      </c>
      <c r="C1088" s="1911">
        <v>5587</v>
      </c>
      <c r="D1088" s="1908"/>
      <c r="E1088" s="1910"/>
      <c r="F1088" s="1838"/>
      <c r="G1088" s="1838"/>
      <c r="H1088" s="1838"/>
      <c r="I1088" s="1839"/>
      <c r="J1088" s="1839"/>
      <c r="K1088" s="1908"/>
      <c r="L1088" s="1838"/>
      <c r="M1088" s="1838"/>
      <c r="N1088" s="1839"/>
      <c r="O1088" s="1839"/>
      <c r="P1088" s="1840">
        <v>5800</v>
      </c>
      <c r="Q1088" s="1838">
        <v>4987</v>
      </c>
      <c r="R1088" s="1840">
        <v>5968</v>
      </c>
      <c r="S1088" s="1841"/>
      <c r="T1088" s="2230"/>
      <c r="AH1088" s="2103"/>
      <c r="AI1088" s="2145"/>
      <c r="AJ1088" s="2146"/>
    </row>
    <row r="1089" s="2283" customFormat="1" ht="16.5" customHeight="1">
      <c r="A1089" s="1515"/>
      <c r="B1089" s="1832">
        <f>B1087-B1088</f>
        <v>9117</v>
      </c>
      <c r="C1089" s="1832">
        <f>C1087-C1088</f>
        <v>9984</v>
      </c>
      <c r="D1089" s="1515"/>
      <c r="E1089" s="2062"/>
      <c r="F1089" s="1515"/>
      <c r="G1089" s="1515"/>
      <c r="H1089" s="1515"/>
      <c r="I1089" s="2062"/>
      <c r="J1089" s="2062"/>
      <c r="K1089" s="1515"/>
      <c r="L1089" s="1515"/>
      <c r="M1089" s="1409"/>
      <c r="N1089" s="1418"/>
      <c r="O1089" s="1418"/>
      <c r="P1089" s="2085">
        <f>P1087-P1088</f>
        <v>-5800</v>
      </c>
      <c r="Q1089" s="2085">
        <f>Q1087-Q1088</f>
        <v>-4987</v>
      </c>
      <c r="R1089" s="2085">
        <f>R1087-R1088</f>
        <v>-5968</v>
      </c>
      <c r="S1089" s="1620"/>
      <c r="T1089" s="1415"/>
      <c r="U1089" s="1409"/>
      <c r="V1089" s="1409"/>
      <c r="W1089" s="1515"/>
      <c r="X1089" s="1409"/>
      <c r="Y1089" s="1409"/>
      <c r="Z1089" s="1411"/>
      <c r="AA1089" s="1409"/>
      <c r="AB1089" s="1515"/>
      <c r="AC1089" s="1409"/>
      <c r="AD1089" s="1411"/>
      <c r="AE1089" s="1416"/>
      <c r="AF1089" s="1409"/>
      <c r="AG1089" s="1409"/>
      <c r="AH1089" s="1409"/>
      <c r="AI1089" s="1411"/>
      <c r="AJ1089" s="1416"/>
      <c r="AK1089" s="1409"/>
      <c r="AL1089" s="1417"/>
      <c r="AM1089" s="1409"/>
      <c r="AN1089" s="1411"/>
      <c r="AO1089" s="2062"/>
      <c r="AP1089" s="1409"/>
      <c r="AQ1089" s="1409"/>
      <c r="AR1089" s="1409"/>
      <c r="AS1089" s="1409"/>
      <c r="AT1089" s="1409"/>
      <c r="AU1089" s="1409"/>
      <c r="AV1089" s="1409"/>
      <c r="AW1089" s="1409"/>
      <c r="AX1089" s="1409"/>
      <c r="AY1089" s="1409"/>
      <c r="AZ1089" s="1409"/>
    </row>
    <row r="1090" s="2283" customFormat="1" ht="26.25" customHeight="1">
      <c r="A1090" s="1515"/>
      <c r="B1090" s="1838"/>
      <c r="C1090" s="1515"/>
      <c r="D1090" s="1515"/>
      <c r="E1090" s="2062"/>
      <c r="F1090" s="1515"/>
      <c r="G1090" s="1515"/>
      <c r="H1090" s="1515"/>
      <c r="I1090" s="2062"/>
      <c r="J1090" s="2062"/>
      <c r="K1090" s="1515"/>
      <c r="L1090" s="1515"/>
      <c r="M1090" s="1409"/>
      <c r="N1090" s="1418"/>
      <c r="O1090" s="1418"/>
      <c r="P1090" s="2085"/>
      <c r="Q1090" s="1409"/>
      <c r="R1090" s="1413"/>
      <c r="S1090" s="1620"/>
      <c r="T1090" s="1415"/>
      <c r="U1090" s="1409"/>
      <c r="V1090" s="1409"/>
      <c r="W1090" s="1515"/>
      <c r="X1090" s="1409"/>
      <c r="Y1090" s="1409"/>
      <c r="Z1090" s="1411"/>
      <c r="AA1090" s="1409"/>
      <c r="AB1090" s="1515"/>
      <c r="AC1090" s="1409"/>
      <c r="AD1090" s="1411"/>
      <c r="AE1090" s="1416"/>
      <c r="AF1090" s="1409"/>
      <c r="AG1090" s="1409"/>
      <c r="AH1090" s="1409"/>
      <c r="AI1090" s="1411"/>
      <c r="AJ1090" s="1416"/>
      <c r="AK1090" s="1409"/>
      <c r="AL1090" s="1417"/>
      <c r="AM1090" s="1409"/>
      <c r="AN1090" s="1411"/>
      <c r="AO1090" s="2062"/>
      <c r="AP1090" s="1409"/>
      <c r="AQ1090" s="1409"/>
      <c r="AR1090" s="1409"/>
      <c r="AS1090" s="1409"/>
      <c r="AT1090" s="1409"/>
      <c r="AU1090" s="1409"/>
      <c r="AV1090" s="1409"/>
      <c r="AW1090" s="1409"/>
      <c r="AX1090" s="1409"/>
      <c r="AY1090" s="1409"/>
      <c r="AZ1090" s="1409"/>
    </row>
    <row r="1091" s="1848" customFormat="1" ht="37.5">
      <c r="A1091" s="1842" t="s">
        <v>826</v>
      </c>
      <c r="B1091" s="2284" t="s">
        <v>607</v>
      </c>
      <c r="C1091" s="2285"/>
      <c r="D1091" s="2285"/>
      <c r="E1091" s="2285"/>
      <c r="F1091" s="2285"/>
      <c r="G1091" s="2285"/>
      <c r="H1091" s="2285"/>
      <c r="I1091" s="2285"/>
      <c r="J1091" s="2285"/>
      <c r="K1091" s="2285"/>
      <c r="L1091" s="2285"/>
      <c r="M1091" s="2285"/>
      <c r="N1091" s="2285"/>
      <c r="O1091" s="2285"/>
      <c r="P1091" s="2285"/>
      <c r="Q1091" s="2285"/>
      <c r="R1091" s="2285"/>
      <c r="S1091" s="2285"/>
      <c r="T1091" s="2286"/>
      <c r="U1091" s="2287"/>
      <c r="V1091" s="2287"/>
      <c r="W1091" s="2287"/>
      <c r="X1091" s="2287"/>
      <c r="Y1091" s="2287"/>
      <c r="Z1091" s="2288"/>
      <c r="AA1091" s="2287"/>
      <c r="AB1091" s="2287"/>
      <c r="AC1091" s="2287"/>
      <c r="AD1091" s="2288"/>
      <c r="AE1091" s="2289"/>
      <c r="AF1091" s="2287"/>
      <c r="AG1091" s="2290"/>
      <c r="AH1091" s="2290"/>
      <c r="AI1091" s="2291"/>
      <c r="AJ1091" s="2292"/>
      <c r="AK1091" s="2290"/>
      <c r="AL1091" s="2293"/>
      <c r="AM1091" s="2287"/>
      <c r="AN1091" s="2288"/>
      <c r="AO1091" s="2294"/>
      <c r="AP1091" s="2287"/>
      <c r="AQ1091" s="2287"/>
      <c r="AR1091" s="2287"/>
      <c r="AS1091" s="2287"/>
      <c r="AT1091" s="2287"/>
      <c r="AU1091" s="2287"/>
      <c r="AV1091" s="2287"/>
      <c r="AW1091" s="2287"/>
      <c r="AX1091" s="2287"/>
      <c r="AY1091" s="2287"/>
      <c r="AZ1091" s="2287"/>
    </row>
    <row r="1092" s="1445" customFormat="1">
      <c r="A1092" s="1427" t="s">
        <v>173</v>
      </c>
      <c r="B1092" s="1427" t="s">
        <v>6</v>
      </c>
      <c r="C1092" s="1427" t="s">
        <v>7</v>
      </c>
      <c r="D1092" s="1421" t="s">
        <v>8</v>
      </c>
      <c r="E1092" s="1425" t="s">
        <v>9</v>
      </c>
      <c r="F1092" s="1421" t="s">
        <v>10</v>
      </c>
      <c r="G1092" s="1421" t="s">
        <v>11</v>
      </c>
      <c r="H1092" s="1421" t="s">
        <v>12</v>
      </c>
      <c r="I1092" s="1425" t="s">
        <v>174</v>
      </c>
      <c r="J1092" s="1430" t="s">
        <v>175</v>
      </c>
      <c r="K1092" s="1421" t="s">
        <v>14</v>
      </c>
      <c r="L1092" s="1421" t="s">
        <v>15</v>
      </c>
      <c r="M1092" s="1421" t="s">
        <v>16</v>
      </c>
      <c r="N1092" s="1425" t="s">
        <v>17</v>
      </c>
      <c r="O1092" s="1430" t="s">
        <v>176</v>
      </c>
      <c r="P1092" s="1421" t="s">
        <v>18</v>
      </c>
      <c r="Q1092" s="1421" t="s">
        <v>19</v>
      </c>
      <c r="R1092" s="1421" t="s">
        <v>20</v>
      </c>
      <c r="S1092" s="1448" t="s">
        <v>177</v>
      </c>
      <c r="T1092" s="1426" t="s">
        <v>22</v>
      </c>
      <c r="U1092" s="1621"/>
      <c r="V1092" s="1621"/>
      <c r="W1092" s="1621"/>
      <c r="X1092" s="1621"/>
      <c r="Y1092" s="1621"/>
      <c r="Z1092" s="2149"/>
      <c r="AA1092" s="1621"/>
      <c r="AB1092" s="1621"/>
      <c r="AC1092" s="1621"/>
      <c r="AD1092" s="2149"/>
      <c r="AE1092" s="2150"/>
      <c r="AF1092" s="1621"/>
      <c r="AG1092" s="1621"/>
      <c r="AH1092" s="1621"/>
      <c r="AI1092" s="2149"/>
      <c r="AJ1092" s="2150"/>
      <c r="AK1092" s="1621"/>
      <c r="AL1092" s="1621"/>
      <c r="AM1092" s="1621"/>
      <c r="AN1092" s="2149"/>
      <c r="AO1092" s="1623"/>
      <c r="AP1092" s="1621"/>
      <c r="AQ1092" s="1621"/>
      <c r="AR1092" s="1621"/>
      <c r="AS1092" s="1621"/>
      <c r="AT1092" s="1621"/>
      <c r="AU1092" s="1621"/>
      <c r="AV1092" s="1621"/>
      <c r="AW1092" s="1621"/>
      <c r="AX1092" s="1621"/>
      <c r="AY1092" s="1621"/>
      <c r="AZ1092" s="1621"/>
    </row>
    <row r="1093">
      <c r="A1093" s="1871" t="s">
        <v>127</v>
      </c>
      <c r="B1093" s="1868">
        <v>110</v>
      </c>
      <c r="C1093" s="1868">
        <v>189</v>
      </c>
      <c r="D1093" s="1868"/>
      <c r="E1093" s="1899">
        <f t="shared" si="2302"/>
        <v>299</v>
      </c>
      <c r="F1093" s="1868"/>
      <c r="G1093" s="1868"/>
      <c r="H1093" s="1868"/>
      <c r="I1093" s="1899">
        <f t="shared" si="2303"/>
        <v>0</v>
      </c>
      <c r="J1093" s="1900">
        <f t="shared" si="2304"/>
        <v>299</v>
      </c>
      <c r="K1093" s="1868"/>
      <c r="L1093" s="1868"/>
      <c r="M1093" s="1868"/>
      <c r="N1093" s="1899">
        <f t="shared" si="2305"/>
        <v>0</v>
      </c>
      <c r="O1093" s="1900">
        <f t="shared" si="2306"/>
        <v>299</v>
      </c>
      <c r="P1093" s="1868"/>
      <c r="Q1093" s="1868"/>
      <c r="R1093" s="1868"/>
      <c r="S1093" s="1899">
        <f t="shared" si="2307"/>
        <v>0</v>
      </c>
      <c r="T1093" s="1901">
        <f t="shared" si="2308"/>
        <v>299</v>
      </c>
      <c r="V1093" s="1515"/>
      <c r="AC1093" s="1515"/>
      <c r="AD1093" s="2152"/>
      <c r="AE1093" s="2153"/>
      <c r="AF1093" s="1515"/>
      <c r="AK1093" s="1515"/>
    </row>
    <row r="1094">
      <c r="A1094" s="1871" t="s">
        <v>311</v>
      </c>
      <c r="B1094" s="1868">
        <v>117</v>
      </c>
      <c r="C1094" s="1868">
        <v>235</v>
      </c>
      <c r="D1094" s="1868"/>
      <c r="E1094" s="1899">
        <f t="shared" si="2302"/>
        <v>352</v>
      </c>
      <c r="F1094" s="1868"/>
      <c r="G1094" s="1868"/>
      <c r="H1094" s="1868"/>
      <c r="I1094" s="1899">
        <f t="shared" si="2303"/>
        <v>0</v>
      </c>
      <c r="J1094" s="1900">
        <f t="shared" si="2304"/>
        <v>352</v>
      </c>
      <c r="K1094" s="1868"/>
      <c r="L1094" s="1868"/>
      <c r="M1094" s="1868"/>
      <c r="N1094" s="1899">
        <f t="shared" si="2305"/>
        <v>0</v>
      </c>
      <c r="O1094" s="1900">
        <f t="shared" si="2306"/>
        <v>352</v>
      </c>
      <c r="P1094" s="1868"/>
      <c r="Q1094" s="1868"/>
      <c r="R1094" s="1868"/>
      <c r="S1094" s="1899">
        <f t="shared" si="2307"/>
        <v>0</v>
      </c>
      <c r="T1094" s="1901">
        <f t="shared" si="2308"/>
        <v>352</v>
      </c>
      <c r="V1094" s="1515"/>
      <c r="AK1094" s="1515"/>
    </row>
    <row r="1095">
      <c r="A1095" s="2175" t="s">
        <v>587</v>
      </c>
      <c r="B1095" s="1871">
        <f t="shared" ref="B1095:H1095" si="2309">SUM(B1093:B1094)</f>
        <v>227</v>
      </c>
      <c r="C1095" s="1871">
        <f>SUM(C1093:C1094)</f>
        <v>424</v>
      </c>
      <c r="D1095" s="1871">
        <f t="shared" si="2309"/>
        <v>0</v>
      </c>
      <c r="E1095" s="1899">
        <f t="shared" si="2302"/>
        <v>651</v>
      </c>
      <c r="F1095" s="1871">
        <f>SUM(F1093:F1094)</f>
        <v>0</v>
      </c>
      <c r="G1095" s="1871">
        <f>SUM(G1093:G1094)</f>
        <v>0</v>
      </c>
      <c r="H1095" s="1871">
        <f t="shared" si="2309"/>
        <v>0</v>
      </c>
      <c r="I1095" s="1899">
        <f t="shared" si="2303"/>
        <v>0</v>
      </c>
      <c r="J1095" s="1900">
        <f t="shared" si="2304"/>
        <v>651</v>
      </c>
      <c r="K1095" s="1868">
        <f>SUM(K1093:K1094)</f>
        <v>0</v>
      </c>
      <c r="L1095" s="1871">
        <f t="shared" ref="L1095:R1095" si="2310">SUM(L1093:L1094)</f>
        <v>0</v>
      </c>
      <c r="M1095" s="1871">
        <f t="shared" si="2310"/>
        <v>0</v>
      </c>
      <c r="N1095" s="1899">
        <f t="shared" si="2305"/>
        <v>0</v>
      </c>
      <c r="O1095" s="1900">
        <f t="shared" si="2306"/>
        <v>651</v>
      </c>
      <c r="P1095" s="1871">
        <f t="shared" si="2310"/>
        <v>0</v>
      </c>
      <c r="Q1095" s="1871">
        <f t="shared" si="2310"/>
        <v>0</v>
      </c>
      <c r="R1095" s="1871">
        <f t="shared" si="2310"/>
        <v>0</v>
      </c>
      <c r="S1095" s="1899">
        <f t="shared" si="2307"/>
        <v>0</v>
      </c>
      <c r="T1095" s="1901">
        <f t="shared" si="2308"/>
        <v>651</v>
      </c>
      <c r="U1095" s="1515"/>
      <c r="V1095" s="1515"/>
      <c r="Y1095" s="1515"/>
      <c r="Z1095" s="2152"/>
      <c r="AK1095" s="1515"/>
      <c r="AO1095" s="2062"/>
    </row>
    <row r="1096">
      <c r="A1096" s="2085"/>
      <c r="B1096" s="1908"/>
      <c r="C1096" s="1908"/>
      <c r="D1096" s="1908"/>
      <c r="E1096" s="1910"/>
      <c r="F1096" s="1872"/>
      <c r="G1096" s="1908"/>
      <c r="H1096" s="1908"/>
      <c r="I1096" s="1910"/>
      <c r="J1096" s="1910"/>
      <c r="K1096" s="1908"/>
      <c r="L1096" s="1908"/>
      <c r="M1096" s="1908"/>
      <c r="N1096" s="1910"/>
      <c r="O1096" s="1910"/>
      <c r="P1096" s="1872"/>
      <c r="Q1096" s="1872"/>
      <c r="R1096" s="1872"/>
      <c r="S1096" s="1836"/>
      <c r="T1096" s="1836"/>
      <c r="U1096" s="1515"/>
      <c r="V1096" s="1515"/>
      <c r="Y1096" s="1515"/>
      <c r="Z1096" s="2152"/>
      <c r="AK1096" s="1515"/>
      <c r="AO1096" s="2062"/>
    </row>
    <row r="1097" ht="29.25" customHeight="1">
      <c r="A1097" s="1515"/>
      <c r="B1097" s="1838"/>
      <c r="C1097" s="1515"/>
      <c r="D1097" s="1515"/>
      <c r="E1097" s="2062"/>
      <c r="F1097" s="1515"/>
      <c r="G1097" s="1515"/>
      <c r="H1097" s="1515"/>
      <c r="I1097" s="2062"/>
      <c r="J1097" s="2062"/>
      <c r="K1097" s="1515"/>
      <c r="L1097" s="1515"/>
      <c r="N1097" s="1418"/>
      <c r="O1097" s="1418"/>
      <c r="P1097" s="1515"/>
      <c r="S1097" s="1620"/>
      <c r="W1097" s="1515"/>
      <c r="AB1097" s="1515"/>
      <c r="AO1097" s="2062"/>
    </row>
    <row r="1098" s="1848" customFormat="1" ht="23.25" customHeight="1">
      <c r="A1098" s="1842" t="s">
        <v>827</v>
      </c>
      <c r="B1098" s="1891" t="s">
        <v>607</v>
      </c>
      <c r="C1098" s="2295"/>
      <c r="D1098" s="2295"/>
      <c r="E1098" s="2295"/>
      <c r="F1098" s="2295"/>
      <c r="G1098" s="2295"/>
      <c r="H1098" s="2295"/>
      <c r="I1098" s="2295"/>
      <c r="J1098" s="2295"/>
      <c r="K1098" s="2295"/>
      <c r="L1098" s="2295"/>
      <c r="M1098" s="2295"/>
      <c r="N1098" s="2295"/>
      <c r="O1098" s="2295"/>
      <c r="P1098" s="2295"/>
      <c r="Q1098" s="2295"/>
      <c r="R1098" s="2295"/>
      <c r="S1098" s="2295"/>
      <c r="T1098" s="2295"/>
      <c r="U1098" s="1409"/>
      <c r="V1098" s="1409"/>
      <c r="W1098" s="1409"/>
      <c r="X1098" s="1409"/>
      <c r="Y1098" s="1409"/>
      <c r="Z1098" s="1411"/>
      <c r="AA1098" s="1409"/>
      <c r="AB1098" s="1409"/>
      <c r="AC1098" s="1409"/>
      <c r="AD1098" s="1411"/>
      <c r="AE1098" s="1416"/>
      <c r="AF1098" s="1409"/>
      <c r="AG1098" s="1409"/>
      <c r="AH1098" s="1409"/>
      <c r="AI1098" s="1411"/>
      <c r="AJ1098" s="1416"/>
      <c r="AK1098" s="1409"/>
      <c r="AL1098" s="1417"/>
      <c r="AM1098" s="1409"/>
      <c r="AN1098" s="1411"/>
      <c r="AO1098" s="1418"/>
      <c r="AP1098" s="1409"/>
      <c r="AQ1098" s="1409"/>
      <c r="AR1098" s="1409"/>
      <c r="AS1098" s="1409"/>
      <c r="AT1098" s="1409"/>
      <c r="AU1098" s="1409"/>
      <c r="AV1098" s="1409"/>
      <c r="AW1098" s="1409"/>
      <c r="AX1098" s="1409"/>
      <c r="AY1098" s="1409"/>
      <c r="AZ1098" s="1409"/>
    </row>
    <row r="1099" s="1445" customFormat="1">
      <c r="A1099" s="1427" t="s">
        <v>173</v>
      </c>
      <c r="B1099" s="2296" t="s">
        <v>6</v>
      </c>
      <c r="C1099" s="2296" t="s">
        <v>7</v>
      </c>
      <c r="D1099" s="2297" t="s">
        <v>8</v>
      </c>
      <c r="E1099" s="2298" t="s">
        <v>9</v>
      </c>
      <c r="F1099" s="2297" t="s">
        <v>10</v>
      </c>
      <c r="G1099" s="2297" t="s">
        <v>11</v>
      </c>
      <c r="H1099" s="2297" t="s">
        <v>12</v>
      </c>
      <c r="I1099" s="2298" t="s">
        <v>174</v>
      </c>
      <c r="J1099" s="2299" t="s">
        <v>175</v>
      </c>
      <c r="K1099" s="2297" t="s">
        <v>14</v>
      </c>
      <c r="L1099" s="2297" t="s">
        <v>15</v>
      </c>
      <c r="M1099" s="2297" t="s">
        <v>16</v>
      </c>
      <c r="N1099" s="2298" t="s">
        <v>17</v>
      </c>
      <c r="O1099" s="2299" t="s">
        <v>176</v>
      </c>
      <c r="P1099" s="2297" t="s">
        <v>18</v>
      </c>
      <c r="Q1099" s="2297" t="s">
        <v>19</v>
      </c>
      <c r="R1099" s="2297" t="s">
        <v>20</v>
      </c>
      <c r="S1099" s="1448" t="s">
        <v>177</v>
      </c>
      <c r="T1099" s="2300" t="s">
        <v>22</v>
      </c>
      <c r="U1099" s="1621"/>
      <c r="V1099" s="1621"/>
      <c r="W1099" s="1621"/>
      <c r="X1099" s="1621"/>
      <c r="Y1099" s="1621"/>
      <c r="Z1099" s="2149"/>
      <c r="AA1099" s="1621"/>
      <c r="AB1099" s="1621"/>
      <c r="AC1099" s="1621"/>
      <c r="AD1099" s="2149"/>
      <c r="AE1099" s="2150"/>
      <c r="AF1099" s="1621"/>
      <c r="AG1099" s="1621"/>
      <c r="AH1099" s="1621"/>
      <c r="AI1099" s="2149"/>
      <c r="AJ1099" s="2150"/>
      <c r="AK1099" s="1621"/>
      <c r="AL1099" s="1622"/>
      <c r="AM1099" s="1621"/>
      <c r="AN1099" s="2149"/>
      <c r="AO1099" s="1623"/>
      <c r="AP1099" s="1621"/>
      <c r="AQ1099" s="1621"/>
      <c r="AR1099" s="1621"/>
      <c r="AS1099" s="1621"/>
      <c r="AT1099" s="1621"/>
      <c r="AU1099" s="1621"/>
      <c r="AV1099" s="1621"/>
      <c r="AW1099" s="1621"/>
      <c r="AX1099" s="1621"/>
      <c r="AY1099" s="1621"/>
      <c r="AZ1099" s="1621"/>
    </row>
    <row r="1100" ht="23.25" customHeight="1">
      <c r="A1100" s="1179" t="s">
        <v>178</v>
      </c>
      <c r="B1100" s="1868">
        <v>14</v>
      </c>
      <c r="C1100" s="1868">
        <v>9</v>
      </c>
      <c r="D1100" s="1868"/>
      <c r="E1100" s="1895">
        <f t="shared" si="2302"/>
        <v>23</v>
      </c>
      <c r="F1100" s="1868"/>
      <c r="G1100" s="1868"/>
      <c r="H1100" s="1868"/>
      <c r="I1100" s="1895">
        <f t="shared" si="2303"/>
        <v>0</v>
      </c>
      <c r="J1100" s="1896">
        <f t="shared" si="2304"/>
        <v>23</v>
      </c>
      <c r="K1100" s="1868"/>
      <c r="L1100" s="1868"/>
      <c r="M1100" s="1868"/>
      <c r="N1100" s="1895">
        <f t="shared" si="2305"/>
        <v>0</v>
      </c>
      <c r="O1100" s="1896">
        <f t="shared" si="2306"/>
        <v>23</v>
      </c>
      <c r="P1100" s="1868"/>
      <c r="Q1100" s="1868"/>
      <c r="R1100" s="1868"/>
      <c r="S1100" s="1895">
        <f t="shared" si="2307"/>
        <v>0</v>
      </c>
      <c r="T1100" s="1897">
        <f t="shared" si="2308"/>
        <v>23</v>
      </c>
    </row>
    <row r="1101">
      <c r="A1101" s="1179" t="s">
        <v>354</v>
      </c>
      <c r="B1101" s="1868">
        <v>14</v>
      </c>
      <c r="C1101" s="1868"/>
      <c r="D1101" s="1868"/>
      <c r="E1101" s="1895">
        <f t="shared" si="2302"/>
        <v>14</v>
      </c>
      <c r="F1101" s="1868"/>
      <c r="G1101" s="1868"/>
      <c r="H1101" s="1868"/>
      <c r="I1101" s="1895">
        <f t="shared" si="2303"/>
        <v>0</v>
      </c>
      <c r="J1101" s="1896">
        <f t="shared" si="2304"/>
        <v>14</v>
      </c>
      <c r="K1101" s="1868"/>
      <c r="L1101" s="1868"/>
      <c r="M1101" s="1868"/>
      <c r="N1101" s="1895">
        <f t="shared" si="2305"/>
        <v>0</v>
      </c>
      <c r="O1101" s="1896">
        <f t="shared" si="2306"/>
        <v>14</v>
      </c>
      <c r="P1101" s="1868"/>
      <c r="Q1101" s="1868"/>
      <c r="R1101" s="1868"/>
      <c r="S1101" s="1895">
        <f t="shared" si="2307"/>
        <v>0</v>
      </c>
      <c r="T1101" s="1897">
        <f t="shared" si="2308"/>
        <v>14</v>
      </c>
    </row>
    <row r="1102">
      <c r="A1102" s="1179" t="s">
        <v>181</v>
      </c>
      <c r="B1102" s="1868">
        <v>7</v>
      </c>
      <c r="C1102" s="1868">
        <v>1</v>
      </c>
      <c r="D1102" s="1868"/>
      <c r="E1102" s="1895">
        <f t="shared" si="2302"/>
        <v>8</v>
      </c>
      <c r="F1102" s="1868"/>
      <c r="G1102" s="1868"/>
      <c r="H1102" s="1868"/>
      <c r="I1102" s="1895">
        <f t="shared" si="2303"/>
        <v>0</v>
      </c>
      <c r="J1102" s="1896">
        <f t="shared" si="2304"/>
        <v>8</v>
      </c>
      <c r="K1102" s="1868"/>
      <c r="L1102" s="1868"/>
      <c r="M1102" s="1868"/>
      <c r="N1102" s="1895">
        <f t="shared" si="2305"/>
        <v>0</v>
      </c>
      <c r="O1102" s="1896">
        <f t="shared" si="2306"/>
        <v>8</v>
      </c>
      <c r="P1102" s="1868"/>
      <c r="Q1102" s="1868"/>
      <c r="R1102" s="1868"/>
      <c r="S1102" s="1895">
        <f t="shared" si="2307"/>
        <v>0</v>
      </c>
      <c r="T1102" s="1897">
        <f t="shared" si="2308"/>
        <v>8</v>
      </c>
    </row>
    <row r="1103">
      <c r="A1103" s="1179" t="s">
        <v>182</v>
      </c>
      <c r="B1103" s="1868"/>
      <c r="C1103" s="1868"/>
      <c r="D1103" s="1868"/>
      <c r="E1103" s="1895">
        <f t="shared" si="2302"/>
        <v>0</v>
      </c>
      <c r="F1103" s="1868"/>
      <c r="G1103" s="1868"/>
      <c r="H1103" s="1868"/>
      <c r="I1103" s="1895">
        <f t="shared" si="2303"/>
        <v>0</v>
      </c>
      <c r="J1103" s="1896">
        <f t="shared" si="2304"/>
        <v>0</v>
      </c>
      <c r="K1103" s="1868"/>
      <c r="L1103" s="1868"/>
      <c r="M1103" s="1868"/>
      <c r="N1103" s="1895">
        <f t="shared" si="2305"/>
        <v>0</v>
      </c>
      <c r="O1103" s="1896">
        <f t="shared" si="2306"/>
        <v>0</v>
      </c>
      <c r="P1103" s="1868"/>
      <c r="Q1103" s="1868"/>
      <c r="R1103" s="1868"/>
      <c r="S1103" s="1895">
        <f t="shared" si="2307"/>
        <v>0</v>
      </c>
      <c r="T1103" s="1897">
        <f t="shared" si="2308"/>
        <v>0</v>
      </c>
    </row>
    <row r="1104">
      <c r="A1104" s="1179" t="s">
        <v>183</v>
      </c>
      <c r="B1104" s="1868">
        <f>2+167</f>
        <v>169</v>
      </c>
      <c r="C1104" s="1868">
        <v>143</v>
      </c>
      <c r="D1104" s="1868"/>
      <c r="E1104" s="1895">
        <f t="shared" si="2302"/>
        <v>312</v>
      </c>
      <c r="F1104" s="1868"/>
      <c r="G1104" s="1868"/>
      <c r="H1104" s="1868"/>
      <c r="I1104" s="1895">
        <f t="shared" si="2303"/>
        <v>0</v>
      </c>
      <c r="J1104" s="1896">
        <f t="shared" si="2304"/>
        <v>312</v>
      </c>
      <c r="K1104" s="1868"/>
      <c r="L1104" s="1868"/>
      <c r="M1104" s="1868"/>
      <c r="N1104" s="1895">
        <f t="shared" si="2305"/>
        <v>0</v>
      </c>
      <c r="O1104" s="1896">
        <f t="shared" si="2306"/>
        <v>312</v>
      </c>
      <c r="P1104" s="1868"/>
      <c r="Q1104" s="1868"/>
      <c r="R1104" s="1868"/>
      <c r="S1104" s="1895">
        <f t="shared" si="2307"/>
        <v>0</v>
      </c>
      <c r="T1104" s="1897">
        <f t="shared" si="2308"/>
        <v>312</v>
      </c>
    </row>
    <row r="1105">
      <c r="A1105" s="1179" t="s">
        <v>184</v>
      </c>
      <c r="B1105" s="1868">
        <v>1</v>
      </c>
      <c r="C1105" s="1868">
        <v>2</v>
      </c>
      <c r="D1105" s="1868"/>
      <c r="E1105" s="1895">
        <f t="shared" si="2302"/>
        <v>3</v>
      </c>
      <c r="F1105" s="1868"/>
      <c r="G1105" s="1868"/>
      <c r="H1105" s="1868"/>
      <c r="I1105" s="1895">
        <f t="shared" si="2303"/>
        <v>0</v>
      </c>
      <c r="J1105" s="1896">
        <f t="shared" si="2304"/>
        <v>3</v>
      </c>
      <c r="K1105" s="1868"/>
      <c r="L1105" s="1868"/>
      <c r="M1105" s="1868"/>
      <c r="N1105" s="1895">
        <f t="shared" si="2305"/>
        <v>0</v>
      </c>
      <c r="O1105" s="1896">
        <f t="shared" si="2306"/>
        <v>3</v>
      </c>
      <c r="P1105" s="1868"/>
      <c r="Q1105" s="1868"/>
      <c r="R1105" s="1868"/>
      <c r="S1105" s="1895">
        <f t="shared" si="2307"/>
        <v>0</v>
      </c>
      <c r="T1105" s="1897">
        <f t="shared" si="2308"/>
        <v>3</v>
      </c>
    </row>
    <row r="1106">
      <c r="A1106" s="1179" t="s">
        <v>804</v>
      </c>
      <c r="B1106" s="1868"/>
      <c r="C1106" s="1868"/>
      <c r="D1106" s="1868"/>
      <c r="E1106" s="1895"/>
      <c r="F1106" s="1868"/>
      <c r="G1106" s="1868"/>
      <c r="H1106" s="1868"/>
      <c r="I1106" s="1895"/>
      <c r="J1106" s="1896"/>
      <c r="K1106" s="1868"/>
      <c r="L1106" s="1868"/>
      <c r="M1106" s="1868"/>
      <c r="N1106" s="1895"/>
      <c r="O1106" s="1896"/>
      <c r="P1106" s="1868"/>
      <c r="Q1106" s="1868"/>
      <c r="R1106" s="1868"/>
      <c r="S1106" s="1895"/>
      <c r="T1106" s="1897"/>
    </row>
    <row r="1107">
      <c r="A1107" s="1179" t="s">
        <v>185</v>
      </c>
      <c r="B1107" s="1868"/>
      <c r="C1107" s="1868"/>
      <c r="D1107" s="1868"/>
      <c r="E1107" s="1895">
        <f t="shared" si="2302"/>
        <v>0</v>
      </c>
      <c r="F1107" s="1868"/>
      <c r="G1107" s="1868"/>
      <c r="H1107" s="1868"/>
      <c r="I1107" s="1895">
        <f t="shared" si="2303"/>
        <v>0</v>
      </c>
      <c r="J1107" s="1896">
        <f t="shared" si="2304"/>
        <v>0</v>
      </c>
      <c r="K1107" s="1868"/>
      <c r="L1107" s="1868"/>
      <c r="M1107" s="1868"/>
      <c r="N1107" s="1895">
        <f t="shared" si="2305"/>
        <v>0</v>
      </c>
      <c r="O1107" s="1896">
        <f t="shared" si="2306"/>
        <v>0</v>
      </c>
      <c r="P1107" s="1868"/>
      <c r="Q1107" s="1868"/>
      <c r="R1107" s="1868"/>
      <c r="S1107" s="1895">
        <f t="shared" si="2307"/>
        <v>0</v>
      </c>
      <c r="T1107" s="1897">
        <f t="shared" si="2308"/>
        <v>0</v>
      </c>
    </row>
    <row r="1108">
      <c r="A1108" s="1511" t="s">
        <v>363</v>
      </c>
      <c r="B1108" s="1871">
        <f>SUM(B1100:B1107)</f>
        <v>205</v>
      </c>
      <c r="C1108" s="1871">
        <f>SUM(C1100:C1107)</f>
        <v>155</v>
      </c>
      <c r="D1108" s="1871">
        <f>SUM(D1100:D1107)</f>
        <v>0</v>
      </c>
      <c r="E1108" s="1899">
        <f t="shared" si="2302"/>
        <v>360</v>
      </c>
      <c r="F1108" s="1871">
        <f>SUM(F1100:F1107)</f>
        <v>0</v>
      </c>
      <c r="G1108" s="1871">
        <f>SUM(G1100:G1107)</f>
        <v>0</v>
      </c>
      <c r="H1108" s="1871">
        <f>SUM(H1100:H1107)</f>
        <v>0</v>
      </c>
      <c r="I1108" s="1895">
        <f t="shared" si="2303"/>
        <v>0</v>
      </c>
      <c r="J1108" s="1896">
        <f t="shared" si="2304"/>
        <v>360</v>
      </c>
      <c r="K1108" s="1871">
        <f>SUM(K1100:K1107)</f>
        <v>0</v>
      </c>
      <c r="L1108" s="1871">
        <f>SUM(L1100:L1107)</f>
        <v>0</v>
      </c>
      <c r="M1108" s="1871">
        <f>SUM(M1100:M1107)</f>
        <v>0</v>
      </c>
      <c r="N1108" s="1895">
        <f t="shared" si="2305"/>
        <v>0</v>
      </c>
      <c r="O1108" s="1896">
        <f t="shared" si="2306"/>
        <v>360</v>
      </c>
      <c r="P1108" s="1871">
        <f>SUM(P1100:P1107)</f>
        <v>0</v>
      </c>
      <c r="Q1108" s="1871">
        <f>SUM(Q1100:Q1107)</f>
        <v>0</v>
      </c>
      <c r="R1108" s="1871">
        <f>SUM(R1100:R1107)</f>
        <v>0</v>
      </c>
      <c r="S1108" s="1895">
        <f t="shared" si="2307"/>
        <v>0</v>
      </c>
      <c r="T1108" s="1897">
        <f t="shared" si="2308"/>
        <v>360</v>
      </c>
    </row>
    <row r="1109">
      <c r="A1109" s="1179" t="s">
        <v>542</v>
      </c>
      <c r="B1109" s="1868"/>
      <c r="C1109" s="1868"/>
      <c r="D1109" s="1868"/>
      <c r="E1109" s="1895">
        <f t="shared" si="2302"/>
        <v>0</v>
      </c>
      <c r="F1109" s="1868"/>
      <c r="G1109" s="1868"/>
      <c r="H1109" s="1868"/>
      <c r="I1109" s="1895">
        <f t="shared" si="2303"/>
        <v>0</v>
      </c>
      <c r="J1109" s="1896">
        <f t="shared" si="2304"/>
        <v>0</v>
      </c>
      <c r="K1109" s="1868"/>
      <c r="L1109" s="1868"/>
      <c r="M1109" s="1868"/>
      <c r="N1109" s="1895">
        <f t="shared" si="2305"/>
        <v>0</v>
      </c>
      <c r="O1109" s="1896">
        <f t="shared" si="2306"/>
        <v>0</v>
      </c>
      <c r="P1109" s="1868"/>
      <c r="Q1109" s="1868"/>
      <c r="R1109" s="1868"/>
      <c r="S1109" s="1895">
        <f t="shared" si="2307"/>
        <v>0</v>
      </c>
      <c r="T1109" s="1897">
        <f t="shared" si="2308"/>
        <v>0</v>
      </c>
    </row>
    <row r="1110">
      <c r="A1110" s="1179" t="s">
        <v>195</v>
      </c>
      <c r="B1110" s="1868">
        <v>4</v>
      </c>
      <c r="C1110" s="1868">
        <f>7+2</f>
        <v>9</v>
      </c>
      <c r="D1110" s="1868"/>
      <c r="E1110" s="1895">
        <f t="shared" si="2302"/>
        <v>13</v>
      </c>
      <c r="F1110" s="1868"/>
      <c r="G1110" s="1868"/>
      <c r="H1110" s="1868"/>
      <c r="I1110" s="1895">
        <f t="shared" si="2303"/>
        <v>0</v>
      </c>
      <c r="J1110" s="1896">
        <f t="shared" si="2304"/>
        <v>13</v>
      </c>
      <c r="K1110" s="1868"/>
      <c r="L1110" s="1868"/>
      <c r="M1110" s="1868"/>
      <c r="N1110" s="1895">
        <f t="shared" si="2305"/>
        <v>0</v>
      </c>
      <c r="O1110" s="1896">
        <f t="shared" si="2306"/>
        <v>13</v>
      </c>
      <c r="P1110" s="1868"/>
      <c r="Q1110" s="1868"/>
      <c r="R1110" s="1868"/>
      <c r="S1110" s="1895">
        <f t="shared" si="2307"/>
        <v>0</v>
      </c>
      <c r="T1110" s="1897">
        <f t="shared" si="2308"/>
        <v>13</v>
      </c>
    </row>
    <row r="1111">
      <c r="A1111" s="1179" t="s">
        <v>196</v>
      </c>
      <c r="B1111" s="1868">
        <v>1</v>
      </c>
      <c r="C1111" s="1868"/>
      <c r="D1111" s="1868"/>
      <c r="E1111" s="1895">
        <f t="shared" si="2302"/>
        <v>1</v>
      </c>
      <c r="F1111" s="1868"/>
      <c r="G1111" s="1868"/>
      <c r="H1111" s="1868"/>
      <c r="I1111" s="1895">
        <f t="shared" si="2303"/>
        <v>0</v>
      </c>
      <c r="J1111" s="1896">
        <f t="shared" si="2304"/>
        <v>1</v>
      </c>
      <c r="K1111" s="1868"/>
      <c r="L1111" s="1868"/>
      <c r="M1111" s="1868"/>
      <c r="N1111" s="1895">
        <f t="shared" si="2305"/>
        <v>0</v>
      </c>
      <c r="O1111" s="1896">
        <f t="shared" si="2306"/>
        <v>1</v>
      </c>
      <c r="P1111" s="1868"/>
      <c r="Q1111" s="1868"/>
      <c r="R1111" s="1868"/>
      <c r="S1111" s="1895">
        <f t="shared" si="2307"/>
        <v>0</v>
      </c>
      <c r="T1111" s="1897">
        <f t="shared" si="2308"/>
        <v>1</v>
      </c>
    </row>
    <row r="1112">
      <c r="A1112" s="1179" t="s">
        <v>367</v>
      </c>
      <c r="B1112" s="1868"/>
      <c r="C1112" s="1868"/>
      <c r="D1112" s="1868"/>
      <c r="E1112" s="1895">
        <f t="shared" si="2302"/>
        <v>0</v>
      </c>
      <c r="F1112" s="1868"/>
      <c r="G1112" s="1868"/>
      <c r="H1112" s="1868"/>
      <c r="I1112" s="1895">
        <f t="shared" si="2303"/>
        <v>0</v>
      </c>
      <c r="J1112" s="1896">
        <f t="shared" si="2304"/>
        <v>0</v>
      </c>
      <c r="K1112" s="1868"/>
      <c r="L1112" s="1868"/>
      <c r="M1112" s="1868"/>
      <c r="N1112" s="1895">
        <f t="shared" si="2305"/>
        <v>0</v>
      </c>
      <c r="O1112" s="1896">
        <f t="shared" si="2306"/>
        <v>0</v>
      </c>
      <c r="P1112" s="1868"/>
      <c r="Q1112" s="1868"/>
      <c r="R1112" s="1868"/>
      <c r="S1112" s="1895">
        <f t="shared" si="2307"/>
        <v>0</v>
      </c>
      <c r="T1112" s="1897">
        <f t="shared" si="2308"/>
        <v>0</v>
      </c>
    </row>
    <row r="1113">
      <c r="A1113" s="1179" t="s">
        <v>201</v>
      </c>
      <c r="B1113" s="1868">
        <v>6</v>
      </c>
      <c r="C1113" s="1868">
        <v>1</v>
      </c>
      <c r="D1113" s="1868"/>
      <c r="E1113" s="1895">
        <f t="shared" si="2302"/>
        <v>7</v>
      </c>
      <c r="F1113" s="1868"/>
      <c r="G1113" s="1868"/>
      <c r="H1113" s="1868"/>
      <c r="I1113" s="1895">
        <f t="shared" si="2303"/>
        <v>0</v>
      </c>
      <c r="J1113" s="1896">
        <f t="shared" si="2304"/>
        <v>7</v>
      </c>
      <c r="K1113" s="1868"/>
      <c r="L1113" s="1868"/>
      <c r="M1113" s="1868"/>
      <c r="N1113" s="1895">
        <f t="shared" si="2305"/>
        <v>0</v>
      </c>
      <c r="O1113" s="1896">
        <f t="shared" si="2306"/>
        <v>7</v>
      </c>
      <c r="P1113" s="1868"/>
      <c r="Q1113" s="1868"/>
      <c r="R1113" s="1868"/>
      <c r="S1113" s="1895">
        <f t="shared" si="2307"/>
        <v>0</v>
      </c>
      <c r="T1113" s="1897">
        <f t="shared" si="2308"/>
        <v>7</v>
      </c>
    </row>
    <row r="1114">
      <c r="A1114" s="1179" t="s">
        <v>203</v>
      </c>
      <c r="B1114" s="1868"/>
      <c r="C1114" s="1868"/>
      <c r="D1114" s="1868"/>
      <c r="E1114" s="1895">
        <f t="shared" si="2302"/>
        <v>0</v>
      </c>
      <c r="F1114" s="1868"/>
      <c r="G1114" s="1868"/>
      <c r="H1114" s="1868"/>
      <c r="I1114" s="1895">
        <f t="shared" si="2303"/>
        <v>0</v>
      </c>
      <c r="J1114" s="1896">
        <f t="shared" si="2304"/>
        <v>0</v>
      </c>
      <c r="K1114" s="1868"/>
      <c r="L1114" s="1868"/>
      <c r="M1114" s="1868"/>
      <c r="N1114" s="1895">
        <f t="shared" si="2305"/>
        <v>0</v>
      </c>
      <c r="O1114" s="1896">
        <f t="shared" si="2306"/>
        <v>0</v>
      </c>
      <c r="P1114" s="1868"/>
      <c r="Q1114" s="1868"/>
      <c r="R1114" s="1868"/>
      <c r="S1114" s="1895">
        <f t="shared" si="2307"/>
        <v>0</v>
      </c>
      <c r="T1114" s="1897">
        <f t="shared" si="2308"/>
        <v>0</v>
      </c>
    </row>
    <row r="1115">
      <c r="A1115" s="1179" t="s">
        <v>204</v>
      </c>
      <c r="B1115" s="1868"/>
      <c r="C1115" s="1868"/>
      <c r="D1115" s="1868"/>
      <c r="E1115" s="1895">
        <f t="shared" si="2302"/>
        <v>0</v>
      </c>
      <c r="F1115" s="1868"/>
      <c r="G1115" s="1868"/>
      <c r="H1115" s="1868"/>
      <c r="I1115" s="1895">
        <f t="shared" si="2303"/>
        <v>0</v>
      </c>
      <c r="J1115" s="1896">
        <f t="shared" si="2304"/>
        <v>0</v>
      </c>
      <c r="K1115" s="1868"/>
      <c r="L1115" s="1868"/>
      <c r="M1115" s="1868"/>
      <c r="N1115" s="1895">
        <f t="shared" si="2305"/>
        <v>0</v>
      </c>
      <c r="O1115" s="1896">
        <f t="shared" si="2306"/>
        <v>0</v>
      </c>
      <c r="P1115" s="1868"/>
      <c r="Q1115" s="1868"/>
      <c r="R1115" s="1868"/>
      <c r="S1115" s="1895">
        <f t="shared" si="2307"/>
        <v>0</v>
      </c>
      <c r="T1115" s="1897">
        <f t="shared" si="2308"/>
        <v>0</v>
      </c>
    </row>
    <row r="1116">
      <c r="A1116" s="1179" t="s">
        <v>205</v>
      </c>
      <c r="B1116" s="1868">
        <v>11</v>
      </c>
      <c r="C1116" s="1868"/>
      <c r="D1116" s="1868"/>
      <c r="E1116" s="1895">
        <f t="shared" si="2302"/>
        <v>11</v>
      </c>
      <c r="F1116" s="1868"/>
      <c r="G1116" s="1868"/>
      <c r="H1116" s="1868"/>
      <c r="I1116" s="1895">
        <f t="shared" si="2303"/>
        <v>0</v>
      </c>
      <c r="J1116" s="1896">
        <f t="shared" si="2304"/>
        <v>11</v>
      </c>
      <c r="K1116" s="1868"/>
      <c r="L1116" s="1868"/>
      <c r="M1116" s="1868"/>
      <c r="N1116" s="1895">
        <f t="shared" si="2305"/>
        <v>0</v>
      </c>
      <c r="O1116" s="1896">
        <f t="shared" si="2306"/>
        <v>11</v>
      </c>
      <c r="P1116" s="1868"/>
      <c r="Q1116" s="1868"/>
      <c r="R1116" s="1868"/>
      <c r="S1116" s="1895">
        <f t="shared" si="2307"/>
        <v>0</v>
      </c>
      <c r="T1116" s="1897">
        <f t="shared" si="2308"/>
        <v>11</v>
      </c>
    </row>
    <row r="1117">
      <c r="A1117" s="1179" t="s">
        <v>206</v>
      </c>
      <c r="B1117" s="1868">
        <f>9+4</f>
        <v>13</v>
      </c>
      <c r="C1117" s="1868">
        <f>1+1</f>
        <v>2</v>
      </c>
      <c r="D1117" s="1868"/>
      <c r="E1117" s="1895">
        <f t="shared" si="2302"/>
        <v>15</v>
      </c>
      <c r="F1117" s="1868"/>
      <c r="G1117" s="1868"/>
      <c r="H1117" s="1868"/>
      <c r="I1117" s="1895">
        <f t="shared" si="2303"/>
        <v>0</v>
      </c>
      <c r="J1117" s="1896">
        <f t="shared" si="2304"/>
        <v>15</v>
      </c>
      <c r="K1117" s="1868"/>
      <c r="L1117" s="1868"/>
      <c r="M1117" s="1868"/>
      <c r="N1117" s="1895">
        <f t="shared" si="2305"/>
        <v>0</v>
      </c>
      <c r="O1117" s="1896">
        <f t="shared" si="2306"/>
        <v>15</v>
      </c>
      <c r="P1117" s="1868"/>
      <c r="Q1117" s="1868"/>
      <c r="R1117" s="1868"/>
      <c r="S1117" s="1895">
        <f t="shared" si="2307"/>
        <v>0</v>
      </c>
      <c r="T1117" s="1897">
        <f t="shared" si="2308"/>
        <v>15</v>
      </c>
    </row>
    <row r="1118">
      <c r="A1118" s="1179" t="s">
        <v>207</v>
      </c>
      <c r="B1118" s="1868"/>
      <c r="C1118" s="1868">
        <v>2</v>
      </c>
      <c r="D1118" s="1868"/>
      <c r="E1118" s="1895">
        <f t="shared" si="2302"/>
        <v>2</v>
      </c>
      <c r="F1118" s="1868"/>
      <c r="G1118" s="1868"/>
      <c r="H1118" s="1868"/>
      <c r="I1118" s="1895">
        <f t="shared" si="2303"/>
        <v>0</v>
      </c>
      <c r="J1118" s="1896">
        <f t="shared" si="2304"/>
        <v>2</v>
      </c>
      <c r="K1118" s="1868"/>
      <c r="L1118" s="1868"/>
      <c r="M1118" s="1868"/>
      <c r="N1118" s="1895">
        <f t="shared" si="2305"/>
        <v>0</v>
      </c>
      <c r="O1118" s="1896">
        <f t="shared" si="2306"/>
        <v>2</v>
      </c>
      <c r="P1118" s="1868"/>
      <c r="Q1118" s="1868"/>
      <c r="R1118" s="1868"/>
      <c r="S1118" s="1895">
        <f t="shared" si="2307"/>
        <v>0</v>
      </c>
      <c r="T1118" s="1897">
        <f t="shared" si="2308"/>
        <v>2</v>
      </c>
    </row>
    <row r="1119">
      <c r="A1119" s="1179" t="s">
        <v>209</v>
      </c>
      <c r="B1119" s="1868"/>
      <c r="C1119" s="1868"/>
      <c r="D1119" s="1868"/>
      <c r="E1119" s="1895">
        <f t="shared" si="2302"/>
        <v>0</v>
      </c>
      <c r="F1119" s="1868"/>
      <c r="G1119" s="1868"/>
      <c r="H1119" s="1868"/>
      <c r="I1119" s="1895">
        <f t="shared" si="2303"/>
        <v>0</v>
      </c>
      <c r="J1119" s="1896">
        <f t="shared" si="2304"/>
        <v>0</v>
      </c>
      <c r="K1119" s="1868"/>
      <c r="L1119" s="1868"/>
      <c r="M1119" s="1868"/>
      <c r="N1119" s="1895">
        <f t="shared" si="2305"/>
        <v>0</v>
      </c>
      <c r="O1119" s="1896">
        <f t="shared" si="2306"/>
        <v>0</v>
      </c>
      <c r="P1119" s="1868"/>
      <c r="Q1119" s="1868"/>
      <c r="R1119" s="1868"/>
      <c r="S1119" s="1895">
        <f t="shared" si="2307"/>
        <v>0</v>
      </c>
      <c r="T1119" s="1897">
        <f t="shared" si="2308"/>
        <v>0</v>
      </c>
    </row>
    <row r="1120">
      <c r="A1120" s="1179" t="s">
        <v>210</v>
      </c>
      <c r="B1120" s="1868">
        <f>6+1</f>
        <v>7</v>
      </c>
      <c r="C1120" s="1868"/>
      <c r="D1120" s="1868"/>
      <c r="E1120" s="1895">
        <f t="shared" si="2302"/>
        <v>7</v>
      </c>
      <c r="F1120" s="1868"/>
      <c r="G1120" s="1868"/>
      <c r="H1120" s="1868"/>
      <c r="I1120" s="1895">
        <f t="shared" si="2303"/>
        <v>0</v>
      </c>
      <c r="J1120" s="1896">
        <f t="shared" si="2304"/>
        <v>7</v>
      </c>
      <c r="K1120" s="1868"/>
      <c r="L1120" s="1868"/>
      <c r="M1120" s="1868"/>
      <c r="N1120" s="1895">
        <f t="shared" si="2305"/>
        <v>0</v>
      </c>
      <c r="O1120" s="1896">
        <f t="shared" si="2306"/>
        <v>7</v>
      </c>
      <c r="P1120" s="1868"/>
      <c r="Q1120" s="1868"/>
      <c r="R1120" s="1868"/>
      <c r="S1120" s="1895">
        <f t="shared" si="2307"/>
        <v>0</v>
      </c>
      <c r="T1120" s="1897">
        <f t="shared" si="2308"/>
        <v>7</v>
      </c>
    </row>
    <row r="1121">
      <c r="A1121" s="1179" t="s">
        <v>211</v>
      </c>
      <c r="B1121" s="1868"/>
      <c r="C1121" s="1868"/>
      <c r="D1121" s="1868"/>
      <c r="E1121" s="1895">
        <f t="shared" si="2302"/>
        <v>0</v>
      </c>
      <c r="F1121" s="1868"/>
      <c r="G1121" s="1868"/>
      <c r="H1121" s="1868"/>
      <c r="I1121" s="1895">
        <f t="shared" si="2303"/>
        <v>0</v>
      </c>
      <c r="J1121" s="1896">
        <f t="shared" si="2304"/>
        <v>0</v>
      </c>
      <c r="K1121" s="1868"/>
      <c r="L1121" s="1868"/>
      <c r="M1121" s="1868"/>
      <c r="N1121" s="1895">
        <f t="shared" si="2305"/>
        <v>0</v>
      </c>
      <c r="O1121" s="1896">
        <f t="shared" si="2306"/>
        <v>0</v>
      </c>
      <c r="P1121" s="1868"/>
      <c r="Q1121" s="1868"/>
      <c r="R1121" s="1868"/>
      <c r="S1121" s="1895">
        <f t="shared" si="2307"/>
        <v>0</v>
      </c>
      <c r="T1121" s="1897">
        <f t="shared" si="2308"/>
        <v>0</v>
      </c>
    </row>
    <row r="1122">
      <c r="A1122" s="1511" t="s">
        <v>363</v>
      </c>
      <c r="B1122" s="1871">
        <f>SUM(B1109:B1121)</f>
        <v>42</v>
      </c>
      <c r="C1122" s="1871">
        <f>SUM(C1109:C1121)</f>
        <v>14</v>
      </c>
      <c r="D1122" s="1871">
        <f>SUM(D1109:D1121)</f>
        <v>0</v>
      </c>
      <c r="E1122" s="1899">
        <f t="shared" si="2302"/>
        <v>56</v>
      </c>
      <c r="F1122" s="1871">
        <f>SUM(F1109:F1121)</f>
        <v>0</v>
      </c>
      <c r="G1122" s="1871">
        <f>SUM(G1109:G1121)</f>
        <v>0</v>
      </c>
      <c r="H1122" s="1871">
        <f>SUM(H1109:H1121)</f>
        <v>0</v>
      </c>
      <c r="I1122" s="1895">
        <f t="shared" si="2303"/>
        <v>0</v>
      </c>
      <c r="J1122" s="1896">
        <f t="shared" si="2304"/>
        <v>56</v>
      </c>
      <c r="K1122" s="1871">
        <f>SUM(K1109:K1121)</f>
        <v>0</v>
      </c>
      <c r="L1122" s="1871">
        <f>SUM(L1109:L1121)</f>
        <v>0</v>
      </c>
      <c r="M1122" s="1871">
        <f>SUM(M1109:M1121)</f>
        <v>0</v>
      </c>
      <c r="N1122" s="1895">
        <f t="shared" si="2305"/>
        <v>0</v>
      </c>
      <c r="O1122" s="1896">
        <f t="shared" si="2306"/>
        <v>56</v>
      </c>
      <c r="P1122" s="1871">
        <f>SUM(P1109:P1121)</f>
        <v>0</v>
      </c>
      <c r="Q1122" s="1871">
        <f>SUM(Q1109:Q1121)</f>
        <v>0</v>
      </c>
      <c r="R1122" s="1871">
        <f>SUM(R1109:R1121)</f>
        <v>0</v>
      </c>
      <c r="S1122" s="1895">
        <f t="shared" si="2307"/>
        <v>0</v>
      </c>
      <c r="T1122" s="1897">
        <f t="shared" si="2308"/>
        <v>56</v>
      </c>
    </row>
    <row r="1123">
      <c r="A1123" s="1179" t="s">
        <v>379</v>
      </c>
      <c r="B1123" s="1868"/>
      <c r="C1123" s="1868"/>
      <c r="D1123" s="1868"/>
      <c r="E1123" s="1895">
        <f t="shared" si="2302"/>
        <v>0</v>
      </c>
      <c r="F1123" s="1868"/>
      <c r="G1123" s="1868"/>
      <c r="H1123" s="1868"/>
      <c r="I1123" s="1895">
        <f t="shared" si="2303"/>
        <v>0</v>
      </c>
      <c r="J1123" s="1896">
        <f t="shared" si="2304"/>
        <v>0</v>
      </c>
      <c r="K1123" s="1868"/>
      <c r="L1123" s="1868"/>
      <c r="M1123" s="1868"/>
      <c r="N1123" s="1895">
        <f t="shared" si="2305"/>
        <v>0</v>
      </c>
      <c r="O1123" s="1896">
        <f t="shared" si="2306"/>
        <v>0</v>
      </c>
      <c r="P1123" s="1868"/>
      <c r="Q1123" s="1868"/>
      <c r="R1123" s="1868"/>
      <c r="S1123" s="1895">
        <f t="shared" si="2307"/>
        <v>0</v>
      </c>
      <c r="T1123" s="1897">
        <f t="shared" si="2308"/>
        <v>0</v>
      </c>
    </row>
    <row r="1124">
      <c r="A1124" s="1561" t="s">
        <v>525</v>
      </c>
      <c r="B1124" s="1868"/>
      <c r="C1124" s="1868"/>
      <c r="D1124" s="1868"/>
      <c r="E1124" s="1895">
        <f t="shared" si="2302"/>
        <v>0</v>
      </c>
      <c r="F1124" s="1868"/>
      <c r="G1124" s="1868"/>
      <c r="H1124" s="1868"/>
      <c r="I1124" s="1895">
        <f t="shared" si="2303"/>
        <v>0</v>
      </c>
      <c r="J1124" s="1896">
        <f t="shared" si="2304"/>
        <v>0</v>
      </c>
      <c r="K1124" s="1868"/>
      <c r="L1124" s="1868"/>
      <c r="M1124" s="1868"/>
      <c r="N1124" s="1895">
        <f t="shared" si="2305"/>
        <v>0</v>
      </c>
      <c r="O1124" s="1896">
        <f t="shared" si="2306"/>
        <v>0</v>
      </c>
      <c r="P1124" s="1868"/>
      <c r="Q1124" s="1868"/>
      <c r="R1124" s="1868"/>
      <c r="S1124" s="1895">
        <f t="shared" si="2307"/>
        <v>0</v>
      </c>
      <c r="T1124" s="1897">
        <f t="shared" si="2308"/>
        <v>0</v>
      </c>
    </row>
    <row r="1125">
      <c r="A1125" s="1551" t="s">
        <v>543</v>
      </c>
      <c r="B1125" s="1868"/>
      <c r="C1125" s="1868"/>
      <c r="D1125" s="1868"/>
      <c r="E1125" s="1895">
        <f t="shared" si="2302"/>
        <v>0</v>
      </c>
      <c r="F1125" s="1868"/>
      <c r="G1125" s="1868"/>
      <c r="H1125" s="1868"/>
      <c r="I1125" s="1895">
        <f t="shared" si="2303"/>
        <v>0</v>
      </c>
      <c r="J1125" s="1896">
        <f t="shared" si="2304"/>
        <v>0</v>
      </c>
      <c r="K1125" s="1868"/>
      <c r="L1125" s="1868"/>
      <c r="M1125" s="1868"/>
      <c r="N1125" s="1895">
        <f t="shared" si="2305"/>
        <v>0</v>
      </c>
      <c r="O1125" s="1896">
        <f t="shared" si="2306"/>
        <v>0</v>
      </c>
      <c r="P1125" s="1868"/>
      <c r="Q1125" s="1868"/>
      <c r="R1125" s="1868"/>
      <c r="S1125" s="1895">
        <f t="shared" si="2307"/>
        <v>0</v>
      </c>
      <c r="T1125" s="1897">
        <f t="shared" si="2308"/>
        <v>0</v>
      </c>
    </row>
    <row r="1126">
      <c r="A1126" s="1511" t="s">
        <v>544</v>
      </c>
      <c r="B1126" s="1871">
        <f>SUM(B1123:B1125)</f>
        <v>0</v>
      </c>
      <c r="C1126" s="1871">
        <f>SUM(C1123:C1125)</f>
        <v>0</v>
      </c>
      <c r="D1126" s="1871">
        <f>SUM(D1123:D1125)</f>
        <v>0</v>
      </c>
      <c r="E1126" s="1899">
        <f t="shared" si="2302"/>
        <v>0</v>
      </c>
      <c r="F1126" s="1871">
        <f>SUM(F1123:F1125)</f>
        <v>0</v>
      </c>
      <c r="G1126" s="1871">
        <f>SUM(G1123:G1125)</f>
        <v>0</v>
      </c>
      <c r="H1126" s="1871">
        <f>SUM(H1123:H1125)</f>
        <v>0</v>
      </c>
      <c r="I1126" s="1895">
        <f t="shared" si="2303"/>
        <v>0</v>
      </c>
      <c r="J1126" s="1896">
        <f t="shared" si="2304"/>
        <v>0</v>
      </c>
      <c r="K1126" s="1871">
        <f>SUM(K1123:K1125)</f>
        <v>0</v>
      </c>
      <c r="L1126" s="1871">
        <f>SUM(L1123:L1125)</f>
        <v>0</v>
      </c>
      <c r="M1126" s="1871">
        <f t="shared" ref="M1126:R1130" si="2311">SUM(M1123:M1125)</f>
        <v>0</v>
      </c>
      <c r="N1126" s="1895">
        <f t="shared" si="2305"/>
        <v>0</v>
      </c>
      <c r="O1126" s="1896">
        <f t="shared" si="2306"/>
        <v>0</v>
      </c>
      <c r="P1126" s="1871">
        <f t="shared" si="2311"/>
        <v>0</v>
      </c>
      <c r="Q1126" s="1871">
        <f t="shared" si="2311"/>
        <v>0</v>
      </c>
      <c r="R1126" s="1871">
        <f t="shared" si="2311"/>
        <v>0</v>
      </c>
      <c r="S1126" s="1895">
        <f t="shared" si="2307"/>
        <v>0</v>
      </c>
      <c r="T1126" s="1897">
        <f t="shared" si="2308"/>
        <v>0</v>
      </c>
    </row>
    <row r="1127">
      <c r="A1127" s="1179" t="s">
        <v>390</v>
      </c>
      <c r="B1127" s="1868"/>
      <c r="C1127" s="1868">
        <v>5</v>
      </c>
      <c r="D1127" s="1868"/>
      <c r="E1127" s="1895">
        <f t="shared" si="2302"/>
        <v>5</v>
      </c>
      <c r="F1127" s="1868"/>
      <c r="G1127" s="1868"/>
      <c r="H1127" s="1868"/>
      <c r="I1127" s="1895">
        <f t="shared" si="2303"/>
        <v>0</v>
      </c>
      <c r="J1127" s="1896">
        <f t="shared" si="2304"/>
        <v>5</v>
      </c>
      <c r="K1127" s="1868"/>
      <c r="L1127" s="1868"/>
      <c r="M1127" s="1868"/>
      <c r="N1127" s="1895">
        <f t="shared" si="2305"/>
        <v>0</v>
      </c>
      <c r="O1127" s="1896">
        <f t="shared" si="2306"/>
        <v>5</v>
      </c>
      <c r="P1127" s="1868"/>
      <c r="Q1127" s="1868"/>
      <c r="R1127" s="1868"/>
      <c r="S1127" s="1895">
        <f t="shared" si="2307"/>
        <v>0</v>
      </c>
      <c r="T1127" s="1897">
        <f t="shared" si="2308"/>
        <v>5</v>
      </c>
    </row>
    <row r="1128">
      <c r="A1128" s="1179" t="s">
        <v>392</v>
      </c>
      <c r="B1128" s="1868">
        <v>1</v>
      </c>
      <c r="C1128" s="1868">
        <v>11</v>
      </c>
      <c r="D1128" s="1868"/>
      <c r="E1128" s="1895">
        <f t="shared" si="2302"/>
        <v>12</v>
      </c>
      <c r="F1128" s="1868"/>
      <c r="G1128" s="1868"/>
      <c r="H1128" s="1868"/>
      <c r="I1128" s="1895">
        <f t="shared" si="2303"/>
        <v>0</v>
      </c>
      <c r="J1128" s="1896">
        <f t="shared" si="2304"/>
        <v>12</v>
      </c>
      <c r="K1128" s="1868"/>
      <c r="L1128" s="1868"/>
      <c r="M1128" s="1868"/>
      <c r="N1128" s="1895">
        <f t="shared" si="2305"/>
        <v>0</v>
      </c>
      <c r="O1128" s="1896">
        <f t="shared" si="2306"/>
        <v>12</v>
      </c>
      <c r="P1128" s="1868"/>
      <c r="Q1128" s="1868"/>
      <c r="R1128" s="1868"/>
      <c r="S1128" s="1895">
        <f t="shared" si="2307"/>
        <v>0</v>
      </c>
      <c r="T1128" s="1897">
        <f t="shared" si="2308"/>
        <v>12</v>
      </c>
    </row>
    <row r="1129">
      <c r="A1129" s="1179" t="s">
        <v>265</v>
      </c>
      <c r="B1129" s="1868">
        <v>10</v>
      </c>
      <c r="C1129" s="1868">
        <v>2</v>
      </c>
      <c r="D1129" s="1868"/>
      <c r="E1129" s="1895">
        <f t="shared" si="2302"/>
        <v>12</v>
      </c>
      <c r="F1129" s="1868"/>
      <c r="G1129" s="1868"/>
      <c r="H1129" s="1868"/>
      <c r="I1129" s="1895">
        <f t="shared" si="2303"/>
        <v>0</v>
      </c>
      <c r="J1129" s="1896">
        <f t="shared" si="2304"/>
        <v>12</v>
      </c>
      <c r="K1129" s="1868"/>
      <c r="L1129" s="1868"/>
      <c r="M1129" s="1868"/>
      <c r="N1129" s="1895">
        <f t="shared" si="2305"/>
        <v>0</v>
      </c>
      <c r="O1129" s="1896">
        <f t="shared" si="2306"/>
        <v>12</v>
      </c>
      <c r="P1129" s="1868"/>
      <c r="Q1129" s="1868"/>
      <c r="R1129" s="1868"/>
      <c r="S1129" s="1895">
        <f t="shared" si="2307"/>
        <v>0</v>
      </c>
      <c r="T1129" s="1897">
        <f t="shared" si="2308"/>
        <v>12</v>
      </c>
    </row>
    <row r="1130">
      <c r="A1130" s="1511" t="s">
        <v>394</v>
      </c>
      <c r="B1130" s="1871">
        <f>SUM(B1127:B1129)</f>
        <v>11</v>
      </c>
      <c r="C1130" s="1871">
        <f>SUM(C1127:C1129)</f>
        <v>18</v>
      </c>
      <c r="D1130" s="1871">
        <f>SUM(D1127:D1129)</f>
        <v>0</v>
      </c>
      <c r="E1130" s="1899">
        <f t="shared" si="2302"/>
        <v>29</v>
      </c>
      <c r="F1130" s="1871">
        <f>SUM(F1127:F1129)</f>
        <v>0</v>
      </c>
      <c r="G1130" s="1871">
        <f>SUM(G1127:G1129)</f>
        <v>0</v>
      </c>
      <c r="H1130" s="1871">
        <f>SUM(H1127:H1129)</f>
        <v>0</v>
      </c>
      <c r="I1130" s="1895">
        <f t="shared" si="2303"/>
        <v>0</v>
      </c>
      <c r="J1130" s="1896">
        <f t="shared" si="2304"/>
        <v>29</v>
      </c>
      <c r="K1130" s="1871">
        <f>SUM(K1127:K1129)</f>
        <v>0</v>
      </c>
      <c r="L1130" s="1871">
        <f>SUM(L1127:L1129)</f>
        <v>0</v>
      </c>
      <c r="M1130" s="1871">
        <f t="shared" si="2311"/>
        <v>0</v>
      </c>
      <c r="N1130" s="1895">
        <f t="shared" si="2305"/>
        <v>0</v>
      </c>
      <c r="O1130" s="1896">
        <f t="shared" si="2306"/>
        <v>29</v>
      </c>
      <c r="P1130" s="1871">
        <f t="shared" si="2311"/>
        <v>0</v>
      </c>
      <c r="Q1130" s="1871">
        <f t="shared" si="2311"/>
        <v>0</v>
      </c>
      <c r="R1130" s="1871">
        <f t="shared" si="2311"/>
        <v>0</v>
      </c>
      <c r="S1130" s="1895">
        <f t="shared" si="2307"/>
        <v>0</v>
      </c>
      <c r="T1130" s="1897">
        <f t="shared" si="2308"/>
        <v>29</v>
      </c>
    </row>
    <row r="1131">
      <c r="A1131" s="1511" t="s">
        <v>545</v>
      </c>
      <c r="B1131" s="1871">
        <f>B1108+B1122+B1126+B1130</f>
        <v>258</v>
      </c>
      <c r="C1131" s="1871">
        <f>C1108+C1122+C1126+C1130</f>
        <v>187</v>
      </c>
      <c r="D1131" s="1871">
        <f>D1108+D1122+D1126+D1130</f>
        <v>0</v>
      </c>
      <c r="E1131" s="1899">
        <f t="shared" si="2302"/>
        <v>445</v>
      </c>
      <c r="F1131" s="1871">
        <f>F1108+F1122+F1126+F1130</f>
        <v>0</v>
      </c>
      <c r="G1131" s="1871">
        <f>G1108+G1122+G1126+G1130</f>
        <v>0</v>
      </c>
      <c r="H1131" s="1871">
        <f>H1108+H1122+H1126+H1130</f>
        <v>0</v>
      </c>
      <c r="I1131" s="1895">
        <f t="shared" si="2303"/>
        <v>0</v>
      </c>
      <c r="J1131" s="1896">
        <f t="shared" si="2304"/>
        <v>445</v>
      </c>
      <c r="K1131" s="1871">
        <f>K1108+K1122+K1126+K1130</f>
        <v>0</v>
      </c>
      <c r="L1131" s="1871">
        <f>L1108+L1122+L1126+L1130</f>
        <v>0</v>
      </c>
      <c r="M1131" s="1871">
        <f>M1108+M1122+M1126+M1130</f>
        <v>0</v>
      </c>
      <c r="N1131" s="1895">
        <f t="shared" si="2305"/>
        <v>0</v>
      </c>
      <c r="O1131" s="1896">
        <f t="shared" si="2306"/>
        <v>445</v>
      </c>
      <c r="P1131" s="1871">
        <f>P1108+P1122+P1126+P1130</f>
        <v>0</v>
      </c>
      <c r="Q1131" s="1871">
        <f>Q1108+Q1122+Q1126+Q1130</f>
        <v>0</v>
      </c>
      <c r="R1131" s="1871">
        <f>R1108+R1122+R1126+R1130</f>
        <v>0</v>
      </c>
      <c r="S1131" s="1895">
        <f t="shared" si="2307"/>
        <v>0</v>
      </c>
      <c r="T1131" s="1897">
        <f t="shared" si="2308"/>
        <v>445</v>
      </c>
    </row>
    <row r="1132">
      <c r="A1132" s="1179" t="s">
        <v>50</v>
      </c>
      <c r="B1132" s="1868"/>
      <c r="C1132" s="1868"/>
      <c r="D1132" s="1868"/>
      <c r="E1132" s="1895">
        <f t="shared" si="2302"/>
        <v>0</v>
      </c>
      <c r="F1132" s="1868"/>
      <c r="G1132" s="1868"/>
      <c r="H1132" s="1868"/>
      <c r="I1132" s="1895">
        <f t="shared" si="2303"/>
        <v>0</v>
      </c>
      <c r="J1132" s="1896">
        <f t="shared" si="2304"/>
        <v>0</v>
      </c>
      <c r="K1132" s="1868"/>
      <c r="L1132" s="1868"/>
      <c r="M1132" s="1868"/>
      <c r="N1132" s="1895">
        <f t="shared" si="2305"/>
        <v>0</v>
      </c>
      <c r="O1132" s="1896">
        <f t="shared" si="2306"/>
        <v>0</v>
      </c>
      <c r="P1132" s="1868"/>
      <c r="Q1132" s="1868"/>
      <c r="R1132" s="1868"/>
      <c r="S1132" s="1895">
        <f t="shared" si="2307"/>
        <v>0</v>
      </c>
      <c r="T1132" s="1897">
        <f t="shared" si="2308"/>
        <v>0</v>
      </c>
    </row>
    <row r="1133">
      <c r="A1133" s="1179" t="s">
        <v>397</v>
      </c>
      <c r="B1133" s="1868"/>
      <c r="C1133" s="1868"/>
      <c r="D1133" s="1868"/>
      <c r="E1133" s="1895">
        <f t="shared" si="2302"/>
        <v>0</v>
      </c>
      <c r="F1133" s="1868"/>
      <c r="G1133" s="1868"/>
      <c r="H1133" s="1868"/>
      <c r="I1133" s="1895">
        <f t="shared" si="2303"/>
        <v>0</v>
      </c>
      <c r="J1133" s="1896">
        <f t="shared" si="2304"/>
        <v>0</v>
      </c>
      <c r="K1133" s="1868"/>
      <c r="L1133" s="1868"/>
      <c r="M1133" s="1868"/>
      <c r="N1133" s="1895">
        <f t="shared" si="2305"/>
        <v>0</v>
      </c>
      <c r="O1133" s="1896">
        <f t="shared" si="2306"/>
        <v>0</v>
      </c>
      <c r="P1133" s="1868"/>
      <c r="Q1133" s="1868"/>
      <c r="R1133" s="1868"/>
      <c r="S1133" s="1895">
        <f t="shared" si="2307"/>
        <v>0</v>
      </c>
      <c r="T1133" s="1897">
        <f t="shared" si="2308"/>
        <v>0</v>
      </c>
    </row>
    <row r="1134">
      <c r="A1134" s="1179" t="s">
        <v>546</v>
      </c>
      <c r="B1134" s="1868"/>
      <c r="C1134" s="1868"/>
      <c r="D1134" s="1868"/>
      <c r="E1134" s="1895">
        <f t="shared" si="2302"/>
        <v>0</v>
      </c>
      <c r="F1134" s="1868"/>
      <c r="G1134" s="1868"/>
      <c r="H1134" s="1868"/>
      <c r="I1134" s="1895">
        <f t="shared" si="2303"/>
        <v>0</v>
      </c>
      <c r="J1134" s="1896">
        <f t="shared" si="2304"/>
        <v>0</v>
      </c>
      <c r="K1134" s="1868"/>
      <c r="L1134" s="1868"/>
      <c r="M1134" s="1868"/>
      <c r="N1134" s="1895">
        <f t="shared" si="2305"/>
        <v>0</v>
      </c>
      <c r="O1134" s="1896">
        <f t="shared" si="2306"/>
        <v>0</v>
      </c>
      <c r="P1134" s="1868"/>
      <c r="Q1134" s="1868"/>
      <c r="R1134" s="1868"/>
      <c r="S1134" s="1895">
        <f t="shared" si="2307"/>
        <v>0</v>
      </c>
      <c r="T1134" s="1897">
        <f t="shared" si="2308"/>
        <v>0</v>
      </c>
    </row>
    <row r="1135">
      <c r="A1135" s="1179" t="s">
        <v>547</v>
      </c>
      <c r="B1135" s="1868"/>
      <c r="C1135" s="1868"/>
      <c r="D1135" s="1868"/>
      <c r="E1135" s="1895">
        <f t="shared" si="2302"/>
        <v>0</v>
      </c>
      <c r="F1135" s="1868"/>
      <c r="G1135" s="1868"/>
      <c r="H1135" s="1868"/>
      <c r="I1135" s="1895">
        <f t="shared" si="2303"/>
        <v>0</v>
      </c>
      <c r="J1135" s="1896">
        <f t="shared" si="2304"/>
        <v>0</v>
      </c>
      <c r="K1135" s="1868"/>
      <c r="L1135" s="1868"/>
      <c r="M1135" s="1868"/>
      <c r="N1135" s="1895">
        <f t="shared" si="2305"/>
        <v>0</v>
      </c>
      <c r="O1135" s="1896">
        <f t="shared" si="2306"/>
        <v>0</v>
      </c>
      <c r="P1135" s="1868"/>
      <c r="Q1135" s="1868"/>
      <c r="R1135" s="1868"/>
      <c r="S1135" s="1895">
        <f t="shared" si="2307"/>
        <v>0</v>
      </c>
      <c r="T1135" s="1897">
        <f t="shared" si="2308"/>
        <v>0</v>
      </c>
    </row>
    <row r="1136">
      <c r="A1136" s="1907" t="s">
        <v>619</v>
      </c>
      <c r="B1136" s="1868"/>
      <c r="C1136" s="1868"/>
      <c r="D1136" s="1868"/>
      <c r="E1136" s="1895"/>
      <c r="F1136" s="1868"/>
      <c r="G1136" s="1868"/>
      <c r="H1136" s="1868"/>
      <c r="I1136" s="1895"/>
      <c r="J1136" s="1896">
        <f t="shared" si="2304"/>
        <v>0</v>
      </c>
      <c r="K1136" s="1868"/>
      <c r="L1136" s="1868"/>
      <c r="M1136" s="1868"/>
      <c r="N1136" s="1895"/>
      <c r="O1136" s="1896"/>
      <c r="P1136" s="1868"/>
      <c r="Q1136" s="1868"/>
      <c r="R1136" s="1868"/>
      <c r="S1136" s="1895"/>
      <c r="T1136" s="1897"/>
    </row>
    <row r="1137">
      <c r="A1137" s="2301" t="s">
        <v>828</v>
      </c>
      <c r="B1137" s="1868">
        <v>1</v>
      </c>
      <c r="C1137" s="1868"/>
      <c r="D1137" s="1868"/>
      <c r="E1137" s="1895">
        <f t="shared" si="2302"/>
        <v>1</v>
      </c>
      <c r="F1137" s="1868"/>
      <c r="G1137" s="1868"/>
      <c r="H1137" s="1868"/>
      <c r="I1137" s="1895">
        <f t="shared" si="2303"/>
        <v>0</v>
      </c>
      <c r="J1137" s="1896">
        <f t="shared" si="2304"/>
        <v>1</v>
      </c>
      <c r="K1137" s="1868"/>
      <c r="L1137" s="1868"/>
      <c r="M1137" s="1868"/>
      <c r="N1137" s="1895">
        <f t="shared" si="2305"/>
        <v>0</v>
      </c>
      <c r="O1137" s="1896">
        <f t="shared" si="2306"/>
        <v>1</v>
      </c>
      <c r="P1137" s="1868"/>
      <c r="Q1137" s="1868"/>
      <c r="R1137" s="1868"/>
      <c r="S1137" s="1895">
        <f t="shared" si="2307"/>
        <v>0</v>
      </c>
      <c r="T1137" s="1897">
        <f t="shared" si="2308"/>
        <v>1</v>
      </c>
    </row>
    <row r="1138">
      <c r="A1138" s="1179" t="s">
        <v>548</v>
      </c>
      <c r="B1138" s="1868"/>
      <c r="C1138" s="1868"/>
      <c r="D1138" s="1868"/>
      <c r="E1138" s="1895">
        <f t="shared" si="2302"/>
        <v>0</v>
      </c>
      <c r="F1138" s="1868"/>
      <c r="G1138" s="1868"/>
      <c r="H1138" s="1868"/>
      <c r="I1138" s="1895">
        <f t="shared" si="2303"/>
        <v>0</v>
      </c>
      <c r="J1138" s="1896">
        <f t="shared" si="2304"/>
        <v>0</v>
      </c>
      <c r="K1138" s="1868"/>
      <c r="L1138" s="1868"/>
      <c r="M1138" s="1868"/>
      <c r="N1138" s="1895">
        <f t="shared" si="2305"/>
        <v>0</v>
      </c>
      <c r="O1138" s="1896">
        <f t="shared" si="2306"/>
        <v>0</v>
      </c>
      <c r="P1138" s="1868"/>
      <c r="Q1138" s="1868"/>
      <c r="R1138" s="1868"/>
      <c r="S1138" s="1895">
        <f t="shared" si="2307"/>
        <v>0</v>
      </c>
      <c r="T1138" s="1897">
        <f t="shared" si="2308"/>
        <v>0</v>
      </c>
    </row>
    <row r="1139">
      <c r="A1139" s="1179" t="s">
        <v>549</v>
      </c>
      <c r="B1139" s="1868"/>
      <c r="C1139" s="1868"/>
      <c r="D1139" s="1868"/>
      <c r="E1139" s="1895">
        <f t="shared" si="2302"/>
        <v>0</v>
      </c>
      <c r="F1139" s="1868"/>
      <c r="G1139" s="1868"/>
      <c r="H1139" s="1868"/>
      <c r="I1139" s="1895">
        <f t="shared" si="2303"/>
        <v>0</v>
      </c>
      <c r="J1139" s="1896">
        <f t="shared" si="2304"/>
        <v>0</v>
      </c>
      <c r="K1139" s="1868"/>
      <c r="L1139" s="1868"/>
      <c r="M1139" s="1868"/>
      <c r="N1139" s="1895">
        <f t="shared" si="2305"/>
        <v>0</v>
      </c>
      <c r="O1139" s="1896">
        <f t="shared" si="2306"/>
        <v>0</v>
      </c>
      <c r="P1139" s="1868"/>
      <c r="Q1139" s="1868"/>
      <c r="R1139" s="1868"/>
      <c r="S1139" s="1895">
        <f t="shared" si="2307"/>
        <v>0</v>
      </c>
      <c r="T1139" s="1897">
        <f t="shared" si="2308"/>
        <v>0</v>
      </c>
    </row>
    <row r="1140">
      <c r="A1140" s="1511" t="s">
        <v>22</v>
      </c>
      <c r="B1140" s="1871">
        <f>SUM(B1131:B1139)</f>
        <v>259</v>
      </c>
      <c r="C1140" s="1871">
        <f>SUM(C1131:C1139)</f>
        <v>187</v>
      </c>
      <c r="D1140" s="1871">
        <f>SUM(D1131:D1139)</f>
        <v>0</v>
      </c>
      <c r="E1140" s="1899">
        <f t="shared" si="2302"/>
        <v>446</v>
      </c>
      <c r="F1140" s="1871">
        <f>SUM(F1131:F1139)</f>
        <v>0</v>
      </c>
      <c r="G1140" s="1871">
        <f>SUM(G1131:G1139)</f>
        <v>0</v>
      </c>
      <c r="H1140" s="1871">
        <f>SUM(H1131:H1139)</f>
        <v>0</v>
      </c>
      <c r="I1140" s="1895">
        <f t="shared" si="2303"/>
        <v>0</v>
      </c>
      <c r="J1140" s="1896">
        <f t="shared" si="2304"/>
        <v>446</v>
      </c>
      <c r="K1140" s="1871">
        <f>SUM(K1131:K1139)</f>
        <v>0</v>
      </c>
      <c r="L1140" s="1871">
        <f>SUM(L1131:L1139)</f>
        <v>0</v>
      </c>
      <c r="M1140" s="1871">
        <f>SUM(M1131:M1139)</f>
        <v>0</v>
      </c>
      <c r="N1140" s="1895">
        <f t="shared" si="2305"/>
        <v>0</v>
      </c>
      <c r="O1140" s="1896">
        <f t="shared" si="2306"/>
        <v>446</v>
      </c>
      <c r="P1140" s="1871">
        <f>SUM(P1131:P1139)</f>
        <v>0</v>
      </c>
      <c r="Q1140" s="1871">
        <f>SUM(Q1131:Q1139)</f>
        <v>0</v>
      </c>
      <c r="R1140" s="1871">
        <f>SUM(R1131:R1139)</f>
        <v>0</v>
      </c>
      <c r="S1140" s="1895">
        <f t="shared" si="2307"/>
        <v>0</v>
      </c>
      <c r="T1140" s="1897">
        <f t="shared" si="2308"/>
        <v>446</v>
      </c>
    </row>
    <row r="1141">
      <c r="A1141" s="1179" t="s">
        <v>829</v>
      </c>
      <c r="B1141" s="1868">
        <v>67</v>
      </c>
      <c r="C1141" s="1868">
        <v>74</v>
      </c>
      <c r="D1141" s="1868"/>
      <c r="E1141" s="1895">
        <f t="shared" si="2302"/>
        <v>141</v>
      </c>
      <c r="F1141" s="1868"/>
      <c r="G1141" s="1868"/>
      <c r="H1141" s="1868"/>
      <c r="I1141" s="1895">
        <f t="shared" si="2303"/>
        <v>0</v>
      </c>
      <c r="J1141" s="1896">
        <f t="shared" si="2304"/>
        <v>141</v>
      </c>
      <c r="K1141" s="1868"/>
      <c r="L1141" s="1868"/>
      <c r="M1141" s="1868"/>
      <c r="N1141" s="1895">
        <f t="shared" si="2305"/>
        <v>0</v>
      </c>
      <c r="O1141" s="1896">
        <f t="shared" si="2306"/>
        <v>141</v>
      </c>
      <c r="P1141" s="1868"/>
      <c r="Q1141" s="1868"/>
      <c r="R1141" s="1868"/>
      <c r="S1141" s="1895">
        <f t="shared" si="2307"/>
        <v>0</v>
      </c>
      <c r="T1141" s="1897">
        <f t="shared" si="2308"/>
        <v>141</v>
      </c>
    </row>
    <row r="1142">
      <c r="A1142" s="1179" t="s">
        <v>830</v>
      </c>
      <c r="B1142" s="1868">
        <v>0</v>
      </c>
      <c r="C1142" s="1868"/>
      <c r="D1142" s="1868"/>
      <c r="E1142" s="1895">
        <f t="shared" si="2302"/>
        <v>0</v>
      </c>
      <c r="F1142" s="1868"/>
      <c r="G1142" s="1868"/>
      <c r="H1142" s="1868"/>
      <c r="I1142" s="1895">
        <f t="shared" si="2303"/>
        <v>0</v>
      </c>
      <c r="J1142" s="1896">
        <f t="shared" si="2304"/>
        <v>0</v>
      </c>
      <c r="K1142" s="1868"/>
      <c r="L1142" s="1868"/>
      <c r="M1142" s="1868"/>
      <c r="N1142" s="1895">
        <f t="shared" si="2305"/>
        <v>0</v>
      </c>
      <c r="O1142" s="1896">
        <f t="shared" si="2306"/>
        <v>0</v>
      </c>
      <c r="P1142" s="1868"/>
      <c r="Q1142" s="1868"/>
      <c r="R1142" s="1868"/>
      <c r="S1142" s="1895">
        <f t="shared" si="2307"/>
        <v>0</v>
      </c>
      <c r="T1142" s="1897">
        <f t="shared" si="2308"/>
        <v>0</v>
      </c>
    </row>
    <row r="1143">
      <c r="A1143" s="1179" t="s">
        <v>831</v>
      </c>
      <c r="B1143" s="1868"/>
      <c r="C1143" s="1868"/>
      <c r="D1143" s="1868"/>
      <c r="E1143" s="1895">
        <f t="shared" si="2302"/>
        <v>0</v>
      </c>
      <c r="F1143" s="1868"/>
      <c r="G1143" s="1868"/>
      <c r="H1143" s="1868"/>
      <c r="I1143" s="1895">
        <f t="shared" si="2303"/>
        <v>0</v>
      </c>
      <c r="J1143" s="1896">
        <f t="shared" si="2304"/>
        <v>0</v>
      </c>
      <c r="K1143" s="1868"/>
      <c r="L1143" s="1868"/>
      <c r="M1143" s="1868"/>
      <c r="N1143" s="1895">
        <f t="shared" si="2305"/>
        <v>0</v>
      </c>
      <c r="O1143" s="1896">
        <f t="shared" si="2306"/>
        <v>0</v>
      </c>
      <c r="P1143" s="1868"/>
      <c r="Q1143" s="1868"/>
      <c r="R1143" s="1868"/>
      <c r="S1143" s="1895">
        <f t="shared" si="2307"/>
        <v>0</v>
      </c>
      <c r="T1143" s="1897">
        <f t="shared" si="2308"/>
        <v>0</v>
      </c>
    </row>
    <row r="1144" s="1510" customFormat="1">
      <c r="A1144" s="1179" t="s">
        <v>186</v>
      </c>
      <c r="B1144" s="1868">
        <f>693-B1140</f>
        <v>434</v>
      </c>
      <c r="C1144" s="1868">
        <f>638-C1140</f>
        <v>451</v>
      </c>
      <c r="D1144" s="1868"/>
      <c r="E1144" s="1895">
        <f t="shared" si="2302"/>
        <v>885</v>
      </c>
      <c r="F1144" s="1868"/>
      <c r="G1144" s="1868"/>
      <c r="H1144" s="1868"/>
      <c r="I1144" s="1895">
        <f t="shared" si="2303"/>
        <v>0</v>
      </c>
      <c r="J1144" s="1896">
        <f t="shared" si="2304"/>
        <v>885</v>
      </c>
      <c r="K1144" s="1868"/>
      <c r="L1144" s="1868"/>
      <c r="M1144" s="1868"/>
      <c r="N1144" s="1895">
        <f t="shared" si="2305"/>
        <v>0</v>
      </c>
      <c r="O1144" s="1896">
        <f t="shared" si="2306"/>
        <v>885</v>
      </c>
      <c r="P1144" s="1868"/>
      <c r="Q1144" s="1868"/>
      <c r="R1144" s="1868"/>
      <c r="S1144" s="1895">
        <f t="shared" si="2307"/>
        <v>0</v>
      </c>
      <c r="T1144" s="1897">
        <f t="shared" si="2308"/>
        <v>885</v>
      </c>
      <c r="U1144" s="1409"/>
      <c r="V1144" s="1409"/>
      <c r="W1144" s="1409"/>
      <c r="X1144" s="1409"/>
      <c r="Y1144" s="1409"/>
      <c r="Z1144" s="1411"/>
      <c r="AA1144" s="1409"/>
      <c r="AB1144" s="1409"/>
      <c r="AC1144" s="1409"/>
      <c r="AD1144" s="1411"/>
      <c r="AE1144" s="1416"/>
      <c r="AF1144" s="1409"/>
      <c r="AG1144" s="1409"/>
      <c r="AH1144" s="1409"/>
      <c r="AI1144" s="1411"/>
      <c r="AJ1144" s="1416"/>
      <c r="AK1144" s="1409"/>
      <c r="AL1144" s="1417"/>
      <c r="AM1144" s="1409"/>
      <c r="AN1144" s="1411"/>
      <c r="AO1144" s="1418"/>
      <c r="AP1144" s="1409"/>
      <c r="AQ1144" s="1409"/>
      <c r="AR1144" s="1409"/>
      <c r="AS1144" s="1409"/>
      <c r="AT1144" s="1409"/>
      <c r="AU1144" s="1409"/>
      <c r="AV1144" s="1409"/>
      <c r="AW1144" s="1409"/>
      <c r="AX1144" s="1409"/>
      <c r="AY1144" s="1409"/>
      <c r="AZ1144" s="1409"/>
    </row>
    <row r="1145">
      <c r="A1145" s="1511" t="s">
        <v>22</v>
      </c>
      <c r="B1145" s="1871">
        <f>B1141+B1144+B1142+B1140</f>
        <v>760</v>
      </c>
      <c r="C1145" s="1871">
        <f>C1141+C1144+C1142+C1140</f>
        <v>712</v>
      </c>
      <c r="D1145" s="1871">
        <f>D1141+D1144+D1142+D1140</f>
        <v>0</v>
      </c>
      <c r="E1145" s="1899">
        <f t="shared" si="2302"/>
        <v>1472</v>
      </c>
      <c r="F1145" s="1871">
        <f>F1141+F1144+F1142+F1140</f>
        <v>0</v>
      </c>
      <c r="G1145" s="1871">
        <f>G1141+G1144+G1142+G1140</f>
        <v>0</v>
      </c>
      <c r="H1145" s="1871">
        <f>H1141+H1144+H1142+H1140</f>
        <v>0</v>
      </c>
      <c r="I1145" s="1895">
        <f t="shared" si="2303"/>
        <v>0</v>
      </c>
      <c r="J1145" s="1896">
        <f t="shared" si="2304"/>
        <v>1472</v>
      </c>
      <c r="K1145" s="1871">
        <f>K1141+K1144+K1142+K1140</f>
        <v>0</v>
      </c>
      <c r="L1145" s="1871">
        <f>L1141+L1144+L1142+L1140</f>
        <v>0</v>
      </c>
      <c r="M1145" s="1871">
        <f>M1141+M1144+M1142+M1140</f>
        <v>0</v>
      </c>
      <c r="N1145" s="1895">
        <f t="shared" si="2305"/>
        <v>0</v>
      </c>
      <c r="O1145" s="1896">
        <f t="shared" si="2306"/>
        <v>1472</v>
      </c>
      <c r="P1145" s="1871">
        <f>P1141+P1144+P1142+P1140</f>
        <v>0</v>
      </c>
      <c r="Q1145" s="1871">
        <f>Q1141+Q1144+Q1142+Q1140</f>
        <v>0</v>
      </c>
      <c r="R1145" s="1871">
        <f>R1141+R1144+R1142+R1140</f>
        <v>0</v>
      </c>
      <c r="S1145" s="1895">
        <f t="shared" si="2307"/>
        <v>0</v>
      </c>
      <c r="T1145" s="1897">
        <f t="shared" si="2308"/>
        <v>1472</v>
      </c>
      <c r="U1145" s="1515"/>
      <c r="V1145" s="1515"/>
      <c r="W1145" s="1515"/>
      <c r="X1145" s="1515"/>
      <c r="Y1145" s="1515"/>
      <c r="Z1145" s="2152"/>
      <c r="AA1145" s="1515"/>
      <c r="AB1145" s="1515"/>
      <c r="AC1145" s="1515"/>
      <c r="AD1145" s="2152"/>
      <c r="AE1145" s="2153"/>
      <c r="AF1145" s="1515"/>
      <c r="AG1145" s="1515"/>
      <c r="AH1145" s="1515"/>
      <c r="AI1145" s="2152"/>
      <c r="AJ1145" s="2153"/>
      <c r="AK1145" s="1515"/>
      <c r="AL1145" s="1886"/>
      <c r="AM1145" s="1515"/>
      <c r="AN1145" s="2152"/>
      <c r="AO1145" s="2062"/>
      <c r="AP1145" s="1515"/>
      <c r="AQ1145" s="1515"/>
      <c r="AR1145" s="1515"/>
      <c r="AS1145" s="1515"/>
      <c r="AT1145" s="1515"/>
      <c r="AU1145" s="1515"/>
      <c r="AV1145" s="1515"/>
      <c r="AW1145" s="1515"/>
      <c r="AX1145" s="1515"/>
      <c r="AY1145" s="1515"/>
      <c r="AZ1145" s="1515"/>
    </row>
    <row r="1146">
      <c r="A1146" s="1179" t="s">
        <v>832</v>
      </c>
      <c r="B1146" s="1850"/>
      <c r="C1146" s="1850"/>
      <c r="D1146" s="1850"/>
      <c r="E1146" s="1895">
        <f t="shared" si="2302"/>
        <v>0</v>
      </c>
      <c r="F1146" s="1868"/>
      <c r="G1146" s="1868"/>
      <c r="H1146" s="1868"/>
      <c r="I1146" s="1895">
        <f t="shared" si="2303"/>
        <v>0</v>
      </c>
      <c r="J1146" s="1896">
        <f t="shared" si="2304"/>
        <v>0</v>
      </c>
      <c r="K1146" s="1850"/>
      <c r="L1146" s="1850"/>
      <c r="M1146" s="1850"/>
      <c r="N1146" s="1895">
        <f t="shared" si="2305"/>
        <v>0</v>
      </c>
      <c r="O1146" s="1896">
        <f t="shared" si="2306"/>
        <v>0</v>
      </c>
      <c r="P1146" s="1850"/>
      <c r="Q1146" s="1850"/>
      <c r="R1146" s="1850"/>
      <c r="S1146" s="1895">
        <f t="shared" si="2307"/>
        <v>0</v>
      </c>
      <c r="T1146" s="1897">
        <f t="shared" si="2308"/>
        <v>0</v>
      </c>
    </row>
    <row r="1147">
      <c r="A1147" s="1179" t="s">
        <v>833</v>
      </c>
      <c r="B1147" s="1850"/>
      <c r="C1147" s="1868"/>
      <c r="D1147" s="1868"/>
      <c r="E1147" s="1895">
        <f t="shared" ref="E1147:E1210" si="2312">B1147+C1147+D1147</f>
        <v>0</v>
      </c>
      <c r="F1147" s="1850"/>
      <c r="G1147" s="1850"/>
      <c r="H1147" s="1850"/>
      <c r="I1147" s="1895">
        <f t="shared" ref="I1147:I1210" si="2313">F1147+G1147+H1147</f>
        <v>0</v>
      </c>
      <c r="J1147" s="1896">
        <f t="shared" ref="J1147:J1210" si="2314">E1147+I1147</f>
        <v>0</v>
      </c>
      <c r="K1147" s="1850"/>
      <c r="L1147" s="1850"/>
      <c r="M1147" s="1850"/>
      <c r="N1147" s="1895">
        <f t="shared" ref="N1147:N1210" si="2315">K1147+L1147+M1147</f>
        <v>0</v>
      </c>
      <c r="O1147" s="1896">
        <f t="shared" ref="O1147:O1210" si="2316">J1147+N1147</f>
        <v>0</v>
      </c>
      <c r="P1147" s="1850"/>
      <c r="Q1147" s="1850"/>
      <c r="R1147" s="1850"/>
      <c r="S1147" s="1895">
        <f t="shared" ref="S1147:S1210" si="2317">P1147+Q1147+R1147</f>
        <v>0</v>
      </c>
      <c r="T1147" s="1897">
        <f t="shared" ref="T1147:T1210" si="2318">O1147+S1147</f>
        <v>0</v>
      </c>
    </row>
    <row r="1148">
      <c r="A1148" s="1179" t="s">
        <v>834</v>
      </c>
      <c r="B1148" s="1850"/>
      <c r="C1148" s="1850"/>
      <c r="D1148" s="1850"/>
      <c r="E1148" s="1895">
        <f t="shared" si="2312"/>
        <v>0</v>
      </c>
      <c r="F1148" s="1850"/>
      <c r="G1148" s="1850"/>
      <c r="H1148" s="1850"/>
      <c r="I1148" s="1895">
        <f t="shared" si="2313"/>
        <v>0</v>
      </c>
      <c r="J1148" s="1896">
        <f t="shared" si="2314"/>
        <v>0</v>
      </c>
      <c r="K1148" s="2142"/>
      <c r="L1148" s="2142"/>
      <c r="M1148" s="2142"/>
      <c r="N1148" s="1895">
        <f t="shared" si="2315"/>
        <v>0</v>
      </c>
      <c r="O1148" s="1896">
        <f t="shared" si="2316"/>
        <v>0</v>
      </c>
      <c r="P1148" s="2142"/>
      <c r="Q1148" s="1850"/>
      <c r="R1148" s="1850"/>
      <c r="S1148" s="1895">
        <f t="shared" si="2317"/>
        <v>0</v>
      </c>
      <c r="T1148" s="1897">
        <f t="shared" si="2318"/>
        <v>0</v>
      </c>
    </row>
    <row r="1149">
      <c r="B1149" s="2203"/>
      <c r="C1149" s="2203"/>
      <c r="D1149" s="2203"/>
      <c r="E1149" s="1910"/>
      <c r="F1149" s="2203"/>
      <c r="G1149" s="2203"/>
      <c r="H1149" s="2203"/>
      <c r="I1149" s="1833"/>
      <c r="J1149" s="1833"/>
      <c r="K1149" s="2203"/>
      <c r="L1149" s="2203"/>
      <c r="M1149" s="2203"/>
      <c r="N1149" s="1833"/>
      <c r="O1149" s="1833"/>
      <c r="P1149" s="2203"/>
      <c r="Q1149" s="2203"/>
      <c r="R1149" s="1856"/>
      <c r="S1149" s="1835"/>
      <c r="T1149" s="1835"/>
    </row>
    <row r="1150" ht="23.25" customHeight="1">
      <c r="A1150" s="1515"/>
      <c r="E1150" s="1418"/>
      <c r="H1150" s="1515"/>
      <c r="I1150" s="2062"/>
      <c r="J1150" s="2062"/>
      <c r="L1150" s="2282"/>
      <c r="N1150" s="1418"/>
      <c r="O1150" s="1418"/>
      <c r="Q1150" s="1515"/>
      <c r="S1150" s="1620"/>
      <c r="V1150" s="2282"/>
    </row>
    <row r="1151" s="1848" customFormat="1" ht="41.25" customHeight="1">
      <c r="A1151" s="1842" t="s">
        <v>835</v>
      </c>
      <c r="B1151" s="1887" t="s">
        <v>836</v>
      </c>
      <c r="C1151" s="2302"/>
      <c r="D1151" s="2302"/>
      <c r="E1151" s="2302"/>
      <c r="F1151" s="2302"/>
      <c r="G1151" s="2302"/>
      <c r="H1151" s="2302"/>
      <c r="I1151" s="2302"/>
      <c r="J1151" s="2302"/>
      <c r="K1151" s="2302"/>
      <c r="L1151" s="2302"/>
      <c r="M1151" s="2302"/>
      <c r="N1151" s="2302"/>
      <c r="O1151" s="2302"/>
      <c r="P1151" s="2302"/>
      <c r="Q1151" s="2302"/>
      <c r="R1151" s="2302"/>
      <c r="S1151" s="2302"/>
      <c r="T1151" s="2303"/>
      <c r="U1151" s="1409"/>
      <c r="V1151" s="1842" t="s">
        <v>837</v>
      </c>
      <c r="W1151" s="1887" t="s">
        <v>838</v>
      </c>
      <c r="X1151" s="2302"/>
      <c r="Y1151" s="2302"/>
      <c r="Z1151" s="2302"/>
      <c r="AA1151" s="2302"/>
      <c r="AB1151" s="2302"/>
      <c r="AC1151" s="2302"/>
      <c r="AD1151" s="2302"/>
      <c r="AE1151" s="2302"/>
      <c r="AF1151" s="2302"/>
      <c r="AG1151" s="2302"/>
      <c r="AH1151" s="2302"/>
      <c r="AI1151" s="2302"/>
      <c r="AJ1151" s="2302"/>
      <c r="AK1151" s="2302"/>
      <c r="AL1151" s="2304"/>
      <c r="AM1151" s="2302"/>
      <c r="AN1151" s="2302"/>
      <c r="AO1151" s="2303"/>
      <c r="AP1151" s="1409"/>
      <c r="AQ1151" s="1409"/>
      <c r="AR1151" s="1409"/>
      <c r="AS1151" s="1409"/>
      <c r="AT1151" s="1409"/>
      <c r="AU1151" s="1409"/>
      <c r="AV1151" s="1409"/>
      <c r="AW1151" s="1409"/>
      <c r="AX1151" s="1409"/>
      <c r="AY1151" s="1409"/>
      <c r="AZ1151" s="1409"/>
    </row>
    <row r="1152" s="1445" customFormat="1">
      <c r="A1152" s="1427" t="s">
        <v>173</v>
      </c>
      <c r="B1152" s="2296" t="s">
        <v>6</v>
      </c>
      <c r="C1152" s="2296" t="s">
        <v>7</v>
      </c>
      <c r="D1152" s="2297" t="s">
        <v>8</v>
      </c>
      <c r="E1152" s="2298" t="s">
        <v>9</v>
      </c>
      <c r="F1152" s="2297" t="s">
        <v>10</v>
      </c>
      <c r="G1152" s="2297" t="s">
        <v>11</v>
      </c>
      <c r="H1152" s="2297" t="s">
        <v>12</v>
      </c>
      <c r="I1152" s="2298" t="s">
        <v>174</v>
      </c>
      <c r="J1152" s="2299" t="s">
        <v>175</v>
      </c>
      <c r="K1152" s="2297" t="s">
        <v>14</v>
      </c>
      <c r="L1152" s="2297" t="s">
        <v>15</v>
      </c>
      <c r="M1152" s="2297" t="s">
        <v>16</v>
      </c>
      <c r="N1152" s="2298" t="s">
        <v>17</v>
      </c>
      <c r="O1152" s="2299" t="s">
        <v>176</v>
      </c>
      <c r="P1152" s="2297" t="s">
        <v>18</v>
      </c>
      <c r="Q1152" s="2297" t="s">
        <v>19</v>
      </c>
      <c r="R1152" s="2297" t="s">
        <v>20</v>
      </c>
      <c r="S1152" s="1448" t="s">
        <v>177</v>
      </c>
      <c r="T1152" s="2300" t="s">
        <v>22</v>
      </c>
      <c r="U1152" s="1621"/>
      <c r="V1152" s="1421" t="s">
        <v>173</v>
      </c>
      <c r="W1152" s="2296" t="s">
        <v>6</v>
      </c>
      <c r="X1152" s="2296" t="s">
        <v>7</v>
      </c>
      <c r="Y1152" s="2297" t="s">
        <v>8</v>
      </c>
      <c r="Z1152" s="2298" t="s">
        <v>9</v>
      </c>
      <c r="AA1152" s="2297" t="s">
        <v>10</v>
      </c>
      <c r="AB1152" s="2297" t="s">
        <v>11</v>
      </c>
      <c r="AC1152" s="2297" t="s">
        <v>12</v>
      </c>
      <c r="AD1152" s="2298" t="s">
        <v>174</v>
      </c>
      <c r="AE1152" s="2299" t="s">
        <v>175</v>
      </c>
      <c r="AF1152" s="2297" t="s">
        <v>14</v>
      </c>
      <c r="AG1152" s="2297" t="s">
        <v>15</v>
      </c>
      <c r="AH1152" s="2297" t="s">
        <v>16</v>
      </c>
      <c r="AI1152" s="2298" t="s">
        <v>17</v>
      </c>
      <c r="AJ1152" s="2299" t="s">
        <v>176</v>
      </c>
      <c r="AK1152" s="2297" t="s">
        <v>18</v>
      </c>
      <c r="AL1152" s="1424" t="s">
        <v>19</v>
      </c>
      <c r="AM1152" s="2297" t="s">
        <v>20</v>
      </c>
      <c r="AN1152" s="2298" t="s">
        <v>537</v>
      </c>
      <c r="AO1152" s="2300" t="s">
        <v>22</v>
      </c>
      <c r="AP1152" s="1621"/>
      <c r="AQ1152" s="1621"/>
      <c r="AR1152" s="1621"/>
      <c r="AS1152" s="1621"/>
      <c r="AT1152" s="1621"/>
      <c r="AU1152" s="1621"/>
      <c r="AV1152" s="1621"/>
      <c r="AW1152" s="1621"/>
      <c r="AX1152" s="1621"/>
      <c r="AY1152" s="1621"/>
      <c r="AZ1152" s="1621"/>
    </row>
    <row r="1153" ht="26.25" customHeight="1">
      <c r="A1153" s="1179" t="s">
        <v>178</v>
      </c>
      <c r="B1153" s="1868">
        <v>3</v>
      </c>
      <c r="C1153" s="1868">
        <v>3</v>
      </c>
      <c r="D1153" s="1868"/>
      <c r="E1153" s="1899">
        <f t="shared" si="2312"/>
        <v>6</v>
      </c>
      <c r="F1153" s="1868"/>
      <c r="G1153" s="1868"/>
      <c r="H1153" s="1868"/>
      <c r="I1153" s="1895">
        <f t="shared" si="2313"/>
        <v>0</v>
      </c>
      <c r="J1153" s="1896">
        <f t="shared" si="2314"/>
        <v>6</v>
      </c>
      <c r="K1153" s="1868"/>
      <c r="L1153" s="1868"/>
      <c r="M1153" s="1868"/>
      <c r="N1153" s="1895">
        <f t="shared" si="2315"/>
        <v>0</v>
      </c>
      <c r="O1153" s="1896">
        <f t="shared" si="2316"/>
        <v>6</v>
      </c>
      <c r="P1153" s="1868"/>
      <c r="Q1153" s="1868"/>
      <c r="R1153" s="1868"/>
      <c r="S1153" s="1895">
        <f t="shared" si="2317"/>
        <v>0</v>
      </c>
      <c r="T1153" s="1897">
        <f t="shared" si="2318"/>
        <v>6</v>
      </c>
      <c r="U1153" s="1413"/>
      <c r="V1153" s="1179" t="s">
        <v>178</v>
      </c>
      <c r="W1153" s="1868">
        <v>2</v>
      </c>
      <c r="X1153" s="1868">
        <v>1</v>
      </c>
      <c r="Y1153" s="1868"/>
      <c r="Z1153" s="1899">
        <f t="shared" ref="Z1153:Z1216" si="2319">W1153+X1153+Y1153</f>
        <v>3</v>
      </c>
      <c r="AA1153" s="1868"/>
      <c r="AB1153" s="1868"/>
      <c r="AC1153" s="1868"/>
      <c r="AD1153" s="1895">
        <f t="shared" ref="AD1153:AD1216" si="2320">AA1153+AB1153+AC1153</f>
        <v>0</v>
      </c>
      <c r="AE1153" s="1898">
        <f t="shared" ref="AE1153:AE1216" si="2321">Z1153+AD1153</f>
        <v>3</v>
      </c>
      <c r="AF1153" s="1868"/>
      <c r="AG1153" s="1868"/>
      <c r="AH1153" s="1868"/>
      <c r="AI1153" s="1895">
        <f t="shared" ref="AI1153:AI1216" si="2322">AF1153+AG1153+AH1153</f>
        <v>0</v>
      </c>
      <c r="AJ1153" s="1898">
        <f t="shared" ref="AJ1153:AJ1216" si="2323">AE1153+AI1153</f>
        <v>3</v>
      </c>
      <c r="AK1153" s="1868"/>
      <c r="AL1153" s="1854"/>
      <c r="AM1153" s="1868"/>
      <c r="AN1153" s="1895">
        <f t="shared" ref="AN1153:AN1216" si="2324">AK1153+AL1153+AM1153</f>
        <v>0</v>
      </c>
      <c r="AO1153" s="1897">
        <f t="shared" ref="AO1153:AO1216" si="2325">AJ1153+AN1153</f>
        <v>3</v>
      </c>
      <c r="AP1153" s="1413"/>
      <c r="AQ1153" s="1413"/>
    </row>
    <row r="1154">
      <c r="A1154" s="1179" t="s">
        <v>354</v>
      </c>
      <c r="B1154" s="1868"/>
      <c r="C1154" s="1868"/>
      <c r="D1154" s="1868"/>
      <c r="E1154" s="1899">
        <f t="shared" si="2312"/>
        <v>0</v>
      </c>
      <c r="F1154" s="1868"/>
      <c r="G1154" s="1868"/>
      <c r="H1154" s="1868"/>
      <c r="I1154" s="1895">
        <f t="shared" si="2313"/>
        <v>0</v>
      </c>
      <c r="J1154" s="1896">
        <f t="shared" si="2314"/>
        <v>0</v>
      </c>
      <c r="K1154" s="1868"/>
      <c r="L1154" s="1868"/>
      <c r="M1154" s="1868"/>
      <c r="N1154" s="1895">
        <f t="shared" si="2315"/>
        <v>0</v>
      </c>
      <c r="O1154" s="1896">
        <f t="shared" si="2316"/>
        <v>0</v>
      </c>
      <c r="P1154" s="1868"/>
      <c r="Q1154" s="1868"/>
      <c r="R1154" s="1868"/>
      <c r="S1154" s="1895">
        <f t="shared" si="2317"/>
        <v>0</v>
      </c>
      <c r="T1154" s="1897">
        <f t="shared" si="2318"/>
        <v>0</v>
      </c>
      <c r="U1154" s="1413"/>
      <c r="V1154" s="1179" t="s">
        <v>354</v>
      </c>
      <c r="W1154" s="1868"/>
      <c r="X1154" s="1868"/>
      <c r="Y1154" s="1868"/>
      <c r="Z1154" s="1899">
        <f t="shared" si="2319"/>
        <v>0</v>
      </c>
      <c r="AA1154" s="1868"/>
      <c r="AB1154" s="1868"/>
      <c r="AC1154" s="1868"/>
      <c r="AD1154" s="1895">
        <f t="shared" si="2320"/>
        <v>0</v>
      </c>
      <c r="AE1154" s="1898">
        <f t="shared" si="2321"/>
        <v>0</v>
      </c>
      <c r="AF1154" s="1868"/>
      <c r="AG1154" s="1868"/>
      <c r="AH1154" s="1868"/>
      <c r="AI1154" s="1895">
        <f t="shared" si="2322"/>
        <v>0</v>
      </c>
      <c r="AJ1154" s="1898">
        <f t="shared" si="2323"/>
        <v>0</v>
      </c>
      <c r="AK1154" s="1868"/>
      <c r="AL1154" s="1868"/>
      <c r="AM1154" s="1868"/>
      <c r="AN1154" s="1895">
        <f t="shared" si="2324"/>
        <v>0</v>
      </c>
      <c r="AO1154" s="1897">
        <f t="shared" si="2325"/>
        <v>0</v>
      </c>
      <c r="AP1154" s="1413"/>
      <c r="AQ1154" s="1413"/>
    </row>
    <row r="1155">
      <c r="A1155" s="1179" t="s">
        <v>181</v>
      </c>
      <c r="B1155" s="1868"/>
      <c r="C1155" s="1868"/>
      <c r="D1155" s="1868"/>
      <c r="E1155" s="1899">
        <f t="shared" si="2312"/>
        <v>0</v>
      </c>
      <c r="F1155" s="1868"/>
      <c r="G1155" s="1868"/>
      <c r="H1155" s="1868"/>
      <c r="I1155" s="1895">
        <f t="shared" si="2313"/>
        <v>0</v>
      </c>
      <c r="J1155" s="1896">
        <f t="shared" si="2314"/>
        <v>0</v>
      </c>
      <c r="K1155" s="1868"/>
      <c r="L1155" s="1868"/>
      <c r="M1155" s="1868"/>
      <c r="N1155" s="1895">
        <f t="shared" si="2315"/>
        <v>0</v>
      </c>
      <c r="O1155" s="1896">
        <f t="shared" si="2316"/>
        <v>0</v>
      </c>
      <c r="P1155" s="1868"/>
      <c r="Q1155" s="1868"/>
      <c r="R1155" s="1868"/>
      <c r="S1155" s="1895">
        <f t="shared" si="2317"/>
        <v>0</v>
      </c>
      <c r="T1155" s="1897">
        <f t="shared" si="2318"/>
        <v>0</v>
      </c>
      <c r="U1155" s="1413"/>
      <c r="V1155" s="1179" t="s">
        <v>181</v>
      </c>
      <c r="W1155" s="1868"/>
      <c r="X1155" s="1868"/>
      <c r="Y1155" s="1868"/>
      <c r="Z1155" s="1899">
        <f t="shared" si="2319"/>
        <v>0</v>
      </c>
      <c r="AA1155" s="1868"/>
      <c r="AB1155" s="1868"/>
      <c r="AC1155" s="1868"/>
      <c r="AD1155" s="1895">
        <f t="shared" si="2320"/>
        <v>0</v>
      </c>
      <c r="AE1155" s="1898">
        <f t="shared" si="2321"/>
        <v>0</v>
      </c>
      <c r="AF1155" s="1868"/>
      <c r="AG1155" s="1868"/>
      <c r="AH1155" s="1868"/>
      <c r="AI1155" s="1895">
        <f t="shared" si="2322"/>
        <v>0</v>
      </c>
      <c r="AJ1155" s="1898">
        <f t="shared" si="2323"/>
        <v>0</v>
      </c>
      <c r="AK1155" s="1868"/>
      <c r="AL1155" s="1868"/>
      <c r="AM1155" s="1868"/>
      <c r="AN1155" s="1895">
        <f t="shared" si="2324"/>
        <v>0</v>
      </c>
      <c r="AO1155" s="1897">
        <f t="shared" si="2325"/>
        <v>0</v>
      </c>
      <c r="AP1155" s="1413"/>
      <c r="AQ1155" s="1413"/>
    </row>
    <row r="1156">
      <c r="A1156" s="1179" t="s">
        <v>182</v>
      </c>
      <c r="B1156" s="1868"/>
      <c r="C1156" s="1868"/>
      <c r="D1156" s="1868"/>
      <c r="E1156" s="1899">
        <f t="shared" si="2312"/>
        <v>0</v>
      </c>
      <c r="F1156" s="1868"/>
      <c r="G1156" s="1868"/>
      <c r="H1156" s="1868"/>
      <c r="I1156" s="1895">
        <f t="shared" si="2313"/>
        <v>0</v>
      </c>
      <c r="J1156" s="1896">
        <f t="shared" si="2314"/>
        <v>0</v>
      </c>
      <c r="K1156" s="1868"/>
      <c r="L1156" s="1868"/>
      <c r="M1156" s="1868"/>
      <c r="N1156" s="1895">
        <f t="shared" si="2315"/>
        <v>0</v>
      </c>
      <c r="O1156" s="1896">
        <f t="shared" si="2316"/>
        <v>0</v>
      </c>
      <c r="P1156" s="1868"/>
      <c r="Q1156" s="1868"/>
      <c r="R1156" s="1868"/>
      <c r="S1156" s="1895">
        <f t="shared" si="2317"/>
        <v>0</v>
      </c>
      <c r="T1156" s="1897">
        <f t="shared" si="2318"/>
        <v>0</v>
      </c>
      <c r="U1156" s="1413"/>
      <c r="V1156" s="1179" t="s">
        <v>357</v>
      </c>
      <c r="W1156" s="1868"/>
      <c r="X1156" s="1868"/>
      <c r="Y1156" s="1868"/>
      <c r="Z1156" s="1899">
        <f t="shared" si="2319"/>
        <v>0</v>
      </c>
      <c r="AA1156" s="1868"/>
      <c r="AB1156" s="1868"/>
      <c r="AC1156" s="1868"/>
      <c r="AD1156" s="1895">
        <f t="shared" si="2320"/>
        <v>0</v>
      </c>
      <c r="AE1156" s="1898">
        <f t="shared" si="2321"/>
        <v>0</v>
      </c>
      <c r="AF1156" s="1868"/>
      <c r="AG1156" s="1868"/>
      <c r="AH1156" s="1868"/>
      <c r="AI1156" s="1895">
        <f t="shared" si="2322"/>
        <v>0</v>
      </c>
      <c r="AJ1156" s="1898">
        <f t="shared" si="2323"/>
        <v>0</v>
      </c>
      <c r="AK1156" s="1868"/>
      <c r="AL1156" s="1868"/>
      <c r="AM1156" s="1868"/>
      <c r="AN1156" s="1895">
        <f t="shared" si="2324"/>
        <v>0</v>
      </c>
      <c r="AO1156" s="1897">
        <f t="shared" si="2325"/>
        <v>0</v>
      </c>
      <c r="AP1156" s="1413"/>
      <c r="AQ1156" s="1413"/>
    </row>
    <row r="1157">
      <c r="A1157" s="1179" t="s">
        <v>183</v>
      </c>
      <c r="B1157" s="1868"/>
      <c r="C1157" s="1868"/>
      <c r="D1157" s="1868"/>
      <c r="E1157" s="1899">
        <f t="shared" si="2312"/>
        <v>0</v>
      </c>
      <c r="F1157" s="1868"/>
      <c r="G1157" s="1868"/>
      <c r="H1157" s="1868"/>
      <c r="I1157" s="1895">
        <f t="shared" si="2313"/>
        <v>0</v>
      </c>
      <c r="J1157" s="1896">
        <f t="shared" si="2314"/>
        <v>0</v>
      </c>
      <c r="K1157" s="1868"/>
      <c r="L1157" s="1868"/>
      <c r="M1157" s="1868"/>
      <c r="N1157" s="1895">
        <f t="shared" si="2315"/>
        <v>0</v>
      </c>
      <c r="O1157" s="1896">
        <f t="shared" si="2316"/>
        <v>0</v>
      </c>
      <c r="P1157" s="1868"/>
      <c r="Q1157" s="1868"/>
      <c r="R1157" s="1868"/>
      <c r="S1157" s="1895">
        <f t="shared" si="2317"/>
        <v>0</v>
      </c>
      <c r="T1157" s="1897">
        <f t="shared" si="2318"/>
        <v>0</v>
      </c>
      <c r="U1157" s="1413"/>
      <c r="V1157" s="1179" t="s">
        <v>183</v>
      </c>
      <c r="W1157" s="1868"/>
      <c r="X1157" s="1868"/>
      <c r="Y1157" s="1868"/>
      <c r="Z1157" s="1899">
        <f t="shared" si="2319"/>
        <v>0</v>
      </c>
      <c r="AA1157" s="1868"/>
      <c r="AB1157" s="1868"/>
      <c r="AC1157" s="1868"/>
      <c r="AD1157" s="1895">
        <f t="shared" si="2320"/>
        <v>0</v>
      </c>
      <c r="AE1157" s="1898">
        <f t="shared" si="2321"/>
        <v>0</v>
      </c>
      <c r="AF1157" s="1868"/>
      <c r="AG1157" s="1868"/>
      <c r="AH1157" s="1868"/>
      <c r="AI1157" s="1895">
        <f t="shared" si="2322"/>
        <v>0</v>
      </c>
      <c r="AJ1157" s="1898">
        <f t="shared" si="2323"/>
        <v>0</v>
      </c>
      <c r="AK1157" s="1868"/>
      <c r="AL1157" s="1868"/>
      <c r="AM1157" s="1868"/>
      <c r="AN1157" s="1895">
        <f t="shared" si="2324"/>
        <v>0</v>
      </c>
      <c r="AO1157" s="1897">
        <f t="shared" si="2325"/>
        <v>0</v>
      </c>
      <c r="AP1157" s="1413"/>
      <c r="AQ1157" s="1413"/>
    </row>
    <row r="1158">
      <c r="A1158" s="1179" t="s">
        <v>184</v>
      </c>
      <c r="B1158" s="1868"/>
      <c r="C1158" s="1868">
        <v>3</v>
      </c>
      <c r="D1158" s="1868"/>
      <c r="E1158" s="1899">
        <f t="shared" si="2312"/>
        <v>3</v>
      </c>
      <c r="F1158" s="1868"/>
      <c r="G1158" s="1868"/>
      <c r="H1158" s="1868"/>
      <c r="I1158" s="1895">
        <f t="shared" si="2313"/>
        <v>0</v>
      </c>
      <c r="J1158" s="1896">
        <f t="shared" si="2314"/>
        <v>3</v>
      </c>
      <c r="K1158" s="1868"/>
      <c r="L1158" s="1868"/>
      <c r="M1158" s="1868"/>
      <c r="N1158" s="1895">
        <f t="shared" si="2315"/>
        <v>0</v>
      </c>
      <c r="O1158" s="1896">
        <f t="shared" si="2316"/>
        <v>3</v>
      </c>
      <c r="P1158" s="1868"/>
      <c r="Q1158" s="1868"/>
      <c r="R1158" s="1868"/>
      <c r="S1158" s="1895">
        <f t="shared" si="2317"/>
        <v>0</v>
      </c>
      <c r="T1158" s="1897">
        <f t="shared" si="2318"/>
        <v>3</v>
      </c>
      <c r="U1158" s="1413"/>
      <c r="V1158" s="1179" t="s">
        <v>184</v>
      </c>
      <c r="W1158" s="1868"/>
      <c r="X1158" s="1868">
        <v>1</v>
      </c>
      <c r="Y1158" s="1868"/>
      <c r="Z1158" s="1899">
        <f t="shared" si="2319"/>
        <v>1</v>
      </c>
      <c r="AA1158" s="1868"/>
      <c r="AB1158" s="1868"/>
      <c r="AC1158" s="1868"/>
      <c r="AD1158" s="1895">
        <f t="shared" si="2320"/>
        <v>0</v>
      </c>
      <c r="AE1158" s="1898">
        <f t="shared" si="2321"/>
        <v>1</v>
      </c>
      <c r="AF1158" s="1868"/>
      <c r="AG1158" s="1868"/>
      <c r="AH1158" s="1868"/>
      <c r="AI1158" s="1895">
        <f t="shared" si="2322"/>
        <v>0</v>
      </c>
      <c r="AJ1158" s="1898">
        <f t="shared" si="2323"/>
        <v>1</v>
      </c>
      <c r="AK1158" s="1868"/>
      <c r="AL1158" s="1868"/>
      <c r="AM1158" s="1868"/>
      <c r="AN1158" s="1895">
        <f t="shared" si="2324"/>
        <v>0</v>
      </c>
      <c r="AO1158" s="1897">
        <f t="shared" si="2325"/>
        <v>1</v>
      </c>
      <c r="AP1158" s="1413"/>
      <c r="AQ1158" s="1413"/>
    </row>
    <row r="1159">
      <c r="A1159" s="1857" t="s">
        <v>804</v>
      </c>
      <c r="B1159" s="1868"/>
      <c r="C1159" s="1868"/>
      <c r="D1159" s="1868"/>
      <c r="E1159" s="1899">
        <f t="shared" si="2312"/>
        <v>0</v>
      </c>
      <c r="F1159" s="1868"/>
      <c r="G1159" s="1868"/>
      <c r="H1159" s="1868"/>
      <c r="I1159" s="1895">
        <f t="shared" si="2313"/>
        <v>0</v>
      </c>
      <c r="J1159" s="1896">
        <f t="shared" si="2314"/>
        <v>0</v>
      </c>
      <c r="K1159" s="1868"/>
      <c r="L1159" s="1868"/>
      <c r="M1159" s="1868"/>
      <c r="N1159" s="1895">
        <f t="shared" si="2315"/>
        <v>0</v>
      </c>
      <c r="O1159" s="1896">
        <f t="shared" si="2316"/>
        <v>0</v>
      </c>
      <c r="P1159" s="1868"/>
      <c r="Q1159" s="1868"/>
      <c r="R1159" s="1868"/>
      <c r="S1159" s="1895">
        <f t="shared" si="2317"/>
        <v>0</v>
      </c>
      <c r="T1159" s="1897">
        <f t="shared" si="2318"/>
        <v>0</v>
      </c>
      <c r="U1159" s="1413"/>
      <c r="V1159" s="1179"/>
      <c r="W1159" s="1868"/>
      <c r="X1159" s="1868"/>
      <c r="Y1159" s="1868"/>
      <c r="Z1159" s="1899">
        <f t="shared" si="2319"/>
        <v>0</v>
      </c>
      <c r="AA1159" s="1868"/>
      <c r="AB1159" s="1868"/>
      <c r="AC1159" s="1868"/>
      <c r="AD1159" s="1895">
        <f t="shared" si="2320"/>
        <v>0</v>
      </c>
      <c r="AE1159" s="1898">
        <f t="shared" si="2321"/>
        <v>0</v>
      </c>
      <c r="AF1159" s="1868"/>
      <c r="AG1159" s="1868"/>
      <c r="AH1159" s="1868"/>
      <c r="AI1159" s="1895">
        <f t="shared" si="2322"/>
        <v>0</v>
      </c>
      <c r="AJ1159" s="1898">
        <f t="shared" si="2323"/>
        <v>0</v>
      </c>
      <c r="AK1159" s="1868"/>
      <c r="AL1159" s="1868"/>
      <c r="AM1159" s="1868"/>
      <c r="AN1159" s="1895">
        <f t="shared" si="2324"/>
        <v>0</v>
      </c>
      <c r="AO1159" s="1897">
        <f t="shared" si="2325"/>
        <v>0</v>
      </c>
      <c r="AP1159" s="1413"/>
      <c r="AQ1159" s="1413"/>
    </row>
    <row r="1160">
      <c r="A1160" s="1179" t="s">
        <v>185</v>
      </c>
      <c r="B1160" s="1868"/>
      <c r="C1160" s="1868"/>
      <c r="D1160" s="1868"/>
      <c r="E1160" s="1899">
        <f t="shared" si="2312"/>
        <v>0</v>
      </c>
      <c r="F1160" s="1868"/>
      <c r="G1160" s="1868"/>
      <c r="H1160" s="1868"/>
      <c r="I1160" s="1895">
        <f t="shared" si="2313"/>
        <v>0</v>
      </c>
      <c r="J1160" s="1896">
        <f t="shared" si="2314"/>
        <v>0</v>
      </c>
      <c r="K1160" s="1868"/>
      <c r="L1160" s="1868"/>
      <c r="M1160" s="1868"/>
      <c r="N1160" s="1895">
        <f t="shared" si="2315"/>
        <v>0</v>
      </c>
      <c r="O1160" s="1896">
        <f t="shared" si="2316"/>
        <v>0</v>
      </c>
      <c r="P1160" s="1868"/>
      <c r="Q1160" s="1868"/>
      <c r="R1160" s="1868"/>
      <c r="S1160" s="1895">
        <f t="shared" si="2317"/>
        <v>0</v>
      </c>
      <c r="T1160" s="1897">
        <f t="shared" si="2318"/>
        <v>0</v>
      </c>
      <c r="U1160" s="1413"/>
      <c r="V1160" s="1179" t="s">
        <v>185</v>
      </c>
      <c r="W1160" s="1868"/>
      <c r="X1160" s="1868"/>
      <c r="Y1160" s="1868"/>
      <c r="Z1160" s="1899">
        <f t="shared" si="2319"/>
        <v>0</v>
      </c>
      <c r="AA1160" s="1868"/>
      <c r="AB1160" s="1868"/>
      <c r="AC1160" s="1868"/>
      <c r="AD1160" s="1895">
        <f t="shared" si="2320"/>
        <v>0</v>
      </c>
      <c r="AE1160" s="1898">
        <f t="shared" si="2321"/>
        <v>0</v>
      </c>
      <c r="AF1160" s="1868"/>
      <c r="AG1160" s="1868"/>
      <c r="AH1160" s="1868"/>
      <c r="AI1160" s="1895">
        <f t="shared" si="2322"/>
        <v>0</v>
      </c>
      <c r="AJ1160" s="1898">
        <f t="shared" si="2323"/>
        <v>0</v>
      </c>
      <c r="AK1160" s="1868"/>
      <c r="AL1160" s="1868"/>
      <c r="AM1160" s="1868"/>
      <c r="AN1160" s="1895">
        <f t="shared" si="2324"/>
        <v>0</v>
      </c>
      <c r="AO1160" s="1897">
        <f t="shared" si="2325"/>
        <v>0</v>
      </c>
      <c r="AP1160" s="1413"/>
      <c r="AQ1160" s="1413"/>
    </row>
    <row r="1161">
      <c r="A1161" s="1511" t="s">
        <v>363</v>
      </c>
      <c r="B1161" s="1871">
        <f>SUM(B1153:B1160)</f>
        <v>3</v>
      </c>
      <c r="C1161" s="1871">
        <f>SUM(C1153:C1160)</f>
        <v>6</v>
      </c>
      <c r="D1161" s="1871">
        <f>SUM(D1153:D1160)</f>
        <v>0</v>
      </c>
      <c r="E1161" s="1899">
        <f t="shared" si="2312"/>
        <v>9</v>
      </c>
      <c r="F1161" s="1871">
        <f>SUM(F1153:F1160)</f>
        <v>0</v>
      </c>
      <c r="G1161" s="1871">
        <f>SUM(G1153:G1160)</f>
        <v>0</v>
      </c>
      <c r="H1161" s="1871">
        <f>SUM(H1153:H1160)</f>
        <v>0</v>
      </c>
      <c r="I1161" s="1895">
        <f t="shared" si="2313"/>
        <v>0</v>
      </c>
      <c r="J1161" s="1896">
        <f t="shared" si="2314"/>
        <v>9</v>
      </c>
      <c r="K1161" s="1871">
        <f>SUM(K1153:K1160)</f>
        <v>0</v>
      </c>
      <c r="L1161" s="1871">
        <f>SUM(L1153:L1160)</f>
        <v>0</v>
      </c>
      <c r="M1161" s="1871">
        <f t="shared" ref="M1161:R1161" si="2326">SUM(M1153:M1160)</f>
        <v>0</v>
      </c>
      <c r="N1161" s="1899">
        <f t="shared" si="2315"/>
        <v>0</v>
      </c>
      <c r="O1161" s="1900">
        <f t="shared" si="2316"/>
        <v>9</v>
      </c>
      <c r="P1161" s="1871">
        <f t="shared" si="2326"/>
        <v>0</v>
      </c>
      <c r="Q1161" s="1871">
        <f t="shared" si="2326"/>
        <v>0</v>
      </c>
      <c r="R1161" s="1871">
        <f t="shared" si="2326"/>
        <v>0</v>
      </c>
      <c r="S1161" s="1895">
        <f t="shared" si="2317"/>
        <v>0</v>
      </c>
      <c r="T1161" s="1901">
        <f t="shared" si="2318"/>
        <v>9</v>
      </c>
      <c r="U1161" s="1413"/>
      <c r="V1161" s="1511" t="s">
        <v>363</v>
      </c>
      <c r="W1161" s="1871">
        <f t="shared" ref="W1161:AM1161" si="2327">SUM(W1153:W1160)</f>
        <v>2</v>
      </c>
      <c r="X1161" s="1871">
        <f t="shared" si="2327"/>
        <v>2</v>
      </c>
      <c r="Y1161" s="1871">
        <f t="shared" si="2327"/>
        <v>0</v>
      </c>
      <c r="Z1161" s="1899">
        <f t="shared" si="2319"/>
        <v>4</v>
      </c>
      <c r="AA1161" s="1871">
        <f t="shared" si="2327"/>
        <v>0</v>
      </c>
      <c r="AB1161" s="1871">
        <f t="shared" si="2327"/>
        <v>0</v>
      </c>
      <c r="AC1161" s="1871">
        <f t="shared" si="2327"/>
        <v>0</v>
      </c>
      <c r="AD1161" s="1895">
        <f t="shared" si="2320"/>
        <v>0</v>
      </c>
      <c r="AE1161" s="1898">
        <f t="shared" si="2321"/>
        <v>4</v>
      </c>
      <c r="AF1161" s="1871">
        <f>SUM(AF1153:AF1160)</f>
        <v>0</v>
      </c>
      <c r="AG1161" s="1871">
        <f>SUM(AG1153:AG1160)</f>
        <v>0</v>
      </c>
      <c r="AH1161" s="1871">
        <f>SUM(AH1153:AH1160)</f>
        <v>0</v>
      </c>
      <c r="AI1161" s="1895">
        <f t="shared" si="2322"/>
        <v>0</v>
      </c>
      <c r="AJ1161" s="1898">
        <f t="shared" si="2323"/>
        <v>4</v>
      </c>
      <c r="AK1161" s="1871">
        <f t="shared" si="2327"/>
        <v>0</v>
      </c>
      <c r="AL1161" s="1871">
        <f>SUM(AL1153:AL1160)</f>
        <v>0</v>
      </c>
      <c r="AM1161" s="1871">
        <f t="shared" si="2327"/>
        <v>0</v>
      </c>
      <c r="AN1161" s="1895">
        <f t="shared" si="2324"/>
        <v>0</v>
      </c>
      <c r="AO1161" s="1897">
        <f t="shared" si="2325"/>
        <v>4</v>
      </c>
      <c r="AP1161" s="1413"/>
      <c r="AQ1161" s="1413"/>
    </row>
    <row r="1162">
      <c r="A1162" s="1179" t="s">
        <v>542</v>
      </c>
      <c r="B1162" s="1868"/>
      <c r="C1162" s="1868"/>
      <c r="D1162" s="1868"/>
      <c r="E1162" s="1899">
        <f t="shared" si="2312"/>
        <v>0</v>
      </c>
      <c r="F1162" s="1868"/>
      <c r="G1162" s="1868"/>
      <c r="H1162" s="1868"/>
      <c r="I1162" s="1895">
        <f t="shared" si="2313"/>
        <v>0</v>
      </c>
      <c r="J1162" s="1896">
        <f t="shared" si="2314"/>
        <v>0</v>
      </c>
      <c r="K1162" s="1868"/>
      <c r="L1162" s="1868"/>
      <c r="M1162" s="1868"/>
      <c r="N1162" s="1895">
        <f t="shared" si="2315"/>
        <v>0</v>
      </c>
      <c r="O1162" s="1896">
        <f t="shared" si="2316"/>
        <v>0</v>
      </c>
      <c r="P1162" s="1868"/>
      <c r="Q1162" s="1868"/>
      <c r="R1162" s="1868"/>
      <c r="S1162" s="1895">
        <f t="shared" si="2317"/>
        <v>0</v>
      </c>
      <c r="T1162" s="1897">
        <f t="shared" si="2318"/>
        <v>0</v>
      </c>
      <c r="U1162" s="1413"/>
      <c r="V1162" s="1179" t="s">
        <v>542</v>
      </c>
      <c r="W1162" s="1868"/>
      <c r="X1162" s="1868"/>
      <c r="Y1162" s="1868"/>
      <c r="Z1162" s="1899">
        <f t="shared" si="2319"/>
        <v>0</v>
      </c>
      <c r="AA1162" s="1868"/>
      <c r="AB1162" s="1868"/>
      <c r="AC1162" s="1868"/>
      <c r="AD1162" s="1895">
        <f t="shared" si="2320"/>
        <v>0</v>
      </c>
      <c r="AE1162" s="1898">
        <f t="shared" si="2321"/>
        <v>0</v>
      </c>
      <c r="AF1162" s="1868"/>
      <c r="AG1162" s="1868"/>
      <c r="AH1162" s="1868"/>
      <c r="AI1162" s="1895">
        <f t="shared" si="2322"/>
        <v>0</v>
      </c>
      <c r="AJ1162" s="1898">
        <f t="shared" si="2323"/>
        <v>0</v>
      </c>
      <c r="AK1162" s="1868"/>
      <c r="AL1162" s="1868"/>
      <c r="AM1162" s="1868"/>
      <c r="AN1162" s="1895">
        <f t="shared" si="2324"/>
        <v>0</v>
      </c>
      <c r="AO1162" s="1897">
        <f t="shared" si="2325"/>
        <v>0</v>
      </c>
      <c r="AP1162" s="1413"/>
      <c r="AQ1162" s="1413"/>
    </row>
    <row r="1163">
      <c r="A1163" s="1179" t="s">
        <v>195</v>
      </c>
      <c r="B1163" s="1868">
        <v>240</v>
      </c>
      <c r="C1163" s="1868">
        <v>269</v>
      </c>
      <c r="D1163" s="1868"/>
      <c r="E1163" s="1899">
        <f t="shared" si="2312"/>
        <v>509</v>
      </c>
      <c r="F1163" s="1868"/>
      <c r="G1163" s="1868"/>
      <c r="H1163" s="1868"/>
      <c r="I1163" s="1895">
        <f t="shared" si="2313"/>
        <v>0</v>
      </c>
      <c r="J1163" s="1896">
        <f t="shared" si="2314"/>
        <v>509</v>
      </c>
      <c r="K1163" s="1868"/>
      <c r="L1163" s="1868"/>
      <c r="M1163" s="1868"/>
      <c r="N1163" s="1895">
        <f t="shared" si="2315"/>
        <v>0</v>
      </c>
      <c r="O1163" s="1896">
        <f t="shared" si="2316"/>
        <v>509</v>
      </c>
      <c r="P1163" s="1868"/>
      <c r="Q1163" s="1868"/>
      <c r="R1163" s="1868"/>
      <c r="S1163" s="1895">
        <f t="shared" si="2317"/>
        <v>0</v>
      </c>
      <c r="T1163" s="1897">
        <f t="shared" si="2318"/>
        <v>509</v>
      </c>
      <c r="U1163" s="1413"/>
      <c r="V1163" s="1179" t="s">
        <v>195</v>
      </c>
      <c r="W1163" s="1868">
        <v>64</v>
      </c>
      <c r="X1163" s="1868">
        <v>70</v>
      </c>
      <c r="Y1163" s="1868"/>
      <c r="Z1163" s="1899">
        <f t="shared" si="2319"/>
        <v>134</v>
      </c>
      <c r="AA1163" s="1868"/>
      <c r="AB1163" s="1868"/>
      <c r="AC1163" s="1868"/>
      <c r="AD1163" s="1895">
        <f t="shared" si="2320"/>
        <v>0</v>
      </c>
      <c r="AE1163" s="1898">
        <f t="shared" si="2321"/>
        <v>134</v>
      </c>
      <c r="AF1163" s="1868"/>
      <c r="AG1163" s="1868"/>
      <c r="AH1163" s="1868"/>
      <c r="AI1163" s="1895">
        <f t="shared" si="2322"/>
        <v>0</v>
      </c>
      <c r="AJ1163" s="1898">
        <f t="shared" si="2323"/>
        <v>134</v>
      </c>
      <c r="AK1163" s="1868"/>
      <c r="AL1163" s="1868"/>
      <c r="AM1163" s="1868"/>
      <c r="AN1163" s="1895">
        <f t="shared" si="2324"/>
        <v>0</v>
      </c>
      <c r="AO1163" s="1897">
        <f t="shared" si="2325"/>
        <v>134</v>
      </c>
      <c r="AP1163" s="1413"/>
      <c r="AQ1163" s="1413"/>
    </row>
    <row r="1164">
      <c r="A1164" s="1179" t="s">
        <v>196</v>
      </c>
      <c r="B1164" s="1868">
        <v>7</v>
      </c>
      <c r="C1164" s="1868">
        <v>13</v>
      </c>
      <c r="D1164" s="1868"/>
      <c r="E1164" s="1899">
        <f t="shared" si="2312"/>
        <v>20</v>
      </c>
      <c r="F1164" s="1868"/>
      <c r="G1164" s="1868"/>
      <c r="H1164" s="1868"/>
      <c r="I1164" s="1895">
        <f t="shared" si="2313"/>
        <v>0</v>
      </c>
      <c r="J1164" s="1896">
        <f t="shared" si="2314"/>
        <v>20</v>
      </c>
      <c r="K1164" s="1868"/>
      <c r="L1164" s="1868"/>
      <c r="M1164" s="1868"/>
      <c r="N1164" s="1895">
        <f t="shared" si="2315"/>
        <v>0</v>
      </c>
      <c r="O1164" s="1896">
        <f t="shared" si="2316"/>
        <v>20</v>
      </c>
      <c r="P1164" s="1868"/>
      <c r="Q1164" s="1868"/>
      <c r="R1164" s="1868"/>
      <c r="S1164" s="1895">
        <f t="shared" si="2317"/>
        <v>0</v>
      </c>
      <c r="T1164" s="1897">
        <f t="shared" si="2318"/>
        <v>20</v>
      </c>
      <c r="U1164" s="1413"/>
      <c r="V1164" s="1179" t="s">
        <v>196</v>
      </c>
      <c r="W1164" s="1868">
        <v>3</v>
      </c>
      <c r="X1164" s="1868">
        <v>4</v>
      </c>
      <c r="Y1164" s="1868"/>
      <c r="Z1164" s="1899">
        <f t="shared" si="2319"/>
        <v>7</v>
      </c>
      <c r="AA1164" s="1868"/>
      <c r="AB1164" s="1868"/>
      <c r="AC1164" s="1868"/>
      <c r="AD1164" s="1895">
        <f t="shared" si="2320"/>
        <v>0</v>
      </c>
      <c r="AE1164" s="1898">
        <f t="shared" si="2321"/>
        <v>7</v>
      </c>
      <c r="AF1164" s="1868"/>
      <c r="AG1164" s="1868"/>
      <c r="AH1164" s="1868"/>
      <c r="AI1164" s="1895">
        <f t="shared" si="2322"/>
        <v>0</v>
      </c>
      <c r="AJ1164" s="1898">
        <f t="shared" si="2323"/>
        <v>7</v>
      </c>
      <c r="AK1164" s="1868"/>
      <c r="AL1164" s="1868"/>
      <c r="AM1164" s="1868"/>
      <c r="AN1164" s="1895">
        <f t="shared" si="2324"/>
        <v>0</v>
      </c>
      <c r="AO1164" s="1897">
        <f t="shared" si="2325"/>
        <v>7</v>
      </c>
      <c r="AP1164" s="1413"/>
      <c r="AQ1164" s="1413"/>
    </row>
    <row r="1165">
      <c r="A1165" s="1179" t="s">
        <v>367</v>
      </c>
      <c r="B1165" s="1868"/>
      <c r="C1165" s="1868"/>
      <c r="D1165" s="1868"/>
      <c r="E1165" s="1899">
        <f t="shared" si="2312"/>
        <v>0</v>
      </c>
      <c r="F1165" s="1868"/>
      <c r="G1165" s="1868"/>
      <c r="H1165" s="1868"/>
      <c r="I1165" s="1895">
        <f t="shared" si="2313"/>
        <v>0</v>
      </c>
      <c r="J1165" s="1896">
        <f t="shared" si="2314"/>
        <v>0</v>
      </c>
      <c r="K1165" s="1868"/>
      <c r="L1165" s="1868"/>
      <c r="M1165" s="1868"/>
      <c r="N1165" s="1895">
        <f t="shared" si="2315"/>
        <v>0</v>
      </c>
      <c r="O1165" s="1896">
        <f t="shared" si="2316"/>
        <v>0</v>
      </c>
      <c r="P1165" s="1868"/>
      <c r="Q1165" s="1868"/>
      <c r="R1165" s="1868"/>
      <c r="S1165" s="1895">
        <f t="shared" si="2317"/>
        <v>0</v>
      </c>
      <c r="T1165" s="1897">
        <f t="shared" si="2318"/>
        <v>0</v>
      </c>
      <c r="U1165" s="1413"/>
      <c r="V1165" s="1179" t="s">
        <v>367</v>
      </c>
      <c r="W1165" s="1868"/>
      <c r="X1165" s="1868"/>
      <c r="Y1165" s="1868"/>
      <c r="Z1165" s="1899">
        <f t="shared" si="2319"/>
        <v>0</v>
      </c>
      <c r="AA1165" s="1868"/>
      <c r="AB1165" s="1868"/>
      <c r="AC1165" s="1868"/>
      <c r="AD1165" s="1895">
        <f t="shared" si="2320"/>
        <v>0</v>
      </c>
      <c r="AE1165" s="1898">
        <f t="shared" si="2321"/>
        <v>0</v>
      </c>
      <c r="AF1165" s="1868"/>
      <c r="AG1165" s="1868"/>
      <c r="AH1165" s="1868"/>
      <c r="AI1165" s="1895">
        <f t="shared" si="2322"/>
        <v>0</v>
      </c>
      <c r="AJ1165" s="1898">
        <f t="shared" si="2323"/>
        <v>0</v>
      </c>
      <c r="AK1165" s="1868"/>
      <c r="AL1165" s="1868"/>
      <c r="AM1165" s="1868"/>
      <c r="AN1165" s="1895">
        <f t="shared" si="2324"/>
        <v>0</v>
      </c>
      <c r="AO1165" s="1897">
        <f t="shared" si="2325"/>
        <v>0</v>
      </c>
      <c r="AP1165" s="1413"/>
      <c r="AQ1165" s="1413"/>
    </row>
    <row r="1166">
      <c r="A1166" s="1179" t="s">
        <v>201</v>
      </c>
      <c r="B1166" s="1868">
        <v>149</v>
      </c>
      <c r="C1166" s="1868">
        <v>133</v>
      </c>
      <c r="D1166" s="1868"/>
      <c r="E1166" s="1899">
        <f t="shared" si="2312"/>
        <v>282</v>
      </c>
      <c r="F1166" s="1868"/>
      <c r="G1166" s="1868"/>
      <c r="H1166" s="1868"/>
      <c r="I1166" s="1895">
        <f t="shared" si="2313"/>
        <v>0</v>
      </c>
      <c r="J1166" s="1896">
        <f t="shared" si="2314"/>
        <v>282</v>
      </c>
      <c r="K1166" s="1868"/>
      <c r="L1166" s="1868"/>
      <c r="M1166" s="1868"/>
      <c r="N1166" s="1895">
        <f t="shared" si="2315"/>
        <v>0</v>
      </c>
      <c r="O1166" s="1896">
        <f t="shared" si="2316"/>
        <v>282</v>
      </c>
      <c r="P1166" s="1868"/>
      <c r="Q1166" s="1868"/>
      <c r="R1166" s="1868"/>
      <c r="S1166" s="1895">
        <f t="shared" si="2317"/>
        <v>0</v>
      </c>
      <c r="T1166" s="1897">
        <f t="shared" si="2318"/>
        <v>282</v>
      </c>
      <c r="U1166" s="1413"/>
      <c r="V1166" s="1179" t="s">
        <v>201</v>
      </c>
      <c r="W1166" s="1868">
        <v>46</v>
      </c>
      <c r="X1166" s="1868">
        <v>41</v>
      </c>
      <c r="Y1166" s="1868"/>
      <c r="Z1166" s="1899">
        <f t="shared" si="2319"/>
        <v>87</v>
      </c>
      <c r="AA1166" s="1868"/>
      <c r="AB1166" s="1868"/>
      <c r="AC1166" s="1868"/>
      <c r="AD1166" s="1895">
        <f t="shared" si="2320"/>
        <v>0</v>
      </c>
      <c r="AE1166" s="1898">
        <f t="shared" si="2321"/>
        <v>87</v>
      </c>
      <c r="AF1166" s="1868"/>
      <c r="AG1166" s="1868"/>
      <c r="AH1166" s="1868"/>
      <c r="AI1166" s="1895">
        <f t="shared" si="2322"/>
        <v>0</v>
      </c>
      <c r="AJ1166" s="1898">
        <f t="shared" si="2323"/>
        <v>87</v>
      </c>
      <c r="AK1166" s="1868"/>
      <c r="AL1166" s="1868"/>
      <c r="AM1166" s="1868"/>
      <c r="AN1166" s="1895">
        <f t="shared" si="2324"/>
        <v>0</v>
      </c>
      <c r="AO1166" s="1897">
        <f t="shared" si="2325"/>
        <v>87</v>
      </c>
      <c r="AP1166" s="1413"/>
      <c r="AQ1166" s="1413"/>
    </row>
    <row r="1167">
      <c r="A1167" s="1179" t="s">
        <v>203</v>
      </c>
      <c r="B1167" s="1868">
        <v>83</v>
      </c>
      <c r="C1167" s="1868">
        <v>104</v>
      </c>
      <c r="D1167" s="1868"/>
      <c r="E1167" s="1899">
        <f t="shared" si="2312"/>
        <v>187</v>
      </c>
      <c r="F1167" s="1868"/>
      <c r="G1167" s="1868"/>
      <c r="H1167" s="1868"/>
      <c r="I1167" s="1895">
        <f t="shared" si="2313"/>
        <v>0</v>
      </c>
      <c r="J1167" s="1896">
        <f t="shared" si="2314"/>
        <v>187</v>
      </c>
      <c r="K1167" s="1868"/>
      <c r="L1167" s="1868"/>
      <c r="M1167" s="1868"/>
      <c r="N1167" s="1895">
        <f t="shared" si="2315"/>
        <v>0</v>
      </c>
      <c r="O1167" s="1896">
        <f t="shared" si="2316"/>
        <v>187</v>
      </c>
      <c r="P1167" s="1868"/>
      <c r="Q1167" s="1868"/>
      <c r="R1167" s="1868"/>
      <c r="S1167" s="1895">
        <f t="shared" si="2317"/>
        <v>0</v>
      </c>
      <c r="T1167" s="1897">
        <f t="shared" si="2318"/>
        <v>187</v>
      </c>
      <c r="U1167" s="1413"/>
      <c r="V1167" s="1179" t="s">
        <v>203</v>
      </c>
      <c r="W1167" s="1868">
        <v>20</v>
      </c>
      <c r="X1167" s="1868">
        <v>30</v>
      </c>
      <c r="Y1167" s="1868"/>
      <c r="Z1167" s="1899">
        <f t="shared" si="2319"/>
        <v>50</v>
      </c>
      <c r="AA1167" s="1868"/>
      <c r="AB1167" s="1868"/>
      <c r="AC1167" s="1868"/>
      <c r="AD1167" s="1895">
        <f t="shared" si="2320"/>
        <v>0</v>
      </c>
      <c r="AE1167" s="1898">
        <f t="shared" si="2321"/>
        <v>50</v>
      </c>
      <c r="AF1167" s="1868"/>
      <c r="AG1167" s="1868"/>
      <c r="AH1167" s="1868"/>
      <c r="AI1167" s="1895">
        <f t="shared" si="2322"/>
        <v>0</v>
      </c>
      <c r="AJ1167" s="1898">
        <f t="shared" si="2323"/>
        <v>50</v>
      </c>
      <c r="AK1167" s="1868"/>
      <c r="AL1167" s="1868"/>
      <c r="AM1167" s="1868"/>
      <c r="AN1167" s="1895">
        <f t="shared" si="2324"/>
        <v>0</v>
      </c>
      <c r="AO1167" s="1897">
        <f t="shared" si="2325"/>
        <v>50</v>
      </c>
      <c r="AP1167" s="1413"/>
      <c r="AQ1167" s="1413"/>
    </row>
    <row r="1168">
      <c r="A1168" s="1179" t="s">
        <v>204</v>
      </c>
      <c r="B1168" s="1868">
        <v>49</v>
      </c>
      <c r="C1168" s="1868">
        <v>43</v>
      </c>
      <c r="D1168" s="1868"/>
      <c r="E1168" s="1899">
        <f t="shared" si="2312"/>
        <v>92</v>
      </c>
      <c r="F1168" s="1868"/>
      <c r="G1168" s="1868"/>
      <c r="H1168" s="1868"/>
      <c r="I1168" s="1895">
        <f t="shared" si="2313"/>
        <v>0</v>
      </c>
      <c r="J1168" s="1896">
        <f t="shared" si="2314"/>
        <v>92</v>
      </c>
      <c r="K1168" s="1868"/>
      <c r="L1168" s="1868"/>
      <c r="M1168" s="1868"/>
      <c r="N1168" s="1895">
        <f t="shared" si="2315"/>
        <v>0</v>
      </c>
      <c r="O1168" s="1896">
        <f t="shared" si="2316"/>
        <v>92</v>
      </c>
      <c r="P1168" s="1868"/>
      <c r="Q1168" s="1868"/>
      <c r="R1168" s="1868"/>
      <c r="S1168" s="1895">
        <f t="shared" si="2317"/>
        <v>0</v>
      </c>
      <c r="T1168" s="1897">
        <f t="shared" si="2318"/>
        <v>92</v>
      </c>
      <c r="U1168" s="1413"/>
      <c r="V1168" s="1179" t="s">
        <v>204</v>
      </c>
      <c r="W1168" s="1868">
        <v>16</v>
      </c>
      <c r="X1168" s="1868">
        <v>13</v>
      </c>
      <c r="Y1168" s="1868"/>
      <c r="Z1168" s="1899">
        <f t="shared" si="2319"/>
        <v>29</v>
      </c>
      <c r="AA1168" s="1868"/>
      <c r="AB1168" s="1868"/>
      <c r="AC1168" s="1868"/>
      <c r="AD1168" s="1895">
        <f t="shared" si="2320"/>
        <v>0</v>
      </c>
      <c r="AE1168" s="1898">
        <f t="shared" si="2321"/>
        <v>29</v>
      </c>
      <c r="AF1168" s="1868"/>
      <c r="AG1168" s="1868"/>
      <c r="AH1168" s="1868"/>
      <c r="AI1168" s="1895">
        <f t="shared" si="2322"/>
        <v>0</v>
      </c>
      <c r="AJ1168" s="1898">
        <f t="shared" si="2323"/>
        <v>29</v>
      </c>
      <c r="AK1168" s="1868"/>
      <c r="AL1168" s="1868"/>
      <c r="AM1168" s="1868"/>
      <c r="AN1168" s="1895">
        <f t="shared" si="2324"/>
        <v>0</v>
      </c>
      <c r="AO1168" s="1897">
        <f t="shared" si="2325"/>
        <v>29</v>
      </c>
      <c r="AP1168" s="1413"/>
      <c r="AQ1168" s="1413"/>
    </row>
    <row r="1169">
      <c r="A1169" s="1179" t="s">
        <v>205</v>
      </c>
      <c r="B1169" s="1868">
        <v>124</v>
      </c>
      <c r="C1169" s="1868">
        <v>112</v>
      </c>
      <c r="D1169" s="1868"/>
      <c r="E1169" s="1899">
        <f t="shared" si="2312"/>
        <v>236</v>
      </c>
      <c r="F1169" s="1868"/>
      <c r="G1169" s="1868"/>
      <c r="H1169" s="1868"/>
      <c r="I1169" s="1895">
        <f t="shared" si="2313"/>
        <v>0</v>
      </c>
      <c r="J1169" s="1896">
        <f t="shared" si="2314"/>
        <v>236</v>
      </c>
      <c r="K1169" s="1868"/>
      <c r="L1169" s="1868"/>
      <c r="M1169" s="1868"/>
      <c r="N1169" s="1895">
        <f t="shared" si="2315"/>
        <v>0</v>
      </c>
      <c r="O1169" s="1896">
        <f t="shared" si="2316"/>
        <v>236</v>
      </c>
      <c r="P1169" s="1868"/>
      <c r="Q1169" s="1868"/>
      <c r="R1169" s="1868"/>
      <c r="S1169" s="1895">
        <f t="shared" si="2317"/>
        <v>0</v>
      </c>
      <c r="T1169" s="1897">
        <f t="shared" si="2318"/>
        <v>236</v>
      </c>
      <c r="U1169" s="1413"/>
      <c r="V1169" s="1179" t="s">
        <v>205</v>
      </c>
      <c r="W1169" s="1868">
        <v>34</v>
      </c>
      <c r="X1169" s="1868">
        <v>29</v>
      </c>
      <c r="Y1169" s="1868"/>
      <c r="Z1169" s="1899">
        <f t="shared" si="2319"/>
        <v>63</v>
      </c>
      <c r="AA1169" s="1868"/>
      <c r="AB1169" s="1868"/>
      <c r="AC1169" s="1868"/>
      <c r="AD1169" s="1895">
        <f t="shared" si="2320"/>
        <v>0</v>
      </c>
      <c r="AE1169" s="1898">
        <f t="shared" si="2321"/>
        <v>63</v>
      </c>
      <c r="AF1169" s="1868"/>
      <c r="AG1169" s="1868"/>
      <c r="AH1169" s="1868"/>
      <c r="AI1169" s="1895">
        <f t="shared" si="2322"/>
        <v>0</v>
      </c>
      <c r="AJ1169" s="1898">
        <f t="shared" si="2323"/>
        <v>63</v>
      </c>
      <c r="AK1169" s="1868"/>
      <c r="AL1169" s="1868"/>
      <c r="AM1169" s="1868"/>
      <c r="AN1169" s="1895">
        <f t="shared" si="2324"/>
        <v>0</v>
      </c>
      <c r="AO1169" s="1897">
        <f t="shared" si="2325"/>
        <v>63</v>
      </c>
      <c r="AP1169" s="1413"/>
      <c r="AQ1169" s="1413"/>
    </row>
    <row r="1170">
      <c r="A1170" s="1179" t="s">
        <v>206</v>
      </c>
      <c r="B1170" s="1868">
        <v>76</v>
      </c>
      <c r="C1170" s="1868">
        <v>140</v>
      </c>
      <c r="D1170" s="1868"/>
      <c r="E1170" s="1899">
        <f t="shared" si="2312"/>
        <v>216</v>
      </c>
      <c r="F1170" s="1868"/>
      <c r="G1170" s="1868"/>
      <c r="H1170" s="1868"/>
      <c r="I1170" s="1895">
        <f t="shared" si="2313"/>
        <v>0</v>
      </c>
      <c r="J1170" s="1896">
        <f t="shared" si="2314"/>
        <v>216</v>
      </c>
      <c r="K1170" s="1868"/>
      <c r="L1170" s="1868"/>
      <c r="M1170" s="1868"/>
      <c r="N1170" s="1895">
        <f t="shared" si="2315"/>
        <v>0</v>
      </c>
      <c r="O1170" s="1896">
        <f t="shared" si="2316"/>
        <v>216</v>
      </c>
      <c r="P1170" s="1868"/>
      <c r="Q1170" s="1868"/>
      <c r="R1170" s="1868"/>
      <c r="S1170" s="1895">
        <f t="shared" si="2317"/>
        <v>0</v>
      </c>
      <c r="T1170" s="1897">
        <f t="shared" si="2318"/>
        <v>216</v>
      </c>
      <c r="U1170" s="1413"/>
      <c r="V1170" s="1179" t="s">
        <v>206</v>
      </c>
      <c r="W1170" s="1868">
        <v>17</v>
      </c>
      <c r="X1170" s="1868">
        <v>30</v>
      </c>
      <c r="Y1170" s="1868"/>
      <c r="Z1170" s="1899">
        <f t="shared" si="2319"/>
        <v>47</v>
      </c>
      <c r="AA1170" s="1868"/>
      <c r="AB1170" s="1868"/>
      <c r="AC1170" s="1868"/>
      <c r="AD1170" s="1895">
        <f t="shared" si="2320"/>
        <v>0</v>
      </c>
      <c r="AE1170" s="1898">
        <f t="shared" si="2321"/>
        <v>47</v>
      </c>
      <c r="AF1170" s="1868"/>
      <c r="AG1170" s="1868"/>
      <c r="AH1170" s="1868"/>
      <c r="AI1170" s="1895">
        <f t="shared" si="2322"/>
        <v>0</v>
      </c>
      <c r="AJ1170" s="1898">
        <f t="shared" si="2323"/>
        <v>47</v>
      </c>
      <c r="AK1170" s="1868"/>
      <c r="AL1170" s="1868"/>
      <c r="AM1170" s="1868"/>
      <c r="AN1170" s="1895">
        <f t="shared" si="2324"/>
        <v>0</v>
      </c>
      <c r="AO1170" s="1897">
        <f t="shared" si="2325"/>
        <v>47</v>
      </c>
      <c r="AP1170" s="1413"/>
      <c r="AQ1170" s="1413"/>
    </row>
    <row r="1171">
      <c r="A1171" s="1179" t="s">
        <v>207</v>
      </c>
      <c r="B1171" s="1868">
        <v>46</v>
      </c>
      <c r="C1171" s="1868">
        <v>72</v>
      </c>
      <c r="D1171" s="1868"/>
      <c r="E1171" s="1899">
        <f t="shared" si="2312"/>
        <v>118</v>
      </c>
      <c r="F1171" s="1868"/>
      <c r="G1171" s="1868"/>
      <c r="H1171" s="1868"/>
      <c r="I1171" s="1895">
        <f t="shared" si="2313"/>
        <v>0</v>
      </c>
      <c r="J1171" s="1896">
        <f t="shared" si="2314"/>
        <v>118</v>
      </c>
      <c r="K1171" s="1868"/>
      <c r="L1171" s="1868"/>
      <c r="M1171" s="1868"/>
      <c r="N1171" s="1895">
        <f t="shared" si="2315"/>
        <v>0</v>
      </c>
      <c r="O1171" s="1896">
        <f t="shared" si="2316"/>
        <v>118</v>
      </c>
      <c r="P1171" s="1868"/>
      <c r="Q1171" s="1868"/>
      <c r="R1171" s="1868"/>
      <c r="S1171" s="1895">
        <f t="shared" si="2317"/>
        <v>0</v>
      </c>
      <c r="T1171" s="1897">
        <f t="shared" si="2318"/>
        <v>118</v>
      </c>
      <c r="U1171" s="1413"/>
      <c r="V1171" s="1179" t="s">
        <v>207</v>
      </c>
      <c r="W1171" s="1868">
        <v>8</v>
      </c>
      <c r="X1171" s="1868">
        <v>14</v>
      </c>
      <c r="Y1171" s="1868"/>
      <c r="Z1171" s="1899">
        <f t="shared" si="2319"/>
        <v>22</v>
      </c>
      <c r="AA1171" s="1868"/>
      <c r="AB1171" s="1868"/>
      <c r="AC1171" s="1868"/>
      <c r="AD1171" s="1895">
        <f t="shared" si="2320"/>
        <v>0</v>
      </c>
      <c r="AE1171" s="1898">
        <f t="shared" si="2321"/>
        <v>22</v>
      </c>
      <c r="AF1171" s="1868"/>
      <c r="AG1171" s="1868"/>
      <c r="AH1171" s="1868"/>
      <c r="AI1171" s="1895">
        <f t="shared" si="2322"/>
        <v>0</v>
      </c>
      <c r="AJ1171" s="1898">
        <f t="shared" si="2323"/>
        <v>22</v>
      </c>
      <c r="AK1171" s="1868"/>
      <c r="AL1171" s="1868"/>
      <c r="AM1171" s="1868"/>
      <c r="AN1171" s="1895">
        <f t="shared" si="2324"/>
        <v>0</v>
      </c>
      <c r="AO1171" s="1897">
        <f t="shared" si="2325"/>
        <v>22</v>
      </c>
      <c r="AP1171" s="1413"/>
      <c r="AQ1171" s="1413"/>
    </row>
    <row r="1172">
      <c r="A1172" s="1179" t="s">
        <v>209</v>
      </c>
      <c r="B1172" s="1868">
        <v>205</v>
      </c>
      <c r="C1172" s="1868">
        <v>232</v>
      </c>
      <c r="D1172" s="1868"/>
      <c r="E1172" s="1899">
        <f t="shared" si="2312"/>
        <v>437</v>
      </c>
      <c r="F1172" s="1868"/>
      <c r="G1172" s="1868"/>
      <c r="H1172" s="1868"/>
      <c r="I1172" s="1895">
        <f t="shared" si="2313"/>
        <v>0</v>
      </c>
      <c r="J1172" s="1896">
        <f t="shared" si="2314"/>
        <v>437</v>
      </c>
      <c r="K1172" s="1868"/>
      <c r="L1172" s="1868"/>
      <c r="M1172" s="1868"/>
      <c r="N1172" s="1895">
        <f t="shared" si="2315"/>
        <v>0</v>
      </c>
      <c r="O1172" s="1896">
        <f t="shared" si="2316"/>
        <v>437</v>
      </c>
      <c r="P1172" s="1868"/>
      <c r="Q1172" s="1868"/>
      <c r="R1172" s="1868"/>
      <c r="S1172" s="1895">
        <f t="shared" si="2317"/>
        <v>0</v>
      </c>
      <c r="T1172" s="1897">
        <f t="shared" si="2318"/>
        <v>437</v>
      </c>
      <c r="U1172" s="1413"/>
      <c r="V1172" s="1179" t="s">
        <v>209</v>
      </c>
      <c r="W1172" s="1868">
        <v>44</v>
      </c>
      <c r="X1172" s="1868">
        <v>52</v>
      </c>
      <c r="Y1172" s="1868"/>
      <c r="Z1172" s="1899">
        <f t="shared" si="2319"/>
        <v>96</v>
      </c>
      <c r="AA1172" s="1868"/>
      <c r="AB1172" s="1868"/>
      <c r="AC1172" s="1868"/>
      <c r="AD1172" s="1895">
        <f t="shared" si="2320"/>
        <v>0</v>
      </c>
      <c r="AE1172" s="1898">
        <f t="shared" si="2321"/>
        <v>96</v>
      </c>
      <c r="AF1172" s="1868"/>
      <c r="AG1172" s="1868"/>
      <c r="AH1172" s="1868"/>
      <c r="AI1172" s="1895">
        <f t="shared" si="2322"/>
        <v>0</v>
      </c>
      <c r="AJ1172" s="1898">
        <f t="shared" si="2323"/>
        <v>96</v>
      </c>
      <c r="AK1172" s="1868"/>
      <c r="AL1172" s="1868"/>
      <c r="AM1172" s="1868"/>
      <c r="AN1172" s="1895">
        <f t="shared" si="2324"/>
        <v>0</v>
      </c>
      <c r="AO1172" s="1897">
        <f t="shared" si="2325"/>
        <v>96</v>
      </c>
      <c r="AP1172" s="1413"/>
      <c r="AQ1172" s="1413"/>
    </row>
    <row r="1173">
      <c r="A1173" s="1179" t="s">
        <v>210</v>
      </c>
      <c r="B1173" s="1868">
        <v>29</v>
      </c>
      <c r="C1173" s="1868">
        <v>49</v>
      </c>
      <c r="D1173" s="1868"/>
      <c r="E1173" s="1899">
        <f t="shared" si="2312"/>
        <v>78</v>
      </c>
      <c r="F1173" s="1868"/>
      <c r="G1173" s="1868"/>
      <c r="H1173" s="1868"/>
      <c r="I1173" s="1895">
        <f t="shared" si="2313"/>
        <v>0</v>
      </c>
      <c r="J1173" s="1896">
        <f t="shared" si="2314"/>
        <v>78</v>
      </c>
      <c r="K1173" s="1868"/>
      <c r="L1173" s="1868"/>
      <c r="M1173" s="1868"/>
      <c r="N1173" s="1895">
        <f t="shared" si="2315"/>
        <v>0</v>
      </c>
      <c r="O1173" s="1896">
        <f t="shared" si="2316"/>
        <v>78</v>
      </c>
      <c r="P1173" s="1868"/>
      <c r="Q1173" s="1868"/>
      <c r="R1173" s="1868"/>
      <c r="S1173" s="1895">
        <f t="shared" si="2317"/>
        <v>0</v>
      </c>
      <c r="T1173" s="1897">
        <f t="shared" si="2318"/>
        <v>78</v>
      </c>
      <c r="U1173" s="1413"/>
      <c r="V1173" s="1179" t="s">
        <v>210</v>
      </c>
      <c r="W1173" s="1868">
        <v>11</v>
      </c>
      <c r="X1173" s="1868">
        <v>17</v>
      </c>
      <c r="Y1173" s="1868"/>
      <c r="Z1173" s="1899">
        <f t="shared" si="2319"/>
        <v>28</v>
      </c>
      <c r="AA1173" s="1868"/>
      <c r="AB1173" s="1868"/>
      <c r="AC1173" s="1868"/>
      <c r="AD1173" s="1895">
        <f t="shared" si="2320"/>
        <v>0</v>
      </c>
      <c r="AE1173" s="1898">
        <f t="shared" si="2321"/>
        <v>28</v>
      </c>
      <c r="AF1173" s="1868"/>
      <c r="AG1173" s="1868"/>
      <c r="AH1173" s="1868"/>
      <c r="AI1173" s="1895">
        <f t="shared" si="2322"/>
        <v>0</v>
      </c>
      <c r="AJ1173" s="1898">
        <f t="shared" si="2323"/>
        <v>28</v>
      </c>
      <c r="AK1173" s="1868"/>
      <c r="AL1173" s="1868"/>
      <c r="AM1173" s="1868"/>
      <c r="AN1173" s="1895">
        <f t="shared" si="2324"/>
        <v>0</v>
      </c>
      <c r="AO1173" s="1897">
        <f t="shared" si="2325"/>
        <v>28</v>
      </c>
      <c r="AP1173" s="1413"/>
      <c r="AQ1173" s="1413"/>
    </row>
    <row r="1174">
      <c r="A1174" s="1179" t="s">
        <v>211</v>
      </c>
      <c r="B1174" s="1868">
        <v>302</v>
      </c>
      <c r="C1174" s="1868">
        <v>410</v>
      </c>
      <c r="D1174" s="1868"/>
      <c r="E1174" s="1899">
        <f t="shared" si="2312"/>
        <v>712</v>
      </c>
      <c r="F1174" s="1868"/>
      <c r="G1174" s="1868"/>
      <c r="H1174" s="1868"/>
      <c r="I1174" s="1895">
        <f t="shared" si="2313"/>
        <v>0</v>
      </c>
      <c r="J1174" s="1896">
        <f t="shared" si="2314"/>
        <v>712</v>
      </c>
      <c r="K1174" s="1868"/>
      <c r="L1174" s="1868"/>
      <c r="M1174" s="1868"/>
      <c r="N1174" s="1895">
        <f t="shared" si="2315"/>
        <v>0</v>
      </c>
      <c r="O1174" s="1896">
        <f t="shared" si="2316"/>
        <v>712</v>
      </c>
      <c r="P1174" s="1868"/>
      <c r="Q1174" s="1868"/>
      <c r="R1174" s="1868"/>
      <c r="S1174" s="1895">
        <f t="shared" si="2317"/>
        <v>0</v>
      </c>
      <c r="T1174" s="1897">
        <f t="shared" si="2318"/>
        <v>712</v>
      </c>
      <c r="U1174" s="1413"/>
      <c r="V1174" s="1179" t="s">
        <v>211</v>
      </c>
      <c r="W1174" s="1868">
        <v>113</v>
      </c>
      <c r="X1174" s="1868">
        <v>164</v>
      </c>
      <c r="Y1174" s="1868"/>
      <c r="Z1174" s="1899">
        <f t="shared" si="2319"/>
        <v>277</v>
      </c>
      <c r="AA1174" s="1868"/>
      <c r="AB1174" s="1868"/>
      <c r="AC1174" s="1868"/>
      <c r="AD1174" s="1895">
        <f t="shared" si="2320"/>
        <v>0</v>
      </c>
      <c r="AE1174" s="1898">
        <f t="shared" si="2321"/>
        <v>277</v>
      </c>
      <c r="AF1174" s="1868"/>
      <c r="AG1174" s="1868"/>
      <c r="AH1174" s="1868"/>
      <c r="AI1174" s="1895">
        <f t="shared" si="2322"/>
        <v>0</v>
      </c>
      <c r="AJ1174" s="1898">
        <f t="shared" si="2323"/>
        <v>277</v>
      </c>
      <c r="AK1174" s="1868"/>
      <c r="AL1174" s="1868"/>
      <c r="AM1174" s="1868"/>
      <c r="AN1174" s="1895">
        <f t="shared" si="2324"/>
        <v>0</v>
      </c>
      <c r="AO1174" s="1897">
        <f t="shared" si="2325"/>
        <v>277</v>
      </c>
      <c r="AP1174" s="1413"/>
      <c r="AQ1174" s="1413"/>
    </row>
    <row r="1175">
      <c r="A1175" s="1511" t="s">
        <v>363</v>
      </c>
      <c r="B1175" s="1871">
        <f>SUM(B1162:B1174)</f>
        <v>1310</v>
      </c>
      <c r="C1175" s="1871">
        <f>SUM(C1162:C1174)</f>
        <v>1577</v>
      </c>
      <c r="D1175" s="1871">
        <f>SUM(D1162:D1174)</f>
        <v>0</v>
      </c>
      <c r="E1175" s="1899">
        <f t="shared" si="2312"/>
        <v>2887</v>
      </c>
      <c r="F1175" s="1871">
        <f>SUM(F1162:F1174)</f>
        <v>0</v>
      </c>
      <c r="G1175" s="1871">
        <f>SUM(G1162:G1174)</f>
        <v>0</v>
      </c>
      <c r="H1175" s="1871">
        <f>SUM(H1162:H1174)</f>
        <v>0</v>
      </c>
      <c r="I1175" s="1895">
        <f t="shared" si="2313"/>
        <v>0</v>
      </c>
      <c r="J1175" s="1896">
        <f t="shared" si="2314"/>
        <v>2887</v>
      </c>
      <c r="K1175" s="1871">
        <f>SUM(K1162:K1174)</f>
        <v>0</v>
      </c>
      <c r="L1175" s="1871">
        <f>SUM(L1162:L1174)</f>
        <v>0</v>
      </c>
      <c r="M1175" s="1871">
        <f t="shared" ref="M1175:R1175" si="2328">SUM(M1162:M1174)</f>
        <v>0</v>
      </c>
      <c r="N1175" s="1899">
        <f t="shared" si="2315"/>
        <v>0</v>
      </c>
      <c r="O1175" s="1900">
        <f t="shared" si="2316"/>
        <v>2887</v>
      </c>
      <c r="P1175" s="1871">
        <f t="shared" si="2328"/>
        <v>0</v>
      </c>
      <c r="Q1175" s="1871">
        <f t="shared" si="2328"/>
        <v>0</v>
      </c>
      <c r="R1175" s="1871">
        <f t="shared" si="2328"/>
        <v>0</v>
      </c>
      <c r="S1175" s="1895">
        <f t="shared" si="2317"/>
        <v>0</v>
      </c>
      <c r="T1175" s="1901">
        <f t="shared" si="2318"/>
        <v>2887</v>
      </c>
      <c r="U1175" s="1413"/>
      <c r="V1175" s="1511" t="s">
        <v>363</v>
      </c>
      <c r="W1175" s="1871">
        <f t="shared" ref="W1175:AM1175" si="2329">SUM(W1162:W1174)</f>
        <v>376</v>
      </c>
      <c r="X1175" s="1871">
        <f t="shared" si="2329"/>
        <v>464</v>
      </c>
      <c r="Y1175" s="1871">
        <f t="shared" si="2329"/>
        <v>0</v>
      </c>
      <c r="Z1175" s="1899">
        <f t="shared" si="2319"/>
        <v>840</v>
      </c>
      <c r="AA1175" s="1871">
        <f t="shared" si="2329"/>
        <v>0</v>
      </c>
      <c r="AB1175" s="1871">
        <f t="shared" si="2329"/>
        <v>0</v>
      </c>
      <c r="AC1175" s="1871">
        <f t="shared" si="2329"/>
        <v>0</v>
      </c>
      <c r="AD1175" s="1895">
        <f t="shared" si="2320"/>
        <v>0</v>
      </c>
      <c r="AE1175" s="1898">
        <f t="shared" si="2321"/>
        <v>840</v>
      </c>
      <c r="AF1175" s="1871">
        <f>SUM(AF1162:AF1174)</f>
        <v>0</v>
      </c>
      <c r="AG1175" s="1871">
        <f>SUM(AG1162:AG1174)</f>
        <v>0</v>
      </c>
      <c r="AH1175" s="1871">
        <f>SUM(AH1162:AH1174)</f>
        <v>0</v>
      </c>
      <c r="AI1175" s="1895">
        <f t="shared" si="2322"/>
        <v>0</v>
      </c>
      <c r="AJ1175" s="1898">
        <f t="shared" si="2323"/>
        <v>840</v>
      </c>
      <c r="AK1175" s="1871">
        <f t="shared" si="2329"/>
        <v>0</v>
      </c>
      <c r="AL1175" s="1871">
        <f>SUM(AL1162:AL1174)</f>
        <v>0</v>
      </c>
      <c r="AM1175" s="1871">
        <f t="shared" si="2329"/>
        <v>0</v>
      </c>
      <c r="AN1175" s="1895">
        <f t="shared" si="2324"/>
        <v>0</v>
      </c>
      <c r="AO1175" s="1897">
        <f t="shared" si="2325"/>
        <v>840</v>
      </c>
      <c r="AP1175" s="1413"/>
      <c r="AQ1175" s="1413"/>
    </row>
    <row r="1176">
      <c r="A1176" s="1179" t="s">
        <v>379</v>
      </c>
      <c r="B1176" s="1868"/>
      <c r="C1176" s="1868"/>
      <c r="D1176" s="1868"/>
      <c r="E1176" s="1899">
        <f t="shared" si="2312"/>
        <v>0</v>
      </c>
      <c r="F1176" s="1868"/>
      <c r="G1176" s="1868"/>
      <c r="H1176" s="1868"/>
      <c r="I1176" s="1895">
        <f t="shared" si="2313"/>
        <v>0</v>
      </c>
      <c r="J1176" s="1896">
        <f t="shared" si="2314"/>
        <v>0</v>
      </c>
      <c r="K1176" s="1868"/>
      <c r="L1176" s="1868"/>
      <c r="M1176" s="1868"/>
      <c r="N1176" s="1895">
        <f t="shared" si="2315"/>
        <v>0</v>
      </c>
      <c r="O1176" s="1896">
        <f t="shared" si="2316"/>
        <v>0</v>
      </c>
      <c r="P1176" s="1868"/>
      <c r="Q1176" s="1868"/>
      <c r="R1176" s="1868"/>
      <c r="S1176" s="1895">
        <f t="shared" si="2317"/>
        <v>0</v>
      </c>
      <c r="T1176" s="1897">
        <f t="shared" si="2318"/>
        <v>0</v>
      </c>
      <c r="U1176" s="1413"/>
      <c r="V1176" s="1179"/>
      <c r="W1176" s="1868"/>
      <c r="X1176" s="1868"/>
      <c r="Y1176" s="1868"/>
      <c r="Z1176" s="1899"/>
      <c r="AA1176" s="1868"/>
      <c r="AB1176" s="1868"/>
      <c r="AC1176" s="1868"/>
      <c r="AD1176" s="1895"/>
      <c r="AE1176" s="1898"/>
      <c r="AF1176" s="1868"/>
      <c r="AG1176" s="1868"/>
      <c r="AH1176" s="1868"/>
      <c r="AI1176" s="1895">
        <f t="shared" si="2322"/>
        <v>0</v>
      </c>
      <c r="AJ1176" s="1898">
        <f t="shared" si="2323"/>
        <v>0</v>
      </c>
      <c r="AK1176" s="1868"/>
      <c r="AL1176" s="1868"/>
      <c r="AM1176" s="1868"/>
      <c r="AN1176" s="1895">
        <f t="shared" si="2324"/>
        <v>0</v>
      </c>
      <c r="AO1176" s="1897">
        <f t="shared" si="2325"/>
        <v>0</v>
      </c>
      <c r="AP1176" s="1413"/>
      <c r="AQ1176" s="1413"/>
    </row>
    <row r="1177">
      <c r="A1177" s="1561" t="s">
        <v>525</v>
      </c>
      <c r="B1177" s="1868"/>
      <c r="C1177" s="1868"/>
      <c r="D1177" s="1868"/>
      <c r="E1177" s="1899">
        <f t="shared" si="2312"/>
        <v>0</v>
      </c>
      <c r="F1177" s="1868"/>
      <c r="G1177" s="1868"/>
      <c r="H1177" s="1868"/>
      <c r="I1177" s="1895">
        <f t="shared" si="2313"/>
        <v>0</v>
      </c>
      <c r="J1177" s="1896">
        <f t="shared" si="2314"/>
        <v>0</v>
      </c>
      <c r="K1177" s="1868"/>
      <c r="L1177" s="1868"/>
      <c r="M1177" s="1868"/>
      <c r="N1177" s="1895">
        <f t="shared" si="2315"/>
        <v>0</v>
      </c>
      <c r="O1177" s="1896">
        <f t="shared" si="2316"/>
        <v>0</v>
      </c>
      <c r="P1177" s="1868"/>
      <c r="Q1177" s="1868"/>
      <c r="R1177" s="1868"/>
      <c r="S1177" s="1895">
        <f t="shared" si="2317"/>
        <v>0</v>
      </c>
      <c r="T1177" s="1897">
        <f t="shared" si="2318"/>
        <v>0</v>
      </c>
      <c r="U1177" s="1413"/>
      <c r="V1177" s="1551" t="s">
        <v>525</v>
      </c>
      <c r="W1177" s="1868"/>
      <c r="X1177" s="1868"/>
      <c r="Y1177" s="1868"/>
      <c r="Z1177" s="1899">
        <f t="shared" si="2319"/>
        <v>0</v>
      </c>
      <c r="AA1177" s="1868"/>
      <c r="AB1177" s="1868"/>
      <c r="AC1177" s="1868"/>
      <c r="AD1177" s="1895">
        <f t="shared" si="2320"/>
        <v>0</v>
      </c>
      <c r="AE1177" s="1898">
        <f t="shared" si="2321"/>
        <v>0</v>
      </c>
      <c r="AF1177" s="1868"/>
      <c r="AG1177" s="1868"/>
      <c r="AH1177" s="1868"/>
      <c r="AI1177" s="1895">
        <f t="shared" si="2322"/>
        <v>0</v>
      </c>
      <c r="AJ1177" s="1898">
        <f t="shared" si="2323"/>
        <v>0</v>
      </c>
      <c r="AK1177" s="1868"/>
      <c r="AL1177" s="1868"/>
      <c r="AM1177" s="1868"/>
      <c r="AN1177" s="1895">
        <f t="shared" si="2324"/>
        <v>0</v>
      </c>
      <c r="AO1177" s="1897">
        <f t="shared" si="2325"/>
        <v>0</v>
      </c>
      <c r="AP1177" s="1413"/>
      <c r="AQ1177" s="1413"/>
    </row>
    <row r="1178">
      <c r="A1178" s="1551" t="s">
        <v>543</v>
      </c>
      <c r="B1178" s="1868"/>
      <c r="C1178" s="1868"/>
      <c r="D1178" s="1868"/>
      <c r="E1178" s="1899">
        <f t="shared" si="2312"/>
        <v>0</v>
      </c>
      <c r="F1178" s="1868"/>
      <c r="G1178" s="1868"/>
      <c r="H1178" s="1868"/>
      <c r="I1178" s="1895">
        <f t="shared" si="2313"/>
        <v>0</v>
      </c>
      <c r="J1178" s="1896">
        <f t="shared" si="2314"/>
        <v>0</v>
      </c>
      <c r="K1178" s="1868"/>
      <c r="L1178" s="1868"/>
      <c r="M1178" s="1868"/>
      <c r="N1178" s="1895">
        <f t="shared" si="2315"/>
        <v>0</v>
      </c>
      <c r="O1178" s="1896">
        <f t="shared" si="2316"/>
        <v>0</v>
      </c>
      <c r="P1178" s="1868"/>
      <c r="Q1178" s="1868"/>
      <c r="R1178" s="1868"/>
      <c r="S1178" s="1895">
        <f t="shared" si="2317"/>
        <v>0</v>
      </c>
      <c r="T1178" s="1897">
        <f t="shared" si="2318"/>
        <v>0</v>
      </c>
      <c r="U1178" s="1413"/>
      <c r="V1178" s="1551" t="s">
        <v>543</v>
      </c>
      <c r="W1178" s="1868"/>
      <c r="X1178" s="1868"/>
      <c r="Y1178" s="1868"/>
      <c r="Z1178" s="1899">
        <f t="shared" si="2319"/>
        <v>0</v>
      </c>
      <c r="AA1178" s="1868"/>
      <c r="AB1178" s="1868"/>
      <c r="AC1178" s="1868"/>
      <c r="AD1178" s="1895">
        <f t="shared" si="2320"/>
        <v>0</v>
      </c>
      <c r="AE1178" s="1898">
        <f t="shared" si="2321"/>
        <v>0</v>
      </c>
      <c r="AF1178" s="1868"/>
      <c r="AG1178" s="1868"/>
      <c r="AH1178" s="1868"/>
      <c r="AI1178" s="1895">
        <f t="shared" si="2322"/>
        <v>0</v>
      </c>
      <c r="AJ1178" s="1898">
        <f t="shared" si="2323"/>
        <v>0</v>
      </c>
      <c r="AK1178" s="1868"/>
      <c r="AL1178" s="1868"/>
      <c r="AM1178" s="1868"/>
      <c r="AN1178" s="1895">
        <f t="shared" si="2324"/>
        <v>0</v>
      </c>
      <c r="AO1178" s="1897">
        <f t="shared" si="2325"/>
        <v>0</v>
      </c>
      <c r="AP1178" s="1413"/>
      <c r="AQ1178" s="1413"/>
    </row>
    <row r="1179">
      <c r="A1179" s="1511" t="s">
        <v>544</v>
      </c>
      <c r="B1179" s="1871">
        <f>SUM(B1176:B1178)</f>
        <v>0</v>
      </c>
      <c r="C1179" s="1871">
        <f>SUM(C1176:C1178)</f>
        <v>0</v>
      </c>
      <c r="D1179" s="1871">
        <f>SUM(D1176:D1178)</f>
        <v>0</v>
      </c>
      <c r="E1179" s="1899">
        <f t="shared" si="2312"/>
        <v>0</v>
      </c>
      <c r="F1179" s="1871">
        <f>SUM(F1176:F1178)</f>
        <v>0</v>
      </c>
      <c r="G1179" s="1871">
        <f>SUM(G1176:G1178)</f>
        <v>0</v>
      </c>
      <c r="H1179" s="1871">
        <f>SUM(H1176:H1178)</f>
        <v>0</v>
      </c>
      <c r="I1179" s="1895">
        <f t="shared" si="2313"/>
        <v>0</v>
      </c>
      <c r="J1179" s="1896">
        <f t="shared" si="2314"/>
        <v>0</v>
      </c>
      <c r="K1179" s="1871">
        <f>SUM(K1176:K1178)</f>
        <v>0</v>
      </c>
      <c r="L1179" s="1871">
        <f>SUM(L1176:L1178)</f>
        <v>0</v>
      </c>
      <c r="M1179" s="1871">
        <f t="shared" ref="M1179:R1183" si="2330">SUM(M1176:M1178)</f>
        <v>0</v>
      </c>
      <c r="N1179" s="1895">
        <f t="shared" si="2315"/>
        <v>0</v>
      </c>
      <c r="O1179" s="1896">
        <f t="shared" si="2316"/>
        <v>0</v>
      </c>
      <c r="P1179" s="1871">
        <f t="shared" si="2330"/>
        <v>0</v>
      </c>
      <c r="Q1179" s="1871">
        <f t="shared" si="2330"/>
        <v>0</v>
      </c>
      <c r="R1179" s="1871">
        <f t="shared" si="2330"/>
        <v>0</v>
      </c>
      <c r="S1179" s="1895">
        <f t="shared" si="2317"/>
        <v>0</v>
      </c>
      <c r="T1179" s="1901">
        <f t="shared" si="2318"/>
        <v>0</v>
      </c>
      <c r="U1179" s="1413"/>
      <c r="V1179" s="1511" t="s">
        <v>544</v>
      </c>
      <c r="W1179" s="1871">
        <f t="shared" ref="W1179:AM1183" si="2331">SUM(W1176:W1178)</f>
        <v>0</v>
      </c>
      <c r="X1179" s="1871">
        <f t="shared" si="2331"/>
        <v>0</v>
      </c>
      <c r="Y1179" s="1871">
        <f t="shared" si="2331"/>
        <v>0</v>
      </c>
      <c r="Z1179" s="1899">
        <f t="shared" si="2319"/>
        <v>0</v>
      </c>
      <c r="AA1179" s="1871">
        <f t="shared" si="2331"/>
        <v>0</v>
      </c>
      <c r="AB1179" s="1871">
        <f t="shared" si="2331"/>
        <v>0</v>
      </c>
      <c r="AC1179" s="1871">
        <f t="shared" si="2331"/>
        <v>0</v>
      </c>
      <c r="AD1179" s="1895">
        <f t="shared" si="2320"/>
        <v>0</v>
      </c>
      <c r="AE1179" s="1898">
        <f t="shared" si="2321"/>
        <v>0</v>
      </c>
      <c r="AF1179" s="1871">
        <f>SUM(AF1176:AF1178)</f>
        <v>0</v>
      </c>
      <c r="AG1179" s="1871">
        <f>SUM(AG1176:AG1178)</f>
        <v>0</v>
      </c>
      <c r="AH1179" s="1871">
        <f>SUM(AH1176:AH1178)</f>
        <v>0</v>
      </c>
      <c r="AI1179" s="1895">
        <f t="shared" si="2322"/>
        <v>0</v>
      </c>
      <c r="AJ1179" s="1898">
        <f t="shared" si="2323"/>
        <v>0</v>
      </c>
      <c r="AK1179" s="1871">
        <f t="shared" si="2331"/>
        <v>0</v>
      </c>
      <c r="AL1179" s="1871">
        <f>SUM(AL1176:AL1178)</f>
        <v>0</v>
      </c>
      <c r="AM1179" s="1871">
        <f t="shared" si="2331"/>
        <v>0</v>
      </c>
      <c r="AN1179" s="1895">
        <f t="shared" si="2324"/>
        <v>0</v>
      </c>
      <c r="AO1179" s="1897">
        <f t="shared" si="2325"/>
        <v>0</v>
      </c>
      <c r="AP1179" s="1413"/>
      <c r="AQ1179" s="1413"/>
    </row>
    <row r="1180">
      <c r="A1180" s="1179" t="s">
        <v>390</v>
      </c>
      <c r="B1180" s="1868"/>
      <c r="C1180" s="1868">
        <v>2</v>
      </c>
      <c r="D1180" s="1868"/>
      <c r="E1180" s="1899">
        <f t="shared" si="2312"/>
        <v>2</v>
      </c>
      <c r="F1180" s="1868"/>
      <c r="G1180" s="1868"/>
      <c r="H1180" s="1868"/>
      <c r="I1180" s="1895">
        <f t="shared" si="2313"/>
        <v>0</v>
      </c>
      <c r="J1180" s="1896">
        <f t="shared" si="2314"/>
        <v>2</v>
      </c>
      <c r="K1180" s="1868"/>
      <c r="L1180" s="1868"/>
      <c r="M1180" s="1868"/>
      <c r="N1180" s="1895">
        <f t="shared" si="2315"/>
        <v>0</v>
      </c>
      <c r="O1180" s="1896">
        <f t="shared" si="2316"/>
        <v>2</v>
      </c>
      <c r="P1180" s="1868"/>
      <c r="Q1180" s="1868"/>
      <c r="R1180" s="1868"/>
      <c r="S1180" s="1895">
        <f t="shared" si="2317"/>
        <v>0</v>
      </c>
      <c r="T1180" s="1897">
        <f t="shared" si="2318"/>
        <v>2</v>
      </c>
      <c r="U1180" s="1413"/>
      <c r="V1180" s="1179" t="s">
        <v>390</v>
      </c>
      <c r="W1180" s="1868"/>
      <c r="X1180" s="1868">
        <v>1</v>
      </c>
      <c r="Y1180" s="1868"/>
      <c r="Z1180" s="1899">
        <f t="shared" si="2319"/>
        <v>1</v>
      </c>
      <c r="AA1180" s="1868"/>
      <c r="AB1180" s="1868"/>
      <c r="AC1180" s="1868"/>
      <c r="AD1180" s="1895">
        <f t="shared" si="2320"/>
        <v>0</v>
      </c>
      <c r="AE1180" s="1898">
        <f t="shared" si="2321"/>
        <v>1</v>
      </c>
      <c r="AF1180" s="1868"/>
      <c r="AG1180" s="1868"/>
      <c r="AH1180" s="1868"/>
      <c r="AI1180" s="1895">
        <f t="shared" si="2322"/>
        <v>0</v>
      </c>
      <c r="AJ1180" s="1898">
        <f t="shared" si="2323"/>
        <v>1</v>
      </c>
      <c r="AK1180" s="1868"/>
      <c r="AL1180" s="1868"/>
      <c r="AM1180" s="1868"/>
      <c r="AN1180" s="1895">
        <f t="shared" si="2324"/>
        <v>0</v>
      </c>
      <c r="AO1180" s="1897">
        <f t="shared" si="2325"/>
        <v>1</v>
      </c>
      <c r="AP1180" s="1413"/>
      <c r="AQ1180" s="1413"/>
    </row>
    <row r="1181">
      <c r="A1181" s="1179" t="s">
        <v>392</v>
      </c>
      <c r="B1181" s="1868"/>
      <c r="C1181" s="1868"/>
      <c r="D1181" s="1868"/>
      <c r="E1181" s="1899">
        <f t="shared" si="2312"/>
        <v>0</v>
      </c>
      <c r="F1181" s="1868"/>
      <c r="G1181" s="1868"/>
      <c r="H1181" s="1868"/>
      <c r="I1181" s="1895">
        <f t="shared" si="2313"/>
        <v>0</v>
      </c>
      <c r="J1181" s="1896">
        <f t="shared" si="2314"/>
        <v>0</v>
      </c>
      <c r="K1181" s="1868"/>
      <c r="L1181" s="1868"/>
      <c r="M1181" s="1868"/>
      <c r="N1181" s="1895">
        <f t="shared" si="2315"/>
        <v>0</v>
      </c>
      <c r="O1181" s="1896">
        <f t="shared" si="2316"/>
        <v>0</v>
      </c>
      <c r="P1181" s="1868"/>
      <c r="Q1181" s="1868"/>
      <c r="R1181" s="1868"/>
      <c r="S1181" s="1895">
        <f t="shared" si="2317"/>
        <v>0</v>
      </c>
      <c r="T1181" s="1897">
        <f t="shared" si="2318"/>
        <v>0</v>
      </c>
      <c r="U1181" s="1413"/>
      <c r="V1181" s="1179" t="s">
        <v>392</v>
      </c>
      <c r="W1181" s="1868"/>
      <c r="X1181" s="1868"/>
      <c r="Y1181" s="1868"/>
      <c r="Z1181" s="1899">
        <f t="shared" si="2319"/>
        <v>0</v>
      </c>
      <c r="AA1181" s="1868"/>
      <c r="AB1181" s="1868"/>
      <c r="AC1181" s="1868"/>
      <c r="AD1181" s="1895">
        <f t="shared" si="2320"/>
        <v>0</v>
      </c>
      <c r="AE1181" s="1898">
        <f t="shared" si="2321"/>
        <v>0</v>
      </c>
      <c r="AF1181" s="1868"/>
      <c r="AG1181" s="1868"/>
      <c r="AH1181" s="1868"/>
      <c r="AI1181" s="1895">
        <f t="shared" si="2322"/>
        <v>0</v>
      </c>
      <c r="AJ1181" s="1898">
        <f t="shared" si="2323"/>
        <v>0</v>
      </c>
      <c r="AK1181" s="1868"/>
      <c r="AL1181" s="1868"/>
      <c r="AM1181" s="1868"/>
      <c r="AN1181" s="1895">
        <f t="shared" si="2324"/>
        <v>0</v>
      </c>
      <c r="AO1181" s="1897">
        <f t="shared" si="2325"/>
        <v>0</v>
      </c>
      <c r="AP1181" s="1413"/>
      <c r="AQ1181" s="1413"/>
    </row>
    <row r="1182">
      <c r="A1182" s="1179" t="s">
        <v>265</v>
      </c>
      <c r="B1182" s="1868"/>
      <c r="C1182" s="1868"/>
      <c r="D1182" s="1868"/>
      <c r="E1182" s="1899">
        <f t="shared" si="2312"/>
        <v>0</v>
      </c>
      <c r="F1182" s="1868"/>
      <c r="G1182" s="1868"/>
      <c r="H1182" s="1868"/>
      <c r="I1182" s="1895">
        <f t="shared" si="2313"/>
        <v>0</v>
      </c>
      <c r="J1182" s="1896">
        <f t="shared" si="2314"/>
        <v>0</v>
      </c>
      <c r="K1182" s="1868"/>
      <c r="L1182" s="1868"/>
      <c r="M1182" s="1868"/>
      <c r="N1182" s="1895">
        <f t="shared" si="2315"/>
        <v>0</v>
      </c>
      <c r="O1182" s="1896">
        <f t="shared" si="2316"/>
        <v>0</v>
      </c>
      <c r="P1182" s="1868"/>
      <c r="Q1182" s="1868"/>
      <c r="R1182" s="1868"/>
      <c r="S1182" s="1895">
        <f t="shared" si="2317"/>
        <v>0</v>
      </c>
      <c r="T1182" s="1897">
        <f t="shared" si="2318"/>
        <v>0</v>
      </c>
      <c r="U1182" s="1413"/>
      <c r="V1182" s="1179" t="s">
        <v>265</v>
      </c>
      <c r="W1182" s="1868"/>
      <c r="X1182" s="1868"/>
      <c r="Y1182" s="1868"/>
      <c r="Z1182" s="1899">
        <f t="shared" si="2319"/>
        <v>0</v>
      </c>
      <c r="AA1182" s="1868"/>
      <c r="AB1182" s="1868"/>
      <c r="AC1182" s="1868"/>
      <c r="AD1182" s="1895">
        <f t="shared" si="2320"/>
        <v>0</v>
      </c>
      <c r="AE1182" s="1898">
        <f t="shared" si="2321"/>
        <v>0</v>
      </c>
      <c r="AF1182" s="1868"/>
      <c r="AG1182" s="1868"/>
      <c r="AH1182" s="1868"/>
      <c r="AI1182" s="1895">
        <f t="shared" si="2322"/>
        <v>0</v>
      </c>
      <c r="AJ1182" s="1898">
        <f t="shared" si="2323"/>
        <v>0</v>
      </c>
      <c r="AK1182" s="1868"/>
      <c r="AL1182" s="1868"/>
      <c r="AM1182" s="1868"/>
      <c r="AN1182" s="1895">
        <f t="shared" si="2324"/>
        <v>0</v>
      </c>
      <c r="AO1182" s="1897">
        <f t="shared" si="2325"/>
        <v>0</v>
      </c>
      <c r="AP1182" s="1413"/>
      <c r="AQ1182" s="1413"/>
    </row>
    <row r="1183">
      <c r="A1183" s="1511" t="s">
        <v>394</v>
      </c>
      <c r="B1183" s="1871">
        <f>SUM(B1180:B1182)</f>
        <v>0</v>
      </c>
      <c r="C1183" s="1871">
        <f>SUM(C1180:C1182)</f>
        <v>2</v>
      </c>
      <c r="D1183" s="1871">
        <f>SUM(D1180:D1182)</f>
        <v>0</v>
      </c>
      <c r="E1183" s="1899">
        <f t="shared" si="2312"/>
        <v>2</v>
      </c>
      <c r="F1183" s="1871">
        <f>SUM(F1180:F1182)</f>
        <v>0</v>
      </c>
      <c r="G1183" s="1871">
        <f>SUM(G1180:G1182)</f>
        <v>0</v>
      </c>
      <c r="H1183" s="1871">
        <f>SUM(H1180:H1182)</f>
        <v>0</v>
      </c>
      <c r="I1183" s="1895">
        <f t="shared" si="2313"/>
        <v>0</v>
      </c>
      <c r="J1183" s="1896">
        <f t="shared" si="2314"/>
        <v>2</v>
      </c>
      <c r="K1183" s="1871">
        <f>SUM(K1180:K1182)</f>
        <v>0</v>
      </c>
      <c r="L1183" s="1871">
        <f>SUM(L1180:L1182)</f>
        <v>0</v>
      </c>
      <c r="M1183" s="1871">
        <f t="shared" si="2330"/>
        <v>0</v>
      </c>
      <c r="N1183" s="1895">
        <f t="shared" si="2315"/>
        <v>0</v>
      </c>
      <c r="O1183" s="1896">
        <f t="shared" si="2316"/>
        <v>2</v>
      </c>
      <c r="P1183" s="1871">
        <f t="shared" si="2330"/>
        <v>0</v>
      </c>
      <c r="Q1183" s="1871">
        <f t="shared" si="2330"/>
        <v>0</v>
      </c>
      <c r="R1183" s="1871">
        <f t="shared" si="2330"/>
        <v>0</v>
      </c>
      <c r="S1183" s="1895">
        <f t="shared" si="2317"/>
        <v>0</v>
      </c>
      <c r="T1183" s="1901">
        <f t="shared" si="2318"/>
        <v>2</v>
      </c>
      <c r="U1183" s="1413"/>
      <c r="V1183" s="1511" t="s">
        <v>394</v>
      </c>
      <c r="W1183" s="1871">
        <f t="shared" si="2331"/>
        <v>0</v>
      </c>
      <c r="X1183" s="1871">
        <f t="shared" si="2331"/>
        <v>1</v>
      </c>
      <c r="Y1183" s="1871">
        <f t="shared" si="2331"/>
        <v>0</v>
      </c>
      <c r="Z1183" s="1899">
        <f t="shared" si="2319"/>
        <v>1</v>
      </c>
      <c r="AA1183" s="1871">
        <f t="shared" si="2331"/>
        <v>0</v>
      </c>
      <c r="AB1183" s="1871">
        <f t="shared" si="2331"/>
        <v>0</v>
      </c>
      <c r="AC1183" s="1871">
        <f t="shared" si="2331"/>
        <v>0</v>
      </c>
      <c r="AD1183" s="1895">
        <f t="shared" si="2320"/>
        <v>0</v>
      </c>
      <c r="AE1183" s="1898">
        <f t="shared" si="2321"/>
        <v>1</v>
      </c>
      <c r="AF1183" s="1871">
        <f>SUM(AF1180:AF1182)</f>
        <v>0</v>
      </c>
      <c r="AG1183" s="1871">
        <f>SUM(AG1180:AG1182)</f>
        <v>0</v>
      </c>
      <c r="AH1183" s="1871">
        <f>SUM(AH1180:AH1182)</f>
        <v>0</v>
      </c>
      <c r="AI1183" s="1895">
        <f t="shared" si="2322"/>
        <v>0</v>
      </c>
      <c r="AJ1183" s="1898">
        <f t="shared" si="2323"/>
        <v>1</v>
      </c>
      <c r="AK1183" s="1871">
        <f t="shared" si="2331"/>
        <v>0</v>
      </c>
      <c r="AL1183" s="1871">
        <f>SUM(AL1180:AL1182)</f>
        <v>0</v>
      </c>
      <c r="AM1183" s="1871">
        <f t="shared" si="2331"/>
        <v>0</v>
      </c>
      <c r="AN1183" s="1895">
        <f t="shared" si="2324"/>
        <v>0</v>
      </c>
      <c r="AO1183" s="1897">
        <f t="shared" si="2325"/>
        <v>1</v>
      </c>
      <c r="AP1183" s="1413"/>
      <c r="AQ1183" s="1413"/>
    </row>
    <row r="1184">
      <c r="A1184" s="1511" t="s">
        <v>545</v>
      </c>
      <c r="B1184" s="1871">
        <f>B1161+B1175+B1179+B1183</f>
        <v>1313</v>
      </c>
      <c r="C1184" s="1871">
        <f>C1161+C1175+C1179+C1183</f>
        <v>1585</v>
      </c>
      <c r="D1184" s="1871">
        <f>D1161+D1175+D1179+D1183</f>
        <v>0</v>
      </c>
      <c r="E1184" s="1899">
        <f t="shared" si="2312"/>
        <v>2898</v>
      </c>
      <c r="F1184" s="1871">
        <f>F1161+F1175+F1179+F1183</f>
        <v>0</v>
      </c>
      <c r="G1184" s="1871">
        <f>G1161+G1175+G1179+G1183</f>
        <v>0</v>
      </c>
      <c r="H1184" s="1871">
        <f>H1161+H1175+H1179+H1183</f>
        <v>0</v>
      </c>
      <c r="I1184" s="1895">
        <f t="shared" si="2313"/>
        <v>0</v>
      </c>
      <c r="J1184" s="1896">
        <f t="shared" si="2314"/>
        <v>2898</v>
      </c>
      <c r="K1184" s="1871">
        <f>K1161+K1175+K1179+K1183</f>
        <v>0</v>
      </c>
      <c r="L1184" s="1871">
        <f>L1161+L1175+L1179+L1183</f>
        <v>0</v>
      </c>
      <c r="M1184" s="1871">
        <f t="shared" ref="M1184:R1184" si="2332">M1161+M1175+M1179+M1183</f>
        <v>0</v>
      </c>
      <c r="N1184" s="1899">
        <f t="shared" si="2315"/>
        <v>0</v>
      </c>
      <c r="O1184" s="1900">
        <f t="shared" si="2316"/>
        <v>2898</v>
      </c>
      <c r="P1184" s="1871">
        <f t="shared" si="2332"/>
        <v>0</v>
      </c>
      <c r="Q1184" s="1871">
        <f t="shared" si="2332"/>
        <v>0</v>
      </c>
      <c r="R1184" s="1871">
        <f t="shared" si="2332"/>
        <v>0</v>
      </c>
      <c r="S1184" s="1895">
        <f t="shared" si="2317"/>
        <v>0</v>
      </c>
      <c r="T1184" s="1901">
        <f t="shared" si="2318"/>
        <v>2898</v>
      </c>
      <c r="U1184" s="1413"/>
      <c r="V1184" s="1511" t="s">
        <v>545</v>
      </c>
      <c r="W1184" s="1871">
        <f t="shared" ref="W1184:AM1184" si="2333">W1161+W1175+W1179+W1183</f>
        <v>378</v>
      </c>
      <c r="X1184" s="1871">
        <f t="shared" si="2333"/>
        <v>467</v>
      </c>
      <c r="Y1184" s="1871">
        <f t="shared" si="2333"/>
        <v>0</v>
      </c>
      <c r="Z1184" s="1899">
        <f t="shared" si="2319"/>
        <v>845</v>
      </c>
      <c r="AA1184" s="1871">
        <f t="shared" si="2333"/>
        <v>0</v>
      </c>
      <c r="AB1184" s="1871">
        <f t="shared" si="2333"/>
        <v>0</v>
      </c>
      <c r="AC1184" s="1871">
        <f t="shared" si="2333"/>
        <v>0</v>
      </c>
      <c r="AD1184" s="1895">
        <f t="shared" si="2320"/>
        <v>0</v>
      </c>
      <c r="AE1184" s="1898">
        <f t="shared" si="2321"/>
        <v>845</v>
      </c>
      <c r="AF1184" s="1871">
        <f>AF1161+AF1175+AF1179+AF1183</f>
        <v>0</v>
      </c>
      <c r="AG1184" s="1871">
        <f>AG1161+AG1175+AG1179+AG1183</f>
        <v>0</v>
      </c>
      <c r="AH1184" s="1871">
        <f>AH1161+AH1175+AH1179+AH1183</f>
        <v>0</v>
      </c>
      <c r="AI1184" s="1895">
        <f t="shared" si="2322"/>
        <v>0</v>
      </c>
      <c r="AJ1184" s="1898">
        <f t="shared" si="2323"/>
        <v>845</v>
      </c>
      <c r="AK1184" s="1871">
        <f t="shared" si="2333"/>
        <v>0</v>
      </c>
      <c r="AL1184" s="1871">
        <f>AL1161+AL1175+AL1179+AL1183</f>
        <v>0</v>
      </c>
      <c r="AM1184" s="1871">
        <f t="shared" si="2333"/>
        <v>0</v>
      </c>
      <c r="AN1184" s="1895">
        <f t="shared" si="2324"/>
        <v>0</v>
      </c>
      <c r="AO1184" s="1897">
        <f t="shared" si="2325"/>
        <v>845</v>
      </c>
      <c r="AP1184" s="1413"/>
      <c r="AQ1184" s="1413"/>
    </row>
    <row r="1185">
      <c r="A1185" s="1179" t="s">
        <v>50</v>
      </c>
      <c r="B1185" s="1868"/>
      <c r="C1185" s="1868"/>
      <c r="D1185" s="1868"/>
      <c r="E1185" s="1899">
        <f t="shared" si="2312"/>
        <v>0</v>
      </c>
      <c r="F1185" s="1868"/>
      <c r="G1185" s="1868"/>
      <c r="H1185" s="1868"/>
      <c r="I1185" s="1895">
        <f t="shared" si="2313"/>
        <v>0</v>
      </c>
      <c r="J1185" s="1896">
        <f t="shared" si="2314"/>
        <v>0</v>
      </c>
      <c r="K1185" s="1868"/>
      <c r="L1185" s="1868"/>
      <c r="M1185" s="1868"/>
      <c r="N1185" s="1895">
        <f t="shared" si="2315"/>
        <v>0</v>
      </c>
      <c r="O1185" s="1896">
        <f t="shared" si="2316"/>
        <v>0</v>
      </c>
      <c r="P1185" s="1868"/>
      <c r="Q1185" s="1868"/>
      <c r="R1185" s="1868"/>
      <c r="S1185" s="1895">
        <f t="shared" si="2317"/>
        <v>0</v>
      </c>
      <c r="T1185" s="1897">
        <f t="shared" si="2318"/>
        <v>0</v>
      </c>
      <c r="U1185" s="1413"/>
      <c r="V1185" s="1179" t="s">
        <v>50</v>
      </c>
      <c r="W1185" s="1868"/>
      <c r="X1185" s="1868"/>
      <c r="Y1185" s="1868"/>
      <c r="Z1185" s="1899">
        <f t="shared" si="2319"/>
        <v>0</v>
      </c>
      <c r="AA1185" s="1868"/>
      <c r="AB1185" s="1868"/>
      <c r="AC1185" s="1868"/>
      <c r="AD1185" s="1895">
        <f t="shared" si="2320"/>
        <v>0</v>
      </c>
      <c r="AE1185" s="1898">
        <f t="shared" si="2321"/>
        <v>0</v>
      </c>
      <c r="AF1185" s="1868"/>
      <c r="AG1185" s="1868"/>
      <c r="AH1185" s="1868"/>
      <c r="AI1185" s="1895">
        <f t="shared" si="2322"/>
        <v>0</v>
      </c>
      <c r="AJ1185" s="1898">
        <f t="shared" si="2323"/>
        <v>0</v>
      </c>
      <c r="AK1185" s="1868"/>
      <c r="AL1185" s="1868"/>
      <c r="AM1185" s="1868"/>
      <c r="AN1185" s="1895">
        <f t="shared" si="2324"/>
        <v>0</v>
      </c>
      <c r="AO1185" s="1897">
        <f t="shared" si="2325"/>
        <v>0</v>
      </c>
      <c r="AP1185" s="1413"/>
      <c r="AQ1185" s="1413"/>
    </row>
    <row r="1186">
      <c r="A1186" s="1179" t="s">
        <v>397</v>
      </c>
      <c r="B1186" s="1868"/>
      <c r="C1186" s="1868"/>
      <c r="D1186" s="1868"/>
      <c r="E1186" s="1899">
        <f t="shared" si="2312"/>
        <v>0</v>
      </c>
      <c r="F1186" s="1868"/>
      <c r="G1186" s="1868"/>
      <c r="H1186" s="1868"/>
      <c r="I1186" s="1895">
        <f t="shared" si="2313"/>
        <v>0</v>
      </c>
      <c r="J1186" s="1896">
        <f t="shared" si="2314"/>
        <v>0</v>
      </c>
      <c r="K1186" s="1868"/>
      <c r="L1186" s="1868"/>
      <c r="M1186" s="1868"/>
      <c r="N1186" s="1895">
        <f t="shared" si="2315"/>
        <v>0</v>
      </c>
      <c r="O1186" s="1896">
        <f t="shared" si="2316"/>
        <v>0</v>
      </c>
      <c r="P1186" s="1868"/>
      <c r="Q1186" s="1868"/>
      <c r="R1186" s="1868"/>
      <c r="S1186" s="1895">
        <f t="shared" si="2317"/>
        <v>0</v>
      </c>
      <c r="T1186" s="1897">
        <f t="shared" si="2318"/>
        <v>0</v>
      </c>
      <c r="U1186" s="1413"/>
      <c r="V1186" s="1179" t="s">
        <v>397</v>
      </c>
      <c r="W1186" s="1868"/>
      <c r="X1186" s="1868"/>
      <c r="Y1186" s="1868"/>
      <c r="Z1186" s="1899">
        <f t="shared" si="2319"/>
        <v>0</v>
      </c>
      <c r="AA1186" s="1868"/>
      <c r="AB1186" s="1868"/>
      <c r="AC1186" s="1868"/>
      <c r="AD1186" s="1895">
        <f t="shared" si="2320"/>
        <v>0</v>
      </c>
      <c r="AE1186" s="1898">
        <f t="shared" si="2321"/>
        <v>0</v>
      </c>
      <c r="AF1186" s="1868"/>
      <c r="AG1186" s="1868"/>
      <c r="AH1186" s="1868"/>
      <c r="AI1186" s="1895">
        <f t="shared" si="2322"/>
        <v>0</v>
      </c>
      <c r="AJ1186" s="1898">
        <f t="shared" si="2323"/>
        <v>0</v>
      </c>
      <c r="AK1186" s="1868"/>
      <c r="AL1186" s="1868"/>
      <c r="AM1186" s="1868"/>
      <c r="AN1186" s="1895">
        <f t="shared" si="2324"/>
        <v>0</v>
      </c>
      <c r="AO1186" s="1897">
        <f t="shared" si="2325"/>
        <v>0</v>
      </c>
      <c r="AP1186" s="1413"/>
      <c r="AQ1186" s="1413"/>
    </row>
    <row r="1187">
      <c r="A1187" s="1179" t="s">
        <v>546</v>
      </c>
      <c r="B1187" s="1868"/>
      <c r="C1187" s="1868"/>
      <c r="D1187" s="1868"/>
      <c r="E1187" s="1899">
        <f t="shared" si="2312"/>
        <v>0</v>
      </c>
      <c r="F1187" s="1868"/>
      <c r="G1187" s="1868"/>
      <c r="H1187" s="1868"/>
      <c r="I1187" s="1895">
        <f t="shared" si="2313"/>
        <v>0</v>
      </c>
      <c r="J1187" s="1896">
        <f t="shared" si="2314"/>
        <v>0</v>
      </c>
      <c r="K1187" s="1868"/>
      <c r="L1187" s="1868"/>
      <c r="M1187" s="1868"/>
      <c r="N1187" s="1895">
        <f t="shared" si="2315"/>
        <v>0</v>
      </c>
      <c r="O1187" s="1896">
        <f t="shared" si="2316"/>
        <v>0</v>
      </c>
      <c r="P1187" s="1868"/>
      <c r="Q1187" s="1868"/>
      <c r="R1187" s="1868"/>
      <c r="S1187" s="1895">
        <f t="shared" si="2317"/>
        <v>0</v>
      </c>
      <c r="T1187" s="1897">
        <f t="shared" si="2318"/>
        <v>0</v>
      </c>
      <c r="U1187" s="1413"/>
      <c r="V1187" s="1179" t="s">
        <v>546</v>
      </c>
      <c r="W1187" s="1868"/>
      <c r="X1187" s="1868"/>
      <c r="Y1187" s="1868"/>
      <c r="Z1187" s="1899">
        <f t="shared" si="2319"/>
        <v>0</v>
      </c>
      <c r="AA1187" s="1868"/>
      <c r="AB1187" s="1868"/>
      <c r="AC1187" s="1868"/>
      <c r="AD1187" s="1895">
        <f t="shared" si="2320"/>
        <v>0</v>
      </c>
      <c r="AE1187" s="1898">
        <f t="shared" si="2321"/>
        <v>0</v>
      </c>
      <c r="AF1187" s="1868"/>
      <c r="AG1187" s="1868"/>
      <c r="AH1187" s="1868"/>
      <c r="AI1187" s="1895">
        <f t="shared" si="2322"/>
        <v>0</v>
      </c>
      <c r="AJ1187" s="1898">
        <f t="shared" si="2323"/>
        <v>0</v>
      </c>
      <c r="AK1187" s="1868"/>
      <c r="AL1187" s="1868"/>
      <c r="AM1187" s="1868"/>
      <c r="AN1187" s="1895">
        <f t="shared" si="2324"/>
        <v>0</v>
      </c>
      <c r="AO1187" s="1897">
        <f t="shared" si="2325"/>
        <v>0</v>
      </c>
      <c r="AP1187" s="1413"/>
      <c r="AQ1187" s="1413"/>
    </row>
    <row r="1188">
      <c r="A1188" s="1179" t="s">
        <v>241</v>
      </c>
      <c r="B1188" s="1868"/>
      <c r="C1188" s="1868"/>
      <c r="D1188" s="1868"/>
      <c r="E1188" s="1899">
        <f t="shared" si="2312"/>
        <v>0</v>
      </c>
      <c r="F1188" s="1868"/>
      <c r="G1188" s="1868"/>
      <c r="H1188" s="1868"/>
      <c r="I1188" s="1895">
        <f t="shared" si="2313"/>
        <v>0</v>
      </c>
      <c r="J1188" s="1896">
        <f t="shared" si="2314"/>
        <v>0</v>
      </c>
      <c r="K1188" s="1868"/>
      <c r="L1188" s="1868"/>
      <c r="M1188" s="1868"/>
      <c r="N1188" s="1895">
        <f t="shared" si="2315"/>
        <v>0</v>
      </c>
      <c r="O1188" s="1896">
        <f t="shared" si="2316"/>
        <v>0</v>
      </c>
      <c r="P1188" s="1868"/>
      <c r="Q1188" s="1868"/>
      <c r="R1188" s="1868"/>
      <c r="S1188" s="1895">
        <f t="shared" si="2317"/>
        <v>0</v>
      </c>
      <c r="T1188" s="1897">
        <f t="shared" si="2318"/>
        <v>0</v>
      </c>
      <c r="U1188" s="1413"/>
      <c r="V1188" s="1179" t="s">
        <v>547</v>
      </c>
      <c r="W1188" s="1868"/>
      <c r="X1188" s="1868"/>
      <c r="Y1188" s="1868"/>
      <c r="Z1188" s="1899">
        <f t="shared" si="2319"/>
        <v>0</v>
      </c>
      <c r="AA1188" s="1868"/>
      <c r="AB1188" s="1868"/>
      <c r="AC1188" s="1868"/>
      <c r="AD1188" s="1895">
        <f t="shared" si="2320"/>
        <v>0</v>
      </c>
      <c r="AE1188" s="1898">
        <f t="shared" si="2321"/>
        <v>0</v>
      </c>
      <c r="AF1188" s="1868"/>
      <c r="AG1188" s="1868"/>
      <c r="AH1188" s="1868"/>
      <c r="AI1188" s="1895">
        <f t="shared" si="2322"/>
        <v>0</v>
      </c>
      <c r="AJ1188" s="1898">
        <f t="shared" si="2323"/>
        <v>0</v>
      </c>
      <c r="AK1188" s="1868"/>
      <c r="AL1188" s="1868"/>
      <c r="AM1188" s="1868"/>
      <c r="AN1188" s="1895">
        <f t="shared" si="2324"/>
        <v>0</v>
      </c>
      <c r="AO1188" s="1897">
        <f t="shared" si="2325"/>
        <v>0</v>
      </c>
      <c r="AP1188" s="1413"/>
      <c r="AQ1188" s="1413"/>
    </row>
    <row r="1189">
      <c r="A1189" s="1179" t="s">
        <v>839</v>
      </c>
      <c r="B1189" s="1868">
        <v>10</v>
      </c>
      <c r="C1189" s="1868">
        <v>9</v>
      </c>
      <c r="D1189" s="1868"/>
      <c r="E1189" s="1899">
        <f t="shared" si="2312"/>
        <v>19</v>
      </c>
      <c r="F1189" s="1868"/>
      <c r="G1189" s="1868"/>
      <c r="H1189" s="1868"/>
      <c r="I1189" s="1895">
        <f t="shared" si="2313"/>
        <v>0</v>
      </c>
      <c r="J1189" s="1896">
        <f t="shared" si="2314"/>
        <v>19</v>
      </c>
      <c r="K1189" s="1868"/>
      <c r="L1189" s="1868"/>
      <c r="M1189" s="1868"/>
      <c r="N1189" s="1895">
        <f t="shared" si="2315"/>
        <v>0</v>
      </c>
      <c r="O1189" s="1896">
        <f t="shared" si="2316"/>
        <v>19</v>
      </c>
      <c r="P1189" s="1868"/>
      <c r="Q1189" s="1868"/>
      <c r="R1189" s="1868"/>
      <c r="S1189" s="1895">
        <f t="shared" si="2317"/>
        <v>0</v>
      </c>
      <c r="T1189" s="1897">
        <f t="shared" si="2318"/>
        <v>19</v>
      </c>
      <c r="U1189" s="1413"/>
      <c r="V1189" s="1179" t="s">
        <v>839</v>
      </c>
      <c r="W1189" s="1868">
        <v>10</v>
      </c>
      <c r="X1189" s="1868">
        <v>9</v>
      </c>
      <c r="Y1189" s="1868"/>
      <c r="Z1189" s="1899">
        <f t="shared" si="2319"/>
        <v>19</v>
      </c>
      <c r="AA1189" s="1868"/>
      <c r="AB1189" s="1868"/>
      <c r="AC1189" s="1868"/>
      <c r="AD1189" s="1895">
        <f t="shared" si="2320"/>
        <v>0</v>
      </c>
      <c r="AE1189" s="1898">
        <f t="shared" si="2321"/>
        <v>19</v>
      </c>
      <c r="AF1189" s="1868"/>
      <c r="AG1189" s="1868"/>
      <c r="AH1189" s="1868"/>
      <c r="AI1189" s="1895">
        <f t="shared" si="2322"/>
        <v>0</v>
      </c>
      <c r="AJ1189" s="1898">
        <f t="shared" si="2323"/>
        <v>19</v>
      </c>
      <c r="AK1189" s="1868"/>
      <c r="AL1189" s="1868"/>
      <c r="AM1189" s="1868"/>
      <c r="AN1189" s="1895">
        <f t="shared" si="2324"/>
        <v>0</v>
      </c>
      <c r="AO1189" s="1897">
        <f t="shared" si="2325"/>
        <v>19</v>
      </c>
      <c r="AP1189" s="1413"/>
      <c r="AQ1189" s="1413"/>
    </row>
    <row r="1190">
      <c r="A1190" s="1179" t="s">
        <v>548</v>
      </c>
      <c r="B1190" s="1868">
        <f>10+30+7+28+2+26+2+9+9+20+3+6</f>
        <v>152</v>
      </c>
      <c r="C1190" s="1868">
        <f>12+17+17+29+1+23+5+13+21+4+15+2+8+14+8+3</f>
        <v>192</v>
      </c>
      <c r="D1190" s="1868"/>
      <c r="E1190" s="1899">
        <f t="shared" si="2312"/>
        <v>344</v>
      </c>
      <c r="F1190" s="1868"/>
      <c r="G1190" s="1868"/>
      <c r="H1190" s="1868"/>
      <c r="I1190" s="1895">
        <f t="shared" si="2313"/>
        <v>0</v>
      </c>
      <c r="J1190" s="1896">
        <f t="shared" si="2314"/>
        <v>344</v>
      </c>
      <c r="K1190" s="1868"/>
      <c r="L1190" s="1868"/>
      <c r="M1190" s="1868"/>
      <c r="N1190" s="1895">
        <f t="shared" si="2315"/>
        <v>0</v>
      </c>
      <c r="O1190" s="1896">
        <f t="shared" si="2316"/>
        <v>344</v>
      </c>
      <c r="P1190" s="1868"/>
      <c r="Q1190" s="1868"/>
      <c r="R1190" s="1868"/>
      <c r="S1190" s="1895">
        <f t="shared" si="2317"/>
        <v>0</v>
      </c>
      <c r="T1190" s="1897">
        <f t="shared" si="2318"/>
        <v>344</v>
      </c>
      <c r="U1190" s="1413"/>
      <c r="V1190" s="1179" t="s">
        <v>548</v>
      </c>
      <c r="W1190" s="1868">
        <f>5+21+7+17+2+6+2+2+6+7+3+5</f>
        <v>83</v>
      </c>
      <c r="X1190" s="1868">
        <f>8+17+14+17+1+8+5+5+7+4+5+2+5+2+4+1</f>
        <v>105</v>
      </c>
      <c r="Y1190" s="1868"/>
      <c r="Z1190" s="1899">
        <f t="shared" si="2319"/>
        <v>188</v>
      </c>
      <c r="AA1190" s="1868"/>
      <c r="AB1190" s="1868"/>
      <c r="AC1190" s="1868"/>
      <c r="AD1190" s="1895">
        <f t="shared" si="2320"/>
        <v>0</v>
      </c>
      <c r="AE1190" s="1898">
        <f t="shared" si="2321"/>
        <v>188</v>
      </c>
      <c r="AF1190" s="1868"/>
      <c r="AG1190" s="1868"/>
      <c r="AH1190" s="1868"/>
      <c r="AI1190" s="1895">
        <f t="shared" si="2322"/>
        <v>0</v>
      </c>
      <c r="AJ1190" s="1898">
        <f t="shared" si="2323"/>
        <v>188</v>
      </c>
      <c r="AK1190" s="1868"/>
      <c r="AL1190" s="1868"/>
      <c r="AM1190" s="1868"/>
      <c r="AN1190" s="1895">
        <f t="shared" si="2324"/>
        <v>0</v>
      </c>
      <c r="AO1190" s="1897">
        <f t="shared" si="2325"/>
        <v>188</v>
      </c>
      <c r="AP1190" s="1413"/>
      <c r="AQ1190" s="1413"/>
    </row>
    <row r="1191">
      <c r="A1191" s="1179" t="s">
        <v>549</v>
      </c>
      <c r="B1191" s="1868">
        <v>1</v>
      </c>
      <c r="C1191" s="1868">
        <v>3</v>
      </c>
      <c r="D1191" s="1868"/>
      <c r="E1191" s="1899">
        <f t="shared" si="2312"/>
        <v>4</v>
      </c>
      <c r="F1191" s="1868"/>
      <c r="G1191" s="1868"/>
      <c r="H1191" s="1868"/>
      <c r="I1191" s="1895">
        <f t="shared" si="2313"/>
        <v>0</v>
      </c>
      <c r="J1191" s="1896">
        <f t="shared" si="2314"/>
        <v>4</v>
      </c>
      <c r="K1191" s="1868"/>
      <c r="L1191" s="1868"/>
      <c r="M1191" s="1868"/>
      <c r="N1191" s="1895">
        <f t="shared" si="2315"/>
        <v>0</v>
      </c>
      <c r="O1191" s="1896">
        <f t="shared" si="2316"/>
        <v>4</v>
      </c>
      <c r="P1191" s="1868"/>
      <c r="Q1191" s="1868"/>
      <c r="R1191" s="1868"/>
      <c r="S1191" s="1895">
        <f t="shared" si="2317"/>
        <v>0</v>
      </c>
      <c r="T1191" s="1897">
        <f t="shared" si="2318"/>
        <v>4</v>
      </c>
      <c r="U1191" s="1413"/>
      <c r="V1191" s="1179" t="s">
        <v>549</v>
      </c>
      <c r="W1191" s="1868">
        <v>1</v>
      </c>
      <c r="X1191" s="1868">
        <v>3</v>
      </c>
      <c r="Y1191" s="1868"/>
      <c r="Z1191" s="1899">
        <f t="shared" si="2319"/>
        <v>4</v>
      </c>
      <c r="AA1191" s="1868"/>
      <c r="AB1191" s="1868"/>
      <c r="AC1191" s="1868"/>
      <c r="AD1191" s="1895">
        <f t="shared" si="2320"/>
        <v>0</v>
      </c>
      <c r="AE1191" s="1898">
        <f t="shared" si="2321"/>
        <v>4</v>
      </c>
      <c r="AF1191" s="1868"/>
      <c r="AG1191" s="1868"/>
      <c r="AH1191" s="1868"/>
      <c r="AI1191" s="1895">
        <f t="shared" si="2322"/>
        <v>0</v>
      </c>
      <c r="AJ1191" s="1898">
        <f t="shared" si="2323"/>
        <v>4</v>
      </c>
      <c r="AK1191" s="1868"/>
      <c r="AL1191" s="1868"/>
      <c r="AM1191" s="1868"/>
      <c r="AN1191" s="1895">
        <f t="shared" si="2324"/>
        <v>0</v>
      </c>
      <c r="AO1191" s="1897">
        <f t="shared" si="2325"/>
        <v>4</v>
      </c>
      <c r="AP1191" s="1413"/>
      <c r="AQ1191" s="1413"/>
    </row>
    <row r="1192">
      <c r="A1192" s="1511" t="s">
        <v>22</v>
      </c>
      <c r="B1192" s="1871">
        <f>SUM(B1184:B1191)</f>
        <v>1476</v>
      </c>
      <c r="C1192" s="1871">
        <f>SUM(C1184:C1191)</f>
        <v>1789</v>
      </c>
      <c r="D1192" s="1871">
        <f>SUM(D1184:D1191)</f>
        <v>0</v>
      </c>
      <c r="E1192" s="1899">
        <f t="shared" si="2312"/>
        <v>3265</v>
      </c>
      <c r="F1192" s="1871">
        <f>SUM(F1184:F1191)</f>
        <v>0</v>
      </c>
      <c r="G1192" s="1871">
        <f>SUM(G1184:G1191)</f>
        <v>0</v>
      </c>
      <c r="H1192" s="1871">
        <f>SUM(H1184:H1191)</f>
        <v>0</v>
      </c>
      <c r="I1192" s="1895">
        <f t="shared" si="2313"/>
        <v>0</v>
      </c>
      <c r="J1192" s="1896">
        <f t="shared" si="2314"/>
        <v>3265</v>
      </c>
      <c r="K1192" s="1871">
        <f>SUM(K1184:K1191)</f>
        <v>0</v>
      </c>
      <c r="L1192" s="1871">
        <f>SUM(L1184:L1191)</f>
        <v>0</v>
      </c>
      <c r="M1192" s="1871">
        <f t="shared" ref="M1192:R1192" si="2334">SUM(M1184:M1191)</f>
        <v>0</v>
      </c>
      <c r="N1192" s="1899">
        <f t="shared" si="2315"/>
        <v>0</v>
      </c>
      <c r="O1192" s="1900">
        <f t="shared" si="2316"/>
        <v>3265</v>
      </c>
      <c r="P1192" s="1871">
        <f t="shared" si="2334"/>
        <v>0</v>
      </c>
      <c r="Q1192" s="1871">
        <f t="shared" si="2334"/>
        <v>0</v>
      </c>
      <c r="R1192" s="1871">
        <f t="shared" si="2334"/>
        <v>0</v>
      </c>
      <c r="S1192" s="1895">
        <f t="shared" si="2317"/>
        <v>0</v>
      </c>
      <c r="T1192" s="1901">
        <f t="shared" si="2318"/>
        <v>3265</v>
      </c>
      <c r="U1192" s="1413"/>
      <c r="V1192" s="1511" t="s">
        <v>22</v>
      </c>
      <c r="W1192" s="1871">
        <f t="shared" ref="W1192:AM1192" si="2335">SUM(W1184:W1191)</f>
        <v>472</v>
      </c>
      <c r="X1192" s="1871">
        <f t="shared" si="2335"/>
        <v>584</v>
      </c>
      <c r="Y1192" s="1871">
        <f t="shared" si="2335"/>
        <v>0</v>
      </c>
      <c r="Z1192" s="1899">
        <f t="shared" si="2319"/>
        <v>1056</v>
      </c>
      <c r="AA1192" s="1871">
        <f t="shared" si="2335"/>
        <v>0</v>
      </c>
      <c r="AB1192" s="1871">
        <f t="shared" si="2335"/>
        <v>0</v>
      </c>
      <c r="AC1192" s="1871">
        <f t="shared" si="2335"/>
        <v>0</v>
      </c>
      <c r="AD1192" s="1895">
        <f t="shared" si="2320"/>
        <v>0</v>
      </c>
      <c r="AE1192" s="1898">
        <f t="shared" si="2321"/>
        <v>1056</v>
      </c>
      <c r="AF1192" s="1871">
        <f>SUM(AF1184:AF1191)</f>
        <v>0</v>
      </c>
      <c r="AG1192" s="1871">
        <f>SUM(AG1184:AG1191)</f>
        <v>0</v>
      </c>
      <c r="AH1192" s="1871">
        <f>SUM(AH1184:AH1191)</f>
        <v>0</v>
      </c>
      <c r="AI1192" s="1895">
        <f t="shared" si="2322"/>
        <v>0</v>
      </c>
      <c r="AJ1192" s="1898">
        <f t="shared" si="2323"/>
        <v>1056</v>
      </c>
      <c r="AK1192" s="1871">
        <f t="shared" si="2335"/>
        <v>0</v>
      </c>
      <c r="AL1192" s="1871">
        <f>SUM(AL1184:AL1191)</f>
        <v>0</v>
      </c>
      <c r="AM1192" s="1871">
        <f t="shared" si="2335"/>
        <v>0</v>
      </c>
      <c r="AN1192" s="1895">
        <f t="shared" si="2324"/>
        <v>0</v>
      </c>
      <c r="AO1192" s="1897">
        <f t="shared" si="2325"/>
        <v>1056</v>
      </c>
      <c r="AP1192" s="1413"/>
      <c r="AQ1192" s="1413"/>
    </row>
    <row r="1193">
      <c r="A1193" s="1179" t="s">
        <v>840</v>
      </c>
      <c r="B1193" s="1868">
        <v>129</v>
      </c>
      <c r="C1193" s="1868">
        <v>129</v>
      </c>
      <c r="D1193" s="1868"/>
      <c r="E1193" s="1899">
        <f t="shared" si="2312"/>
        <v>258</v>
      </c>
      <c r="F1193" s="1868"/>
      <c r="G1193" s="1868"/>
      <c r="H1193" s="1868"/>
      <c r="I1193" s="1895">
        <f t="shared" si="2313"/>
        <v>0</v>
      </c>
      <c r="J1193" s="1896">
        <f t="shared" si="2314"/>
        <v>258</v>
      </c>
      <c r="K1193" s="1868"/>
      <c r="L1193" s="1868"/>
      <c r="M1193" s="1868"/>
      <c r="N1193" s="1895">
        <f t="shared" si="2315"/>
        <v>0</v>
      </c>
      <c r="O1193" s="1896">
        <f t="shared" si="2316"/>
        <v>258</v>
      </c>
      <c r="P1193" s="1868"/>
      <c r="Q1193" s="1868"/>
      <c r="R1193" s="1868"/>
      <c r="S1193" s="1895">
        <f t="shared" si="2317"/>
        <v>0</v>
      </c>
      <c r="T1193" s="1897">
        <f t="shared" si="2318"/>
        <v>258</v>
      </c>
      <c r="U1193" s="1413"/>
      <c r="V1193" s="1179" t="s">
        <v>841</v>
      </c>
      <c r="W1193" s="1868">
        <v>41</v>
      </c>
      <c r="X1193" s="1868">
        <v>35</v>
      </c>
      <c r="Y1193" s="1868"/>
      <c r="Z1193" s="1899">
        <f t="shared" si="2319"/>
        <v>76</v>
      </c>
      <c r="AA1193" s="1868"/>
      <c r="AB1193" s="1868"/>
      <c r="AC1193" s="1868"/>
      <c r="AD1193" s="1895">
        <f t="shared" si="2320"/>
        <v>0</v>
      </c>
      <c r="AE1193" s="1898">
        <f t="shared" si="2321"/>
        <v>76</v>
      </c>
      <c r="AF1193" s="1868"/>
      <c r="AG1193" s="1868"/>
      <c r="AH1193" s="1868"/>
      <c r="AI1193" s="1895">
        <f t="shared" si="2322"/>
        <v>0</v>
      </c>
      <c r="AJ1193" s="1898">
        <f t="shared" si="2323"/>
        <v>76</v>
      </c>
      <c r="AK1193" s="1868"/>
      <c r="AL1193" s="1868"/>
      <c r="AM1193" s="1868"/>
      <c r="AN1193" s="1895">
        <f t="shared" si="2324"/>
        <v>0</v>
      </c>
      <c r="AO1193" s="1897">
        <f t="shared" si="2325"/>
        <v>76</v>
      </c>
      <c r="AP1193" s="1413"/>
      <c r="AQ1193" s="1413"/>
    </row>
    <row r="1194">
      <c r="A1194" s="1179" t="s">
        <v>842</v>
      </c>
      <c r="B1194" s="1868"/>
      <c r="C1194" s="1868"/>
      <c r="D1194" s="1868"/>
      <c r="E1194" s="1899">
        <f t="shared" si="2312"/>
        <v>0</v>
      </c>
      <c r="F1194" s="1868"/>
      <c r="G1194" s="1868"/>
      <c r="H1194" s="1868"/>
      <c r="I1194" s="1895">
        <f t="shared" si="2313"/>
        <v>0</v>
      </c>
      <c r="J1194" s="1896">
        <f t="shared" si="2314"/>
        <v>0</v>
      </c>
      <c r="K1194" s="1868"/>
      <c r="L1194" s="1868"/>
      <c r="M1194" s="1868"/>
      <c r="N1194" s="1895">
        <f t="shared" si="2315"/>
        <v>0</v>
      </c>
      <c r="O1194" s="1896">
        <f t="shared" si="2316"/>
        <v>0</v>
      </c>
      <c r="P1194" s="1868"/>
      <c r="Q1194" s="1868"/>
      <c r="R1194" s="1868"/>
      <c r="S1194" s="1895">
        <f t="shared" si="2317"/>
        <v>0</v>
      </c>
      <c r="T1194" s="1897">
        <f t="shared" si="2318"/>
        <v>0</v>
      </c>
      <c r="U1194" s="1413"/>
      <c r="V1194" s="1179" t="s">
        <v>230</v>
      </c>
      <c r="W1194" s="1868"/>
      <c r="X1194" s="1868"/>
      <c r="Y1194" s="1868"/>
      <c r="Z1194" s="1899">
        <f t="shared" si="2319"/>
        <v>0</v>
      </c>
      <c r="AA1194" s="1868"/>
      <c r="AB1194" s="1868"/>
      <c r="AC1194" s="1868"/>
      <c r="AD1194" s="1895">
        <f t="shared" si="2320"/>
        <v>0</v>
      </c>
      <c r="AE1194" s="1898">
        <f t="shared" si="2321"/>
        <v>0</v>
      </c>
      <c r="AF1194" s="1868"/>
      <c r="AG1194" s="1868"/>
      <c r="AH1194" s="1868"/>
      <c r="AI1194" s="1895">
        <f t="shared" si="2322"/>
        <v>0</v>
      </c>
      <c r="AJ1194" s="1898">
        <f t="shared" si="2323"/>
        <v>0</v>
      </c>
      <c r="AK1194" s="1868"/>
      <c r="AL1194" s="1868"/>
      <c r="AM1194" s="1868"/>
      <c r="AN1194" s="1895">
        <f t="shared" si="2324"/>
        <v>0</v>
      </c>
      <c r="AO1194" s="1897">
        <f t="shared" si="2325"/>
        <v>0</v>
      </c>
      <c r="AP1194" s="1413"/>
      <c r="AQ1194" s="1413"/>
    </row>
    <row r="1195">
      <c r="A1195" s="1179" t="s">
        <v>843</v>
      </c>
      <c r="B1195" s="1868"/>
      <c r="C1195" s="1868"/>
      <c r="D1195" s="1868"/>
      <c r="E1195" s="1899">
        <f t="shared" si="2312"/>
        <v>0</v>
      </c>
      <c r="F1195" s="1868"/>
      <c r="G1195" s="1868"/>
      <c r="H1195" s="1868"/>
      <c r="I1195" s="1895">
        <f t="shared" si="2313"/>
        <v>0</v>
      </c>
      <c r="J1195" s="1896">
        <f t="shared" si="2314"/>
        <v>0</v>
      </c>
      <c r="K1195" s="1868"/>
      <c r="L1195" s="1868"/>
      <c r="M1195" s="1868"/>
      <c r="N1195" s="1895">
        <f t="shared" si="2315"/>
        <v>0</v>
      </c>
      <c r="O1195" s="1896">
        <f t="shared" si="2316"/>
        <v>0</v>
      </c>
      <c r="P1195" s="1868"/>
      <c r="Q1195" s="1868"/>
      <c r="R1195" s="1868"/>
      <c r="S1195" s="1895">
        <f t="shared" si="2317"/>
        <v>0</v>
      </c>
      <c r="T1195" s="1897">
        <f t="shared" si="2318"/>
        <v>0</v>
      </c>
      <c r="U1195" s="1413"/>
      <c r="V1195" s="1179" t="s">
        <v>843</v>
      </c>
      <c r="W1195" s="1868"/>
      <c r="X1195" s="1868"/>
      <c r="Y1195" s="1868"/>
      <c r="Z1195" s="1899">
        <f t="shared" si="2319"/>
        <v>0</v>
      </c>
      <c r="AA1195" s="1868"/>
      <c r="AB1195" s="1868"/>
      <c r="AC1195" s="1868"/>
      <c r="AD1195" s="1895">
        <f t="shared" si="2320"/>
        <v>0</v>
      </c>
      <c r="AE1195" s="1898">
        <f t="shared" si="2321"/>
        <v>0</v>
      </c>
      <c r="AF1195" s="1868"/>
      <c r="AG1195" s="1868"/>
      <c r="AH1195" s="1868"/>
      <c r="AI1195" s="1895">
        <f t="shared" si="2322"/>
        <v>0</v>
      </c>
      <c r="AJ1195" s="1898">
        <f t="shared" si="2323"/>
        <v>0</v>
      </c>
      <c r="AK1195" s="1868"/>
      <c r="AL1195" s="1868"/>
      <c r="AM1195" s="1868"/>
      <c r="AN1195" s="1895">
        <f t="shared" si="2324"/>
        <v>0</v>
      </c>
      <c r="AO1195" s="1897">
        <f t="shared" si="2325"/>
        <v>0</v>
      </c>
      <c r="AP1195" s="1413"/>
      <c r="AQ1195" s="1413"/>
    </row>
    <row r="1196" s="1510" customFormat="1">
      <c r="A1196" s="1179" t="s">
        <v>186</v>
      </c>
      <c r="B1196" s="1868"/>
      <c r="C1196" s="1868"/>
      <c r="D1196" s="1868"/>
      <c r="E1196" s="1899">
        <f t="shared" si="2312"/>
        <v>0</v>
      </c>
      <c r="F1196" s="1868"/>
      <c r="G1196" s="1868"/>
      <c r="H1196" s="1868"/>
      <c r="I1196" s="1895">
        <f t="shared" si="2313"/>
        <v>0</v>
      </c>
      <c r="J1196" s="1896">
        <f t="shared" si="2314"/>
        <v>0</v>
      </c>
      <c r="K1196" s="1868"/>
      <c r="L1196" s="1868"/>
      <c r="M1196" s="1868"/>
      <c r="N1196" s="1895">
        <f t="shared" si="2315"/>
        <v>0</v>
      </c>
      <c r="O1196" s="1896">
        <f t="shared" si="2316"/>
        <v>0</v>
      </c>
      <c r="P1196" s="1868"/>
      <c r="Q1196" s="1868"/>
      <c r="R1196" s="1868"/>
      <c r="S1196" s="1895">
        <f t="shared" si="2317"/>
        <v>0</v>
      </c>
      <c r="T1196" s="1897">
        <f t="shared" si="2318"/>
        <v>0</v>
      </c>
      <c r="U1196" s="1413"/>
      <c r="V1196" s="1179" t="s">
        <v>186</v>
      </c>
      <c r="W1196" s="1868"/>
      <c r="X1196" s="1868"/>
      <c r="Y1196" s="1868"/>
      <c r="Z1196" s="1899">
        <f t="shared" si="2319"/>
        <v>0</v>
      </c>
      <c r="AA1196" s="1868"/>
      <c r="AB1196" s="1868"/>
      <c r="AC1196" s="1868"/>
      <c r="AD1196" s="1895">
        <f t="shared" si="2320"/>
        <v>0</v>
      </c>
      <c r="AE1196" s="1898">
        <f t="shared" si="2321"/>
        <v>0</v>
      </c>
      <c r="AF1196" s="1868"/>
      <c r="AG1196" s="1868"/>
      <c r="AH1196" s="1868"/>
      <c r="AI1196" s="1895">
        <f t="shared" si="2322"/>
        <v>0</v>
      </c>
      <c r="AJ1196" s="1898">
        <f t="shared" si="2323"/>
        <v>0</v>
      </c>
      <c r="AK1196" s="1868"/>
      <c r="AL1196" s="1868"/>
      <c r="AM1196" s="1868"/>
      <c r="AN1196" s="1895">
        <f t="shared" si="2324"/>
        <v>0</v>
      </c>
      <c r="AO1196" s="1897">
        <f t="shared" si="2325"/>
        <v>0</v>
      </c>
      <c r="AP1196" s="1413"/>
      <c r="AQ1196" s="1413"/>
      <c r="AR1196" s="1409"/>
      <c r="AS1196" s="1409"/>
      <c r="AT1196" s="1409"/>
      <c r="AU1196" s="1409"/>
      <c r="AV1196" s="1409"/>
      <c r="AW1196" s="1409"/>
      <c r="AX1196" s="1409"/>
      <c r="AY1196" s="1409"/>
      <c r="AZ1196" s="1409"/>
    </row>
    <row r="1197">
      <c r="A1197" s="1511" t="s">
        <v>844</v>
      </c>
      <c r="B1197" s="1871">
        <f>SUM(B1192:B1196)</f>
        <v>1605</v>
      </c>
      <c r="C1197" s="1871">
        <f>SUM(C1192:C1196)</f>
        <v>1918</v>
      </c>
      <c r="D1197" s="1871">
        <f>SUM(D1192:D1196)</f>
        <v>0</v>
      </c>
      <c r="E1197" s="1899">
        <f t="shared" si="2312"/>
        <v>3523</v>
      </c>
      <c r="F1197" s="1871">
        <f>SUM(F1192:F1196)</f>
        <v>0</v>
      </c>
      <c r="G1197" s="1871">
        <f>SUM(G1192:G1196)</f>
        <v>0</v>
      </c>
      <c r="H1197" s="1871">
        <f>SUM(H1192:H1196)</f>
        <v>0</v>
      </c>
      <c r="I1197" s="1895">
        <f t="shared" si="2313"/>
        <v>0</v>
      </c>
      <c r="J1197" s="1896">
        <f t="shared" si="2314"/>
        <v>3523</v>
      </c>
      <c r="K1197" s="1871">
        <f>SUM(K1192:K1196)</f>
        <v>0</v>
      </c>
      <c r="L1197" s="1871">
        <f>SUM(L1192:L1196)</f>
        <v>0</v>
      </c>
      <c r="M1197" s="1871">
        <f>SUM(M1192:M1196)</f>
        <v>0</v>
      </c>
      <c r="N1197" s="1899">
        <f t="shared" si="2315"/>
        <v>0</v>
      </c>
      <c r="O1197" s="1900">
        <f t="shared" si="2316"/>
        <v>3523</v>
      </c>
      <c r="P1197" s="1871">
        <f>SUM(P1192:P1196)</f>
        <v>0</v>
      </c>
      <c r="Q1197" s="1871">
        <f>SUM(Q1192:Q1196)</f>
        <v>0</v>
      </c>
      <c r="R1197" s="1871">
        <f>SUM(R1192:R1196)</f>
        <v>0</v>
      </c>
      <c r="S1197" s="1895">
        <f t="shared" si="2317"/>
        <v>0</v>
      </c>
      <c r="T1197" s="1897">
        <f t="shared" si="2318"/>
        <v>3523</v>
      </c>
      <c r="U1197" s="1526"/>
      <c r="V1197" s="1511" t="s">
        <v>844</v>
      </c>
      <c r="W1197" s="1871">
        <f t="shared" ref="W1197:AM1197" si="2336">SUM(W1192:W1196)</f>
        <v>513</v>
      </c>
      <c r="X1197" s="1871">
        <f t="shared" si="2336"/>
        <v>619</v>
      </c>
      <c r="Y1197" s="1871">
        <f t="shared" si="2336"/>
        <v>0</v>
      </c>
      <c r="Z1197" s="1899">
        <f t="shared" si="2319"/>
        <v>1132</v>
      </c>
      <c r="AA1197" s="1871">
        <f t="shared" si="2336"/>
        <v>0</v>
      </c>
      <c r="AB1197" s="1871">
        <f t="shared" si="2336"/>
        <v>0</v>
      </c>
      <c r="AC1197" s="1871">
        <f t="shared" si="2336"/>
        <v>0</v>
      </c>
      <c r="AD1197" s="1895">
        <f t="shared" si="2320"/>
        <v>0</v>
      </c>
      <c r="AE1197" s="1898">
        <f t="shared" si="2321"/>
        <v>1132</v>
      </c>
      <c r="AF1197" s="1871">
        <f>SUM(AF1192:AF1196)</f>
        <v>0</v>
      </c>
      <c r="AG1197" s="1871">
        <f>SUM(AG1192:AG1196)</f>
        <v>0</v>
      </c>
      <c r="AH1197" s="1871">
        <f>SUM(AH1192:AH1196)</f>
        <v>0</v>
      </c>
      <c r="AI1197" s="1895">
        <f t="shared" si="2322"/>
        <v>0</v>
      </c>
      <c r="AJ1197" s="1898">
        <f t="shared" si="2323"/>
        <v>1132</v>
      </c>
      <c r="AK1197" s="1871">
        <f t="shared" si="2336"/>
        <v>0</v>
      </c>
      <c r="AL1197" s="1871">
        <f>SUM(AL1192:AL1196)</f>
        <v>0</v>
      </c>
      <c r="AM1197" s="1871">
        <f t="shared" si="2336"/>
        <v>0</v>
      </c>
      <c r="AN1197" s="1895">
        <f t="shared" si="2324"/>
        <v>0</v>
      </c>
      <c r="AO1197" s="1897">
        <f t="shared" si="2325"/>
        <v>1132</v>
      </c>
      <c r="AP1197" s="1526"/>
      <c r="AQ1197" s="1526"/>
      <c r="AR1197" s="1515"/>
      <c r="AS1197" s="1515"/>
      <c r="AT1197" s="1515"/>
      <c r="AU1197" s="1515"/>
      <c r="AV1197" s="1515"/>
      <c r="AW1197" s="1515"/>
      <c r="AX1197" s="1515"/>
      <c r="AY1197" s="1515"/>
      <c r="AZ1197" s="1515"/>
    </row>
    <row r="1198">
      <c r="A1198" s="1511" t="s">
        <v>845</v>
      </c>
      <c r="B1198" s="1446"/>
      <c r="C1198" s="1179"/>
      <c r="D1198" s="1179"/>
      <c r="E1198" s="1899">
        <f t="shared" si="2312"/>
        <v>0</v>
      </c>
      <c r="F1198" s="1179"/>
      <c r="G1198" s="1179"/>
      <c r="H1198" s="1511"/>
      <c r="I1198" s="1895">
        <f t="shared" si="2313"/>
        <v>0</v>
      </c>
      <c r="J1198" s="1896">
        <f t="shared" si="2314"/>
        <v>0</v>
      </c>
      <c r="K1198" s="1179"/>
      <c r="L1198" s="2305"/>
      <c r="M1198" s="1179"/>
      <c r="N1198" s="1895">
        <f t="shared" si="2315"/>
        <v>0</v>
      </c>
      <c r="O1198" s="1896">
        <f t="shared" si="2316"/>
        <v>0</v>
      </c>
      <c r="P1198" s="1179"/>
      <c r="Q1198" s="1179"/>
      <c r="R1198" s="1179"/>
      <c r="S1198" s="1895">
        <f t="shared" si="2317"/>
        <v>0</v>
      </c>
      <c r="T1198" s="1897">
        <f t="shared" si="2318"/>
        <v>0</v>
      </c>
      <c r="U1198" s="1413"/>
      <c r="V1198" s="2305" t="s">
        <v>311</v>
      </c>
      <c r="W1198" s="1179"/>
      <c r="X1198" s="1179"/>
      <c r="Y1198" s="1179"/>
      <c r="Z1198" s="1899">
        <f t="shared" si="2319"/>
        <v>0</v>
      </c>
      <c r="AA1198" s="1179"/>
      <c r="AB1198" s="1179"/>
      <c r="AC1198" s="1179"/>
      <c r="AD1198" s="1895">
        <f t="shared" si="2320"/>
        <v>0</v>
      </c>
      <c r="AE1198" s="1898">
        <f t="shared" si="2321"/>
        <v>0</v>
      </c>
      <c r="AF1198" s="1179"/>
      <c r="AG1198" s="1179"/>
      <c r="AH1198" s="1179"/>
      <c r="AI1198" s="1895">
        <f t="shared" si="2322"/>
        <v>0</v>
      </c>
      <c r="AJ1198" s="1898">
        <f t="shared" si="2323"/>
        <v>0</v>
      </c>
      <c r="AK1198" s="1179"/>
      <c r="AL1198" s="1179"/>
      <c r="AM1198" s="1179"/>
      <c r="AN1198" s="1895">
        <f t="shared" si="2324"/>
        <v>0</v>
      </c>
      <c r="AO1198" s="1897">
        <f t="shared" si="2325"/>
        <v>0</v>
      </c>
      <c r="AP1198" s="1413"/>
      <c r="AQ1198" s="1413"/>
    </row>
    <row r="1199">
      <c r="A1199" s="1511" t="s">
        <v>22</v>
      </c>
      <c r="B1199" s="2175">
        <f>B1197+B1198</f>
        <v>1605</v>
      </c>
      <c r="C1199" s="2175">
        <f>C1197+C1198</f>
        <v>1918</v>
      </c>
      <c r="D1199" s="2175">
        <f>D1197+D1198</f>
        <v>0</v>
      </c>
      <c r="E1199" s="1899">
        <f t="shared" si="2312"/>
        <v>3523</v>
      </c>
      <c r="F1199" s="2175">
        <f>F1197+F1198</f>
        <v>0</v>
      </c>
      <c r="G1199" s="2175">
        <f>G1197+G1198</f>
        <v>0</v>
      </c>
      <c r="H1199" s="2175">
        <f>H1197+H1198</f>
        <v>0</v>
      </c>
      <c r="I1199" s="1899">
        <f t="shared" si="2313"/>
        <v>0</v>
      </c>
      <c r="J1199" s="1900">
        <f t="shared" si="2314"/>
        <v>3523</v>
      </c>
      <c r="K1199" s="2175">
        <f>K1197+K1198</f>
        <v>0</v>
      </c>
      <c r="L1199" s="2175">
        <f>L1197+L1198</f>
        <v>0</v>
      </c>
      <c r="M1199" s="2175">
        <f>M1197+M1198</f>
        <v>0</v>
      </c>
      <c r="N1199" s="1899">
        <f t="shared" si="2315"/>
        <v>0</v>
      </c>
      <c r="O1199" s="1900">
        <f t="shared" si="2316"/>
        <v>3523</v>
      </c>
      <c r="P1199" s="2175">
        <f>P1197+P1198</f>
        <v>0</v>
      </c>
      <c r="Q1199" s="2175">
        <f>Q1197+Q1198</f>
        <v>0</v>
      </c>
      <c r="R1199" s="2175">
        <f>R1197+R1198</f>
        <v>0</v>
      </c>
      <c r="S1199" s="1899">
        <f t="shared" si="2317"/>
        <v>0</v>
      </c>
      <c r="T1199" s="1901">
        <f t="shared" si="2318"/>
        <v>3523</v>
      </c>
      <c r="U1199" s="1413"/>
      <c r="V1199" s="2305" t="s">
        <v>22</v>
      </c>
      <c r="W1199" s="2175">
        <f>W1197+W1198</f>
        <v>513</v>
      </c>
      <c r="X1199" s="2256"/>
      <c r="Y1199" s="2256"/>
      <c r="Z1199" s="1899">
        <f t="shared" si="2319"/>
        <v>513</v>
      </c>
      <c r="AA1199" s="2256"/>
      <c r="AB1199" s="2175"/>
      <c r="AC1199" s="2256"/>
      <c r="AD1199" s="1895">
        <f t="shared" si="2320"/>
        <v>0</v>
      </c>
      <c r="AE1199" s="1898">
        <f t="shared" si="2321"/>
        <v>513</v>
      </c>
      <c r="AF1199" s="2256"/>
      <c r="AG1199" s="2256"/>
      <c r="AH1199" s="2256"/>
      <c r="AI1199" s="1895">
        <f t="shared" si="2322"/>
        <v>0</v>
      </c>
      <c r="AJ1199" s="1898">
        <f t="shared" si="2323"/>
        <v>513</v>
      </c>
      <c r="AK1199" s="2256"/>
      <c r="AL1199" s="2256"/>
      <c r="AM1199" s="2256"/>
      <c r="AN1199" s="1895">
        <f t="shared" si="2324"/>
        <v>0</v>
      </c>
      <c r="AO1199" s="1897">
        <f t="shared" si="2325"/>
        <v>513</v>
      </c>
      <c r="AP1199" s="1413"/>
      <c r="AQ1199" s="1413"/>
    </row>
    <row r="1200">
      <c r="A1200" s="1526"/>
      <c r="B1200" s="2278"/>
      <c r="C1200" s="2278"/>
      <c r="D1200" s="2278"/>
      <c r="E1200" s="1899"/>
      <c r="F1200" s="2278"/>
      <c r="G1200" s="2278"/>
      <c r="H1200" s="2278"/>
      <c r="I1200" s="1899"/>
      <c r="J1200" s="1900"/>
      <c r="K1200" s="2085"/>
      <c r="L1200" s="2278"/>
      <c r="M1200" s="2278"/>
      <c r="N1200" s="1899"/>
      <c r="O1200" s="1900"/>
      <c r="P1200" s="2085"/>
      <c r="Q1200" s="2278"/>
      <c r="R1200" s="2278"/>
      <c r="S1200" s="2306"/>
      <c r="T1200" s="1836"/>
      <c r="U1200" s="1413"/>
      <c r="V1200" s="2282"/>
      <c r="W1200" s="2265"/>
      <c r="X1200" s="2265"/>
      <c r="Y1200" s="2265"/>
      <c r="Z1200" s="1836"/>
      <c r="AA1200" s="2265"/>
      <c r="AB1200" s="2278"/>
      <c r="AC1200" s="2103"/>
      <c r="AD1200" s="1833"/>
      <c r="AE1200" s="1833"/>
      <c r="AF1200" s="2103"/>
      <c r="AG1200" s="2103"/>
      <c r="AH1200" s="2103"/>
      <c r="AI1200" s="1833"/>
      <c r="AJ1200" s="1833"/>
      <c r="AK1200" s="2265"/>
      <c r="AL1200" s="2231"/>
      <c r="AM1200" s="2265"/>
      <c r="AN1200" s="1835"/>
      <c r="AO1200" s="1835"/>
      <c r="AP1200" s="1413"/>
      <c r="AQ1200" s="1413"/>
    </row>
    <row r="1201">
      <c r="A1201" s="1413" t="s">
        <v>846</v>
      </c>
      <c r="B1201" s="1840">
        <f>B1202+B1203</f>
        <v>129</v>
      </c>
      <c r="C1201" s="1617">
        <f>C1202+C1203</f>
        <v>180</v>
      </c>
      <c r="D1201" s="1617">
        <f>D1202+D1203</f>
        <v>0</v>
      </c>
      <c r="E1201" s="1899">
        <f t="shared" si="2312"/>
        <v>309</v>
      </c>
      <c r="F1201" s="1617">
        <f>F1202+F1203</f>
        <v>0</v>
      </c>
      <c r="G1201" s="1617">
        <f>G1202+G1203</f>
        <v>0</v>
      </c>
      <c r="H1201" s="1526">
        <f>H1202+H1203</f>
        <v>0</v>
      </c>
      <c r="I1201" s="1899">
        <f t="shared" si="2313"/>
        <v>0</v>
      </c>
      <c r="J1201" s="1900">
        <f t="shared" si="2314"/>
        <v>309</v>
      </c>
      <c r="K1201" s="1526">
        <f>K1202+K1203</f>
        <v>0</v>
      </c>
      <c r="L1201" s="1811">
        <f>L1202+L1203</f>
        <v>0</v>
      </c>
      <c r="M1201" s="1526">
        <f>M1202+M1203</f>
        <v>0</v>
      </c>
      <c r="N1201" s="1899">
        <f t="shared" si="2315"/>
        <v>0</v>
      </c>
      <c r="O1201" s="1900">
        <f t="shared" si="2316"/>
        <v>309</v>
      </c>
      <c r="P1201" s="1526">
        <f>P1202+P1203</f>
        <v>0</v>
      </c>
      <c r="Q1201" s="1526">
        <f>Q1202+Q1203</f>
        <v>0</v>
      </c>
      <c r="R1201" s="1526">
        <f>R1202+R1203</f>
        <v>0</v>
      </c>
      <c r="S1201" s="2307"/>
      <c r="T1201" s="1841"/>
      <c r="U1201" s="1526"/>
      <c r="V1201" s="2308"/>
      <c r="W1201" s="1515"/>
      <c r="X1201" s="1515"/>
      <c r="Y1201" s="1515"/>
      <c r="Z1201" s="2062"/>
      <c r="AA1201" s="1515"/>
      <c r="AB1201" s="1515"/>
      <c r="AC1201" s="1515"/>
      <c r="AD1201" s="2062"/>
      <c r="AE1201" s="2062"/>
      <c r="AF1201" s="1515"/>
      <c r="AG1201" s="1515"/>
      <c r="AH1201" s="1515"/>
      <c r="AI1201" s="2062"/>
      <c r="AJ1201" s="2062"/>
      <c r="AK1201" s="1515"/>
      <c r="AL1201" s="2309"/>
      <c r="AM1201" s="1526"/>
      <c r="AN1201" s="2212"/>
      <c r="AO1201" s="2212"/>
      <c r="AP1201" s="1526"/>
      <c r="AQ1201" s="1526"/>
    </row>
    <row r="1202">
      <c r="A1202" s="1413" t="s">
        <v>847</v>
      </c>
      <c r="B1202" s="1420">
        <v>5</v>
      </c>
      <c r="C1202" s="2310">
        <v>18</v>
      </c>
      <c r="D1202" s="2310"/>
      <c r="E1202" s="1899">
        <f t="shared" si="2312"/>
        <v>23</v>
      </c>
      <c r="F1202" s="2310"/>
      <c r="G1202" s="2310"/>
      <c r="H1202" s="1413"/>
      <c r="I1202" s="1899">
        <f t="shared" si="2313"/>
        <v>0</v>
      </c>
      <c r="J1202" s="1900">
        <f t="shared" si="2314"/>
        <v>23</v>
      </c>
      <c r="K1202" s="1413"/>
      <c r="L1202" s="2311"/>
      <c r="M1202" s="1413"/>
      <c r="N1202" s="1895">
        <f t="shared" si="2315"/>
        <v>0</v>
      </c>
      <c r="O1202" s="1896">
        <f t="shared" si="2316"/>
        <v>23</v>
      </c>
      <c r="P1202" s="1413"/>
      <c r="Q1202" s="1413"/>
      <c r="U1202" s="1413"/>
      <c r="V1202" s="2312"/>
      <c r="Z1202" s="1418"/>
      <c r="AD1202" s="1418"/>
      <c r="AE1202" s="1418"/>
      <c r="AI1202" s="1418"/>
      <c r="AJ1202" s="1418"/>
      <c r="AL1202" s="2231"/>
      <c r="AM1202" s="1413"/>
      <c r="AN1202" s="1620"/>
      <c r="AO1202" s="1620"/>
      <c r="AP1202" s="1413"/>
      <c r="AQ1202" s="1413"/>
    </row>
    <row r="1203">
      <c r="A1203" s="1413" t="s">
        <v>848</v>
      </c>
      <c r="B1203" s="1420">
        <v>124</v>
      </c>
      <c r="C1203" s="2310">
        <v>162</v>
      </c>
      <c r="D1203" s="2310"/>
      <c r="E1203" s="1899">
        <f t="shared" si="2312"/>
        <v>286</v>
      </c>
      <c r="F1203" s="2310"/>
      <c r="G1203" s="2310"/>
      <c r="H1203" s="1413"/>
      <c r="I1203" s="1899">
        <f t="shared" si="2313"/>
        <v>0</v>
      </c>
      <c r="J1203" s="1900">
        <f t="shared" si="2314"/>
        <v>286</v>
      </c>
      <c r="K1203" s="1413"/>
      <c r="L1203" s="2311"/>
      <c r="M1203" s="1413"/>
      <c r="N1203" s="1895">
        <f t="shared" si="2315"/>
        <v>0</v>
      </c>
      <c r="O1203" s="1896">
        <f t="shared" si="2316"/>
        <v>286</v>
      </c>
      <c r="P1203" s="1413"/>
      <c r="Q1203" s="1413"/>
      <c r="U1203" s="1413"/>
      <c r="V1203" s="2312"/>
      <c r="Z1203" s="1418"/>
      <c r="AD1203" s="1418"/>
      <c r="AE1203" s="1418"/>
      <c r="AI1203" s="1418"/>
      <c r="AJ1203" s="1418"/>
      <c r="AL1203" s="2231"/>
      <c r="AM1203" s="1413"/>
      <c r="AN1203" s="1620"/>
      <c r="AO1203" s="1620"/>
      <c r="AP1203" s="1413"/>
      <c r="AQ1203" s="1413"/>
    </row>
    <row r="1204">
      <c r="A1204" s="1413" t="s">
        <v>849</v>
      </c>
      <c r="B1204" s="1420">
        <v>3736</v>
      </c>
      <c r="C1204" s="2310">
        <v>3524</v>
      </c>
      <c r="D1204" s="2310"/>
      <c r="E1204" s="1899">
        <f t="shared" si="2312"/>
        <v>7260</v>
      </c>
      <c r="F1204" s="2310"/>
      <c r="G1204" s="2310"/>
      <c r="H1204" s="1413"/>
      <c r="I1204" s="1899">
        <f t="shared" si="2313"/>
        <v>0</v>
      </c>
      <c r="J1204" s="1900">
        <f t="shared" si="2314"/>
        <v>7260</v>
      </c>
      <c r="K1204" s="1413"/>
      <c r="L1204" s="2311"/>
      <c r="M1204" s="1413"/>
      <c r="N1204" s="1895">
        <f t="shared" si="2315"/>
        <v>0</v>
      </c>
      <c r="O1204" s="1896">
        <f t="shared" si="2316"/>
        <v>7260</v>
      </c>
      <c r="P1204" s="1413"/>
      <c r="Q1204" s="1413"/>
      <c r="U1204" s="1413"/>
      <c r="V1204" s="2312"/>
      <c r="Z1204" s="1418"/>
      <c r="AD1204" s="1418"/>
      <c r="AE1204" s="1418"/>
      <c r="AI1204" s="1418"/>
      <c r="AJ1204" s="1418"/>
      <c r="AL1204" s="2231"/>
      <c r="AM1204" s="1413"/>
      <c r="AN1204" s="1620"/>
      <c r="AO1204" s="1620"/>
      <c r="AP1204" s="1413"/>
      <c r="AQ1204" s="1413"/>
    </row>
    <row r="1205">
      <c r="B1205" s="1420"/>
      <c r="C1205" s="1413"/>
      <c r="D1205" s="1413"/>
      <c r="E1205" s="1414"/>
      <c r="F1205" s="2310"/>
      <c r="G1205" s="2310"/>
      <c r="H1205" s="1413"/>
      <c r="I1205" s="2307"/>
      <c r="J1205" s="2313"/>
      <c r="K1205" s="1413"/>
      <c r="L1205" s="2308"/>
      <c r="M1205" s="1413"/>
      <c r="N1205" s="1414"/>
      <c r="O1205" s="2314"/>
      <c r="P1205" s="1413"/>
      <c r="Q1205" s="1526"/>
      <c r="U1205" s="1413"/>
      <c r="V1205" s="2308"/>
      <c r="Z1205" s="1418"/>
      <c r="AD1205" s="1418"/>
      <c r="AE1205" s="1418"/>
      <c r="AI1205" s="1418"/>
      <c r="AJ1205" s="1418"/>
      <c r="AL1205" s="2231"/>
      <c r="AM1205" s="1413"/>
      <c r="AN1205" s="1620"/>
      <c r="AO1205" s="1620"/>
      <c r="AP1205" s="1413"/>
      <c r="AQ1205" s="1413"/>
    </row>
    <row r="1206">
      <c r="B1206" s="1391"/>
      <c r="C1206" s="1391"/>
      <c r="D1206" s="1391"/>
      <c r="E1206" s="1391"/>
      <c r="F1206" s="1391"/>
      <c r="G1206" s="1391"/>
      <c r="H1206" s="1391"/>
      <c r="I1206" s="1391"/>
      <c r="J1206" s="1391"/>
      <c r="K1206" s="1391"/>
      <c r="L1206" s="1391"/>
      <c r="M1206" s="1391"/>
      <c r="N1206" s="1391"/>
      <c r="O1206" s="1391"/>
      <c r="P1206" s="1391"/>
      <c r="Q1206" s="1391"/>
      <c r="R1206" s="2315"/>
      <c r="S1206" s="2315"/>
      <c r="T1206" s="2315"/>
      <c r="Z1206" s="1418"/>
      <c r="AD1206" s="1418"/>
      <c r="AE1206" s="1418"/>
      <c r="AI1206" s="1418"/>
      <c r="AJ1206" s="1418"/>
      <c r="AN1206" s="1418"/>
    </row>
    <row r="1207">
      <c r="E1207" s="1418"/>
      <c r="I1207" s="1418"/>
      <c r="J1207" s="1418"/>
      <c r="N1207" s="1418"/>
      <c r="O1207" s="1418"/>
      <c r="S1207" s="1620"/>
      <c r="Z1207" s="1418"/>
      <c r="AD1207" s="1418"/>
      <c r="AE1207" s="1418"/>
      <c r="AI1207" s="1418"/>
      <c r="AJ1207" s="1418"/>
      <c r="AN1207" s="1418"/>
    </row>
    <row r="1208">
      <c r="E1208" s="1418"/>
      <c r="I1208" s="1418"/>
      <c r="J1208" s="1418"/>
      <c r="N1208" s="1418"/>
      <c r="O1208" s="1418"/>
      <c r="S1208" s="1620"/>
      <c r="Z1208" s="1418"/>
      <c r="AD1208" s="1418"/>
      <c r="AE1208" s="1418"/>
      <c r="AI1208" s="1418"/>
      <c r="AJ1208" s="1418"/>
      <c r="AN1208" s="1418"/>
    </row>
    <row r="1209">
      <c r="E1209" s="1418"/>
      <c r="I1209" s="1418"/>
      <c r="J1209" s="1418"/>
      <c r="N1209" s="1418"/>
      <c r="O1209" s="1418"/>
      <c r="S1209" s="1620"/>
      <c r="Z1209" s="1418"/>
      <c r="AD1209" s="1418"/>
      <c r="AE1209" s="1418"/>
      <c r="AI1209" s="1418"/>
      <c r="AJ1209" s="1418"/>
      <c r="AN1209" s="1418"/>
    </row>
    <row r="1210" ht="23.25">
      <c r="A1210" s="2316" t="s">
        <v>850</v>
      </c>
      <c r="B1210" s="2284" t="s">
        <v>851</v>
      </c>
      <c r="C1210" s="2285"/>
      <c r="D1210" s="2285"/>
      <c r="E1210" s="2285"/>
      <c r="F1210" s="2285"/>
      <c r="G1210" s="2285"/>
      <c r="H1210" s="2285"/>
      <c r="I1210" s="2285"/>
      <c r="J1210" s="2285"/>
      <c r="K1210" s="2285"/>
      <c r="L1210" s="2285"/>
      <c r="M1210" s="2285"/>
      <c r="N1210" s="2285"/>
      <c r="O1210" s="2285"/>
      <c r="P1210" s="2285"/>
      <c r="Q1210" s="2285"/>
      <c r="R1210" s="2285"/>
      <c r="S1210" s="2285"/>
      <c r="T1210" s="2286"/>
      <c r="Z1210" s="1418"/>
      <c r="AD1210" s="1418"/>
      <c r="AE1210" s="1418"/>
      <c r="AI1210" s="1418"/>
      <c r="AJ1210" s="1418"/>
      <c r="AN1210" s="1418"/>
    </row>
    <row r="1211" s="1445" customFormat="1">
      <c r="A1211" s="1427" t="s">
        <v>173</v>
      </c>
      <c r="B1211" s="1427" t="s">
        <v>6</v>
      </c>
      <c r="C1211" s="1427" t="s">
        <v>7</v>
      </c>
      <c r="D1211" s="1421" t="s">
        <v>8</v>
      </c>
      <c r="E1211" s="1425" t="s">
        <v>9</v>
      </c>
      <c r="F1211" s="1421" t="s">
        <v>10</v>
      </c>
      <c r="G1211" s="1421" t="s">
        <v>11</v>
      </c>
      <c r="H1211" s="1421" t="s">
        <v>12</v>
      </c>
      <c r="I1211" s="1425" t="s">
        <v>174</v>
      </c>
      <c r="J1211" s="1430" t="s">
        <v>175</v>
      </c>
      <c r="K1211" s="1421" t="s">
        <v>14</v>
      </c>
      <c r="L1211" s="1421" t="s">
        <v>15</v>
      </c>
      <c r="M1211" s="1421" t="s">
        <v>16</v>
      </c>
      <c r="N1211" s="1425" t="s">
        <v>17</v>
      </c>
      <c r="O1211" s="1430" t="s">
        <v>176</v>
      </c>
      <c r="P1211" s="1421" t="s">
        <v>18</v>
      </c>
      <c r="Q1211" s="1421" t="s">
        <v>19</v>
      </c>
      <c r="R1211" s="1421" t="s">
        <v>20</v>
      </c>
      <c r="S1211" s="1448" t="s">
        <v>177</v>
      </c>
      <c r="T1211" s="1426" t="s">
        <v>22</v>
      </c>
      <c r="U1211" s="1409"/>
      <c r="V1211" s="1409"/>
      <c r="W1211" s="1409"/>
      <c r="X1211" s="1409"/>
      <c r="Y1211" s="1409"/>
      <c r="Z1211" s="1418"/>
      <c r="AA1211" s="1409"/>
      <c r="AB1211" s="1409"/>
      <c r="AC1211" s="1409"/>
      <c r="AD1211" s="1418"/>
      <c r="AE1211" s="1418"/>
      <c r="AF1211" s="1409"/>
      <c r="AG1211" s="1409"/>
      <c r="AH1211" s="1409"/>
      <c r="AI1211" s="1418"/>
      <c r="AJ1211" s="1418"/>
      <c r="AK1211" s="1409"/>
      <c r="AL1211" s="1417"/>
      <c r="AM1211" s="1409"/>
      <c r="AN1211" s="1418"/>
      <c r="AO1211" s="1418"/>
      <c r="AP1211" s="1409"/>
      <c r="AQ1211" s="1409"/>
      <c r="AR1211" s="1409"/>
      <c r="AS1211" s="1409"/>
      <c r="AT1211" s="1409"/>
      <c r="AU1211" s="1409"/>
      <c r="AV1211" s="1409"/>
      <c r="AW1211" s="1409"/>
      <c r="AX1211" s="1409"/>
      <c r="AY1211" s="1409"/>
      <c r="AZ1211" s="1409"/>
    </row>
    <row r="1212">
      <c r="A1212" s="1871" t="s">
        <v>127</v>
      </c>
      <c r="B1212" s="1462">
        <v>194369.32999999999</v>
      </c>
      <c r="C1212" s="1462">
        <v>192640.5</v>
      </c>
      <c r="D1212" s="1462"/>
      <c r="E1212" s="1512">
        <f t="shared" ref="E1211:E1267" si="2337">B1212+C1212+D1212</f>
        <v>387009.82999999996</v>
      </c>
      <c r="F1212" s="1462"/>
      <c r="G1212" s="1462"/>
      <c r="H1212" s="1462"/>
      <c r="I1212" s="1512">
        <f t="shared" ref="I1211:I1267" si="2338">F1212+G1212+H1212</f>
        <v>0</v>
      </c>
      <c r="J1212" s="1513">
        <f t="shared" ref="J1211:J1267" si="2339">E1212+I1212</f>
        <v>387009.82999999996</v>
      </c>
      <c r="K1212" s="1462"/>
      <c r="L1212" s="1462"/>
      <c r="M1212" s="1462"/>
      <c r="N1212" s="1512">
        <f t="shared" ref="N1211:N1267" si="2340">K1212+L1212+M1212</f>
        <v>0</v>
      </c>
      <c r="O1212" s="1513">
        <f t="shared" ref="O1211:O1267" si="2341">J1212+N1212</f>
        <v>387009.82999999996</v>
      </c>
      <c r="P1212" s="1462"/>
      <c r="Q1212" s="1462"/>
      <c r="R1212" s="1462"/>
      <c r="S1212" s="1512">
        <f t="shared" ref="S1211:S1267" si="2342">P1212+Q1212+R1212</f>
        <v>0</v>
      </c>
      <c r="T1212" s="1514">
        <f t="shared" ref="T1211:T1267" si="2343">O1212+S1212</f>
        <v>387009.82999999996</v>
      </c>
      <c r="Z1212" s="1418"/>
      <c r="AD1212" s="1418"/>
      <c r="AE1212" s="1418"/>
      <c r="AI1212" s="1418"/>
      <c r="AJ1212" s="1418"/>
      <c r="AN1212" s="1418"/>
    </row>
    <row r="1213">
      <c r="A1213" s="1871" t="s">
        <v>311</v>
      </c>
      <c r="B1213" s="1868"/>
      <c r="C1213" s="1868"/>
      <c r="D1213" s="1868"/>
      <c r="E1213" s="1899">
        <f t="shared" si="2337"/>
        <v>0</v>
      </c>
      <c r="F1213" s="1868"/>
      <c r="G1213" s="1868"/>
      <c r="H1213" s="1868"/>
      <c r="I1213" s="1899">
        <f t="shared" si="2338"/>
        <v>0</v>
      </c>
      <c r="J1213" s="1900">
        <f t="shared" si="2339"/>
        <v>0</v>
      </c>
      <c r="K1213" s="1868"/>
      <c r="L1213" s="1868"/>
      <c r="M1213" s="1868"/>
      <c r="N1213" s="1899">
        <f t="shared" si="2340"/>
        <v>0</v>
      </c>
      <c r="O1213" s="1900">
        <f t="shared" si="2341"/>
        <v>0</v>
      </c>
      <c r="P1213" s="1868"/>
      <c r="Q1213" s="1868"/>
      <c r="R1213" s="1868"/>
      <c r="S1213" s="1899">
        <f t="shared" si="2342"/>
        <v>0</v>
      </c>
      <c r="T1213" s="1901">
        <f t="shared" si="2343"/>
        <v>0</v>
      </c>
      <c r="Z1213" s="1418"/>
      <c r="AD1213" s="1418"/>
      <c r="AE1213" s="1418"/>
      <c r="AI1213" s="1418"/>
      <c r="AJ1213" s="1418"/>
      <c r="AN1213" s="1418"/>
    </row>
    <row r="1214">
      <c r="A1214" s="2175" t="s">
        <v>587</v>
      </c>
      <c r="B1214" s="1871">
        <f>SUM(B1212:B1213)</f>
        <v>194369.32999999999</v>
      </c>
      <c r="C1214" s="1871">
        <f>SUM(C1212:C1213)</f>
        <v>192640.5</v>
      </c>
      <c r="D1214" s="1871">
        <f>SUM(D1212:D1213)</f>
        <v>0</v>
      </c>
      <c r="E1214" s="1899">
        <f t="shared" si="2337"/>
        <v>387009.82999999996</v>
      </c>
      <c r="F1214" s="1871">
        <f>SUM(F1212:F1213)</f>
        <v>0</v>
      </c>
      <c r="G1214" s="1871">
        <f>SUM(G1212:G1213)</f>
        <v>0</v>
      </c>
      <c r="H1214" s="1871">
        <f>SUM(H1212:H1213)</f>
        <v>0</v>
      </c>
      <c r="I1214" s="1899">
        <f t="shared" si="2338"/>
        <v>0</v>
      </c>
      <c r="J1214" s="1900">
        <f t="shared" si="2339"/>
        <v>387009.82999999996</v>
      </c>
      <c r="K1214" s="1868">
        <f>SUM(K1212:K1213)</f>
        <v>0</v>
      </c>
      <c r="L1214" s="1871">
        <f>SUM(L1212:L1213)</f>
        <v>0</v>
      </c>
      <c r="M1214" s="1871">
        <f>SUM(M1212:M1213)</f>
        <v>0</v>
      </c>
      <c r="N1214" s="1899">
        <f t="shared" si="2340"/>
        <v>0</v>
      </c>
      <c r="O1214" s="1900">
        <f t="shared" si="2341"/>
        <v>387009.82999999996</v>
      </c>
      <c r="P1214" s="1871">
        <f>SUM(P1212:P1213)</f>
        <v>0</v>
      </c>
      <c r="Q1214" s="1871">
        <f>SUM(Q1212:Q1213)</f>
        <v>0</v>
      </c>
      <c r="R1214" s="2317">
        <f>SUM(R1212:R1213)</f>
        <v>0</v>
      </c>
      <c r="S1214" s="1899">
        <f t="shared" si="2342"/>
        <v>0</v>
      </c>
      <c r="T1214" s="1514">
        <f t="shared" si="2343"/>
        <v>387009.82999999996</v>
      </c>
      <c r="Z1214" s="1418"/>
      <c r="AD1214" s="1418"/>
      <c r="AE1214" s="1418"/>
      <c r="AI1214" s="1418"/>
      <c r="AJ1214" s="1418"/>
      <c r="AN1214" s="1418"/>
    </row>
    <row r="1215">
      <c r="E1215" s="1418"/>
      <c r="I1215" s="1418"/>
      <c r="J1215" s="1418"/>
      <c r="N1215" s="1418"/>
      <c r="O1215" s="1418"/>
      <c r="S1215" s="1620"/>
      <c r="Z1215" s="1418"/>
      <c r="AD1215" s="1418"/>
      <c r="AE1215" s="1418"/>
      <c r="AI1215" s="1418"/>
      <c r="AJ1215" s="1418"/>
      <c r="AN1215" s="1418"/>
    </row>
    <row r="1216">
      <c r="E1216" s="1418"/>
      <c r="I1216" s="1418"/>
      <c r="J1216" s="1418"/>
      <c r="N1216" s="1418"/>
      <c r="O1216" s="1418"/>
      <c r="S1216" s="1620"/>
      <c r="Z1216" s="1418"/>
      <c r="AD1216" s="1418"/>
      <c r="AE1216" s="1418"/>
      <c r="AI1216" s="1418"/>
      <c r="AJ1216" s="1418"/>
      <c r="AN1216" s="1418"/>
    </row>
    <row r="1217">
      <c r="E1217" s="1418"/>
      <c r="I1217" s="1418"/>
      <c r="J1217" s="2318"/>
      <c r="N1217" s="1418"/>
      <c r="O1217" s="1418"/>
      <c r="S1217" s="1620"/>
      <c r="Z1217" s="1418"/>
      <c r="AD1217" s="1418"/>
      <c r="AE1217" s="1418"/>
      <c r="AI1217" s="1418"/>
      <c r="AJ1217" s="1418"/>
      <c r="AN1217" s="1418"/>
    </row>
    <row r="1218" ht="23.25">
      <c r="A1218" s="1842" t="s">
        <v>852</v>
      </c>
      <c r="B1218" s="1887" t="s">
        <v>853</v>
      </c>
      <c r="C1218" s="2302"/>
      <c r="D1218" s="2302"/>
      <c r="E1218" s="2302"/>
      <c r="F1218" s="2302"/>
      <c r="G1218" s="2302"/>
      <c r="H1218" s="2302"/>
      <c r="I1218" s="2302"/>
      <c r="J1218" s="2302"/>
      <c r="K1218" s="2302"/>
      <c r="L1218" s="2302"/>
      <c r="M1218" s="2302"/>
      <c r="N1218" s="2302"/>
      <c r="O1218" s="2302"/>
      <c r="P1218" s="2302"/>
      <c r="Q1218" s="2302"/>
      <c r="R1218" s="2302"/>
      <c r="S1218" s="2302"/>
      <c r="T1218" s="2303"/>
      <c r="V1218" s="1842" t="s">
        <v>852</v>
      </c>
      <c r="W1218" s="1887" t="s">
        <v>854</v>
      </c>
      <c r="X1218" s="2302"/>
      <c r="Y1218" s="2302"/>
      <c r="Z1218" s="2302"/>
      <c r="AA1218" s="2302"/>
      <c r="AB1218" s="2302"/>
      <c r="AC1218" s="2302"/>
      <c r="AD1218" s="2302"/>
      <c r="AE1218" s="2302"/>
      <c r="AF1218" s="2302"/>
      <c r="AG1218" s="2302"/>
      <c r="AH1218" s="2302"/>
      <c r="AI1218" s="2302"/>
      <c r="AJ1218" s="2302"/>
      <c r="AK1218" s="2302"/>
      <c r="AL1218" s="2302"/>
      <c r="AM1218" s="2302"/>
      <c r="AN1218" s="2302"/>
      <c r="AO1218" s="2303"/>
    </row>
    <row r="1219" s="1445" customFormat="1">
      <c r="A1219" s="1427" t="s">
        <v>173</v>
      </c>
      <c r="B1219" s="2296" t="s">
        <v>6</v>
      </c>
      <c r="C1219" s="2296" t="s">
        <v>7</v>
      </c>
      <c r="D1219" s="2297" t="s">
        <v>8</v>
      </c>
      <c r="E1219" s="2298" t="s">
        <v>9</v>
      </c>
      <c r="F1219" s="2297" t="s">
        <v>10</v>
      </c>
      <c r="G1219" s="2297" t="s">
        <v>11</v>
      </c>
      <c r="H1219" s="2297" t="s">
        <v>12</v>
      </c>
      <c r="I1219" s="2298" t="s">
        <v>174</v>
      </c>
      <c r="J1219" s="2299" t="s">
        <v>175</v>
      </c>
      <c r="K1219" s="2297" t="s">
        <v>14</v>
      </c>
      <c r="L1219" s="2297" t="s">
        <v>15</v>
      </c>
      <c r="M1219" s="2297" t="s">
        <v>16</v>
      </c>
      <c r="N1219" s="2298" t="s">
        <v>17</v>
      </c>
      <c r="O1219" s="2299" t="s">
        <v>176</v>
      </c>
      <c r="P1219" s="2297" t="s">
        <v>18</v>
      </c>
      <c r="Q1219" s="2297" t="s">
        <v>19</v>
      </c>
      <c r="R1219" s="2297" t="s">
        <v>20</v>
      </c>
      <c r="S1219" s="1448" t="s">
        <v>177</v>
      </c>
      <c r="T1219" s="2300" t="s">
        <v>22</v>
      </c>
      <c r="U1219" s="1409"/>
      <c r="V1219" s="1421" t="s">
        <v>173</v>
      </c>
      <c r="W1219" s="2297" t="s">
        <v>6</v>
      </c>
      <c r="X1219" s="2296" t="s">
        <v>7</v>
      </c>
      <c r="Y1219" s="2297" t="s">
        <v>8</v>
      </c>
      <c r="Z1219" s="2298" t="s">
        <v>9</v>
      </c>
      <c r="AA1219" s="2297" t="s">
        <v>10</v>
      </c>
      <c r="AB1219" s="2297" t="s">
        <v>11</v>
      </c>
      <c r="AC1219" s="2297" t="s">
        <v>12</v>
      </c>
      <c r="AD1219" s="2298" t="s">
        <v>174</v>
      </c>
      <c r="AE1219" s="2299" t="s">
        <v>175</v>
      </c>
      <c r="AF1219" s="2297" t="s">
        <v>14</v>
      </c>
      <c r="AG1219" s="2297" t="s">
        <v>15</v>
      </c>
      <c r="AH1219" s="2297" t="s">
        <v>16</v>
      </c>
      <c r="AI1219" s="2298" t="s">
        <v>17</v>
      </c>
      <c r="AJ1219" s="2299" t="s">
        <v>176</v>
      </c>
      <c r="AK1219" s="2297" t="s">
        <v>18</v>
      </c>
      <c r="AL1219" s="2297" t="s">
        <v>19</v>
      </c>
      <c r="AM1219" s="2297" t="s">
        <v>20</v>
      </c>
      <c r="AN1219" s="1448" t="s">
        <v>177</v>
      </c>
      <c r="AO1219" s="2300" t="s">
        <v>22</v>
      </c>
      <c r="AP1219" s="1409"/>
      <c r="AQ1219" s="1409"/>
      <c r="AR1219" s="1409"/>
      <c r="AS1219" s="1409"/>
      <c r="AT1219" s="1409"/>
      <c r="AU1219" s="1409"/>
      <c r="AV1219" s="1409"/>
      <c r="AW1219" s="1409"/>
      <c r="AX1219" s="1409"/>
      <c r="AY1219" s="1409"/>
      <c r="AZ1219" s="1409"/>
    </row>
    <row r="1220">
      <c r="A1220" s="1179" t="s">
        <v>178</v>
      </c>
      <c r="B1220" s="1868">
        <v>22</v>
      </c>
      <c r="C1220" s="1868">
        <v>42</v>
      </c>
      <c r="D1220" s="1868"/>
      <c r="E1220" s="1899">
        <f t="shared" si="2337"/>
        <v>64</v>
      </c>
      <c r="F1220" s="1868"/>
      <c r="G1220" s="1868"/>
      <c r="H1220" s="1868"/>
      <c r="I1220" s="1895">
        <f t="shared" si="2338"/>
        <v>0</v>
      </c>
      <c r="J1220" s="1896">
        <f t="shared" si="2339"/>
        <v>64</v>
      </c>
      <c r="K1220" s="1868"/>
      <c r="L1220" s="1868"/>
      <c r="M1220" s="1868"/>
      <c r="N1220" s="1895">
        <f t="shared" si="2340"/>
        <v>0</v>
      </c>
      <c r="O1220" s="1896">
        <f t="shared" si="2341"/>
        <v>64</v>
      </c>
      <c r="P1220" s="1868"/>
      <c r="Q1220" s="1868"/>
      <c r="R1220" s="1868"/>
      <c r="S1220" s="1895">
        <f t="shared" si="2342"/>
        <v>0</v>
      </c>
      <c r="T1220" s="1897">
        <f t="shared" si="2343"/>
        <v>64</v>
      </c>
      <c r="V1220" s="1179" t="s">
        <v>178</v>
      </c>
      <c r="W1220" s="1868"/>
      <c r="X1220" s="1868"/>
      <c r="Y1220" s="1868"/>
      <c r="Z1220" s="1899">
        <f t="shared" ref="Z1217:Z1267" si="2344">W1220+X1220+Y1220</f>
        <v>0</v>
      </c>
      <c r="AA1220" s="1868"/>
      <c r="AB1220" s="1868"/>
      <c r="AC1220" s="1868"/>
      <c r="AD1220" s="1895">
        <f t="shared" ref="AD1217:AD1267" si="2345">AA1220+AB1220+AC1220</f>
        <v>0</v>
      </c>
      <c r="AE1220" s="1896">
        <f t="shared" ref="AE1217:AE1267" si="2346">Z1220+AD1220</f>
        <v>0</v>
      </c>
      <c r="AF1220" s="1868"/>
      <c r="AG1220" s="1868"/>
      <c r="AH1220" s="1868"/>
      <c r="AI1220" s="1895">
        <f t="shared" ref="AI1217:AI1267" si="2347">AF1220+AG1220+AH1220</f>
        <v>0</v>
      </c>
      <c r="AJ1220" s="1896">
        <f t="shared" ref="AJ1217:AJ1267" si="2348">AE1220+AI1220</f>
        <v>0</v>
      </c>
      <c r="AK1220" s="1868"/>
      <c r="AL1220" s="1868"/>
      <c r="AM1220" s="1868"/>
      <c r="AN1220" s="1895">
        <f t="shared" ref="AN1217:AN1267" si="2349">AK1220+AL1220+AM1220</f>
        <v>0</v>
      </c>
      <c r="AO1220" s="1897">
        <f t="shared" ref="AO1217:AO1267" si="2350">AJ1220+AN1220</f>
        <v>0</v>
      </c>
    </row>
    <row r="1221">
      <c r="A1221" s="1179" t="s">
        <v>354</v>
      </c>
      <c r="B1221" s="1868">
        <v>36</v>
      </c>
      <c r="C1221" s="1868">
        <v>29</v>
      </c>
      <c r="D1221" s="1868"/>
      <c r="E1221" s="1899">
        <f t="shared" si="2337"/>
        <v>65</v>
      </c>
      <c r="F1221" s="1868"/>
      <c r="G1221" s="1868"/>
      <c r="H1221" s="1868"/>
      <c r="I1221" s="1895">
        <f t="shared" si="2338"/>
        <v>0</v>
      </c>
      <c r="J1221" s="1896">
        <f t="shared" si="2339"/>
        <v>65</v>
      </c>
      <c r="K1221" s="1868"/>
      <c r="L1221" s="1868"/>
      <c r="M1221" s="1868"/>
      <c r="N1221" s="1895">
        <f t="shared" si="2340"/>
        <v>0</v>
      </c>
      <c r="O1221" s="1896">
        <f t="shared" si="2341"/>
        <v>65</v>
      </c>
      <c r="P1221" s="1868"/>
      <c r="Q1221" s="1868"/>
      <c r="R1221" s="1868"/>
      <c r="S1221" s="1895">
        <f t="shared" si="2342"/>
        <v>0</v>
      </c>
      <c r="T1221" s="1897">
        <f t="shared" si="2343"/>
        <v>65</v>
      </c>
      <c r="V1221" s="1179" t="s">
        <v>354</v>
      </c>
      <c r="W1221" s="1868"/>
      <c r="X1221" s="1868"/>
      <c r="Y1221" s="1868"/>
      <c r="Z1221" s="1899">
        <f t="shared" si="2344"/>
        <v>0</v>
      </c>
      <c r="AA1221" s="1868"/>
      <c r="AB1221" s="1868"/>
      <c r="AC1221" s="1868"/>
      <c r="AD1221" s="1895">
        <f t="shared" si="2345"/>
        <v>0</v>
      </c>
      <c r="AE1221" s="1896">
        <f t="shared" si="2346"/>
        <v>0</v>
      </c>
      <c r="AF1221" s="1868"/>
      <c r="AG1221" s="1868"/>
      <c r="AH1221" s="1868"/>
      <c r="AI1221" s="1895">
        <f t="shared" si="2347"/>
        <v>0</v>
      </c>
      <c r="AJ1221" s="1896">
        <f t="shared" si="2348"/>
        <v>0</v>
      </c>
      <c r="AK1221" s="1868"/>
      <c r="AL1221" s="1868"/>
      <c r="AM1221" s="1868"/>
      <c r="AN1221" s="1895">
        <f t="shared" si="2349"/>
        <v>0</v>
      </c>
      <c r="AO1221" s="1897">
        <f t="shared" si="2350"/>
        <v>0</v>
      </c>
    </row>
    <row r="1222">
      <c r="A1222" s="1179" t="s">
        <v>181</v>
      </c>
      <c r="B1222" s="1868"/>
      <c r="C1222" s="1868">
        <v>10</v>
      </c>
      <c r="D1222" s="1868"/>
      <c r="E1222" s="1899">
        <f t="shared" si="2337"/>
        <v>10</v>
      </c>
      <c r="F1222" s="1868"/>
      <c r="G1222" s="1868"/>
      <c r="H1222" s="1868"/>
      <c r="I1222" s="1895">
        <f t="shared" si="2338"/>
        <v>0</v>
      </c>
      <c r="J1222" s="1896">
        <f t="shared" si="2339"/>
        <v>10</v>
      </c>
      <c r="K1222" s="1868"/>
      <c r="L1222" s="1868"/>
      <c r="M1222" s="1868"/>
      <c r="N1222" s="1895">
        <f t="shared" si="2340"/>
        <v>0</v>
      </c>
      <c r="O1222" s="1896">
        <f t="shared" si="2341"/>
        <v>10</v>
      </c>
      <c r="P1222" s="1868"/>
      <c r="Q1222" s="1868"/>
      <c r="R1222" s="1868"/>
      <c r="S1222" s="1895">
        <f t="shared" si="2342"/>
        <v>0</v>
      </c>
      <c r="T1222" s="1897">
        <f t="shared" si="2343"/>
        <v>10</v>
      </c>
      <c r="V1222" s="1179" t="s">
        <v>181</v>
      </c>
      <c r="W1222" s="1868"/>
      <c r="X1222" s="1868"/>
      <c r="Y1222" s="1868"/>
      <c r="Z1222" s="1899">
        <f t="shared" si="2344"/>
        <v>0</v>
      </c>
      <c r="AA1222" s="1868"/>
      <c r="AB1222" s="1868"/>
      <c r="AC1222" s="1868"/>
      <c r="AD1222" s="1895">
        <f t="shared" si="2345"/>
        <v>0</v>
      </c>
      <c r="AE1222" s="1896">
        <f t="shared" si="2346"/>
        <v>0</v>
      </c>
      <c r="AF1222" s="1868"/>
      <c r="AG1222" s="1868"/>
      <c r="AH1222" s="1868"/>
      <c r="AI1222" s="1895">
        <f t="shared" si="2347"/>
        <v>0</v>
      </c>
      <c r="AJ1222" s="1896">
        <f t="shared" si="2348"/>
        <v>0</v>
      </c>
      <c r="AK1222" s="1868"/>
      <c r="AL1222" s="1868"/>
      <c r="AM1222" s="1868"/>
      <c r="AN1222" s="1895">
        <f t="shared" si="2349"/>
        <v>0</v>
      </c>
      <c r="AO1222" s="1897">
        <f t="shared" si="2350"/>
        <v>0</v>
      </c>
    </row>
    <row r="1223">
      <c r="A1223" s="1179" t="s">
        <v>182</v>
      </c>
      <c r="B1223" s="1868">
        <v>7</v>
      </c>
      <c r="C1223" s="1868">
        <v>1</v>
      </c>
      <c r="D1223" s="1868"/>
      <c r="E1223" s="1899">
        <f t="shared" si="2337"/>
        <v>8</v>
      </c>
      <c r="F1223" s="1868"/>
      <c r="G1223" s="1868"/>
      <c r="H1223" s="1868"/>
      <c r="I1223" s="1895">
        <f t="shared" si="2338"/>
        <v>0</v>
      </c>
      <c r="J1223" s="1896">
        <f t="shared" si="2339"/>
        <v>8</v>
      </c>
      <c r="K1223" s="1868"/>
      <c r="L1223" s="1868"/>
      <c r="M1223" s="1868"/>
      <c r="N1223" s="1895">
        <f t="shared" si="2340"/>
        <v>0</v>
      </c>
      <c r="O1223" s="1896">
        <f t="shared" si="2341"/>
        <v>8</v>
      </c>
      <c r="P1223" s="1868"/>
      <c r="Q1223" s="1868"/>
      <c r="R1223" s="1868"/>
      <c r="S1223" s="1895">
        <f t="shared" si="2342"/>
        <v>0</v>
      </c>
      <c r="T1223" s="1897">
        <f t="shared" si="2343"/>
        <v>8</v>
      </c>
      <c r="V1223" s="1179" t="s">
        <v>182</v>
      </c>
      <c r="W1223" s="1868">
        <v>3</v>
      </c>
      <c r="X1223" s="1868">
        <v>3</v>
      </c>
      <c r="Y1223" s="1868"/>
      <c r="Z1223" s="1899">
        <f t="shared" si="2344"/>
        <v>6</v>
      </c>
      <c r="AA1223" s="1868"/>
      <c r="AB1223" s="1868"/>
      <c r="AC1223" s="1868"/>
      <c r="AD1223" s="1895">
        <f t="shared" si="2345"/>
        <v>0</v>
      </c>
      <c r="AE1223" s="1896">
        <f t="shared" si="2346"/>
        <v>6</v>
      </c>
      <c r="AF1223" s="1868"/>
      <c r="AG1223" s="1868"/>
      <c r="AH1223" s="1868"/>
      <c r="AI1223" s="1895">
        <f t="shared" si="2347"/>
        <v>0</v>
      </c>
      <c r="AJ1223" s="1896">
        <f t="shared" si="2348"/>
        <v>6</v>
      </c>
      <c r="AK1223" s="1868"/>
      <c r="AL1223" s="1868"/>
      <c r="AM1223" s="1868"/>
      <c r="AN1223" s="1895">
        <f t="shared" si="2349"/>
        <v>0</v>
      </c>
      <c r="AO1223" s="1897">
        <f t="shared" si="2350"/>
        <v>6</v>
      </c>
    </row>
    <row r="1224">
      <c r="A1224" s="1179" t="s">
        <v>183</v>
      </c>
      <c r="B1224" s="1868">
        <v>31</v>
      </c>
      <c r="C1224" s="1868">
        <v>14</v>
      </c>
      <c r="D1224" s="1868"/>
      <c r="E1224" s="1899">
        <f t="shared" si="2337"/>
        <v>45</v>
      </c>
      <c r="F1224" s="1868"/>
      <c r="G1224" s="1868"/>
      <c r="H1224" s="1868"/>
      <c r="I1224" s="1895">
        <f t="shared" si="2338"/>
        <v>0</v>
      </c>
      <c r="J1224" s="1896">
        <f t="shared" si="2339"/>
        <v>45</v>
      </c>
      <c r="K1224" s="1868"/>
      <c r="L1224" s="1868"/>
      <c r="M1224" s="1868"/>
      <c r="N1224" s="1895">
        <f t="shared" si="2340"/>
        <v>0</v>
      </c>
      <c r="O1224" s="1896">
        <f t="shared" si="2341"/>
        <v>45</v>
      </c>
      <c r="P1224" s="1868"/>
      <c r="Q1224" s="1868"/>
      <c r="R1224" s="1868"/>
      <c r="S1224" s="1895">
        <f t="shared" si="2342"/>
        <v>0</v>
      </c>
      <c r="T1224" s="1897">
        <f t="shared" si="2343"/>
        <v>45</v>
      </c>
      <c r="V1224" s="1179" t="s">
        <v>183</v>
      </c>
      <c r="W1224" s="1868">
        <v>3</v>
      </c>
      <c r="X1224" s="1868"/>
      <c r="Y1224" s="1868"/>
      <c r="Z1224" s="1899">
        <f t="shared" si="2344"/>
        <v>3</v>
      </c>
      <c r="AA1224" s="1868"/>
      <c r="AB1224" s="1868"/>
      <c r="AC1224" s="1868"/>
      <c r="AD1224" s="1895">
        <f t="shared" si="2345"/>
        <v>0</v>
      </c>
      <c r="AE1224" s="1896">
        <f t="shared" si="2346"/>
        <v>3</v>
      </c>
      <c r="AF1224" s="1868"/>
      <c r="AG1224" s="1868"/>
      <c r="AH1224" s="1868"/>
      <c r="AI1224" s="1895">
        <f t="shared" si="2347"/>
        <v>0</v>
      </c>
      <c r="AJ1224" s="1896">
        <f t="shared" si="2348"/>
        <v>3</v>
      </c>
      <c r="AK1224" s="1868"/>
      <c r="AL1224" s="1868"/>
      <c r="AM1224" s="1868"/>
      <c r="AN1224" s="1895">
        <f t="shared" si="2349"/>
        <v>0</v>
      </c>
      <c r="AO1224" s="1897">
        <f t="shared" si="2350"/>
        <v>3</v>
      </c>
    </row>
    <row r="1225">
      <c r="A1225" s="1179" t="s">
        <v>184</v>
      </c>
      <c r="B1225" s="1868"/>
      <c r="C1225" s="1868">
        <v>5</v>
      </c>
      <c r="D1225" s="1868"/>
      <c r="E1225" s="1899">
        <f t="shared" si="2337"/>
        <v>5</v>
      </c>
      <c r="F1225" s="1868"/>
      <c r="G1225" s="1868"/>
      <c r="H1225" s="1868"/>
      <c r="I1225" s="1895">
        <f t="shared" si="2338"/>
        <v>0</v>
      </c>
      <c r="J1225" s="1896">
        <f t="shared" si="2339"/>
        <v>5</v>
      </c>
      <c r="K1225" s="1868"/>
      <c r="L1225" s="1868"/>
      <c r="M1225" s="1868"/>
      <c r="N1225" s="1895">
        <f t="shared" si="2340"/>
        <v>0</v>
      </c>
      <c r="O1225" s="1896">
        <f t="shared" si="2341"/>
        <v>5</v>
      </c>
      <c r="P1225" s="1868"/>
      <c r="Q1225" s="1868"/>
      <c r="R1225" s="1868"/>
      <c r="S1225" s="1895">
        <f t="shared" si="2342"/>
        <v>0</v>
      </c>
      <c r="T1225" s="1897">
        <f t="shared" si="2343"/>
        <v>5</v>
      </c>
      <c r="V1225" s="1179" t="s">
        <v>184</v>
      </c>
      <c r="W1225" s="1868"/>
      <c r="X1225" s="1868"/>
      <c r="Y1225" s="1868"/>
      <c r="Z1225" s="1899">
        <f t="shared" si="2344"/>
        <v>0</v>
      </c>
      <c r="AA1225" s="1868"/>
      <c r="AB1225" s="1868"/>
      <c r="AC1225" s="1868"/>
      <c r="AD1225" s="1895">
        <f t="shared" si="2345"/>
        <v>0</v>
      </c>
      <c r="AE1225" s="1896">
        <f t="shared" si="2346"/>
        <v>0</v>
      </c>
      <c r="AF1225" s="1868"/>
      <c r="AG1225" s="1868"/>
      <c r="AH1225" s="1868"/>
      <c r="AI1225" s="1895">
        <f t="shared" si="2347"/>
        <v>0</v>
      </c>
      <c r="AJ1225" s="1896">
        <f t="shared" si="2348"/>
        <v>0</v>
      </c>
      <c r="AK1225" s="1868"/>
      <c r="AL1225" s="1868"/>
      <c r="AM1225" s="1868"/>
      <c r="AN1225" s="1895">
        <f t="shared" si="2349"/>
        <v>0</v>
      </c>
      <c r="AO1225" s="1897">
        <f t="shared" si="2350"/>
        <v>0</v>
      </c>
    </row>
    <row r="1226">
      <c r="A1226" s="1857" t="s">
        <v>804</v>
      </c>
      <c r="B1226" s="1868"/>
      <c r="C1226" s="1868"/>
      <c r="D1226" s="1868"/>
      <c r="E1226" s="1899">
        <f t="shared" si="2337"/>
        <v>0</v>
      </c>
      <c r="F1226" s="1868"/>
      <c r="G1226" s="1868"/>
      <c r="H1226" s="1868"/>
      <c r="I1226" s="1895">
        <f t="shared" si="2338"/>
        <v>0</v>
      </c>
      <c r="J1226" s="1896">
        <f t="shared" si="2339"/>
        <v>0</v>
      </c>
      <c r="K1226" s="1868"/>
      <c r="L1226" s="1868"/>
      <c r="M1226" s="1868"/>
      <c r="N1226" s="1895">
        <f t="shared" si="2340"/>
        <v>0</v>
      </c>
      <c r="O1226" s="1896">
        <f t="shared" si="2341"/>
        <v>0</v>
      </c>
      <c r="P1226" s="1868"/>
      <c r="Q1226" s="1868"/>
      <c r="R1226" s="1868"/>
      <c r="S1226" s="1895">
        <f t="shared" si="2342"/>
        <v>0</v>
      </c>
      <c r="T1226" s="1897">
        <f t="shared" si="2343"/>
        <v>0</v>
      </c>
      <c r="V1226" s="1857" t="s">
        <v>804</v>
      </c>
      <c r="W1226" s="1868"/>
      <c r="X1226" s="1868"/>
      <c r="Y1226" s="1868"/>
      <c r="Z1226" s="1899">
        <f t="shared" si="2344"/>
        <v>0</v>
      </c>
      <c r="AA1226" s="1868"/>
      <c r="AB1226" s="1868"/>
      <c r="AC1226" s="1868"/>
      <c r="AD1226" s="1895">
        <f t="shared" si="2345"/>
        <v>0</v>
      </c>
      <c r="AE1226" s="1896">
        <f t="shared" si="2346"/>
        <v>0</v>
      </c>
      <c r="AF1226" s="1868"/>
      <c r="AG1226" s="1868"/>
      <c r="AH1226" s="1868"/>
      <c r="AI1226" s="1895">
        <f t="shared" si="2347"/>
        <v>0</v>
      </c>
      <c r="AJ1226" s="1896">
        <f t="shared" si="2348"/>
        <v>0</v>
      </c>
      <c r="AK1226" s="1868"/>
      <c r="AL1226" s="1868"/>
      <c r="AM1226" s="1868"/>
      <c r="AN1226" s="1895">
        <f t="shared" si="2349"/>
        <v>0</v>
      </c>
      <c r="AO1226" s="1897">
        <f t="shared" si="2350"/>
        <v>0</v>
      </c>
    </row>
    <row r="1227">
      <c r="A1227" s="1179" t="s">
        <v>185</v>
      </c>
      <c r="B1227" s="1868">
        <v>1</v>
      </c>
      <c r="C1227" s="1868">
        <v>38</v>
      </c>
      <c r="D1227" s="1868"/>
      <c r="E1227" s="1899">
        <f t="shared" si="2337"/>
        <v>39</v>
      </c>
      <c r="F1227" s="1868"/>
      <c r="G1227" s="1868"/>
      <c r="H1227" s="1868"/>
      <c r="I1227" s="1895">
        <f t="shared" si="2338"/>
        <v>0</v>
      </c>
      <c r="J1227" s="1896">
        <f t="shared" si="2339"/>
        <v>39</v>
      </c>
      <c r="K1227" s="1868"/>
      <c r="L1227" s="1868"/>
      <c r="M1227" s="1868"/>
      <c r="N1227" s="1895">
        <f t="shared" si="2340"/>
        <v>0</v>
      </c>
      <c r="O1227" s="1896">
        <f t="shared" si="2341"/>
        <v>39</v>
      </c>
      <c r="P1227" s="1868"/>
      <c r="Q1227" s="1868"/>
      <c r="R1227" s="1868"/>
      <c r="S1227" s="1895">
        <f t="shared" si="2342"/>
        <v>0</v>
      </c>
      <c r="T1227" s="1897">
        <f t="shared" si="2343"/>
        <v>39</v>
      </c>
      <c r="V1227" s="1179" t="s">
        <v>185</v>
      </c>
      <c r="W1227" s="1868"/>
      <c r="X1227" s="1868"/>
      <c r="Y1227" s="1868"/>
      <c r="Z1227" s="1899">
        <f t="shared" si="2344"/>
        <v>0</v>
      </c>
      <c r="AA1227" s="1868"/>
      <c r="AB1227" s="1868"/>
      <c r="AC1227" s="1868"/>
      <c r="AD1227" s="1895">
        <f t="shared" si="2345"/>
        <v>0</v>
      </c>
      <c r="AE1227" s="1896">
        <f t="shared" si="2346"/>
        <v>0</v>
      </c>
      <c r="AF1227" s="1868"/>
      <c r="AG1227" s="1868"/>
      <c r="AH1227" s="1868"/>
      <c r="AI1227" s="1895">
        <f t="shared" si="2347"/>
        <v>0</v>
      </c>
      <c r="AJ1227" s="1896">
        <f t="shared" si="2348"/>
        <v>0</v>
      </c>
      <c r="AK1227" s="1868"/>
      <c r="AL1227" s="1868"/>
      <c r="AM1227" s="1868"/>
      <c r="AN1227" s="1895">
        <f t="shared" si="2349"/>
        <v>0</v>
      </c>
      <c r="AO1227" s="1897">
        <f t="shared" si="2350"/>
        <v>0</v>
      </c>
    </row>
    <row r="1228">
      <c r="A1228" s="1511" t="s">
        <v>363</v>
      </c>
      <c r="B1228" s="1871">
        <f>SUM(B1220:B1227)</f>
        <v>97</v>
      </c>
      <c r="C1228" s="1871">
        <f>SUM(C1220:C1227)</f>
        <v>139</v>
      </c>
      <c r="D1228" s="1871">
        <f>SUM(D1220:D1227)</f>
        <v>0</v>
      </c>
      <c r="E1228" s="1899">
        <f t="shared" si="2337"/>
        <v>236</v>
      </c>
      <c r="F1228" s="1871">
        <f>SUM(F1220:F1227)</f>
        <v>0</v>
      </c>
      <c r="G1228" s="1871">
        <f>SUM(G1220:G1227)</f>
        <v>0</v>
      </c>
      <c r="H1228" s="1871">
        <f>SUM(H1220:H1227)</f>
        <v>0</v>
      </c>
      <c r="I1228" s="1895">
        <f t="shared" si="2338"/>
        <v>0</v>
      </c>
      <c r="J1228" s="1896">
        <f t="shared" si="2339"/>
        <v>236</v>
      </c>
      <c r="K1228" s="1871">
        <f>SUM(K1220:K1227)</f>
        <v>0</v>
      </c>
      <c r="L1228" s="1871">
        <f>SUM(L1220:L1227)</f>
        <v>0</v>
      </c>
      <c r="M1228" s="1871">
        <f>SUM(M1220:M1227)</f>
        <v>0</v>
      </c>
      <c r="N1228" s="1899">
        <f t="shared" si="2340"/>
        <v>0</v>
      </c>
      <c r="O1228" s="1900">
        <f t="shared" si="2341"/>
        <v>236</v>
      </c>
      <c r="P1228" s="1871">
        <f>SUM(P1220:P1227)</f>
        <v>0</v>
      </c>
      <c r="Q1228" s="1871">
        <f>SUM(Q1220:Q1227)</f>
        <v>0</v>
      </c>
      <c r="R1228" s="1871">
        <f>SUM(R1220:R1227)</f>
        <v>0</v>
      </c>
      <c r="S1228" s="1895">
        <f t="shared" si="2342"/>
        <v>0</v>
      </c>
      <c r="T1228" s="1901">
        <f t="shared" si="2343"/>
        <v>236</v>
      </c>
      <c r="V1228" s="1511" t="s">
        <v>363</v>
      </c>
      <c r="W1228" s="1871">
        <f>SUM(W1220:W1227)</f>
        <v>6</v>
      </c>
      <c r="X1228" s="1871">
        <f>SUM(X1220:X1227)</f>
        <v>3</v>
      </c>
      <c r="Y1228" s="1871">
        <f>SUM(Y1220:Y1227)</f>
        <v>0</v>
      </c>
      <c r="Z1228" s="1899">
        <f t="shared" si="2344"/>
        <v>9</v>
      </c>
      <c r="AA1228" s="1871">
        <f>SUM(AA1220:AA1227)</f>
        <v>0</v>
      </c>
      <c r="AB1228" s="1871">
        <f>SUM(AB1220:AB1227)</f>
        <v>0</v>
      </c>
      <c r="AC1228" s="1871">
        <f>SUM(AC1220:AC1227)</f>
        <v>0</v>
      </c>
      <c r="AD1228" s="1895">
        <f t="shared" si="2345"/>
        <v>0</v>
      </c>
      <c r="AE1228" s="1896">
        <f t="shared" si="2346"/>
        <v>9</v>
      </c>
      <c r="AF1228" s="1871">
        <f>SUM(AF1220:AF1227)</f>
        <v>0</v>
      </c>
      <c r="AG1228" s="1871">
        <f>SUM(AG1220:AG1227)</f>
        <v>0</v>
      </c>
      <c r="AH1228" s="1871">
        <f>SUM(AH1220:AH1227)</f>
        <v>0</v>
      </c>
      <c r="AI1228" s="1899">
        <f t="shared" si="2347"/>
        <v>0</v>
      </c>
      <c r="AJ1228" s="1900">
        <f t="shared" si="2348"/>
        <v>9</v>
      </c>
      <c r="AK1228" s="1871">
        <f>SUM(AK1220:AK1227)</f>
        <v>0</v>
      </c>
      <c r="AL1228" s="1871">
        <f>SUM(AL1220:AL1227)</f>
        <v>0</v>
      </c>
      <c r="AM1228" s="1871">
        <f>SUM(AM1220:AM1227)</f>
        <v>0</v>
      </c>
      <c r="AN1228" s="1895">
        <f t="shared" si="2349"/>
        <v>0</v>
      </c>
      <c r="AO1228" s="1901">
        <f t="shared" si="2350"/>
        <v>9</v>
      </c>
    </row>
    <row r="1229">
      <c r="A1229" s="1179" t="s">
        <v>542</v>
      </c>
      <c r="B1229" s="1868"/>
      <c r="C1229" s="1868"/>
      <c r="D1229" s="1868"/>
      <c r="E1229" s="1899">
        <f t="shared" si="2337"/>
        <v>0</v>
      </c>
      <c r="F1229" s="1868"/>
      <c r="G1229" s="1868"/>
      <c r="H1229" s="1868"/>
      <c r="I1229" s="1895">
        <f t="shared" si="2338"/>
        <v>0</v>
      </c>
      <c r="J1229" s="1896">
        <f t="shared" si="2339"/>
        <v>0</v>
      </c>
      <c r="K1229" s="1868"/>
      <c r="L1229" s="1868"/>
      <c r="M1229" s="1868"/>
      <c r="N1229" s="1895">
        <f t="shared" si="2340"/>
        <v>0</v>
      </c>
      <c r="O1229" s="1896">
        <f t="shared" si="2341"/>
        <v>0</v>
      </c>
      <c r="P1229" s="1868"/>
      <c r="Q1229" s="1868"/>
      <c r="R1229" s="1868"/>
      <c r="S1229" s="1895">
        <f t="shared" si="2342"/>
        <v>0</v>
      </c>
      <c r="T1229" s="1897">
        <f t="shared" si="2343"/>
        <v>0</v>
      </c>
      <c r="V1229" s="1179" t="s">
        <v>542</v>
      </c>
      <c r="W1229" s="1868"/>
      <c r="X1229" s="1868"/>
      <c r="Y1229" s="1868"/>
      <c r="Z1229" s="1899">
        <f t="shared" si="2344"/>
        <v>0</v>
      </c>
      <c r="AA1229" s="1868"/>
      <c r="AB1229" s="1868"/>
      <c r="AC1229" s="1868"/>
      <c r="AD1229" s="1895">
        <f t="shared" si="2345"/>
        <v>0</v>
      </c>
      <c r="AE1229" s="1896">
        <f t="shared" si="2346"/>
        <v>0</v>
      </c>
      <c r="AF1229" s="1868"/>
      <c r="AG1229" s="1868"/>
      <c r="AH1229" s="1868"/>
      <c r="AI1229" s="1895">
        <f t="shared" si="2347"/>
        <v>0</v>
      </c>
      <c r="AJ1229" s="1896">
        <f t="shared" si="2348"/>
        <v>0</v>
      </c>
      <c r="AK1229" s="1868"/>
      <c r="AL1229" s="1868"/>
      <c r="AM1229" s="1868"/>
      <c r="AN1229" s="1895">
        <f t="shared" si="2349"/>
        <v>0</v>
      </c>
      <c r="AO1229" s="1897">
        <f t="shared" si="2350"/>
        <v>0</v>
      </c>
    </row>
    <row r="1230">
      <c r="A1230" s="1179" t="s">
        <v>195</v>
      </c>
      <c r="B1230" s="1868">
        <v>81</v>
      </c>
      <c r="C1230" s="1868">
        <v>160</v>
      </c>
      <c r="D1230" s="1868"/>
      <c r="E1230" s="1899">
        <f t="shared" si="2337"/>
        <v>241</v>
      </c>
      <c r="F1230" s="1868"/>
      <c r="G1230" s="1868"/>
      <c r="H1230" s="1868"/>
      <c r="I1230" s="1895">
        <f t="shared" si="2338"/>
        <v>0</v>
      </c>
      <c r="J1230" s="1896">
        <f t="shared" si="2339"/>
        <v>241</v>
      </c>
      <c r="K1230" s="1868"/>
      <c r="L1230" s="1868"/>
      <c r="M1230" s="1868"/>
      <c r="N1230" s="1895">
        <f t="shared" si="2340"/>
        <v>0</v>
      </c>
      <c r="O1230" s="1896">
        <f t="shared" si="2341"/>
        <v>241</v>
      </c>
      <c r="P1230" s="1868"/>
      <c r="Q1230" s="1868"/>
      <c r="R1230" s="1868"/>
      <c r="S1230" s="1895">
        <f t="shared" si="2342"/>
        <v>0</v>
      </c>
      <c r="T1230" s="1897">
        <f t="shared" si="2343"/>
        <v>241</v>
      </c>
      <c r="V1230" s="1179" t="s">
        <v>195</v>
      </c>
      <c r="W1230" s="1868"/>
      <c r="X1230" s="1868"/>
      <c r="Y1230" s="1868"/>
      <c r="Z1230" s="1899">
        <f t="shared" si="2344"/>
        <v>0</v>
      </c>
      <c r="AA1230" s="1868"/>
      <c r="AB1230" s="1868"/>
      <c r="AC1230" s="1868"/>
      <c r="AD1230" s="1895">
        <f t="shared" si="2345"/>
        <v>0</v>
      </c>
      <c r="AE1230" s="1896">
        <f t="shared" si="2346"/>
        <v>0</v>
      </c>
      <c r="AF1230" s="1868"/>
      <c r="AG1230" s="1868"/>
      <c r="AH1230" s="1868"/>
      <c r="AI1230" s="1895">
        <f t="shared" si="2347"/>
        <v>0</v>
      </c>
      <c r="AJ1230" s="1896">
        <f t="shared" si="2348"/>
        <v>0</v>
      </c>
      <c r="AK1230" s="1868"/>
      <c r="AL1230" s="1868"/>
      <c r="AM1230" s="1868"/>
      <c r="AN1230" s="1895">
        <f t="shared" si="2349"/>
        <v>0</v>
      </c>
      <c r="AO1230" s="1897">
        <f t="shared" si="2350"/>
        <v>0</v>
      </c>
    </row>
    <row r="1231">
      <c r="A1231" s="1179" t="s">
        <v>196</v>
      </c>
      <c r="B1231" s="1868">
        <v>36</v>
      </c>
      <c r="C1231" s="1868">
        <v>35</v>
      </c>
      <c r="D1231" s="1868"/>
      <c r="E1231" s="1899">
        <f t="shared" si="2337"/>
        <v>71</v>
      </c>
      <c r="F1231" s="1868"/>
      <c r="G1231" s="1868"/>
      <c r="H1231" s="1868"/>
      <c r="I1231" s="1895">
        <f t="shared" si="2338"/>
        <v>0</v>
      </c>
      <c r="J1231" s="1896">
        <f t="shared" si="2339"/>
        <v>71</v>
      </c>
      <c r="K1231" s="1868"/>
      <c r="L1231" s="1868"/>
      <c r="M1231" s="1868"/>
      <c r="N1231" s="1895">
        <f t="shared" si="2340"/>
        <v>0</v>
      </c>
      <c r="O1231" s="1896">
        <f t="shared" si="2341"/>
        <v>71</v>
      </c>
      <c r="P1231" s="1868"/>
      <c r="Q1231" s="1868"/>
      <c r="R1231" s="1868"/>
      <c r="S1231" s="1895">
        <f t="shared" si="2342"/>
        <v>0</v>
      </c>
      <c r="T1231" s="1897">
        <f t="shared" si="2343"/>
        <v>71</v>
      </c>
      <c r="V1231" s="1179" t="s">
        <v>196</v>
      </c>
      <c r="W1231" s="1868"/>
      <c r="X1231" s="1868"/>
      <c r="Y1231" s="1868"/>
      <c r="Z1231" s="1899">
        <f t="shared" si="2344"/>
        <v>0</v>
      </c>
      <c r="AA1231" s="1868"/>
      <c r="AB1231" s="1868"/>
      <c r="AC1231" s="1868"/>
      <c r="AD1231" s="1895">
        <f t="shared" si="2345"/>
        <v>0</v>
      </c>
      <c r="AE1231" s="1896">
        <f t="shared" si="2346"/>
        <v>0</v>
      </c>
      <c r="AF1231" s="1868"/>
      <c r="AG1231" s="1868"/>
      <c r="AH1231" s="1868"/>
      <c r="AI1231" s="1895">
        <f t="shared" si="2347"/>
        <v>0</v>
      </c>
      <c r="AJ1231" s="1896">
        <f t="shared" si="2348"/>
        <v>0</v>
      </c>
      <c r="AK1231" s="1868"/>
      <c r="AL1231" s="1868"/>
      <c r="AM1231" s="1868"/>
      <c r="AN1231" s="1895">
        <f t="shared" si="2349"/>
        <v>0</v>
      </c>
      <c r="AO1231" s="1897">
        <f t="shared" si="2350"/>
        <v>0</v>
      </c>
    </row>
    <row r="1232">
      <c r="A1232" s="1179" t="s">
        <v>367</v>
      </c>
      <c r="B1232" s="1868"/>
      <c r="C1232" s="1868"/>
      <c r="D1232" s="1868"/>
      <c r="E1232" s="1899">
        <f t="shared" si="2337"/>
        <v>0</v>
      </c>
      <c r="F1232" s="1868"/>
      <c r="G1232" s="1868"/>
      <c r="H1232" s="1868"/>
      <c r="I1232" s="1895">
        <f t="shared" si="2338"/>
        <v>0</v>
      </c>
      <c r="J1232" s="1896">
        <f t="shared" si="2339"/>
        <v>0</v>
      </c>
      <c r="K1232" s="1868"/>
      <c r="L1232" s="1868"/>
      <c r="M1232" s="1868"/>
      <c r="N1232" s="1895">
        <f t="shared" si="2340"/>
        <v>0</v>
      </c>
      <c r="O1232" s="1896">
        <f t="shared" si="2341"/>
        <v>0</v>
      </c>
      <c r="P1232" s="1868"/>
      <c r="Q1232" s="1868"/>
      <c r="R1232" s="1868"/>
      <c r="S1232" s="1895">
        <f t="shared" si="2342"/>
        <v>0</v>
      </c>
      <c r="T1232" s="1897">
        <f t="shared" si="2343"/>
        <v>0</v>
      </c>
      <c r="V1232" s="1179" t="s">
        <v>367</v>
      </c>
      <c r="W1232" s="1868"/>
      <c r="X1232" s="1868"/>
      <c r="Y1232" s="1868"/>
      <c r="Z1232" s="1899">
        <f t="shared" si="2344"/>
        <v>0</v>
      </c>
      <c r="AA1232" s="1868"/>
      <c r="AB1232" s="1868"/>
      <c r="AC1232" s="1868"/>
      <c r="AD1232" s="1895">
        <f t="shared" si="2345"/>
        <v>0</v>
      </c>
      <c r="AE1232" s="1896">
        <f t="shared" si="2346"/>
        <v>0</v>
      </c>
      <c r="AF1232" s="1868"/>
      <c r="AG1232" s="1868"/>
      <c r="AH1232" s="1868"/>
      <c r="AI1232" s="1895">
        <f t="shared" si="2347"/>
        <v>0</v>
      </c>
      <c r="AJ1232" s="1896">
        <f t="shared" si="2348"/>
        <v>0</v>
      </c>
      <c r="AK1232" s="1868"/>
      <c r="AL1232" s="1868"/>
      <c r="AM1232" s="1868"/>
      <c r="AN1232" s="1895">
        <f t="shared" si="2349"/>
        <v>0</v>
      </c>
      <c r="AO1232" s="1897">
        <f t="shared" si="2350"/>
        <v>0</v>
      </c>
    </row>
    <row r="1233">
      <c r="A1233" s="1179" t="s">
        <v>201</v>
      </c>
      <c r="B1233" s="1868">
        <v>36</v>
      </c>
      <c r="C1233" s="1868">
        <v>62</v>
      </c>
      <c r="D1233" s="1868"/>
      <c r="E1233" s="1899">
        <f t="shared" si="2337"/>
        <v>98</v>
      </c>
      <c r="F1233" s="1868"/>
      <c r="G1233" s="1868"/>
      <c r="H1233" s="1868"/>
      <c r="I1233" s="1895">
        <f t="shared" si="2338"/>
        <v>0</v>
      </c>
      <c r="J1233" s="1896">
        <f t="shared" si="2339"/>
        <v>98</v>
      </c>
      <c r="K1233" s="1868"/>
      <c r="L1233" s="1868"/>
      <c r="M1233" s="1868"/>
      <c r="N1233" s="1895">
        <f t="shared" si="2340"/>
        <v>0</v>
      </c>
      <c r="O1233" s="1896">
        <f t="shared" si="2341"/>
        <v>98</v>
      </c>
      <c r="P1233" s="1868"/>
      <c r="Q1233" s="1868"/>
      <c r="R1233" s="1868"/>
      <c r="S1233" s="1895">
        <f t="shared" si="2342"/>
        <v>0</v>
      </c>
      <c r="T1233" s="1897">
        <f t="shared" si="2343"/>
        <v>98</v>
      </c>
      <c r="V1233" s="1179" t="s">
        <v>201</v>
      </c>
      <c r="W1233" s="1868"/>
      <c r="X1233" s="1868"/>
      <c r="Y1233" s="1868"/>
      <c r="Z1233" s="1899">
        <f t="shared" si="2344"/>
        <v>0</v>
      </c>
      <c r="AA1233" s="1868"/>
      <c r="AB1233" s="1868"/>
      <c r="AC1233" s="1868"/>
      <c r="AD1233" s="1895">
        <f t="shared" si="2345"/>
        <v>0</v>
      </c>
      <c r="AE1233" s="1896">
        <f t="shared" si="2346"/>
        <v>0</v>
      </c>
      <c r="AF1233" s="1868"/>
      <c r="AG1233" s="1868"/>
      <c r="AH1233" s="1868"/>
      <c r="AI1233" s="1895">
        <f t="shared" si="2347"/>
        <v>0</v>
      </c>
      <c r="AJ1233" s="1896">
        <f t="shared" si="2348"/>
        <v>0</v>
      </c>
      <c r="AK1233" s="1868"/>
      <c r="AL1233" s="1868"/>
      <c r="AM1233" s="1868"/>
      <c r="AN1233" s="1895">
        <f t="shared" si="2349"/>
        <v>0</v>
      </c>
      <c r="AO1233" s="1897">
        <f t="shared" si="2350"/>
        <v>0</v>
      </c>
    </row>
    <row r="1234">
      <c r="A1234" s="1179" t="s">
        <v>203</v>
      </c>
      <c r="B1234" s="1868"/>
      <c r="C1234" s="1868"/>
      <c r="D1234" s="1868"/>
      <c r="E1234" s="1899">
        <f t="shared" si="2337"/>
        <v>0</v>
      </c>
      <c r="F1234" s="1868"/>
      <c r="G1234" s="1868"/>
      <c r="H1234" s="1868"/>
      <c r="I1234" s="1895">
        <f t="shared" si="2338"/>
        <v>0</v>
      </c>
      <c r="J1234" s="1896">
        <f t="shared" si="2339"/>
        <v>0</v>
      </c>
      <c r="K1234" s="1868"/>
      <c r="L1234" s="1868"/>
      <c r="M1234" s="1868"/>
      <c r="N1234" s="1895">
        <f t="shared" si="2340"/>
        <v>0</v>
      </c>
      <c r="O1234" s="1896">
        <f t="shared" si="2341"/>
        <v>0</v>
      </c>
      <c r="P1234" s="1868"/>
      <c r="Q1234" s="1868"/>
      <c r="R1234" s="1868"/>
      <c r="S1234" s="1895">
        <f t="shared" si="2342"/>
        <v>0</v>
      </c>
      <c r="T1234" s="1897">
        <f t="shared" si="2343"/>
        <v>0</v>
      </c>
      <c r="V1234" s="1179" t="s">
        <v>203</v>
      </c>
      <c r="W1234" s="1868"/>
      <c r="X1234" s="1868"/>
      <c r="Y1234" s="1868"/>
      <c r="Z1234" s="1899">
        <f t="shared" si="2344"/>
        <v>0</v>
      </c>
      <c r="AA1234" s="1868"/>
      <c r="AB1234" s="1868"/>
      <c r="AC1234" s="1868"/>
      <c r="AD1234" s="1895">
        <f t="shared" si="2345"/>
        <v>0</v>
      </c>
      <c r="AE1234" s="1896">
        <f t="shared" si="2346"/>
        <v>0</v>
      </c>
      <c r="AF1234" s="1868"/>
      <c r="AG1234" s="1868"/>
      <c r="AH1234" s="1868"/>
      <c r="AI1234" s="1895">
        <f t="shared" si="2347"/>
        <v>0</v>
      </c>
      <c r="AJ1234" s="1896">
        <f t="shared" si="2348"/>
        <v>0</v>
      </c>
      <c r="AK1234" s="1868"/>
      <c r="AL1234" s="1868"/>
      <c r="AM1234" s="1868"/>
      <c r="AN1234" s="1895">
        <f t="shared" si="2349"/>
        <v>0</v>
      </c>
      <c r="AO1234" s="1897">
        <f t="shared" si="2350"/>
        <v>0</v>
      </c>
    </row>
    <row r="1235">
      <c r="A1235" s="1179" t="s">
        <v>204</v>
      </c>
      <c r="B1235" s="1868">
        <v>2</v>
      </c>
      <c r="C1235" s="1868">
        <v>3</v>
      </c>
      <c r="D1235" s="1868"/>
      <c r="E1235" s="1899">
        <f t="shared" si="2337"/>
        <v>5</v>
      </c>
      <c r="F1235" s="1868"/>
      <c r="G1235" s="1868"/>
      <c r="H1235" s="1868"/>
      <c r="I1235" s="1895">
        <f t="shared" si="2338"/>
        <v>0</v>
      </c>
      <c r="J1235" s="1896">
        <f t="shared" si="2339"/>
        <v>5</v>
      </c>
      <c r="K1235" s="1868"/>
      <c r="L1235" s="1868"/>
      <c r="M1235" s="1868"/>
      <c r="N1235" s="1895">
        <f t="shared" si="2340"/>
        <v>0</v>
      </c>
      <c r="O1235" s="1896">
        <f t="shared" si="2341"/>
        <v>5</v>
      </c>
      <c r="P1235" s="1868"/>
      <c r="Q1235" s="1868"/>
      <c r="R1235" s="1868"/>
      <c r="S1235" s="1895">
        <f t="shared" si="2342"/>
        <v>0</v>
      </c>
      <c r="T1235" s="1897">
        <f t="shared" si="2343"/>
        <v>5</v>
      </c>
      <c r="V1235" s="1179" t="s">
        <v>204</v>
      </c>
      <c r="W1235" s="1868"/>
      <c r="X1235" s="1868"/>
      <c r="Y1235" s="1868"/>
      <c r="Z1235" s="1899">
        <f t="shared" si="2344"/>
        <v>0</v>
      </c>
      <c r="AA1235" s="1868"/>
      <c r="AB1235" s="1868"/>
      <c r="AC1235" s="1868"/>
      <c r="AD1235" s="1895">
        <f t="shared" si="2345"/>
        <v>0</v>
      </c>
      <c r="AE1235" s="1896">
        <f t="shared" si="2346"/>
        <v>0</v>
      </c>
      <c r="AF1235" s="1868"/>
      <c r="AG1235" s="1868"/>
      <c r="AH1235" s="1868"/>
      <c r="AI1235" s="1895">
        <f t="shared" si="2347"/>
        <v>0</v>
      </c>
      <c r="AJ1235" s="1896">
        <f t="shared" si="2348"/>
        <v>0</v>
      </c>
      <c r="AK1235" s="1868"/>
      <c r="AL1235" s="1868"/>
      <c r="AM1235" s="1868"/>
      <c r="AN1235" s="1895">
        <f t="shared" si="2349"/>
        <v>0</v>
      </c>
      <c r="AO1235" s="1897">
        <f t="shared" si="2350"/>
        <v>0</v>
      </c>
    </row>
    <row r="1236">
      <c r="A1236" s="1179" t="s">
        <v>205</v>
      </c>
      <c r="B1236" s="1868">
        <v>42</v>
      </c>
      <c r="C1236" s="1868">
        <v>34</v>
      </c>
      <c r="D1236" s="1868"/>
      <c r="E1236" s="1899">
        <f t="shared" si="2337"/>
        <v>76</v>
      </c>
      <c r="F1236" s="1868"/>
      <c r="G1236" s="1868"/>
      <c r="H1236" s="1868"/>
      <c r="I1236" s="1895">
        <f t="shared" si="2338"/>
        <v>0</v>
      </c>
      <c r="J1236" s="1896">
        <f t="shared" si="2339"/>
        <v>76</v>
      </c>
      <c r="K1236" s="1868"/>
      <c r="L1236" s="1868"/>
      <c r="M1236" s="1868"/>
      <c r="N1236" s="1895">
        <f t="shared" si="2340"/>
        <v>0</v>
      </c>
      <c r="O1236" s="1896">
        <f t="shared" si="2341"/>
        <v>76</v>
      </c>
      <c r="P1236" s="1868"/>
      <c r="Q1236" s="1868"/>
      <c r="R1236" s="1868"/>
      <c r="S1236" s="1895">
        <f t="shared" si="2342"/>
        <v>0</v>
      </c>
      <c r="T1236" s="1897">
        <f t="shared" si="2343"/>
        <v>76</v>
      </c>
      <c r="V1236" s="1179" t="s">
        <v>205</v>
      </c>
      <c r="W1236" s="1868">
        <v>4</v>
      </c>
      <c r="X1236" s="1868"/>
      <c r="Y1236" s="1868"/>
      <c r="Z1236" s="1899">
        <f t="shared" si="2344"/>
        <v>4</v>
      </c>
      <c r="AA1236" s="1868"/>
      <c r="AB1236" s="1868"/>
      <c r="AC1236" s="1868"/>
      <c r="AD1236" s="1895">
        <f t="shared" si="2345"/>
        <v>0</v>
      </c>
      <c r="AE1236" s="1896">
        <f t="shared" si="2346"/>
        <v>4</v>
      </c>
      <c r="AF1236" s="1868"/>
      <c r="AG1236" s="1868"/>
      <c r="AH1236" s="1868"/>
      <c r="AI1236" s="1895">
        <f t="shared" si="2347"/>
        <v>0</v>
      </c>
      <c r="AJ1236" s="1896">
        <f t="shared" si="2348"/>
        <v>4</v>
      </c>
      <c r="AK1236" s="1868"/>
      <c r="AL1236" s="1868"/>
      <c r="AM1236" s="1868"/>
      <c r="AN1236" s="1895">
        <f t="shared" si="2349"/>
        <v>0</v>
      </c>
      <c r="AO1236" s="1897">
        <f t="shared" si="2350"/>
        <v>4</v>
      </c>
    </row>
    <row r="1237">
      <c r="A1237" s="1179" t="s">
        <v>206</v>
      </c>
      <c r="B1237" s="1868">
        <v>36</v>
      </c>
      <c r="C1237" s="1868">
        <v>38</v>
      </c>
      <c r="D1237" s="1868"/>
      <c r="E1237" s="1899">
        <f t="shared" si="2337"/>
        <v>74</v>
      </c>
      <c r="F1237" s="1868"/>
      <c r="G1237" s="1868"/>
      <c r="H1237" s="1868"/>
      <c r="I1237" s="1895">
        <f t="shared" si="2338"/>
        <v>0</v>
      </c>
      <c r="J1237" s="1896">
        <f t="shared" si="2339"/>
        <v>74</v>
      </c>
      <c r="K1237" s="1868"/>
      <c r="L1237" s="1868"/>
      <c r="M1237" s="1868"/>
      <c r="N1237" s="1895">
        <f t="shared" si="2340"/>
        <v>0</v>
      </c>
      <c r="O1237" s="1896">
        <f t="shared" si="2341"/>
        <v>74</v>
      </c>
      <c r="P1237" s="1868"/>
      <c r="Q1237" s="1868"/>
      <c r="R1237" s="1868"/>
      <c r="S1237" s="1895">
        <f t="shared" si="2342"/>
        <v>0</v>
      </c>
      <c r="T1237" s="1897">
        <f t="shared" si="2343"/>
        <v>74</v>
      </c>
      <c r="V1237" s="1179" t="s">
        <v>206</v>
      </c>
      <c r="W1237" s="1868"/>
      <c r="X1237" s="1868"/>
      <c r="Y1237" s="1868"/>
      <c r="Z1237" s="1899">
        <f t="shared" si="2344"/>
        <v>0</v>
      </c>
      <c r="AA1237" s="1868"/>
      <c r="AB1237" s="1868"/>
      <c r="AC1237" s="1868"/>
      <c r="AD1237" s="1895">
        <f t="shared" si="2345"/>
        <v>0</v>
      </c>
      <c r="AE1237" s="1896">
        <f t="shared" si="2346"/>
        <v>0</v>
      </c>
      <c r="AF1237" s="1868"/>
      <c r="AG1237" s="1868"/>
      <c r="AH1237" s="1868"/>
      <c r="AI1237" s="1895">
        <f t="shared" si="2347"/>
        <v>0</v>
      </c>
      <c r="AJ1237" s="1896">
        <f t="shared" si="2348"/>
        <v>0</v>
      </c>
      <c r="AK1237" s="1868"/>
      <c r="AL1237" s="1868"/>
      <c r="AM1237" s="1868"/>
      <c r="AN1237" s="1895">
        <f t="shared" si="2349"/>
        <v>0</v>
      </c>
      <c r="AO1237" s="1897">
        <f t="shared" si="2350"/>
        <v>0</v>
      </c>
    </row>
    <row r="1238">
      <c r="A1238" s="1179" t="s">
        <v>207</v>
      </c>
      <c r="B1238" s="1868">
        <v>14</v>
      </c>
      <c r="C1238" s="1868">
        <v>9</v>
      </c>
      <c r="D1238" s="1868"/>
      <c r="E1238" s="1899">
        <f t="shared" si="2337"/>
        <v>23</v>
      </c>
      <c r="F1238" s="1868"/>
      <c r="G1238" s="1868"/>
      <c r="H1238" s="1868"/>
      <c r="I1238" s="1895">
        <f t="shared" si="2338"/>
        <v>0</v>
      </c>
      <c r="J1238" s="1896">
        <f t="shared" si="2339"/>
        <v>23</v>
      </c>
      <c r="K1238" s="1868"/>
      <c r="L1238" s="1868"/>
      <c r="M1238" s="1868"/>
      <c r="N1238" s="1895">
        <f t="shared" si="2340"/>
        <v>0</v>
      </c>
      <c r="O1238" s="1896">
        <f t="shared" si="2341"/>
        <v>23</v>
      </c>
      <c r="P1238" s="1868"/>
      <c r="Q1238" s="1868"/>
      <c r="R1238" s="1868"/>
      <c r="S1238" s="1895">
        <f t="shared" si="2342"/>
        <v>0</v>
      </c>
      <c r="T1238" s="1897">
        <f t="shared" si="2343"/>
        <v>23</v>
      </c>
      <c r="V1238" s="1179" t="s">
        <v>207</v>
      </c>
      <c r="W1238" s="1868"/>
      <c r="X1238" s="1868"/>
      <c r="Y1238" s="1868"/>
      <c r="Z1238" s="1899">
        <f t="shared" si="2344"/>
        <v>0</v>
      </c>
      <c r="AA1238" s="1868"/>
      <c r="AB1238" s="1868"/>
      <c r="AC1238" s="1868"/>
      <c r="AD1238" s="1895">
        <f t="shared" si="2345"/>
        <v>0</v>
      </c>
      <c r="AE1238" s="1896">
        <f t="shared" si="2346"/>
        <v>0</v>
      </c>
      <c r="AF1238" s="1868"/>
      <c r="AG1238" s="1868"/>
      <c r="AH1238" s="1868"/>
      <c r="AI1238" s="1895">
        <f t="shared" si="2347"/>
        <v>0</v>
      </c>
      <c r="AJ1238" s="1896">
        <f t="shared" si="2348"/>
        <v>0</v>
      </c>
      <c r="AK1238" s="1868"/>
      <c r="AL1238" s="1868"/>
      <c r="AM1238" s="1868"/>
      <c r="AN1238" s="1895">
        <f t="shared" si="2349"/>
        <v>0</v>
      </c>
      <c r="AO1238" s="1897">
        <f t="shared" si="2350"/>
        <v>0</v>
      </c>
    </row>
    <row r="1239">
      <c r="A1239" s="1179" t="s">
        <v>209</v>
      </c>
      <c r="B1239" s="1868">
        <v>8</v>
      </c>
      <c r="C1239" s="1868">
        <v>2</v>
      </c>
      <c r="D1239" s="1868"/>
      <c r="E1239" s="1899">
        <f t="shared" si="2337"/>
        <v>10</v>
      </c>
      <c r="F1239" s="1868"/>
      <c r="G1239" s="1868"/>
      <c r="H1239" s="1868"/>
      <c r="I1239" s="1895">
        <f t="shared" si="2338"/>
        <v>0</v>
      </c>
      <c r="J1239" s="1896">
        <f t="shared" si="2339"/>
        <v>10</v>
      </c>
      <c r="K1239" s="1868"/>
      <c r="L1239" s="1868"/>
      <c r="M1239" s="1868"/>
      <c r="N1239" s="1895">
        <f t="shared" si="2340"/>
        <v>0</v>
      </c>
      <c r="O1239" s="1896">
        <f t="shared" si="2341"/>
        <v>10</v>
      </c>
      <c r="P1239" s="1868"/>
      <c r="Q1239" s="1868"/>
      <c r="R1239" s="1868"/>
      <c r="S1239" s="1895">
        <f t="shared" si="2342"/>
        <v>0</v>
      </c>
      <c r="T1239" s="1897">
        <f t="shared" si="2343"/>
        <v>10</v>
      </c>
      <c r="V1239" s="1179" t="s">
        <v>209</v>
      </c>
      <c r="W1239" s="1868"/>
      <c r="X1239" s="1868"/>
      <c r="Y1239" s="1868"/>
      <c r="Z1239" s="1899">
        <f t="shared" si="2344"/>
        <v>0</v>
      </c>
      <c r="AA1239" s="1868"/>
      <c r="AB1239" s="1868"/>
      <c r="AC1239" s="1868"/>
      <c r="AD1239" s="1895">
        <f t="shared" si="2345"/>
        <v>0</v>
      </c>
      <c r="AE1239" s="1896">
        <f t="shared" si="2346"/>
        <v>0</v>
      </c>
      <c r="AF1239" s="1868"/>
      <c r="AG1239" s="1868"/>
      <c r="AH1239" s="1868"/>
      <c r="AI1239" s="1895">
        <f t="shared" si="2347"/>
        <v>0</v>
      </c>
      <c r="AJ1239" s="1896">
        <f t="shared" si="2348"/>
        <v>0</v>
      </c>
      <c r="AK1239" s="1868"/>
      <c r="AL1239" s="1868"/>
      <c r="AM1239" s="1868"/>
      <c r="AN1239" s="1895">
        <f t="shared" si="2349"/>
        <v>0</v>
      </c>
      <c r="AO1239" s="1897">
        <f t="shared" si="2350"/>
        <v>0</v>
      </c>
    </row>
    <row r="1240">
      <c r="A1240" s="1179" t="s">
        <v>210</v>
      </c>
      <c r="B1240" s="1868">
        <v>50</v>
      </c>
      <c r="C1240" s="1868"/>
      <c r="D1240" s="1868"/>
      <c r="E1240" s="1899">
        <f t="shared" si="2337"/>
        <v>50</v>
      </c>
      <c r="F1240" s="1868"/>
      <c r="G1240" s="1868"/>
      <c r="H1240" s="1868"/>
      <c r="I1240" s="1895">
        <f t="shared" si="2338"/>
        <v>0</v>
      </c>
      <c r="J1240" s="1896">
        <f t="shared" si="2339"/>
        <v>50</v>
      </c>
      <c r="K1240" s="1868"/>
      <c r="L1240" s="1868"/>
      <c r="M1240" s="1868"/>
      <c r="N1240" s="1895">
        <f t="shared" si="2340"/>
        <v>0</v>
      </c>
      <c r="O1240" s="1896">
        <f t="shared" si="2341"/>
        <v>50</v>
      </c>
      <c r="P1240" s="1868"/>
      <c r="Q1240" s="1868"/>
      <c r="R1240" s="1868"/>
      <c r="S1240" s="1895">
        <f t="shared" si="2342"/>
        <v>0</v>
      </c>
      <c r="T1240" s="1897">
        <f t="shared" si="2343"/>
        <v>50</v>
      </c>
      <c r="V1240" s="1179" t="s">
        <v>210</v>
      </c>
      <c r="W1240" s="1868"/>
      <c r="X1240" s="1868"/>
      <c r="Y1240" s="1868"/>
      <c r="Z1240" s="1899">
        <f t="shared" si="2344"/>
        <v>0</v>
      </c>
      <c r="AA1240" s="1868"/>
      <c r="AB1240" s="1868"/>
      <c r="AC1240" s="1868"/>
      <c r="AD1240" s="1895">
        <f t="shared" si="2345"/>
        <v>0</v>
      </c>
      <c r="AE1240" s="1896">
        <f t="shared" si="2346"/>
        <v>0</v>
      </c>
      <c r="AF1240" s="1868"/>
      <c r="AG1240" s="1868"/>
      <c r="AH1240" s="1868"/>
      <c r="AI1240" s="1895">
        <f t="shared" si="2347"/>
        <v>0</v>
      </c>
      <c r="AJ1240" s="1896">
        <f t="shared" si="2348"/>
        <v>0</v>
      </c>
      <c r="AK1240" s="1868"/>
      <c r="AL1240" s="1868"/>
      <c r="AM1240" s="1868"/>
      <c r="AN1240" s="1895">
        <f t="shared" si="2349"/>
        <v>0</v>
      </c>
      <c r="AO1240" s="1897">
        <f t="shared" si="2350"/>
        <v>0</v>
      </c>
    </row>
    <row r="1241">
      <c r="A1241" s="1179" t="s">
        <v>211</v>
      </c>
      <c r="B1241" s="1868"/>
      <c r="C1241" s="1868">
        <v>26</v>
      </c>
      <c r="D1241" s="1868"/>
      <c r="E1241" s="1899">
        <f t="shared" si="2337"/>
        <v>26</v>
      </c>
      <c r="F1241" s="1868"/>
      <c r="G1241" s="1868"/>
      <c r="H1241" s="1868"/>
      <c r="I1241" s="1895">
        <f t="shared" si="2338"/>
        <v>0</v>
      </c>
      <c r="J1241" s="1896">
        <f t="shared" si="2339"/>
        <v>26</v>
      </c>
      <c r="K1241" s="1868"/>
      <c r="L1241" s="1868"/>
      <c r="M1241" s="1868"/>
      <c r="N1241" s="1895">
        <f t="shared" si="2340"/>
        <v>0</v>
      </c>
      <c r="O1241" s="1896">
        <f t="shared" si="2341"/>
        <v>26</v>
      </c>
      <c r="P1241" s="1868"/>
      <c r="Q1241" s="1868"/>
      <c r="R1241" s="1868"/>
      <c r="S1241" s="1895">
        <f t="shared" si="2342"/>
        <v>0</v>
      </c>
      <c r="T1241" s="1897">
        <f t="shared" si="2343"/>
        <v>26</v>
      </c>
      <c r="V1241" s="1179" t="s">
        <v>211</v>
      </c>
      <c r="W1241" s="1868"/>
      <c r="X1241" s="1868"/>
      <c r="Y1241" s="1868"/>
      <c r="Z1241" s="1899">
        <f t="shared" si="2344"/>
        <v>0</v>
      </c>
      <c r="AA1241" s="1868"/>
      <c r="AB1241" s="1868"/>
      <c r="AC1241" s="1868"/>
      <c r="AD1241" s="1895">
        <f t="shared" si="2345"/>
        <v>0</v>
      </c>
      <c r="AE1241" s="1896">
        <f t="shared" si="2346"/>
        <v>0</v>
      </c>
      <c r="AF1241" s="1868"/>
      <c r="AG1241" s="1868"/>
      <c r="AH1241" s="1868"/>
      <c r="AI1241" s="1895">
        <f t="shared" si="2347"/>
        <v>0</v>
      </c>
      <c r="AJ1241" s="1896">
        <f t="shared" si="2348"/>
        <v>0</v>
      </c>
      <c r="AK1241" s="1868"/>
      <c r="AL1241" s="1868"/>
      <c r="AM1241" s="1868"/>
      <c r="AN1241" s="1895">
        <f t="shared" si="2349"/>
        <v>0</v>
      </c>
      <c r="AO1241" s="1897">
        <f t="shared" si="2350"/>
        <v>0</v>
      </c>
    </row>
    <row r="1242">
      <c r="A1242" s="1511" t="s">
        <v>363</v>
      </c>
      <c r="B1242" s="1871">
        <f>SUM(B1229:B1241)</f>
        <v>305</v>
      </c>
      <c r="C1242" s="1871">
        <f>SUM(C1229:C1241)</f>
        <v>369</v>
      </c>
      <c r="D1242" s="1871">
        <f>SUM(D1229:D1241)</f>
        <v>0</v>
      </c>
      <c r="E1242" s="1899">
        <f t="shared" si="2337"/>
        <v>674</v>
      </c>
      <c r="F1242" s="1871">
        <f>SUM(F1229:F1241)</f>
        <v>0</v>
      </c>
      <c r="G1242" s="1871">
        <f>SUM(G1229:G1241)</f>
        <v>0</v>
      </c>
      <c r="H1242" s="1871">
        <f>SUM(H1229:H1241)</f>
        <v>0</v>
      </c>
      <c r="I1242" s="1895">
        <f t="shared" si="2338"/>
        <v>0</v>
      </c>
      <c r="J1242" s="1896">
        <f t="shared" si="2339"/>
        <v>674</v>
      </c>
      <c r="K1242" s="1871">
        <f>SUM(K1229:K1241)</f>
        <v>0</v>
      </c>
      <c r="L1242" s="1871">
        <f>SUM(L1229:L1241)</f>
        <v>0</v>
      </c>
      <c r="M1242" s="1871">
        <f>SUM(M1229:M1241)</f>
        <v>0</v>
      </c>
      <c r="N1242" s="1899">
        <f t="shared" si="2340"/>
        <v>0</v>
      </c>
      <c r="O1242" s="1900">
        <f t="shared" si="2341"/>
        <v>674</v>
      </c>
      <c r="P1242" s="1871">
        <f>SUM(P1229:P1241)</f>
        <v>0</v>
      </c>
      <c r="Q1242" s="1871">
        <f>SUM(Q1229:Q1241)</f>
        <v>0</v>
      </c>
      <c r="R1242" s="1871">
        <f>SUM(R1229:R1241)</f>
        <v>0</v>
      </c>
      <c r="S1242" s="1895">
        <f t="shared" si="2342"/>
        <v>0</v>
      </c>
      <c r="T1242" s="1901">
        <f t="shared" si="2343"/>
        <v>674</v>
      </c>
      <c r="V1242" s="1511" t="s">
        <v>363</v>
      </c>
      <c r="W1242" s="1871">
        <f>SUM(W1229:W1241)</f>
        <v>4</v>
      </c>
      <c r="X1242" s="1871">
        <f>SUM(X1229:X1241)</f>
        <v>0</v>
      </c>
      <c r="Y1242" s="1871">
        <f>SUM(Y1229:Y1241)</f>
        <v>0</v>
      </c>
      <c r="Z1242" s="1899">
        <f t="shared" si="2344"/>
        <v>4</v>
      </c>
      <c r="AA1242" s="1871">
        <f>SUM(AA1229:AA1241)</f>
        <v>0</v>
      </c>
      <c r="AB1242" s="1871">
        <f>SUM(AB1229:AB1241)</f>
        <v>0</v>
      </c>
      <c r="AC1242" s="1871">
        <f>SUM(AC1229:AC1241)</f>
        <v>0</v>
      </c>
      <c r="AD1242" s="1895">
        <f t="shared" si="2345"/>
        <v>0</v>
      </c>
      <c r="AE1242" s="1896">
        <f t="shared" si="2346"/>
        <v>4</v>
      </c>
      <c r="AF1242" s="1871">
        <f>SUM(AF1229:AF1241)</f>
        <v>0</v>
      </c>
      <c r="AG1242" s="1871">
        <f>SUM(AG1229:AG1241)</f>
        <v>0</v>
      </c>
      <c r="AH1242" s="1871">
        <f>SUM(AH1229:AH1241)</f>
        <v>0</v>
      </c>
      <c r="AI1242" s="1899">
        <f t="shared" si="2347"/>
        <v>0</v>
      </c>
      <c r="AJ1242" s="1900">
        <f t="shared" si="2348"/>
        <v>4</v>
      </c>
      <c r="AK1242" s="1871">
        <f>SUM(AK1229:AK1241)</f>
        <v>0</v>
      </c>
      <c r="AL1242" s="1871">
        <f>SUM(AL1229:AL1241)</f>
        <v>0</v>
      </c>
      <c r="AM1242" s="1871">
        <f>SUM(AM1229:AM1241)</f>
        <v>0</v>
      </c>
      <c r="AN1242" s="1895">
        <f t="shared" si="2349"/>
        <v>0</v>
      </c>
      <c r="AO1242" s="1901">
        <f t="shared" si="2350"/>
        <v>4</v>
      </c>
    </row>
    <row r="1243">
      <c r="A1243" s="1179" t="s">
        <v>379</v>
      </c>
      <c r="B1243" s="1868">
        <v>1</v>
      </c>
      <c r="C1243" s="1868">
        <f>3+4</f>
        <v>7</v>
      </c>
      <c r="D1243" s="1868"/>
      <c r="E1243" s="1899">
        <f t="shared" si="2337"/>
        <v>8</v>
      </c>
      <c r="F1243" s="1868"/>
      <c r="G1243" s="1868"/>
      <c r="H1243" s="1868"/>
      <c r="I1243" s="1895">
        <f t="shared" si="2338"/>
        <v>0</v>
      </c>
      <c r="J1243" s="1896">
        <f t="shared" si="2339"/>
        <v>8</v>
      </c>
      <c r="K1243" s="1868"/>
      <c r="L1243" s="1868"/>
      <c r="M1243" s="1868"/>
      <c r="N1243" s="1895">
        <f t="shared" si="2340"/>
        <v>0</v>
      </c>
      <c r="O1243" s="1896">
        <f t="shared" si="2341"/>
        <v>8</v>
      </c>
      <c r="P1243" s="1868"/>
      <c r="Q1243" s="1868"/>
      <c r="R1243" s="1868"/>
      <c r="S1243" s="1895">
        <f t="shared" si="2342"/>
        <v>0</v>
      </c>
      <c r="T1243" s="1897">
        <f t="shared" si="2343"/>
        <v>8</v>
      </c>
      <c r="V1243" s="1179" t="s">
        <v>379</v>
      </c>
      <c r="W1243" s="1868"/>
      <c r="X1243" s="1868"/>
      <c r="Y1243" s="1868"/>
      <c r="Z1243" s="1899">
        <f t="shared" si="2344"/>
        <v>0</v>
      </c>
      <c r="AA1243" s="1868"/>
      <c r="AB1243" s="1868"/>
      <c r="AC1243" s="1868"/>
      <c r="AD1243" s="1895">
        <f t="shared" si="2345"/>
        <v>0</v>
      </c>
      <c r="AE1243" s="1896">
        <f t="shared" si="2346"/>
        <v>0</v>
      </c>
      <c r="AF1243" s="1868"/>
      <c r="AG1243" s="1868"/>
      <c r="AH1243" s="1868"/>
      <c r="AI1243" s="1895">
        <f t="shared" si="2347"/>
        <v>0</v>
      </c>
      <c r="AJ1243" s="1896">
        <f t="shared" si="2348"/>
        <v>0</v>
      </c>
      <c r="AK1243" s="1868"/>
      <c r="AL1243" s="1868"/>
      <c r="AM1243" s="1868"/>
      <c r="AN1243" s="1895">
        <f t="shared" si="2349"/>
        <v>0</v>
      </c>
      <c r="AO1243" s="1897">
        <f t="shared" si="2350"/>
        <v>0</v>
      </c>
    </row>
    <row r="1244">
      <c r="A1244" s="1561" t="s">
        <v>525</v>
      </c>
      <c r="B1244" s="1868"/>
      <c r="C1244" s="1868"/>
      <c r="D1244" s="1868"/>
      <c r="E1244" s="1899">
        <f t="shared" si="2337"/>
        <v>0</v>
      </c>
      <c r="F1244" s="1868"/>
      <c r="G1244" s="1868"/>
      <c r="H1244" s="1868"/>
      <c r="I1244" s="1895">
        <f t="shared" si="2338"/>
        <v>0</v>
      </c>
      <c r="J1244" s="1896">
        <f t="shared" si="2339"/>
        <v>0</v>
      </c>
      <c r="K1244" s="1868"/>
      <c r="L1244" s="1868"/>
      <c r="M1244" s="1868"/>
      <c r="N1244" s="1895">
        <f t="shared" si="2340"/>
        <v>0</v>
      </c>
      <c r="O1244" s="1896">
        <f t="shared" si="2341"/>
        <v>0</v>
      </c>
      <c r="P1244" s="1868"/>
      <c r="Q1244" s="1868"/>
      <c r="R1244" s="1868"/>
      <c r="S1244" s="1895">
        <f t="shared" si="2342"/>
        <v>0</v>
      </c>
      <c r="T1244" s="1897">
        <f t="shared" si="2343"/>
        <v>0</v>
      </c>
      <c r="V1244" s="1561" t="s">
        <v>525</v>
      </c>
      <c r="W1244" s="1868"/>
      <c r="X1244" s="1868"/>
      <c r="Y1244" s="1868"/>
      <c r="Z1244" s="1899">
        <f t="shared" si="2344"/>
        <v>0</v>
      </c>
      <c r="AA1244" s="1868"/>
      <c r="AB1244" s="1868"/>
      <c r="AC1244" s="1868"/>
      <c r="AD1244" s="1895">
        <f t="shared" si="2345"/>
        <v>0</v>
      </c>
      <c r="AE1244" s="1896">
        <f t="shared" si="2346"/>
        <v>0</v>
      </c>
      <c r="AF1244" s="1868"/>
      <c r="AG1244" s="1868"/>
      <c r="AH1244" s="1868"/>
      <c r="AI1244" s="1895">
        <f t="shared" si="2347"/>
        <v>0</v>
      </c>
      <c r="AJ1244" s="1896">
        <f t="shared" si="2348"/>
        <v>0</v>
      </c>
      <c r="AK1244" s="1868"/>
      <c r="AL1244" s="1868"/>
      <c r="AM1244" s="1868"/>
      <c r="AN1244" s="1895">
        <f t="shared" si="2349"/>
        <v>0</v>
      </c>
      <c r="AO1244" s="1897">
        <f t="shared" si="2350"/>
        <v>0</v>
      </c>
    </row>
    <row r="1245">
      <c r="A1245" s="1551" t="s">
        <v>543</v>
      </c>
      <c r="B1245" s="1868"/>
      <c r="C1245" s="1868">
        <v>1</v>
      </c>
      <c r="D1245" s="1868"/>
      <c r="E1245" s="1899">
        <f t="shared" si="2337"/>
        <v>1</v>
      </c>
      <c r="F1245" s="1868"/>
      <c r="G1245" s="1868"/>
      <c r="H1245" s="1868"/>
      <c r="I1245" s="1895">
        <f t="shared" si="2338"/>
        <v>0</v>
      </c>
      <c r="J1245" s="1896">
        <f t="shared" si="2339"/>
        <v>1</v>
      </c>
      <c r="K1245" s="1868"/>
      <c r="L1245" s="1868"/>
      <c r="M1245" s="1868"/>
      <c r="N1245" s="1895">
        <f t="shared" si="2340"/>
        <v>0</v>
      </c>
      <c r="O1245" s="1896">
        <f t="shared" si="2341"/>
        <v>1</v>
      </c>
      <c r="P1245" s="1868"/>
      <c r="Q1245" s="1868"/>
      <c r="R1245" s="1868"/>
      <c r="S1245" s="1895">
        <f t="shared" si="2342"/>
        <v>0</v>
      </c>
      <c r="T1245" s="1897">
        <f t="shared" si="2343"/>
        <v>1</v>
      </c>
      <c r="V1245" s="1551" t="s">
        <v>543</v>
      </c>
      <c r="W1245" s="1868"/>
      <c r="X1245" s="1868"/>
      <c r="Y1245" s="1868"/>
      <c r="Z1245" s="1899">
        <f t="shared" si="2344"/>
        <v>0</v>
      </c>
      <c r="AA1245" s="1868"/>
      <c r="AB1245" s="1868"/>
      <c r="AC1245" s="1868"/>
      <c r="AD1245" s="1895">
        <f t="shared" si="2345"/>
        <v>0</v>
      </c>
      <c r="AE1245" s="1896">
        <f t="shared" si="2346"/>
        <v>0</v>
      </c>
      <c r="AF1245" s="1868"/>
      <c r="AG1245" s="1868"/>
      <c r="AH1245" s="1868"/>
      <c r="AI1245" s="1895">
        <f t="shared" si="2347"/>
        <v>0</v>
      </c>
      <c r="AJ1245" s="1896">
        <f t="shared" si="2348"/>
        <v>0</v>
      </c>
      <c r="AK1245" s="1868"/>
      <c r="AL1245" s="1868"/>
      <c r="AM1245" s="1868"/>
      <c r="AN1245" s="1895">
        <f t="shared" si="2349"/>
        <v>0</v>
      </c>
      <c r="AO1245" s="1897">
        <f t="shared" si="2350"/>
        <v>0</v>
      </c>
    </row>
    <row r="1246">
      <c r="A1246" s="1511" t="s">
        <v>544</v>
      </c>
      <c r="B1246" s="1871">
        <f>SUM(B1243:B1245)</f>
        <v>1</v>
      </c>
      <c r="C1246" s="1871">
        <f>SUM(C1243:C1245)</f>
        <v>8</v>
      </c>
      <c r="D1246" s="1871">
        <f>SUM(D1243:D1245)</f>
        <v>0</v>
      </c>
      <c r="E1246" s="1899">
        <f t="shared" si="2337"/>
        <v>9</v>
      </c>
      <c r="F1246" s="1871">
        <f>SUM(F1243:F1245)</f>
        <v>0</v>
      </c>
      <c r="G1246" s="1871">
        <f>SUM(G1243:G1245)</f>
        <v>0</v>
      </c>
      <c r="H1246" s="1871">
        <f>SUM(H1243:H1245)</f>
        <v>0</v>
      </c>
      <c r="I1246" s="1895">
        <f t="shared" si="2338"/>
        <v>0</v>
      </c>
      <c r="J1246" s="1896">
        <f t="shared" si="2339"/>
        <v>9</v>
      </c>
      <c r="K1246" s="1871">
        <f>SUM(K1243:K1245)</f>
        <v>0</v>
      </c>
      <c r="L1246" s="1871">
        <f>SUM(L1243:L1245)</f>
        <v>0</v>
      </c>
      <c r="M1246" s="1871">
        <f>SUM(M1243:M1245)</f>
        <v>0</v>
      </c>
      <c r="N1246" s="1895">
        <f t="shared" si="2340"/>
        <v>0</v>
      </c>
      <c r="O1246" s="1896">
        <f t="shared" si="2341"/>
        <v>9</v>
      </c>
      <c r="P1246" s="1871">
        <f>SUM(P1243:P1245)</f>
        <v>0</v>
      </c>
      <c r="Q1246" s="1871">
        <f>SUM(Q1243:Q1245)</f>
        <v>0</v>
      </c>
      <c r="R1246" s="1871">
        <f>SUM(R1243:R1245)</f>
        <v>0</v>
      </c>
      <c r="S1246" s="1895">
        <f t="shared" si="2342"/>
        <v>0</v>
      </c>
      <c r="T1246" s="1901">
        <f t="shared" si="2343"/>
        <v>9</v>
      </c>
      <c r="V1246" s="1511" t="s">
        <v>544</v>
      </c>
      <c r="W1246" s="1871">
        <f>SUM(W1243:W1245)</f>
        <v>0</v>
      </c>
      <c r="X1246" s="1871">
        <f>SUM(X1243:X1245)</f>
        <v>0</v>
      </c>
      <c r="Y1246" s="1871">
        <f>SUM(Y1243:Y1245)</f>
        <v>0</v>
      </c>
      <c r="Z1246" s="1899">
        <f t="shared" si="2344"/>
        <v>0</v>
      </c>
      <c r="AA1246" s="1871">
        <f>SUM(AA1243:AA1245)</f>
        <v>0</v>
      </c>
      <c r="AB1246" s="1871">
        <f>SUM(AB1243:AB1245)</f>
        <v>0</v>
      </c>
      <c r="AC1246" s="1871">
        <f>SUM(AC1243:AC1245)</f>
        <v>0</v>
      </c>
      <c r="AD1246" s="1895">
        <f t="shared" si="2345"/>
        <v>0</v>
      </c>
      <c r="AE1246" s="1896">
        <f t="shared" si="2346"/>
        <v>0</v>
      </c>
      <c r="AF1246" s="1871">
        <f>SUM(AF1243:AF1245)</f>
        <v>0</v>
      </c>
      <c r="AG1246" s="1871">
        <f>SUM(AG1243:AG1245)</f>
        <v>0</v>
      </c>
      <c r="AH1246" s="1871">
        <f>SUM(AH1243:AH1245)</f>
        <v>0</v>
      </c>
      <c r="AI1246" s="1895">
        <f t="shared" si="2347"/>
        <v>0</v>
      </c>
      <c r="AJ1246" s="1896">
        <f t="shared" si="2348"/>
        <v>0</v>
      </c>
      <c r="AK1246" s="1871">
        <f>SUM(AK1243:AK1245)</f>
        <v>0</v>
      </c>
      <c r="AL1246" s="1871">
        <f>SUM(AL1243:AL1245)</f>
        <v>0</v>
      </c>
      <c r="AM1246" s="1871">
        <f>SUM(AM1243:AM1245)</f>
        <v>0</v>
      </c>
      <c r="AN1246" s="1895">
        <f t="shared" si="2349"/>
        <v>0</v>
      </c>
      <c r="AO1246" s="1901">
        <f t="shared" si="2350"/>
        <v>0</v>
      </c>
    </row>
    <row r="1247">
      <c r="A1247" s="1179" t="s">
        <v>390</v>
      </c>
      <c r="B1247" s="1868">
        <v>7</v>
      </c>
      <c r="C1247" s="1868"/>
      <c r="D1247" s="1868"/>
      <c r="E1247" s="1899">
        <f t="shared" si="2337"/>
        <v>7</v>
      </c>
      <c r="F1247" s="1868"/>
      <c r="G1247" s="1868"/>
      <c r="H1247" s="1868"/>
      <c r="I1247" s="1895">
        <f t="shared" si="2338"/>
        <v>0</v>
      </c>
      <c r="J1247" s="1896">
        <f t="shared" si="2339"/>
        <v>7</v>
      </c>
      <c r="K1247" s="1868"/>
      <c r="L1247" s="1868"/>
      <c r="M1247" s="1868"/>
      <c r="N1247" s="1895">
        <f t="shared" si="2340"/>
        <v>0</v>
      </c>
      <c r="O1247" s="1896">
        <f t="shared" si="2341"/>
        <v>7</v>
      </c>
      <c r="P1247" s="1868"/>
      <c r="Q1247" s="1868"/>
      <c r="R1247" s="1868"/>
      <c r="S1247" s="1895">
        <f t="shared" si="2342"/>
        <v>0</v>
      </c>
      <c r="T1247" s="1897">
        <f t="shared" si="2343"/>
        <v>7</v>
      </c>
      <c r="V1247" s="1179" t="s">
        <v>390</v>
      </c>
      <c r="W1247" s="1868"/>
      <c r="X1247" s="1868"/>
      <c r="Y1247" s="1868"/>
      <c r="Z1247" s="1899">
        <f t="shared" si="2344"/>
        <v>0</v>
      </c>
      <c r="AA1247" s="1868"/>
      <c r="AB1247" s="1868"/>
      <c r="AC1247" s="1868"/>
      <c r="AD1247" s="1895">
        <f t="shared" si="2345"/>
        <v>0</v>
      </c>
      <c r="AE1247" s="1896">
        <f t="shared" si="2346"/>
        <v>0</v>
      </c>
      <c r="AF1247" s="1868"/>
      <c r="AG1247" s="1868"/>
      <c r="AH1247" s="1868"/>
      <c r="AI1247" s="1895">
        <f t="shared" si="2347"/>
        <v>0</v>
      </c>
      <c r="AJ1247" s="1896">
        <f t="shared" si="2348"/>
        <v>0</v>
      </c>
      <c r="AK1247" s="1868"/>
      <c r="AL1247" s="1868"/>
      <c r="AM1247" s="1868"/>
      <c r="AN1247" s="1895">
        <f t="shared" si="2349"/>
        <v>0</v>
      </c>
      <c r="AO1247" s="1897">
        <f t="shared" si="2350"/>
        <v>0</v>
      </c>
    </row>
    <row r="1248">
      <c r="A1248" s="1179" t="s">
        <v>392</v>
      </c>
      <c r="B1248" s="1868">
        <v>8</v>
      </c>
      <c r="C1248" s="1868">
        <v>26</v>
      </c>
      <c r="D1248" s="1868"/>
      <c r="E1248" s="1899">
        <f t="shared" si="2337"/>
        <v>34</v>
      </c>
      <c r="F1248" s="1868"/>
      <c r="G1248" s="1868"/>
      <c r="H1248" s="1868"/>
      <c r="I1248" s="1895">
        <f t="shared" si="2338"/>
        <v>0</v>
      </c>
      <c r="J1248" s="1896">
        <f t="shared" si="2339"/>
        <v>34</v>
      </c>
      <c r="K1248" s="1868"/>
      <c r="L1248" s="1868"/>
      <c r="M1248" s="1868"/>
      <c r="N1248" s="1895">
        <f t="shared" si="2340"/>
        <v>0</v>
      </c>
      <c r="O1248" s="1896">
        <f t="shared" si="2341"/>
        <v>34</v>
      </c>
      <c r="P1248" s="1868"/>
      <c r="Q1248" s="1868"/>
      <c r="R1248" s="1868"/>
      <c r="S1248" s="1895">
        <f t="shared" si="2342"/>
        <v>0</v>
      </c>
      <c r="T1248" s="1897">
        <f t="shared" si="2343"/>
        <v>34</v>
      </c>
      <c r="V1248" s="1179" t="s">
        <v>392</v>
      </c>
      <c r="W1248" s="1868"/>
      <c r="X1248" s="1868"/>
      <c r="Y1248" s="1868"/>
      <c r="Z1248" s="1899">
        <f t="shared" si="2344"/>
        <v>0</v>
      </c>
      <c r="AA1248" s="1868"/>
      <c r="AB1248" s="1868"/>
      <c r="AC1248" s="1868"/>
      <c r="AD1248" s="1895">
        <f t="shared" si="2345"/>
        <v>0</v>
      </c>
      <c r="AE1248" s="1896">
        <f t="shared" si="2346"/>
        <v>0</v>
      </c>
      <c r="AF1248" s="1868"/>
      <c r="AG1248" s="1868"/>
      <c r="AH1248" s="1868"/>
      <c r="AI1248" s="1895">
        <f t="shared" si="2347"/>
        <v>0</v>
      </c>
      <c r="AJ1248" s="1896">
        <f t="shared" si="2348"/>
        <v>0</v>
      </c>
      <c r="AK1248" s="1868"/>
      <c r="AL1248" s="1868"/>
      <c r="AM1248" s="1868"/>
      <c r="AN1248" s="1895">
        <f t="shared" si="2349"/>
        <v>0</v>
      </c>
      <c r="AO1248" s="1897">
        <f t="shared" si="2350"/>
        <v>0</v>
      </c>
    </row>
    <row r="1249">
      <c r="A1249" s="1179" t="s">
        <v>265</v>
      </c>
      <c r="B1249" s="1868"/>
      <c r="C1249" s="1868"/>
      <c r="D1249" s="1868"/>
      <c r="E1249" s="1899">
        <f t="shared" si="2337"/>
        <v>0</v>
      </c>
      <c r="F1249" s="1868"/>
      <c r="G1249" s="1868"/>
      <c r="H1249" s="1868"/>
      <c r="I1249" s="1895">
        <f t="shared" si="2338"/>
        <v>0</v>
      </c>
      <c r="J1249" s="1896">
        <f t="shared" si="2339"/>
        <v>0</v>
      </c>
      <c r="K1249" s="1868"/>
      <c r="L1249" s="1868"/>
      <c r="M1249" s="1868"/>
      <c r="N1249" s="1895">
        <f t="shared" si="2340"/>
        <v>0</v>
      </c>
      <c r="O1249" s="1896">
        <f t="shared" si="2341"/>
        <v>0</v>
      </c>
      <c r="P1249" s="1868"/>
      <c r="Q1249" s="1868"/>
      <c r="R1249" s="1868"/>
      <c r="S1249" s="1895">
        <f t="shared" si="2342"/>
        <v>0</v>
      </c>
      <c r="T1249" s="1897">
        <f t="shared" si="2343"/>
        <v>0</v>
      </c>
      <c r="V1249" s="1179" t="s">
        <v>265</v>
      </c>
      <c r="W1249" s="1868"/>
      <c r="X1249" s="1868"/>
      <c r="Y1249" s="1868"/>
      <c r="Z1249" s="1899">
        <f t="shared" si="2344"/>
        <v>0</v>
      </c>
      <c r="AA1249" s="1868"/>
      <c r="AB1249" s="1868"/>
      <c r="AC1249" s="1868"/>
      <c r="AD1249" s="1895">
        <f t="shared" si="2345"/>
        <v>0</v>
      </c>
      <c r="AE1249" s="1896">
        <f t="shared" si="2346"/>
        <v>0</v>
      </c>
      <c r="AF1249" s="1868"/>
      <c r="AG1249" s="1868"/>
      <c r="AH1249" s="1868"/>
      <c r="AI1249" s="1895">
        <f t="shared" si="2347"/>
        <v>0</v>
      </c>
      <c r="AJ1249" s="1896">
        <f t="shared" si="2348"/>
        <v>0</v>
      </c>
      <c r="AK1249" s="1868"/>
      <c r="AL1249" s="1868"/>
      <c r="AM1249" s="1868"/>
      <c r="AN1249" s="1895">
        <f t="shared" si="2349"/>
        <v>0</v>
      </c>
      <c r="AO1249" s="1897">
        <f t="shared" si="2350"/>
        <v>0</v>
      </c>
    </row>
    <row r="1250">
      <c r="A1250" s="1511" t="s">
        <v>394</v>
      </c>
      <c r="B1250" s="1871">
        <f>SUM(B1247:B1249)</f>
        <v>15</v>
      </c>
      <c r="C1250" s="1871">
        <f>SUM(C1247:C1249)</f>
        <v>26</v>
      </c>
      <c r="D1250" s="1871">
        <f>SUM(D1247:D1249)</f>
        <v>0</v>
      </c>
      <c r="E1250" s="1899">
        <f t="shared" si="2337"/>
        <v>41</v>
      </c>
      <c r="F1250" s="1871">
        <f>SUM(F1247:F1249)</f>
        <v>0</v>
      </c>
      <c r="G1250" s="1871">
        <f>SUM(G1247:G1249)</f>
        <v>0</v>
      </c>
      <c r="H1250" s="1871">
        <f>SUM(H1247:H1249)</f>
        <v>0</v>
      </c>
      <c r="I1250" s="1895">
        <f t="shared" si="2338"/>
        <v>0</v>
      </c>
      <c r="J1250" s="1896">
        <f t="shared" si="2339"/>
        <v>41</v>
      </c>
      <c r="K1250" s="1871">
        <f>SUM(K1247:K1249)</f>
        <v>0</v>
      </c>
      <c r="L1250" s="1871">
        <f>SUM(L1247:L1249)</f>
        <v>0</v>
      </c>
      <c r="M1250" s="1871">
        <f>SUM(M1247:M1249)</f>
        <v>0</v>
      </c>
      <c r="N1250" s="1895">
        <f t="shared" si="2340"/>
        <v>0</v>
      </c>
      <c r="O1250" s="1896">
        <f t="shared" si="2341"/>
        <v>41</v>
      </c>
      <c r="P1250" s="1871">
        <f>SUM(P1247:P1249)</f>
        <v>0</v>
      </c>
      <c r="Q1250" s="1871">
        <f>SUM(Q1247:Q1249)</f>
        <v>0</v>
      </c>
      <c r="R1250" s="1871">
        <f>SUM(R1247:R1249)</f>
        <v>0</v>
      </c>
      <c r="S1250" s="1895">
        <f t="shared" si="2342"/>
        <v>0</v>
      </c>
      <c r="T1250" s="1901">
        <f t="shared" si="2343"/>
        <v>41</v>
      </c>
      <c r="V1250" s="1511" t="s">
        <v>394</v>
      </c>
      <c r="W1250" s="1871">
        <f>SUM(W1247:W1249)</f>
        <v>0</v>
      </c>
      <c r="X1250" s="1871">
        <f>SUM(X1247:X1249)</f>
        <v>0</v>
      </c>
      <c r="Y1250" s="1871">
        <f>SUM(Y1247:Y1249)</f>
        <v>0</v>
      </c>
      <c r="Z1250" s="1899">
        <f t="shared" si="2344"/>
        <v>0</v>
      </c>
      <c r="AA1250" s="1871">
        <f>SUM(AA1247:AA1249)</f>
        <v>0</v>
      </c>
      <c r="AB1250" s="1871">
        <f>SUM(AB1247:AB1249)</f>
        <v>0</v>
      </c>
      <c r="AC1250" s="1871">
        <f>SUM(AC1247:AC1249)</f>
        <v>0</v>
      </c>
      <c r="AD1250" s="1895">
        <f t="shared" si="2345"/>
        <v>0</v>
      </c>
      <c r="AE1250" s="1896">
        <f t="shared" si="2346"/>
        <v>0</v>
      </c>
      <c r="AF1250" s="1871">
        <f>SUM(AF1247:AF1249)</f>
        <v>0</v>
      </c>
      <c r="AG1250" s="1871">
        <f>SUM(AG1247:AG1249)</f>
        <v>0</v>
      </c>
      <c r="AH1250" s="1871">
        <f>SUM(AH1247:AH1249)</f>
        <v>0</v>
      </c>
      <c r="AI1250" s="1895">
        <f t="shared" si="2347"/>
        <v>0</v>
      </c>
      <c r="AJ1250" s="1896">
        <f t="shared" si="2348"/>
        <v>0</v>
      </c>
      <c r="AK1250" s="1871">
        <f>SUM(AK1247:AK1249)</f>
        <v>0</v>
      </c>
      <c r="AL1250" s="1871">
        <f>SUM(AL1247:AL1249)</f>
        <v>0</v>
      </c>
      <c r="AM1250" s="1871">
        <f>SUM(AM1247:AM1249)</f>
        <v>0</v>
      </c>
      <c r="AN1250" s="1895">
        <f t="shared" si="2349"/>
        <v>0</v>
      </c>
      <c r="AO1250" s="1901">
        <f t="shared" si="2350"/>
        <v>0</v>
      </c>
    </row>
    <row r="1251">
      <c r="A1251" s="1511" t="s">
        <v>545</v>
      </c>
      <c r="B1251" s="1871">
        <f>B1228+B1242+B1246+B1250</f>
        <v>418</v>
      </c>
      <c r="C1251" s="1871">
        <f>C1228+C1242+C1246+C1250</f>
        <v>542</v>
      </c>
      <c r="D1251" s="1871">
        <f>D1228+D1242+D1246+D1250</f>
        <v>0</v>
      </c>
      <c r="E1251" s="1899">
        <f t="shared" si="2337"/>
        <v>960</v>
      </c>
      <c r="F1251" s="1871">
        <f>F1228+F1242+F1246+F1250</f>
        <v>0</v>
      </c>
      <c r="G1251" s="1871">
        <f>G1228+G1242+G1246+G1250</f>
        <v>0</v>
      </c>
      <c r="H1251" s="1871">
        <f>H1228+H1242+H1246+H1250</f>
        <v>0</v>
      </c>
      <c r="I1251" s="1895">
        <f t="shared" si="2338"/>
        <v>0</v>
      </c>
      <c r="J1251" s="1896">
        <f t="shared" si="2339"/>
        <v>960</v>
      </c>
      <c r="K1251" s="1871">
        <f>K1228+K1242+K1246+K1250</f>
        <v>0</v>
      </c>
      <c r="L1251" s="1871">
        <f>L1228+L1242+L1246+L1250</f>
        <v>0</v>
      </c>
      <c r="M1251" s="1871">
        <f>M1228+M1242+M1246+M1250</f>
        <v>0</v>
      </c>
      <c r="N1251" s="1899">
        <f t="shared" si="2340"/>
        <v>0</v>
      </c>
      <c r="O1251" s="1900">
        <f t="shared" si="2341"/>
        <v>960</v>
      </c>
      <c r="P1251" s="1871">
        <f>P1228+P1242+P1246+P1250</f>
        <v>0</v>
      </c>
      <c r="Q1251" s="1871">
        <f>Q1228+Q1242+Q1246+Q1250</f>
        <v>0</v>
      </c>
      <c r="R1251" s="1871">
        <f>R1228+R1242+R1246+R1250</f>
        <v>0</v>
      </c>
      <c r="S1251" s="1895">
        <f t="shared" si="2342"/>
        <v>0</v>
      </c>
      <c r="T1251" s="1901">
        <f t="shared" si="2343"/>
        <v>960</v>
      </c>
      <c r="V1251" s="1511" t="s">
        <v>545</v>
      </c>
      <c r="W1251" s="1871">
        <f>W1228+W1242+W1246+W1250</f>
        <v>10</v>
      </c>
      <c r="X1251" s="1871">
        <f>X1228+X1242+X1246+X1250</f>
        <v>3</v>
      </c>
      <c r="Y1251" s="1871">
        <f>Y1228+Y1242+Y1246+Y1250</f>
        <v>0</v>
      </c>
      <c r="Z1251" s="1899">
        <f t="shared" si="2344"/>
        <v>13</v>
      </c>
      <c r="AA1251" s="1871">
        <f>AA1228+AA1242+AA1246+AA1250</f>
        <v>0</v>
      </c>
      <c r="AB1251" s="1871">
        <f>AB1228+AB1242+AB1246+AB1250</f>
        <v>0</v>
      </c>
      <c r="AC1251" s="1871">
        <f>AC1228+AC1242+AC1246+AC1250</f>
        <v>0</v>
      </c>
      <c r="AD1251" s="1895">
        <f t="shared" si="2345"/>
        <v>0</v>
      </c>
      <c r="AE1251" s="1896">
        <f t="shared" si="2346"/>
        <v>13</v>
      </c>
      <c r="AF1251" s="1871">
        <f>AF1228+AF1242+AF1246+AF1250</f>
        <v>0</v>
      </c>
      <c r="AG1251" s="1871">
        <f>AG1228+AG1242+AG1246+AG1250</f>
        <v>0</v>
      </c>
      <c r="AH1251" s="1871">
        <f>AH1228+AH1242+AH1246+AH1250</f>
        <v>0</v>
      </c>
      <c r="AI1251" s="1899">
        <f t="shared" si="2347"/>
        <v>0</v>
      </c>
      <c r="AJ1251" s="1900">
        <f t="shared" si="2348"/>
        <v>13</v>
      </c>
      <c r="AK1251" s="1871">
        <f>AK1228+AK1242+AK1246+AK1250</f>
        <v>0</v>
      </c>
      <c r="AL1251" s="1871">
        <f>AL1228+AL1242+AL1246+AL1250</f>
        <v>0</v>
      </c>
      <c r="AM1251" s="1871">
        <f>AM1228+AM1242+AM1246+AM1250</f>
        <v>0</v>
      </c>
      <c r="AN1251" s="1895">
        <f t="shared" si="2349"/>
        <v>0</v>
      </c>
      <c r="AO1251" s="1901">
        <f t="shared" si="2350"/>
        <v>13</v>
      </c>
    </row>
    <row r="1252">
      <c r="A1252" s="1179" t="s">
        <v>50</v>
      </c>
      <c r="B1252" s="1868"/>
      <c r="C1252" s="1868"/>
      <c r="D1252" s="1868"/>
      <c r="E1252" s="1899">
        <f t="shared" si="2337"/>
        <v>0</v>
      </c>
      <c r="F1252" s="1868"/>
      <c r="G1252" s="1868"/>
      <c r="H1252" s="1868"/>
      <c r="I1252" s="1895">
        <f t="shared" si="2338"/>
        <v>0</v>
      </c>
      <c r="J1252" s="1896">
        <f t="shared" si="2339"/>
        <v>0</v>
      </c>
      <c r="K1252" s="1868"/>
      <c r="L1252" s="1868"/>
      <c r="M1252" s="1868"/>
      <c r="N1252" s="1895">
        <f t="shared" si="2340"/>
        <v>0</v>
      </c>
      <c r="O1252" s="1896">
        <f t="shared" si="2341"/>
        <v>0</v>
      </c>
      <c r="P1252" s="1868"/>
      <c r="Q1252" s="1868"/>
      <c r="R1252" s="1868"/>
      <c r="S1252" s="1895">
        <f t="shared" si="2342"/>
        <v>0</v>
      </c>
      <c r="T1252" s="1897">
        <f t="shared" si="2343"/>
        <v>0</v>
      </c>
      <c r="V1252" s="1179" t="s">
        <v>50</v>
      </c>
      <c r="W1252" s="1868"/>
      <c r="X1252" s="1868"/>
      <c r="Y1252" s="1868"/>
      <c r="Z1252" s="1899">
        <f t="shared" si="2344"/>
        <v>0</v>
      </c>
      <c r="AA1252" s="1868"/>
      <c r="AB1252" s="1868"/>
      <c r="AC1252" s="1868"/>
      <c r="AD1252" s="1895">
        <f t="shared" si="2345"/>
        <v>0</v>
      </c>
      <c r="AE1252" s="1896">
        <f t="shared" si="2346"/>
        <v>0</v>
      </c>
      <c r="AF1252" s="1868"/>
      <c r="AG1252" s="1868"/>
      <c r="AH1252" s="1868"/>
      <c r="AI1252" s="1895">
        <f t="shared" si="2347"/>
        <v>0</v>
      </c>
      <c r="AJ1252" s="1896">
        <f t="shared" si="2348"/>
        <v>0</v>
      </c>
      <c r="AK1252" s="1868"/>
      <c r="AL1252" s="1868"/>
      <c r="AM1252" s="1868"/>
      <c r="AN1252" s="1895">
        <f t="shared" si="2349"/>
        <v>0</v>
      </c>
      <c r="AO1252" s="1897">
        <f t="shared" si="2350"/>
        <v>0</v>
      </c>
    </row>
    <row r="1253">
      <c r="A1253" s="1179" t="s">
        <v>397</v>
      </c>
      <c r="B1253" s="1868">
        <v>2</v>
      </c>
      <c r="C1253" s="1868">
        <v>3</v>
      </c>
      <c r="D1253" s="1868"/>
      <c r="E1253" s="1899">
        <f t="shared" si="2337"/>
        <v>5</v>
      </c>
      <c r="F1253" s="1868"/>
      <c r="G1253" s="1868"/>
      <c r="H1253" s="1868"/>
      <c r="I1253" s="1895">
        <f t="shared" si="2338"/>
        <v>0</v>
      </c>
      <c r="J1253" s="1896">
        <f t="shared" si="2339"/>
        <v>5</v>
      </c>
      <c r="K1253" s="1868"/>
      <c r="L1253" s="1868"/>
      <c r="M1253" s="1868"/>
      <c r="N1253" s="1895">
        <f t="shared" si="2340"/>
        <v>0</v>
      </c>
      <c r="O1253" s="1896">
        <f t="shared" si="2341"/>
        <v>5</v>
      </c>
      <c r="P1253" s="1868"/>
      <c r="Q1253" s="1868"/>
      <c r="R1253" s="1868"/>
      <c r="S1253" s="1895">
        <f t="shared" si="2342"/>
        <v>0</v>
      </c>
      <c r="T1253" s="1897">
        <f t="shared" si="2343"/>
        <v>5</v>
      </c>
      <c r="V1253" s="1179" t="s">
        <v>397</v>
      </c>
      <c r="W1253" s="1868"/>
      <c r="X1253" s="1868"/>
      <c r="Y1253" s="1868"/>
      <c r="Z1253" s="1899">
        <f t="shared" si="2344"/>
        <v>0</v>
      </c>
      <c r="AA1253" s="1868"/>
      <c r="AB1253" s="1868"/>
      <c r="AC1253" s="1868"/>
      <c r="AD1253" s="1895">
        <f t="shared" si="2345"/>
        <v>0</v>
      </c>
      <c r="AE1253" s="1896">
        <f t="shared" si="2346"/>
        <v>0</v>
      </c>
      <c r="AF1253" s="1868"/>
      <c r="AG1253" s="1868"/>
      <c r="AH1253" s="1868"/>
      <c r="AI1253" s="1895">
        <f t="shared" si="2347"/>
        <v>0</v>
      </c>
      <c r="AJ1253" s="1896">
        <f t="shared" si="2348"/>
        <v>0</v>
      </c>
      <c r="AK1253" s="1868"/>
      <c r="AL1253" s="1868"/>
      <c r="AM1253" s="1868"/>
      <c r="AN1253" s="1895">
        <f t="shared" si="2349"/>
        <v>0</v>
      </c>
      <c r="AO1253" s="1897">
        <f t="shared" si="2350"/>
        <v>0</v>
      </c>
    </row>
    <row r="1254">
      <c r="A1254" s="1179" t="s">
        <v>546</v>
      </c>
      <c r="B1254" s="1868">
        <v>8</v>
      </c>
      <c r="C1254" s="1868">
        <v>2</v>
      </c>
      <c r="D1254" s="1868"/>
      <c r="E1254" s="1899">
        <f t="shared" si="2337"/>
        <v>10</v>
      </c>
      <c r="F1254" s="1868"/>
      <c r="G1254" s="1868"/>
      <c r="H1254" s="1868"/>
      <c r="I1254" s="1895">
        <f t="shared" si="2338"/>
        <v>0</v>
      </c>
      <c r="J1254" s="1896">
        <f t="shared" si="2339"/>
        <v>10</v>
      </c>
      <c r="K1254" s="1868"/>
      <c r="L1254" s="1868"/>
      <c r="M1254" s="1868"/>
      <c r="N1254" s="1895">
        <f t="shared" si="2340"/>
        <v>0</v>
      </c>
      <c r="O1254" s="1896">
        <f t="shared" si="2341"/>
        <v>10</v>
      </c>
      <c r="P1254" s="1868"/>
      <c r="Q1254" s="1868"/>
      <c r="R1254" s="1868"/>
      <c r="S1254" s="1895">
        <f t="shared" si="2342"/>
        <v>0</v>
      </c>
      <c r="T1254" s="1897">
        <f t="shared" si="2343"/>
        <v>10</v>
      </c>
      <c r="V1254" s="1179" t="s">
        <v>546</v>
      </c>
      <c r="W1254" s="1868"/>
      <c r="X1254" s="1868"/>
      <c r="Y1254" s="1868"/>
      <c r="Z1254" s="1899">
        <f t="shared" si="2344"/>
        <v>0</v>
      </c>
      <c r="AA1254" s="1868"/>
      <c r="AB1254" s="1868"/>
      <c r="AC1254" s="1868"/>
      <c r="AD1254" s="1895">
        <f t="shared" si="2345"/>
        <v>0</v>
      </c>
      <c r="AE1254" s="1896">
        <f t="shared" si="2346"/>
        <v>0</v>
      </c>
      <c r="AF1254" s="1868"/>
      <c r="AG1254" s="1868"/>
      <c r="AH1254" s="1868"/>
      <c r="AI1254" s="1895">
        <f t="shared" si="2347"/>
        <v>0</v>
      </c>
      <c r="AJ1254" s="1896">
        <f t="shared" si="2348"/>
        <v>0</v>
      </c>
      <c r="AK1254" s="1868"/>
      <c r="AL1254" s="1868"/>
      <c r="AM1254" s="1868"/>
      <c r="AN1254" s="1895">
        <f t="shared" si="2349"/>
        <v>0</v>
      </c>
      <c r="AO1254" s="1897">
        <f t="shared" si="2350"/>
        <v>0</v>
      </c>
    </row>
    <row r="1255">
      <c r="A1255" s="1179" t="s">
        <v>241</v>
      </c>
      <c r="B1255" s="1868"/>
      <c r="C1255" s="1868"/>
      <c r="D1255" s="1868"/>
      <c r="E1255" s="1899">
        <f t="shared" si="2337"/>
        <v>0</v>
      </c>
      <c r="F1255" s="1868"/>
      <c r="G1255" s="1868"/>
      <c r="H1255" s="1868"/>
      <c r="I1255" s="1895">
        <f t="shared" si="2338"/>
        <v>0</v>
      </c>
      <c r="J1255" s="1896">
        <f t="shared" si="2339"/>
        <v>0</v>
      </c>
      <c r="K1255" s="1868"/>
      <c r="L1255" s="1868"/>
      <c r="M1255" s="1868"/>
      <c r="N1255" s="1895">
        <f t="shared" si="2340"/>
        <v>0</v>
      </c>
      <c r="O1255" s="1896">
        <f t="shared" si="2341"/>
        <v>0</v>
      </c>
      <c r="P1255" s="1868"/>
      <c r="Q1255" s="1868"/>
      <c r="R1255" s="1868"/>
      <c r="S1255" s="1895">
        <f t="shared" si="2342"/>
        <v>0</v>
      </c>
      <c r="T1255" s="1897">
        <f t="shared" si="2343"/>
        <v>0</v>
      </c>
      <c r="V1255" s="1179" t="s">
        <v>241</v>
      </c>
      <c r="W1255" s="1868"/>
      <c r="X1255" s="1868"/>
      <c r="Y1255" s="1868"/>
      <c r="Z1255" s="1899">
        <f t="shared" si="2344"/>
        <v>0</v>
      </c>
      <c r="AA1255" s="1868"/>
      <c r="AB1255" s="1868"/>
      <c r="AC1255" s="1868"/>
      <c r="AD1255" s="1895">
        <f t="shared" si="2345"/>
        <v>0</v>
      </c>
      <c r="AE1255" s="1896">
        <f t="shared" si="2346"/>
        <v>0</v>
      </c>
      <c r="AF1255" s="1868"/>
      <c r="AG1255" s="1868"/>
      <c r="AH1255" s="1868"/>
      <c r="AI1255" s="1895">
        <f t="shared" si="2347"/>
        <v>0</v>
      </c>
      <c r="AJ1255" s="1896">
        <f t="shared" si="2348"/>
        <v>0</v>
      </c>
      <c r="AK1255" s="1868"/>
      <c r="AL1255" s="1868"/>
      <c r="AM1255" s="1868"/>
      <c r="AN1255" s="1895">
        <f t="shared" si="2349"/>
        <v>0</v>
      </c>
      <c r="AO1255" s="1897">
        <f t="shared" si="2350"/>
        <v>0</v>
      </c>
    </row>
    <row r="1256">
      <c r="A1256" s="1179" t="s">
        <v>855</v>
      </c>
      <c r="B1256" s="1868">
        <v>11</v>
      </c>
      <c r="C1256" s="1868"/>
      <c r="D1256" s="1868"/>
      <c r="E1256" s="1899">
        <f t="shared" si="2337"/>
        <v>11</v>
      </c>
      <c r="F1256" s="1868"/>
      <c r="G1256" s="1868"/>
      <c r="H1256" s="1868"/>
      <c r="I1256" s="1895">
        <f t="shared" si="2338"/>
        <v>0</v>
      </c>
      <c r="J1256" s="1896">
        <f t="shared" si="2339"/>
        <v>11</v>
      </c>
      <c r="K1256" s="1868"/>
      <c r="L1256" s="1868"/>
      <c r="M1256" s="1868"/>
      <c r="N1256" s="1895">
        <f t="shared" si="2340"/>
        <v>0</v>
      </c>
      <c r="O1256" s="1896">
        <f t="shared" si="2341"/>
        <v>11</v>
      </c>
      <c r="P1256" s="1868"/>
      <c r="Q1256" s="1868"/>
      <c r="R1256" s="1868"/>
      <c r="S1256" s="1895">
        <f t="shared" si="2342"/>
        <v>0</v>
      </c>
      <c r="T1256" s="1897">
        <f t="shared" si="2343"/>
        <v>11</v>
      </c>
      <c r="V1256" s="1179" t="s">
        <v>855</v>
      </c>
      <c r="W1256" s="1868"/>
      <c r="X1256" s="1868"/>
      <c r="Y1256" s="1868"/>
      <c r="Z1256" s="1899">
        <f t="shared" si="2344"/>
        <v>0</v>
      </c>
      <c r="AA1256" s="1868"/>
      <c r="AB1256" s="1868"/>
      <c r="AC1256" s="1868"/>
      <c r="AD1256" s="1895">
        <f t="shared" si="2345"/>
        <v>0</v>
      </c>
      <c r="AE1256" s="1896">
        <f t="shared" si="2346"/>
        <v>0</v>
      </c>
      <c r="AF1256" s="1868"/>
      <c r="AG1256" s="1868"/>
      <c r="AH1256" s="1868"/>
      <c r="AI1256" s="1895">
        <f t="shared" si="2347"/>
        <v>0</v>
      </c>
      <c r="AJ1256" s="1896">
        <f t="shared" si="2348"/>
        <v>0</v>
      </c>
      <c r="AK1256" s="1868"/>
      <c r="AL1256" s="1868"/>
      <c r="AM1256" s="1868"/>
      <c r="AN1256" s="1895">
        <f t="shared" si="2349"/>
        <v>0</v>
      </c>
      <c r="AO1256" s="1897">
        <f t="shared" si="2350"/>
        <v>0</v>
      </c>
    </row>
    <row r="1257">
      <c r="A1257" s="1179" t="s">
        <v>548</v>
      </c>
      <c r="B1257" s="1868"/>
      <c r="C1257" s="1868"/>
      <c r="D1257" s="1868"/>
      <c r="E1257" s="1899">
        <f t="shared" si="2337"/>
        <v>0</v>
      </c>
      <c r="F1257" s="1868"/>
      <c r="G1257" s="1868"/>
      <c r="H1257" s="1868"/>
      <c r="I1257" s="1895">
        <f t="shared" si="2338"/>
        <v>0</v>
      </c>
      <c r="J1257" s="1896">
        <f t="shared" si="2339"/>
        <v>0</v>
      </c>
      <c r="K1257" s="1868"/>
      <c r="L1257" s="1868"/>
      <c r="M1257" s="1868"/>
      <c r="N1257" s="1895">
        <f t="shared" si="2340"/>
        <v>0</v>
      </c>
      <c r="O1257" s="1896">
        <f t="shared" si="2341"/>
        <v>0</v>
      </c>
      <c r="P1257" s="1868"/>
      <c r="Q1257" s="1868"/>
      <c r="R1257" s="1868"/>
      <c r="S1257" s="1895">
        <f t="shared" si="2342"/>
        <v>0</v>
      </c>
      <c r="T1257" s="1897">
        <f t="shared" si="2343"/>
        <v>0</v>
      </c>
      <c r="V1257" s="1179" t="s">
        <v>548</v>
      </c>
      <c r="W1257" s="1868"/>
      <c r="X1257" s="1868"/>
      <c r="Y1257" s="1868"/>
      <c r="Z1257" s="1899">
        <f t="shared" si="2344"/>
        <v>0</v>
      </c>
      <c r="AA1257" s="1868"/>
      <c r="AB1257" s="1868"/>
      <c r="AC1257" s="1868"/>
      <c r="AD1257" s="1895">
        <f t="shared" si="2345"/>
        <v>0</v>
      </c>
      <c r="AE1257" s="1896">
        <f t="shared" si="2346"/>
        <v>0</v>
      </c>
      <c r="AF1257" s="1868"/>
      <c r="AG1257" s="1868"/>
      <c r="AH1257" s="1868"/>
      <c r="AI1257" s="1895">
        <f t="shared" si="2347"/>
        <v>0</v>
      </c>
      <c r="AJ1257" s="1896">
        <f t="shared" si="2348"/>
        <v>0</v>
      </c>
      <c r="AK1257" s="1868"/>
      <c r="AL1257" s="1868"/>
      <c r="AM1257" s="1868"/>
      <c r="AN1257" s="1895">
        <f t="shared" si="2349"/>
        <v>0</v>
      </c>
      <c r="AO1257" s="1897">
        <f t="shared" si="2350"/>
        <v>0</v>
      </c>
    </row>
    <row r="1258">
      <c r="A1258" s="1179" t="s">
        <v>549</v>
      </c>
      <c r="B1258" s="1868"/>
      <c r="C1258" s="1868"/>
      <c r="D1258" s="1868"/>
      <c r="E1258" s="1899">
        <f t="shared" si="2337"/>
        <v>0</v>
      </c>
      <c r="F1258" s="1868"/>
      <c r="G1258" s="1868"/>
      <c r="H1258" s="1868"/>
      <c r="I1258" s="1895">
        <f t="shared" si="2338"/>
        <v>0</v>
      </c>
      <c r="J1258" s="1896">
        <f t="shared" si="2339"/>
        <v>0</v>
      </c>
      <c r="K1258" s="1868"/>
      <c r="L1258" s="1868"/>
      <c r="M1258" s="1868"/>
      <c r="N1258" s="1895">
        <f t="shared" si="2340"/>
        <v>0</v>
      </c>
      <c r="O1258" s="1896">
        <f t="shared" si="2341"/>
        <v>0</v>
      </c>
      <c r="P1258" s="1868"/>
      <c r="Q1258" s="1868"/>
      <c r="R1258" s="1868"/>
      <c r="S1258" s="1895">
        <f t="shared" si="2342"/>
        <v>0</v>
      </c>
      <c r="T1258" s="1897">
        <f t="shared" si="2343"/>
        <v>0</v>
      </c>
      <c r="V1258" s="1179" t="s">
        <v>549</v>
      </c>
      <c r="W1258" s="1868"/>
      <c r="X1258" s="1868"/>
      <c r="Y1258" s="1868"/>
      <c r="Z1258" s="1899">
        <f t="shared" si="2344"/>
        <v>0</v>
      </c>
      <c r="AA1258" s="1868"/>
      <c r="AB1258" s="1868"/>
      <c r="AC1258" s="1868"/>
      <c r="AD1258" s="1895">
        <f t="shared" si="2345"/>
        <v>0</v>
      </c>
      <c r="AE1258" s="1896">
        <f t="shared" si="2346"/>
        <v>0</v>
      </c>
      <c r="AF1258" s="1868"/>
      <c r="AG1258" s="1868"/>
      <c r="AH1258" s="1868"/>
      <c r="AI1258" s="1895">
        <f t="shared" si="2347"/>
        <v>0</v>
      </c>
      <c r="AJ1258" s="1896">
        <f t="shared" si="2348"/>
        <v>0</v>
      </c>
      <c r="AK1258" s="1868"/>
      <c r="AL1258" s="1868"/>
      <c r="AM1258" s="1868"/>
      <c r="AN1258" s="1895">
        <f t="shared" si="2349"/>
        <v>0</v>
      </c>
      <c r="AO1258" s="1897">
        <f t="shared" si="2350"/>
        <v>0</v>
      </c>
    </row>
    <row r="1259">
      <c r="A1259" s="1511" t="s">
        <v>22</v>
      </c>
      <c r="B1259" s="1871">
        <f>SUM(B1251:B1258)</f>
        <v>439</v>
      </c>
      <c r="C1259" s="1871">
        <f>SUM(C1251:C1258)</f>
        <v>547</v>
      </c>
      <c r="D1259" s="1871">
        <f>SUM(D1251:D1258)</f>
        <v>0</v>
      </c>
      <c r="E1259" s="1899">
        <f t="shared" si="2337"/>
        <v>986</v>
      </c>
      <c r="F1259" s="1871">
        <f>SUM(F1251:F1258)</f>
        <v>0</v>
      </c>
      <c r="G1259" s="1871">
        <f>SUM(G1251:G1258)</f>
        <v>0</v>
      </c>
      <c r="H1259" s="1871">
        <f>SUM(H1251:H1258)</f>
        <v>0</v>
      </c>
      <c r="I1259" s="1895">
        <f t="shared" si="2338"/>
        <v>0</v>
      </c>
      <c r="J1259" s="1896">
        <f t="shared" si="2339"/>
        <v>986</v>
      </c>
      <c r="K1259" s="1871">
        <f>SUM(K1251:K1258)</f>
        <v>0</v>
      </c>
      <c r="L1259" s="1871">
        <f>SUM(L1251:L1258)</f>
        <v>0</v>
      </c>
      <c r="M1259" s="1871">
        <f>SUM(M1251:M1258)</f>
        <v>0</v>
      </c>
      <c r="N1259" s="1899">
        <f t="shared" si="2340"/>
        <v>0</v>
      </c>
      <c r="O1259" s="1900">
        <f t="shared" si="2341"/>
        <v>986</v>
      </c>
      <c r="P1259" s="1871">
        <f>SUM(P1251:P1258)</f>
        <v>0</v>
      </c>
      <c r="Q1259" s="1871">
        <f>SUM(Q1251:Q1258)</f>
        <v>0</v>
      </c>
      <c r="R1259" s="1871">
        <f>SUM(R1251:R1258)</f>
        <v>0</v>
      </c>
      <c r="S1259" s="1895">
        <f t="shared" si="2342"/>
        <v>0</v>
      </c>
      <c r="T1259" s="1901">
        <f t="shared" si="2343"/>
        <v>986</v>
      </c>
      <c r="V1259" s="1511" t="s">
        <v>22</v>
      </c>
      <c r="W1259" s="1871">
        <f>SUM(W1251:W1258)</f>
        <v>10</v>
      </c>
      <c r="X1259" s="1871">
        <f>SUM(X1251:X1258)</f>
        <v>3</v>
      </c>
      <c r="Y1259" s="1871">
        <f>SUM(Y1251:Y1258)</f>
        <v>0</v>
      </c>
      <c r="Z1259" s="1899">
        <f t="shared" si="2344"/>
        <v>13</v>
      </c>
      <c r="AA1259" s="1871">
        <f>SUM(AA1251:AA1258)</f>
        <v>0</v>
      </c>
      <c r="AB1259" s="1871">
        <f>SUM(AB1251:AB1258)</f>
        <v>0</v>
      </c>
      <c r="AC1259" s="1871">
        <f>SUM(AC1251:AC1258)</f>
        <v>0</v>
      </c>
      <c r="AD1259" s="1895">
        <f t="shared" si="2345"/>
        <v>0</v>
      </c>
      <c r="AE1259" s="1896">
        <f t="shared" si="2346"/>
        <v>13</v>
      </c>
      <c r="AF1259" s="1871">
        <f>SUM(AF1251:AF1258)</f>
        <v>0</v>
      </c>
      <c r="AG1259" s="1871">
        <f>SUM(AG1251:AG1258)</f>
        <v>0</v>
      </c>
      <c r="AH1259" s="1871">
        <f>SUM(AH1251:AH1258)</f>
        <v>0</v>
      </c>
      <c r="AI1259" s="1899">
        <f t="shared" si="2347"/>
        <v>0</v>
      </c>
      <c r="AJ1259" s="1900">
        <f t="shared" si="2348"/>
        <v>13</v>
      </c>
      <c r="AK1259" s="1871">
        <f>SUM(AK1251:AK1258)</f>
        <v>0</v>
      </c>
      <c r="AL1259" s="1871">
        <f>SUM(AL1251:AL1258)</f>
        <v>0</v>
      </c>
      <c r="AM1259" s="1871">
        <f>SUM(AM1251:AM1258)</f>
        <v>0</v>
      </c>
      <c r="AN1259" s="1895">
        <f t="shared" si="2349"/>
        <v>0</v>
      </c>
      <c r="AO1259" s="1901">
        <f t="shared" si="2350"/>
        <v>13</v>
      </c>
    </row>
    <row r="1260">
      <c r="A1260" s="1179" t="s">
        <v>840</v>
      </c>
      <c r="B1260" s="1868"/>
      <c r="C1260" s="1868"/>
      <c r="D1260" s="1868"/>
      <c r="E1260" s="1899">
        <f t="shared" si="2337"/>
        <v>0</v>
      </c>
      <c r="F1260" s="1868"/>
      <c r="G1260" s="1868"/>
      <c r="H1260" s="1868"/>
      <c r="I1260" s="1895">
        <f t="shared" si="2338"/>
        <v>0</v>
      </c>
      <c r="J1260" s="1896">
        <f t="shared" si="2339"/>
        <v>0</v>
      </c>
      <c r="K1260" s="1868"/>
      <c r="L1260" s="1868"/>
      <c r="M1260" s="1868"/>
      <c r="N1260" s="1895">
        <f t="shared" si="2340"/>
        <v>0</v>
      </c>
      <c r="O1260" s="1896">
        <f t="shared" si="2341"/>
        <v>0</v>
      </c>
      <c r="P1260" s="1868"/>
      <c r="Q1260" s="1868"/>
      <c r="R1260" s="1868"/>
      <c r="S1260" s="1895">
        <f t="shared" si="2342"/>
        <v>0</v>
      </c>
      <c r="T1260" s="1897">
        <f t="shared" si="2343"/>
        <v>0</v>
      </c>
      <c r="V1260" s="1179" t="s">
        <v>840</v>
      </c>
      <c r="W1260" s="1868"/>
      <c r="X1260" s="1868"/>
      <c r="Y1260" s="1868"/>
      <c r="Z1260" s="1899">
        <f t="shared" si="2344"/>
        <v>0</v>
      </c>
      <c r="AA1260" s="1868"/>
      <c r="AB1260" s="1868"/>
      <c r="AC1260" s="1868"/>
      <c r="AD1260" s="1895">
        <f t="shared" si="2345"/>
        <v>0</v>
      </c>
      <c r="AE1260" s="1896">
        <f t="shared" si="2346"/>
        <v>0</v>
      </c>
      <c r="AF1260" s="1868"/>
      <c r="AG1260" s="1868"/>
      <c r="AH1260" s="1868"/>
      <c r="AI1260" s="1895">
        <f t="shared" si="2347"/>
        <v>0</v>
      </c>
      <c r="AJ1260" s="1896">
        <f t="shared" si="2348"/>
        <v>0</v>
      </c>
      <c r="AK1260" s="1868"/>
      <c r="AL1260" s="1868"/>
      <c r="AM1260" s="1868"/>
      <c r="AN1260" s="1895">
        <f t="shared" si="2349"/>
        <v>0</v>
      </c>
      <c r="AO1260" s="1897">
        <f t="shared" si="2350"/>
        <v>0</v>
      </c>
    </row>
    <row r="1261">
      <c r="A1261" s="1179" t="s">
        <v>842</v>
      </c>
      <c r="B1261" s="1868"/>
      <c r="C1261" s="1868"/>
      <c r="D1261" s="1868"/>
      <c r="E1261" s="1899">
        <f t="shared" si="2337"/>
        <v>0</v>
      </c>
      <c r="F1261" s="1868"/>
      <c r="G1261" s="1868"/>
      <c r="H1261" s="1868"/>
      <c r="I1261" s="1895">
        <f t="shared" si="2338"/>
        <v>0</v>
      </c>
      <c r="J1261" s="1896">
        <f t="shared" si="2339"/>
        <v>0</v>
      </c>
      <c r="K1261" s="1868"/>
      <c r="L1261" s="1868"/>
      <c r="M1261" s="1868"/>
      <c r="N1261" s="1895">
        <f t="shared" si="2340"/>
        <v>0</v>
      </c>
      <c r="O1261" s="1896">
        <f t="shared" si="2341"/>
        <v>0</v>
      </c>
      <c r="P1261" s="1868"/>
      <c r="Q1261" s="1868"/>
      <c r="R1261" s="1868"/>
      <c r="S1261" s="1895">
        <f t="shared" si="2342"/>
        <v>0</v>
      </c>
      <c r="T1261" s="1897">
        <f t="shared" si="2343"/>
        <v>0</v>
      </c>
      <c r="V1261" s="1179" t="s">
        <v>842</v>
      </c>
      <c r="W1261" s="1868"/>
      <c r="X1261" s="1868"/>
      <c r="Y1261" s="1868"/>
      <c r="Z1261" s="1899">
        <f t="shared" si="2344"/>
        <v>0</v>
      </c>
      <c r="AA1261" s="1868"/>
      <c r="AB1261" s="1868"/>
      <c r="AC1261" s="1868"/>
      <c r="AD1261" s="1895">
        <f t="shared" si="2345"/>
        <v>0</v>
      </c>
      <c r="AE1261" s="1896">
        <f t="shared" si="2346"/>
        <v>0</v>
      </c>
      <c r="AF1261" s="1868"/>
      <c r="AG1261" s="1868"/>
      <c r="AH1261" s="1868"/>
      <c r="AI1261" s="1895">
        <f t="shared" si="2347"/>
        <v>0</v>
      </c>
      <c r="AJ1261" s="1896">
        <f t="shared" si="2348"/>
        <v>0</v>
      </c>
      <c r="AK1261" s="1868"/>
      <c r="AL1261" s="1868"/>
      <c r="AM1261" s="1868"/>
      <c r="AN1261" s="1895">
        <f t="shared" si="2349"/>
        <v>0</v>
      </c>
      <c r="AO1261" s="1897">
        <f t="shared" si="2350"/>
        <v>0</v>
      </c>
    </row>
    <row r="1262">
      <c r="A1262" s="1179" t="s">
        <v>843</v>
      </c>
      <c r="B1262" s="1868"/>
      <c r="C1262" s="1868"/>
      <c r="D1262" s="1868"/>
      <c r="E1262" s="1899">
        <f t="shared" si="2337"/>
        <v>0</v>
      </c>
      <c r="F1262" s="1868"/>
      <c r="G1262" s="1868"/>
      <c r="H1262" s="1868"/>
      <c r="I1262" s="1895">
        <f t="shared" si="2338"/>
        <v>0</v>
      </c>
      <c r="J1262" s="1896">
        <f t="shared" si="2339"/>
        <v>0</v>
      </c>
      <c r="K1262" s="1868"/>
      <c r="L1262" s="1868"/>
      <c r="M1262" s="1868"/>
      <c r="N1262" s="1895">
        <f t="shared" si="2340"/>
        <v>0</v>
      </c>
      <c r="O1262" s="1896">
        <f t="shared" si="2341"/>
        <v>0</v>
      </c>
      <c r="P1262" s="1868"/>
      <c r="Q1262" s="1868"/>
      <c r="R1262" s="1868"/>
      <c r="S1262" s="1895">
        <f t="shared" si="2342"/>
        <v>0</v>
      </c>
      <c r="T1262" s="1897">
        <f t="shared" si="2343"/>
        <v>0</v>
      </c>
      <c r="V1262" s="1179" t="s">
        <v>843</v>
      </c>
      <c r="W1262" s="1868"/>
      <c r="X1262" s="1868"/>
      <c r="Y1262" s="1868"/>
      <c r="Z1262" s="1899">
        <f t="shared" si="2344"/>
        <v>0</v>
      </c>
      <c r="AA1262" s="1868"/>
      <c r="AB1262" s="1868"/>
      <c r="AC1262" s="1868"/>
      <c r="AD1262" s="1895">
        <f t="shared" si="2345"/>
        <v>0</v>
      </c>
      <c r="AE1262" s="1896">
        <f t="shared" si="2346"/>
        <v>0</v>
      </c>
      <c r="AF1262" s="1868"/>
      <c r="AG1262" s="1868"/>
      <c r="AH1262" s="1868"/>
      <c r="AI1262" s="1895">
        <f t="shared" si="2347"/>
        <v>0</v>
      </c>
      <c r="AJ1262" s="1896">
        <f t="shared" si="2348"/>
        <v>0</v>
      </c>
      <c r="AK1262" s="1868"/>
      <c r="AL1262" s="1868"/>
      <c r="AM1262" s="1868"/>
      <c r="AN1262" s="1895">
        <f t="shared" si="2349"/>
        <v>0</v>
      </c>
      <c r="AO1262" s="1897">
        <f t="shared" si="2350"/>
        <v>0</v>
      </c>
    </row>
    <row r="1263">
      <c r="A1263" s="1179" t="s">
        <v>186</v>
      </c>
      <c r="B1263" s="1868"/>
      <c r="C1263" s="1868"/>
      <c r="D1263" s="1868"/>
      <c r="E1263" s="1899">
        <f t="shared" si="2337"/>
        <v>0</v>
      </c>
      <c r="F1263" s="1868"/>
      <c r="G1263" s="1868"/>
      <c r="H1263" s="1868"/>
      <c r="I1263" s="1895">
        <f t="shared" si="2338"/>
        <v>0</v>
      </c>
      <c r="J1263" s="1896">
        <f t="shared" si="2339"/>
        <v>0</v>
      </c>
      <c r="K1263" s="1868"/>
      <c r="L1263" s="1868"/>
      <c r="M1263" s="1868"/>
      <c r="N1263" s="1895">
        <f t="shared" si="2340"/>
        <v>0</v>
      </c>
      <c r="O1263" s="1896">
        <f t="shared" si="2341"/>
        <v>0</v>
      </c>
      <c r="P1263" s="1868"/>
      <c r="Q1263" s="1868"/>
      <c r="R1263" s="1868"/>
      <c r="S1263" s="1895">
        <f t="shared" si="2342"/>
        <v>0</v>
      </c>
      <c r="T1263" s="1897">
        <f t="shared" si="2343"/>
        <v>0</v>
      </c>
      <c r="V1263" s="1179" t="s">
        <v>186</v>
      </c>
      <c r="W1263" s="1868"/>
      <c r="X1263" s="1868"/>
      <c r="Y1263" s="1868"/>
      <c r="Z1263" s="1899">
        <f t="shared" si="2344"/>
        <v>0</v>
      </c>
      <c r="AA1263" s="1868"/>
      <c r="AB1263" s="1868"/>
      <c r="AC1263" s="1868"/>
      <c r="AD1263" s="1895">
        <f t="shared" si="2345"/>
        <v>0</v>
      </c>
      <c r="AE1263" s="1896">
        <f t="shared" si="2346"/>
        <v>0</v>
      </c>
      <c r="AF1263" s="1868"/>
      <c r="AG1263" s="1868"/>
      <c r="AH1263" s="1868"/>
      <c r="AI1263" s="1895">
        <f t="shared" si="2347"/>
        <v>0</v>
      </c>
      <c r="AJ1263" s="1896">
        <f t="shared" si="2348"/>
        <v>0</v>
      </c>
      <c r="AK1263" s="1868"/>
      <c r="AL1263" s="1868"/>
      <c r="AM1263" s="1868"/>
      <c r="AN1263" s="1895">
        <f t="shared" si="2349"/>
        <v>0</v>
      </c>
      <c r="AO1263" s="1897">
        <f t="shared" si="2350"/>
        <v>0</v>
      </c>
    </row>
    <row r="1264">
      <c r="A1264" s="1511" t="s">
        <v>844</v>
      </c>
      <c r="B1264" s="1871">
        <f>SUM(B1259:B1263)</f>
        <v>439</v>
      </c>
      <c r="C1264" s="1871">
        <f>SUM(C1259:C1263)</f>
        <v>547</v>
      </c>
      <c r="D1264" s="1871">
        <f>SUM(D1259:D1263)</f>
        <v>0</v>
      </c>
      <c r="E1264" s="1899">
        <f t="shared" si="2337"/>
        <v>986</v>
      </c>
      <c r="F1264" s="1871">
        <f>SUM(F1259:F1263)</f>
        <v>0</v>
      </c>
      <c r="G1264" s="1871">
        <f>SUM(G1259:G1263)</f>
        <v>0</v>
      </c>
      <c r="H1264" s="1871">
        <f>SUM(H1259:H1263)</f>
        <v>0</v>
      </c>
      <c r="I1264" s="1895">
        <f t="shared" si="2338"/>
        <v>0</v>
      </c>
      <c r="J1264" s="1896">
        <f t="shared" si="2339"/>
        <v>986</v>
      </c>
      <c r="K1264" s="1871">
        <f>SUM(K1259:K1263)</f>
        <v>0</v>
      </c>
      <c r="L1264" s="1871">
        <f>SUM(L1259:L1263)</f>
        <v>0</v>
      </c>
      <c r="M1264" s="1871">
        <f>SUM(M1259:M1263)</f>
        <v>0</v>
      </c>
      <c r="N1264" s="1899">
        <f t="shared" si="2340"/>
        <v>0</v>
      </c>
      <c r="O1264" s="1900">
        <f t="shared" si="2341"/>
        <v>986</v>
      </c>
      <c r="P1264" s="1871">
        <f>SUM(P1259:P1263)</f>
        <v>0</v>
      </c>
      <c r="Q1264" s="1871">
        <f>SUM(Q1259:Q1263)</f>
        <v>0</v>
      </c>
      <c r="R1264" s="1871">
        <f>SUM(R1259:R1263)</f>
        <v>0</v>
      </c>
      <c r="S1264" s="1895">
        <f t="shared" si="2342"/>
        <v>0</v>
      </c>
      <c r="T1264" s="1901">
        <f t="shared" si="2343"/>
        <v>986</v>
      </c>
      <c r="V1264" s="1511" t="s">
        <v>844</v>
      </c>
      <c r="W1264" s="1871">
        <f>SUM(W1259:W1263)</f>
        <v>10</v>
      </c>
      <c r="X1264" s="1871">
        <f>SUM(X1259:X1263)</f>
        <v>3</v>
      </c>
      <c r="Y1264" s="1871">
        <f>SUM(Y1259:Y1263)</f>
        <v>0</v>
      </c>
      <c r="Z1264" s="1899">
        <f t="shared" si="2344"/>
        <v>13</v>
      </c>
      <c r="AA1264" s="1871">
        <f>SUM(AA1259:AA1263)</f>
        <v>0</v>
      </c>
      <c r="AB1264" s="1871">
        <f>SUM(AB1259:AB1263)</f>
        <v>0</v>
      </c>
      <c r="AC1264" s="1871">
        <f>SUM(AC1259:AC1263)</f>
        <v>0</v>
      </c>
      <c r="AD1264" s="1895">
        <f t="shared" si="2345"/>
        <v>0</v>
      </c>
      <c r="AE1264" s="1896">
        <f t="shared" si="2346"/>
        <v>13</v>
      </c>
      <c r="AF1264" s="1871">
        <f>SUM(AF1259:AF1263)</f>
        <v>0</v>
      </c>
      <c r="AG1264" s="1871">
        <f>SUM(AG1259:AG1263)</f>
        <v>0</v>
      </c>
      <c r="AH1264" s="1871">
        <f>SUM(AH1259:AH1263)</f>
        <v>0</v>
      </c>
      <c r="AI1264" s="1899">
        <f t="shared" si="2347"/>
        <v>0</v>
      </c>
      <c r="AJ1264" s="1900">
        <f t="shared" si="2348"/>
        <v>13</v>
      </c>
      <c r="AK1264" s="1871">
        <f>SUM(AK1259:AK1263)</f>
        <v>0</v>
      </c>
      <c r="AL1264" s="1871">
        <f>SUM(AL1259:AL1263)</f>
        <v>0</v>
      </c>
      <c r="AM1264" s="1871">
        <f>SUM(AM1259:AM1263)</f>
        <v>0</v>
      </c>
      <c r="AN1264" s="1895">
        <f t="shared" si="2349"/>
        <v>0</v>
      </c>
      <c r="AO1264" s="1897">
        <f t="shared" si="2350"/>
        <v>13</v>
      </c>
    </row>
    <row r="1265">
      <c r="A1265" s="1179" t="s">
        <v>619</v>
      </c>
      <c r="B1265" s="1446">
        <v>31</v>
      </c>
      <c r="C1265" s="1179">
        <v>19</v>
      </c>
      <c r="D1265" s="1179"/>
      <c r="E1265" s="1899">
        <f t="shared" si="2337"/>
        <v>50</v>
      </c>
      <c r="F1265" s="1179"/>
      <c r="G1265" s="1179"/>
      <c r="H1265" s="1511"/>
      <c r="I1265" s="1895">
        <f t="shared" si="2338"/>
        <v>0</v>
      </c>
      <c r="J1265" s="1896">
        <f t="shared" si="2339"/>
        <v>50</v>
      </c>
      <c r="K1265" s="1179"/>
      <c r="L1265" s="2305"/>
      <c r="M1265" s="1179"/>
      <c r="N1265" s="1895">
        <f t="shared" si="2340"/>
        <v>0</v>
      </c>
      <c r="O1265" s="1896">
        <f t="shared" si="2341"/>
        <v>50</v>
      </c>
      <c r="P1265" s="1179"/>
      <c r="Q1265" s="1179"/>
      <c r="R1265" s="1179"/>
      <c r="S1265" s="1895">
        <f t="shared" si="2342"/>
        <v>0</v>
      </c>
      <c r="T1265" s="1897">
        <f t="shared" si="2343"/>
        <v>50</v>
      </c>
      <c r="V1265" s="1179" t="s">
        <v>619</v>
      </c>
      <c r="W1265" s="1446"/>
      <c r="X1265" s="1179"/>
      <c r="Y1265" s="1179"/>
      <c r="Z1265" s="1899">
        <f t="shared" si="2344"/>
        <v>0</v>
      </c>
      <c r="AA1265" s="1179"/>
      <c r="AB1265" s="1179"/>
      <c r="AC1265" s="1511"/>
      <c r="AD1265" s="1895">
        <f t="shared" si="2345"/>
        <v>0</v>
      </c>
      <c r="AE1265" s="1896">
        <f t="shared" si="2346"/>
        <v>0</v>
      </c>
      <c r="AF1265" s="1179"/>
      <c r="AG1265" s="2305"/>
      <c r="AH1265" s="1179"/>
      <c r="AI1265" s="1895">
        <f t="shared" si="2347"/>
        <v>0</v>
      </c>
      <c r="AJ1265" s="1896">
        <f t="shared" si="2348"/>
        <v>0</v>
      </c>
      <c r="AK1265" s="1179"/>
      <c r="AL1265" s="1179"/>
      <c r="AM1265" s="1179"/>
      <c r="AN1265" s="1895">
        <f t="shared" si="2349"/>
        <v>0</v>
      </c>
      <c r="AO1265" s="1897">
        <f t="shared" si="2350"/>
        <v>0</v>
      </c>
    </row>
    <row r="1266">
      <c r="A1266" s="1179" t="s">
        <v>845</v>
      </c>
      <c r="B1266" s="1446"/>
      <c r="C1266" s="1179"/>
      <c r="D1266" s="1179"/>
      <c r="E1266" s="1899">
        <f t="shared" si="2337"/>
        <v>0</v>
      </c>
      <c r="F1266" s="1179"/>
      <c r="G1266" s="1179"/>
      <c r="H1266" s="1511"/>
      <c r="I1266" s="1895">
        <f t="shared" si="2338"/>
        <v>0</v>
      </c>
      <c r="J1266" s="1896">
        <f t="shared" si="2339"/>
        <v>0</v>
      </c>
      <c r="K1266" s="1179"/>
      <c r="L1266" s="2305"/>
      <c r="M1266" s="1179"/>
      <c r="N1266" s="1895">
        <f t="shared" si="2340"/>
        <v>0</v>
      </c>
      <c r="O1266" s="1896">
        <f t="shared" si="2341"/>
        <v>0</v>
      </c>
      <c r="P1266" s="1179"/>
      <c r="Q1266" s="1179"/>
      <c r="R1266" s="1179"/>
      <c r="S1266" s="1895">
        <f t="shared" si="2342"/>
        <v>0</v>
      </c>
      <c r="T1266" s="1897">
        <f t="shared" si="2343"/>
        <v>0</v>
      </c>
      <c r="V1266" s="1179" t="s">
        <v>845</v>
      </c>
      <c r="W1266" s="1446"/>
      <c r="X1266" s="1179"/>
      <c r="Y1266" s="1179"/>
      <c r="Z1266" s="1899">
        <f t="shared" si="2344"/>
        <v>0</v>
      </c>
      <c r="AA1266" s="1179"/>
      <c r="AB1266" s="1179"/>
      <c r="AC1266" s="1511"/>
      <c r="AD1266" s="1895">
        <f t="shared" si="2345"/>
        <v>0</v>
      </c>
      <c r="AE1266" s="1896">
        <f t="shared" si="2346"/>
        <v>0</v>
      </c>
      <c r="AF1266" s="1179"/>
      <c r="AG1266" s="2305"/>
      <c r="AH1266" s="1179"/>
      <c r="AI1266" s="1895">
        <f t="shared" si="2347"/>
        <v>0</v>
      </c>
      <c r="AJ1266" s="1896">
        <f t="shared" si="2348"/>
        <v>0</v>
      </c>
      <c r="AK1266" s="1179"/>
      <c r="AL1266" s="1179"/>
      <c r="AM1266" s="1179"/>
      <c r="AN1266" s="1895">
        <f t="shared" si="2349"/>
        <v>0</v>
      </c>
      <c r="AO1266" s="1897">
        <f t="shared" si="2350"/>
        <v>0</v>
      </c>
    </row>
    <row r="1267">
      <c r="A1267" s="1511" t="s">
        <v>22</v>
      </c>
      <c r="B1267" s="2175">
        <f>B1264+B1266+B1265</f>
        <v>470</v>
      </c>
      <c r="C1267" s="2175">
        <f>C1264+C1266+C1265</f>
        <v>566</v>
      </c>
      <c r="D1267" s="2175">
        <f>D1264+D1266+D1265</f>
        <v>0</v>
      </c>
      <c r="E1267" s="1899">
        <f t="shared" si="2337"/>
        <v>1036</v>
      </c>
      <c r="F1267" s="2175">
        <f>F1264+F1266+F1265</f>
        <v>0</v>
      </c>
      <c r="G1267" s="2175">
        <f>G1264+G1266+G1265</f>
        <v>0</v>
      </c>
      <c r="H1267" s="2175">
        <f>H1264+H1266+H1265</f>
        <v>0</v>
      </c>
      <c r="I1267" s="1899">
        <f t="shared" si="2338"/>
        <v>0</v>
      </c>
      <c r="J1267" s="1900">
        <f t="shared" si="2339"/>
        <v>1036</v>
      </c>
      <c r="K1267" s="2175">
        <f>K1264+K1266+K1265</f>
        <v>0</v>
      </c>
      <c r="L1267" s="2175">
        <f>L1264+L1266+L1265</f>
        <v>0</v>
      </c>
      <c r="M1267" s="2175">
        <f>M1264+M1266+M1265</f>
        <v>0</v>
      </c>
      <c r="N1267" s="1899">
        <f t="shared" si="2340"/>
        <v>0</v>
      </c>
      <c r="O1267" s="1900">
        <f t="shared" si="2341"/>
        <v>1036</v>
      </c>
      <c r="P1267" s="2175">
        <f>P1264+P1266+P1265</f>
        <v>0</v>
      </c>
      <c r="Q1267" s="2175">
        <f>Q1264+Q1266+Q1265</f>
        <v>0</v>
      </c>
      <c r="R1267" s="2175">
        <f>R1264+R1266+R1265</f>
        <v>0</v>
      </c>
      <c r="S1267" s="1899">
        <f t="shared" si="2342"/>
        <v>0</v>
      </c>
      <c r="T1267" s="1901">
        <f t="shared" si="2343"/>
        <v>1036</v>
      </c>
      <c r="V1267" s="1511" t="s">
        <v>22</v>
      </c>
      <c r="W1267" s="2175">
        <f>W1264+W1266+W1265</f>
        <v>10</v>
      </c>
      <c r="X1267" s="2175">
        <f>X1264+X1266+X1265</f>
        <v>3</v>
      </c>
      <c r="Y1267" s="2175">
        <f>Y1264+Y1266+Y1265</f>
        <v>0</v>
      </c>
      <c r="Z1267" s="1899">
        <f t="shared" si="2344"/>
        <v>13</v>
      </c>
      <c r="AA1267" s="2175">
        <f>AA1264+AA1266+AA1265</f>
        <v>0</v>
      </c>
      <c r="AB1267" s="2175">
        <f>AB1264+AB1266+AB1265</f>
        <v>0</v>
      </c>
      <c r="AC1267" s="2175">
        <f>AC1264+AC1266+AC1265</f>
        <v>0</v>
      </c>
      <c r="AD1267" s="1899">
        <f t="shared" si="2345"/>
        <v>0</v>
      </c>
      <c r="AE1267" s="1900">
        <f t="shared" si="2346"/>
        <v>13</v>
      </c>
      <c r="AF1267" s="2175">
        <f>AF1264+AF1266+AF1265</f>
        <v>0</v>
      </c>
      <c r="AG1267" s="2175">
        <f>AG1264+AG1266+AG1265</f>
        <v>0</v>
      </c>
      <c r="AH1267" s="2175">
        <f>AH1264+AH1266+AH1265</f>
        <v>0</v>
      </c>
      <c r="AI1267" s="1899">
        <f t="shared" si="2347"/>
        <v>0</v>
      </c>
      <c r="AJ1267" s="1900">
        <f t="shared" si="2348"/>
        <v>13</v>
      </c>
      <c r="AK1267" s="2175">
        <f>AK1264+AK1266+AK1265</f>
        <v>0</v>
      </c>
      <c r="AL1267" s="2175">
        <f>AL1264+AL1266+AL1265</f>
        <v>0</v>
      </c>
      <c r="AM1267" s="2175">
        <f>AM1264+AM1266+AM1265</f>
        <v>0</v>
      </c>
      <c r="AN1267" s="1899">
        <f t="shared" si="2349"/>
        <v>0</v>
      </c>
      <c r="AO1267" s="1901">
        <f t="shared" si="2350"/>
        <v>13</v>
      </c>
    </row>
    <row r="1268">
      <c r="E1268" s="1418"/>
      <c r="I1268" s="1418"/>
      <c r="J1268" s="1418"/>
      <c r="N1268" s="1418"/>
      <c r="O1268" s="1418"/>
      <c r="S1268" s="1620"/>
      <c r="Z1268" s="1418"/>
      <c r="AD1268" s="1418"/>
      <c r="AE1268" s="1418"/>
      <c r="AI1268" s="1418"/>
      <c r="AJ1268" s="1418"/>
      <c r="AN1268" s="1418"/>
    </row>
    <row r="1269">
      <c r="E1269" s="1418"/>
      <c r="I1269" s="1418"/>
      <c r="J1269" s="1418"/>
      <c r="N1269" s="1418"/>
      <c r="O1269" s="1418"/>
      <c r="S1269" s="1620"/>
      <c r="Z1269" s="1418"/>
      <c r="AD1269" s="1418"/>
      <c r="AE1269" s="1418"/>
      <c r="AI1269" s="1418"/>
      <c r="AJ1269" s="1418"/>
      <c r="AN1269" s="1418"/>
    </row>
    <row r="1270">
      <c r="E1270" s="1418"/>
      <c r="I1270" s="1418"/>
      <c r="J1270" s="1418"/>
      <c r="N1270" s="1418"/>
      <c r="O1270" s="1418"/>
      <c r="S1270" s="1620"/>
      <c r="Z1270" s="1418"/>
      <c r="AD1270" s="1418"/>
      <c r="AE1270" s="1418"/>
      <c r="AI1270" s="1418"/>
      <c r="AJ1270" s="1418"/>
      <c r="AN1270" s="1418"/>
    </row>
    <row r="1271">
      <c r="E1271" s="1418"/>
      <c r="I1271" s="1418"/>
      <c r="J1271" s="1418"/>
      <c r="N1271" s="1418"/>
      <c r="O1271" s="1418"/>
      <c r="S1271" s="1620"/>
      <c r="Z1271" s="1418"/>
      <c r="AD1271" s="1418"/>
      <c r="AE1271" s="1418"/>
      <c r="AI1271" s="1418"/>
      <c r="AJ1271" s="1418"/>
      <c r="AN1271" s="1418"/>
    </row>
    <row r="1272">
      <c r="E1272" s="1418"/>
      <c r="I1272" s="1418"/>
      <c r="J1272" s="1418"/>
      <c r="N1272" s="1418"/>
      <c r="O1272" s="1418"/>
      <c r="S1272" s="1620"/>
      <c r="Z1272" s="1418"/>
      <c r="AD1272" s="1418"/>
      <c r="AE1272" s="1418"/>
      <c r="AI1272" s="1418"/>
      <c r="AJ1272" s="1418"/>
      <c r="AN1272" s="1418"/>
    </row>
    <row r="1273">
      <c r="E1273" s="1418"/>
      <c r="I1273" s="1418"/>
      <c r="J1273" s="1418"/>
      <c r="N1273" s="1418"/>
      <c r="O1273" s="1418"/>
      <c r="S1273" s="1620"/>
      <c r="Z1273" s="1418"/>
      <c r="AD1273" s="1418"/>
      <c r="AE1273" s="1418"/>
      <c r="AI1273" s="1418"/>
      <c r="AJ1273" s="1418"/>
      <c r="AN1273" s="1418"/>
    </row>
    <row r="1274">
      <c r="E1274" s="1418"/>
      <c r="I1274" s="1418"/>
      <c r="J1274" s="1418"/>
      <c r="N1274" s="1418"/>
      <c r="O1274" s="1418"/>
      <c r="S1274" s="1620"/>
      <c r="Z1274" s="1418"/>
      <c r="AD1274" s="1418"/>
      <c r="AE1274" s="1418"/>
      <c r="AI1274" s="1418"/>
      <c r="AJ1274" s="1418"/>
      <c r="AN1274" s="1418"/>
    </row>
    <row r="1275">
      <c r="E1275" s="1418"/>
      <c r="I1275" s="1418"/>
      <c r="J1275" s="1418"/>
      <c r="N1275" s="1418"/>
      <c r="O1275" s="1418"/>
      <c r="S1275" s="1620"/>
      <c r="Z1275" s="1418"/>
      <c r="AD1275" s="1418"/>
      <c r="AE1275" s="1418"/>
      <c r="AI1275" s="1418"/>
      <c r="AJ1275" s="1418"/>
      <c r="AN1275" s="1418"/>
    </row>
    <row r="1276">
      <c r="E1276" s="1418"/>
      <c r="I1276" s="1418"/>
      <c r="J1276" s="1418"/>
      <c r="N1276" s="1418"/>
      <c r="O1276" s="1418"/>
      <c r="S1276" s="1620"/>
      <c r="Z1276" s="1418"/>
      <c r="AD1276" s="1418"/>
      <c r="AE1276" s="1418"/>
      <c r="AI1276" s="1418"/>
      <c r="AJ1276" s="1418"/>
      <c r="AN1276" s="1418"/>
    </row>
    <row r="1277">
      <c r="E1277" s="1418"/>
      <c r="I1277" s="1418"/>
      <c r="J1277" s="1418"/>
      <c r="N1277" s="1418"/>
      <c r="O1277" s="1418"/>
      <c r="S1277" s="1620"/>
      <c r="Z1277" s="1418"/>
      <c r="AD1277" s="1418"/>
      <c r="AE1277" s="1418"/>
      <c r="AI1277" s="1418"/>
      <c r="AJ1277" s="1418"/>
      <c r="AN1277" s="1418"/>
    </row>
    <row r="1278">
      <c r="E1278" s="1418"/>
      <c r="I1278" s="1418"/>
      <c r="J1278" s="1418"/>
      <c r="N1278" s="1418"/>
      <c r="O1278" s="1418"/>
      <c r="S1278" s="1620"/>
      <c r="Z1278" s="1418"/>
      <c r="AD1278" s="1418"/>
      <c r="AE1278" s="1418"/>
      <c r="AI1278" s="1418"/>
      <c r="AJ1278" s="1418"/>
      <c r="AN1278" s="1418"/>
    </row>
    <row r="1279">
      <c r="E1279" s="1418"/>
      <c r="I1279" s="1418"/>
      <c r="J1279" s="1418"/>
      <c r="N1279" s="1418"/>
      <c r="O1279" s="1418"/>
      <c r="S1279" s="1620"/>
      <c r="Z1279" s="1418"/>
      <c r="AD1279" s="1418"/>
      <c r="AE1279" s="1418"/>
      <c r="AI1279" s="1418"/>
      <c r="AJ1279" s="1418"/>
      <c r="AN1279" s="1418"/>
    </row>
    <row r="1280">
      <c r="E1280" s="1418"/>
      <c r="I1280" s="1418"/>
      <c r="J1280" s="1418"/>
      <c r="N1280" s="1418"/>
      <c r="O1280" s="1418"/>
      <c r="S1280" s="1620"/>
      <c r="Z1280" s="1418"/>
      <c r="AD1280" s="1418"/>
      <c r="AE1280" s="1418"/>
      <c r="AI1280" s="1418"/>
      <c r="AJ1280" s="1418"/>
      <c r="AN1280" s="1418"/>
    </row>
    <row r="1281">
      <c r="E1281" s="1418"/>
      <c r="I1281" s="1418"/>
      <c r="J1281" s="1418"/>
      <c r="N1281" s="1418"/>
      <c r="O1281" s="1418"/>
      <c r="S1281" s="1620"/>
      <c r="Z1281" s="1418"/>
      <c r="AD1281" s="1418"/>
      <c r="AE1281" s="1418"/>
      <c r="AI1281" s="1418"/>
      <c r="AJ1281" s="1418"/>
      <c r="AN1281" s="1418"/>
    </row>
    <row r="1282">
      <c r="E1282" s="1418"/>
      <c r="I1282" s="1418"/>
      <c r="J1282" s="1418"/>
      <c r="N1282" s="1418"/>
      <c r="O1282" s="1418"/>
      <c r="S1282" s="1620"/>
      <c r="Z1282" s="1418"/>
      <c r="AD1282" s="1418"/>
      <c r="AE1282" s="1418"/>
      <c r="AI1282" s="1418"/>
      <c r="AJ1282" s="1418"/>
      <c r="AN1282" s="1418"/>
    </row>
    <row r="1283">
      <c r="E1283" s="1418"/>
      <c r="I1283" s="1418"/>
      <c r="J1283" s="1418"/>
      <c r="N1283" s="1418"/>
      <c r="O1283" s="1418"/>
      <c r="S1283" s="1620"/>
      <c r="Z1283" s="1418"/>
      <c r="AD1283" s="1418"/>
      <c r="AE1283" s="1418"/>
      <c r="AI1283" s="1418"/>
      <c r="AJ1283" s="1418"/>
      <c r="AN1283" s="1418"/>
    </row>
    <row r="1284">
      <c r="E1284" s="1418"/>
      <c r="I1284" s="1418"/>
      <c r="J1284" s="1418"/>
      <c r="N1284" s="1418"/>
      <c r="O1284" s="1418"/>
      <c r="S1284" s="1620"/>
      <c r="Z1284" s="1418"/>
      <c r="AD1284" s="1418"/>
      <c r="AE1284" s="1418"/>
      <c r="AI1284" s="1418"/>
      <c r="AJ1284" s="1418"/>
      <c r="AN1284" s="1418"/>
    </row>
    <row r="1285">
      <c r="E1285" s="1418"/>
      <c r="I1285" s="1418"/>
      <c r="J1285" s="1418"/>
      <c r="N1285" s="1418"/>
      <c r="O1285" s="1418"/>
      <c r="S1285" s="1620"/>
      <c r="Z1285" s="1418"/>
      <c r="AD1285" s="1418"/>
      <c r="AE1285" s="1418"/>
      <c r="AI1285" s="1418"/>
      <c r="AJ1285" s="1418"/>
      <c r="AN1285" s="1418"/>
    </row>
    <row r="1286">
      <c r="E1286" s="1418"/>
      <c r="I1286" s="1418"/>
      <c r="J1286" s="1418"/>
      <c r="N1286" s="1418"/>
      <c r="O1286" s="1418"/>
      <c r="S1286" s="1620"/>
      <c r="Z1286" s="1418"/>
      <c r="AD1286" s="1418"/>
      <c r="AE1286" s="1418"/>
      <c r="AI1286" s="1418"/>
      <c r="AJ1286" s="1418"/>
      <c r="AN1286" s="1418"/>
    </row>
    <row r="1287">
      <c r="E1287" s="1418"/>
      <c r="I1287" s="1418"/>
      <c r="J1287" s="1418"/>
      <c r="N1287" s="1418"/>
      <c r="O1287" s="1418"/>
      <c r="S1287" s="1620"/>
      <c r="Z1287" s="1418"/>
      <c r="AD1287" s="1418"/>
      <c r="AE1287" s="1418"/>
      <c r="AI1287" s="1418"/>
      <c r="AJ1287" s="1418"/>
      <c r="AN1287" s="1418"/>
    </row>
    <row r="1288">
      <c r="E1288" s="1418"/>
      <c r="I1288" s="1418"/>
      <c r="J1288" s="1418"/>
      <c r="N1288" s="1418"/>
      <c r="O1288" s="1418"/>
      <c r="S1288" s="1620"/>
      <c r="Z1288" s="1418"/>
      <c r="AD1288" s="1418"/>
      <c r="AE1288" s="1418"/>
      <c r="AI1288" s="1418"/>
      <c r="AJ1288" s="1418"/>
      <c r="AN1288" s="1418"/>
    </row>
    <row r="1289">
      <c r="E1289" s="1418"/>
      <c r="I1289" s="1418"/>
      <c r="J1289" s="1418"/>
      <c r="N1289" s="1418"/>
      <c r="O1289" s="1418"/>
      <c r="S1289" s="1620"/>
      <c r="Z1289" s="1418"/>
      <c r="AD1289" s="1418"/>
      <c r="AE1289" s="1418"/>
      <c r="AI1289" s="1418"/>
      <c r="AJ1289" s="1418"/>
      <c r="AN1289" s="1418"/>
    </row>
    <row r="1290">
      <c r="E1290" s="1418"/>
      <c r="I1290" s="1418"/>
      <c r="J1290" s="1418"/>
      <c r="N1290" s="1418"/>
      <c r="O1290" s="1418"/>
      <c r="S1290" s="1620"/>
      <c r="Z1290" s="1418"/>
      <c r="AD1290" s="1418"/>
      <c r="AE1290" s="1418"/>
      <c r="AI1290" s="1418"/>
      <c r="AJ1290" s="1418"/>
      <c r="AN1290" s="1418"/>
    </row>
    <row r="1291">
      <c r="E1291" s="1418"/>
      <c r="I1291" s="1418"/>
      <c r="J1291" s="1418"/>
      <c r="N1291" s="1418"/>
      <c r="O1291" s="1418"/>
      <c r="S1291" s="1620"/>
      <c r="Z1291" s="1418"/>
      <c r="AD1291" s="1418"/>
      <c r="AE1291" s="1418"/>
      <c r="AI1291" s="1418"/>
      <c r="AJ1291" s="1418"/>
      <c r="AN1291" s="1418"/>
    </row>
    <row r="1292">
      <c r="E1292" s="1418"/>
      <c r="I1292" s="1418"/>
      <c r="J1292" s="1418"/>
      <c r="N1292" s="1418"/>
      <c r="O1292" s="1418"/>
      <c r="S1292" s="1620"/>
      <c r="Z1292" s="1418"/>
      <c r="AD1292" s="1418"/>
      <c r="AE1292" s="1418"/>
      <c r="AI1292" s="1418"/>
      <c r="AJ1292" s="1418"/>
      <c r="AN1292" s="1418"/>
    </row>
    <row r="1293">
      <c r="E1293" s="1418"/>
      <c r="I1293" s="1418"/>
      <c r="J1293" s="1418"/>
      <c r="N1293" s="1418"/>
      <c r="O1293" s="1418"/>
      <c r="S1293" s="1620"/>
      <c r="Z1293" s="1418"/>
      <c r="AD1293" s="1418"/>
      <c r="AE1293" s="1418"/>
      <c r="AI1293" s="1418"/>
      <c r="AJ1293" s="1418"/>
      <c r="AN1293" s="1418"/>
    </row>
    <row r="1294">
      <c r="E1294" s="1418"/>
      <c r="I1294" s="1418"/>
      <c r="J1294" s="1418"/>
      <c r="N1294" s="1418"/>
      <c r="O1294" s="1418"/>
      <c r="S1294" s="1620"/>
      <c r="Z1294" s="1418"/>
      <c r="AD1294" s="1418"/>
      <c r="AE1294" s="1418"/>
      <c r="AI1294" s="1418"/>
      <c r="AJ1294" s="1418"/>
      <c r="AN1294" s="1418"/>
    </row>
    <row r="1295">
      <c r="E1295" s="1418"/>
      <c r="I1295" s="1418"/>
      <c r="J1295" s="1418"/>
      <c r="N1295" s="1418"/>
      <c r="O1295" s="1418"/>
      <c r="S1295" s="1620"/>
      <c r="Z1295" s="1418"/>
      <c r="AD1295" s="1418"/>
      <c r="AE1295" s="1418"/>
      <c r="AI1295" s="1418"/>
      <c r="AJ1295" s="1418"/>
      <c r="AN1295" s="1418"/>
    </row>
    <row r="1296">
      <c r="E1296" s="1418"/>
      <c r="I1296" s="1418"/>
      <c r="J1296" s="1418"/>
      <c r="N1296" s="1418"/>
      <c r="O1296" s="1418"/>
      <c r="S1296" s="1620"/>
      <c r="Z1296" s="1418"/>
      <c r="AD1296" s="1418"/>
      <c r="AE1296" s="1418"/>
      <c r="AI1296" s="1418"/>
      <c r="AJ1296" s="1418"/>
      <c r="AN1296" s="1418"/>
    </row>
    <row r="1297">
      <c r="E1297" s="1418"/>
      <c r="I1297" s="1418"/>
      <c r="J1297" s="1418"/>
      <c r="N1297" s="1418"/>
      <c r="O1297" s="1418"/>
      <c r="S1297" s="1620"/>
      <c r="Z1297" s="1418"/>
      <c r="AD1297" s="1418"/>
      <c r="AE1297" s="1418"/>
      <c r="AI1297" s="1418"/>
      <c r="AJ1297" s="1418"/>
      <c r="AN1297" s="1418"/>
    </row>
    <row r="1298">
      <c r="E1298" s="1418"/>
      <c r="I1298" s="1418"/>
      <c r="J1298" s="1418"/>
      <c r="N1298" s="1418"/>
      <c r="O1298" s="1418"/>
      <c r="S1298" s="1620"/>
      <c r="Z1298" s="1418"/>
      <c r="AD1298" s="1418"/>
      <c r="AE1298" s="1418"/>
      <c r="AI1298" s="1418"/>
      <c r="AJ1298" s="1418"/>
      <c r="AN1298" s="1418"/>
    </row>
    <row r="1299">
      <c r="E1299" s="1418"/>
      <c r="I1299" s="1418"/>
      <c r="J1299" s="1418"/>
      <c r="N1299" s="1418"/>
      <c r="O1299" s="1418"/>
      <c r="S1299" s="1620"/>
      <c r="Z1299" s="1418"/>
      <c r="AD1299" s="1418"/>
      <c r="AE1299" s="1418"/>
      <c r="AI1299" s="1418"/>
      <c r="AJ1299" s="1418"/>
      <c r="AN1299" s="1418"/>
    </row>
    <row r="1300">
      <c r="E1300" s="1418"/>
      <c r="I1300" s="1418"/>
      <c r="J1300" s="1418"/>
      <c r="N1300" s="1418"/>
      <c r="O1300" s="1418"/>
      <c r="S1300" s="1620"/>
      <c r="Z1300" s="1418"/>
      <c r="AD1300" s="1418"/>
      <c r="AE1300" s="1418"/>
      <c r="AI1300" s="1418"/>
      <c r="AJ1300" s="1418"/>
      <c r="AN1300" s="1418"/>
    </row>
    <row r="1301">
      <c r="E1301" s="1418"/>
      <c r="I1301" s="1418"/>
      <c r="J1301" s="1418"/>
      <c r="N1301" s="1418"/>
      <c r="O1301" s="1418"/>
      <c r="S1301" s="1620"/>
      <c r="Z1301" s="1418"/>
      <c r="AD1301" s="1418"/>
      <c r="AE1301" s="1418"/>
      <c r="AI1301" s="1418"/>
      <c r="AJ1301" s="1418"/>
      <c r="AN1301" s="1418"/>
    </row>
    <row r="1302">
      <c r="E1302" s="1418"/>
      <c r="I1302" s="1418"/>
      <c r="J1302" s="1418"/>
      <c r="N1302" s="1418"/>
      <c r="O1302" s="1418"/>
      <c r="S1302" s="1620"/>
      <c r="Z1302" s="1418"/>
      <c r="AD1302" s="1418"/>
      <c r="AE1302" s="1418"/>
      <c r="AI1302" s="1418"/>
      <c r="AJ1302" s="1418"/>
      <c r="AN1302" s="1418"/>
    </row>
    <row r="1303">
      <c r="E1303" s="1418"/>
      <c r="I1303" s="1418"/>
      <c r="J1303" s="1418"/>
      <c r="N1303" s="1418"/>
      <c r="O1303" s="1418"/>
      <c r="S1303" s="1620"/>
      <c r="Z1303" s="1418"/>
      <c r="AD1303" s="1418"/>
      <c r="AE1303" s="1418"/>
      <c r="AI1303" s="1418"/>
      <c r="AJ1303" s="1418"/>
      <c r="AN1303" s="1418"/>
    </row>
    <row r="1304">
      <c r="E1304" s="1418"/>
      <c r="I1304" s="1418"/>
      <c r="J1304" s="1418"/>
      <c r="N1304" s="1418"/>
      <c r="O1304" s="1418"/>
      <c r="S1304" s="1620"/>
      <c r="Z1304" s="1418"/>
      <c r="AD1304" s="1418"/>
      <c r="AE1304" s="1418"/>
      <c r="AI1304" s="1418"/>
      <c r="AJ1304" s="1418"/>
      <c r="AN1304" s="1418"/>
    </row>
    <row r="1305">
      <c r="E1305" s="1418"/>
      <c r="I1305" s="1418"/>
      <c r="J1305" s="1418"/>
      <c r="N1305" s="1418"/>
      <c r="O1305" s="1418"/>
      <c r="S1305" s="1620"/>
      <c r="Z1305" s="1418"/>
      <c r="AD1305" s="1418"/>
      <c r="AE1305" s="1418"/>
      <c r="AI1305" s="1418"/>
      <c r="AJ1305" s="1418"/>
      <c r="AN1305" s="1418"/>
    </row>
    <row r="1306">
      <c r="E1306" s="1418"/>
      <c r="I1306" s="1418"/>
      <c r="J1306" s="1418"/>
      <c r="N1306" s="1418"/>
      <c r="O1306" s="1418"/>
      <c r="S1306" s="1620"/>
      <c r="Z1306" s="1418"/>
      <c r="AD1306" s="1418"/>
      <c r="AE1306" s="1418"/>
      <c r="AI1306" s="1418"/>
      <c r="AJ1306" s="1418"/>
      <c r="AN1306" s="1418"/>
    </row>
    <row r="1307">
      <c r="E1307" s="1418"/>
      <c r="I1307" s="1418"/>
      <c r="J1307" s="1418"/>
      <c r="N1307" s="1418"/>
      <c r="O1307" s="1418"/>
      <c r="S1307" s="1620"/>
      <c r="Z1307" s="1418"/>
      <c r="AD1307" s="1418"/>
      <c r="AE1307" s="1418"/>
      <c r="AI1307" s="1418"/>
      <c r="AJ1307" s="1418"/>
      <c r="AN1307" s="1418"/>
    </row>
    <row r="1308">
      <c r="E1308" s="1418"/>
      <c r="I1308" s="1418"/>
      <c r="J1308" s="1418"/>
      <c r="N1308" s="1418"/>
      <c r="O1308" s="1418"/>
      <c r="S1308" s="1620"/>
      <c r="Z1308" s="1418"/>
      <c r="AD1308" s="1418"/>
      <c r="AE1308" s="1418"/>
      <c r="AI1308" s="1418"/>
      <c r="AJ1308" s="1418"/>
      <c r="AN1308" s="1418"/>
    </row>
    <row r="1309">
      <c r="E1309" s="1418"/>
      <c r="I1309" s="1418"/>
      <c r="J1309" s="1418"/>
      <c r="N1309" s="1418"/>
      <c r="O1309" s="1418"/>
      <c r="S1309" s="1620"/>
      <c r="Z1309" s="1418"/>
      <c r="AD1309" s="1418"/>
      <c r="AE1309" s="1418"/>
      <c r="AI1309" s="1418"/>
      <c r="AJ1309" s="1418"/>
      <c r="AN1309" s="1418"/>
    </row>
    <row r="1310">
      <c r="E1310" s="1418"/>
      <c r="I1310" s="1418"/>
      <c r="J1310" s="1418"/>
      <c r="N1310" s="1418"/>
      <c r="O1310" s="1418"/>
      <c r="S1310" s="1620"/>
      <c r="Z1310" s="1418"/>
      <c r="AD1310" s="1418"/>
      <c r="AE1310" s="1418"/>
      <c r="AI1310" s="1418"/>
      <c r="AJ1310" s="1418"/>
      <c r="AN1310" s="1418"/>
    </row>
    <row r="1311">
      <c r="E1311" s="1418"/>
      <c r="I1311" s="1418"/>
      <c r="J1311" s="1418"/>
      <c r="N1311" s="1418"/>
      <c r="O1311" s="1418"/>
      <c r="S1311" s="1620"/>
      <c r="Z1311" s="1418"/>
      <c r="AD1311" s="1418"/>
      <c r="AE1311" s="1418"/>
      <c r="AI1311" s="1418"/>
      <c r="AJ1311" s="1418"/>
      <c r="AN1311" s="1418"/>
    </row>
    <row r="1312">
      <c r="E1312" s="1418"/>
      <c r="I1312" s="1418"/>
      <c r="J1312" s="1418"/>
      <c r="N1312" s="1418"/>
      <c r="O1312" s="1418"/>
      <c r="S1312" s="1620"/>
      <c r="Z1312" s="1418"/>
      <c r="AD1312" s="1418"/>
      <c r="AE1312" s="1418"/>
      <c r="AI1312" s="1418"/>
      <c r="AJ1312" s="1418"/>
      <c r="AN1312" s="1418"/>
    </row>
    <row r="1313">
      <c r="E1313" s="1418"/>
      <c r="I1313" s="1418"/>
      <c r="J1313" s="1418"/>
      <c r="N1313" s="1418"/>
      <c r="O1313" s="1418"/>
      <c r="S1313" s="1620"/>
      <c r="Z1313" s="1418"/>
      <c r="AD1313" s="1418"/>
      <c r="AE1313" s="1418"/>
      <c r="AI1313" s="1418"/>
      <c r="AJ1313" s="1418"/>
      <c r="AN1313" s="1418"/>
    </row>
    <row r="1314">
      <c r="E1314" s="1418"/>
      <c r="I1314" s="1418"/>
      <c r="J1314" s="1418"/>
      <c r="N1314" s="1418"/>
      <c r="O1314" s="1418"/>
      <c r="S1314" s="1620"/>
      <c r="Z1314" s="1418"/>
      <c r="AD1314" s="1418"/>
      <c r="AE1314" s="1418"/>
      <c r="AI1314" s="1418"/>
      <c r="AJ1314" s="1418"/>
      <c r="AN1314" s="1418"/>
    </row>
    <row r="1315">
      <c r="E1315" s="1418"/>
      <c r="I1315" s="1418"/>
      <c r="J1315" s="1418"/>
      <c r="N1315" s="1418"/>
      <c r="O1315" s="1418"/>
      <c r="S1315" s="1620"/>
      <c r="Z1315" s="1418"/>
      <c r="AD1315" s="1418"/>
      <c r="AE1315" s="1418"/>
      <c r="AI1315" s="1418"/>
      <c r="AJ1315" s="1418"/>
      <c r="AN1315" s="1418"/>
    </row>
    <row r="1316">
      <c r="E1316" s="1418"/>
      <c r="I1316" s="1418"/>
      <c r="J1316" s="1418"/>
      <c r="N1316" s="1418"/>
      <c r="O1316" s="1418"/>
      <c r="S1316" s="1620"/>
      <c r="Z1316" s="1418"/>
      <c r="AD1316" s="1418"/>
      <c r="AE1316" s="1418"/>
      <c r="AI1316" s="1418"/>
      <c r="AJ1316" s="1418"/>
      <c r="AN1316" s="1418"/>
    </row>
    <row r="1317">
      <c r="E1317" s="1418"/>
      <c r="I1317" s="1418"/>
      <c r="J1317" s="1418"/>
      <c r="N1317" s="1418"/>
      <c r="O1317" s="1418"/>
      <c r="S1317" s="1620"/>
      <c r="Z1317" s="1418"/>
      <c r="AD1317" s="1418"/>
      <c r="AE1317" s="1418"/>
      <c r="AI1317" s="1418"/>
      <c r="AJ1317" s="1418"/>
      <c r="AN1317" s="1418"/>
    </row>
    <row r="1318">
      <c r="E1318" s="1418"/>
      <c r="I1318" s="1418"/>
      <c r="J1318" s="1418"/>
      <c r="N1318" s="1418"/>
      <c r="O1318" s="1418"/>
      <c r="S1318" s="1620"/>
      <c r="Z1318" s="1418"/>
      <c r="AD1318" s="1418"/>
      <c r="AE1318" s="1418"/>
      <c r="AI1318" s="1418"/>
      <c r="AJ1318" s="1418"/>
      <c r="AN1318" s="1418"/>
    </row>
    <row r="1319">
      <c r="E1319" s="1418"/>
      <c r="I1319" s="1418"/>
      <c r="J1319" s="1418"/>
      <c r="N1319" s="1418"/>
      <c r="O1319" s="1418"/>
      <c r="S1319" s="1620"/>
      <c r="Z1319" s="1418"/>
      <c r="AD1319" s="1418"/>
      <c r="AE1319" s="1418"/>
      <c r="AI1319" s="1418"/>
      <c r="AJ1319" s="1418"/>
      <c r="AN1319" s="1418"/>
    </row>
    <row r="1320">
      <c r="E1320" s="1418"/>
      <c r="I1320" s="1418"/>
      <c r="J1320" s="1418"/>
      <c r="N1320" s="1418"/>
      <c r="O1320" s="1418"/>
      <c r="S1320" s="1620"/>
      <c r="Z1320" s="1418"/>
      <c r="AD1320" s="1418"/>
      <c r="AE1320" s="1418"/>
      <c r="AI1320" s="1418"/>
      <c r="AJ1320" s="1418"/>
      <c r="AN1320" s="1418"/>
    </row>
    <row r="1321">
      <c r="E1321" s="1418"/>
      <c r="I1321" s="1418"/>
      <c r="J1321" s="1418"/>
      <c r="N1321" s="1418"/>
      <c r="O1321" s="1418"/>
      <c r="S1321" s="1620"/>
      <c r="Z1321" s="1418"/>
      <c r="AD1321" s="1418"/>
      <c r="AE1321" s="1418"/>
      <c r="AI1321" s="1418"/>
      <c r="AJ1321" s="1418"/>
      <c r="AN1321" s="1418"/>
    </row>
    <row r="1322">
      <c r="E1322" s="1418"/>
      <c r="I1322" s="1418"/>
      <c r="J1322" s="1418"/>
      <c r="N1322" s="1418"/>
      <c r="O1322" s="1418"/>
      <c r="S1322" s="1620"/>
      <c r="Z1322" s="1418"/>
      <c r="AD1322" s="1418"/>
      <c r="AE1322" s="1418"/>
      <c r="AI1322" s="1418"/>
      <c r="AJ1322" s="1418"/>
      <c r="AN1322" s="1418"/>
    </row>
    <row r="1323">
      <c r="E1323" s="1418"/>
      <c r="I1323" s="1418"/>
      <c r="J1323" s="1418"/>
      <c r="N1323" s="1418"/>
      <c r="O1323" s="1418"/>
      <c r="S1323" s="1620"/>
      <c r="Z1323" s="1418"/>
      <c r="AD1323" s="1418"/>
      <c r="AE1323" s="1418"/>
      <c r="AI1323" s="1418"/>
      <c r="AJ1323" s="1418"/>
      <c r="AN1323" s="1418"/>
    </row>
    <row r="1324">
      <c r="E1324" s="1418"/>
      <c r="I1324" s="1418"/>
      <c r="J1324" s="1418"/>
      <c r="N1324" s="1418"/>
      <c r="O1324" s="1418"/>
      <c r="S1324" s="1620"/>
      <c r="Z1324" s="1418"/>
      <c r="AD1324" s="1418"/>
      <c r="AE1324" s="1418"/>
      <c r="AI1324" s="1418"/>
      <c r="AJ1324" s="1418"/>
      <c r="AN1324" s="1418"/>
    </row>
    <row r="1325">
      <c r="E1325" s="1418"/>
      <c r="I1325" s="1418"/>
      <c r="J1325" s="1418"/>
      <c r="N1325" s="1418"/>
      <c r="O1325" s="1418"/>
      <c r="S1325" s="1620"/>
      <c r="Z1325" s="1418"/>
      <c r="AD1325" s="1418"/>
      <c r="AE1325" s="1418"/>
      <c r="AI1325" s="1418"/>
      <c r="AJ1325" s="1418"/>
      <c r="AN1325" s="1418"/>
    </row>
    <row r="1326">
      <c r="E1326" s="1418"/>
      <c r="I1326" s="1418"/>
      <c r="J1326" s="1418"/>
      <c r="N1326" s="1418"/>
      <c r="O1326" s="1418"/>
      <c r="S1326" s="1620"/>
      <c r="Z1326" s="1418"/>
      <c r="AD1326" s="1418"/>
      <c r="AE1326" s="1418"/>
      <c r="AI1326" s="1418"/>
      <c r="AJ1326" s="1418"/>
      <c r="AN1326" s="1418"/>
    </row>
    <row r="1327">
      <c r="E1327" s="1418"/>
      <c r="I1327" s="1418"/>
      <c r="J1327" s="1418"/>
      <c r="N1327" s="1418"/>
      <c r="O1327" s="1418"/>
      <c r="S1327" s="1620"/>
      <c r="Z1327" s="1418"/>
      <c r="AD1327" s="1418"/>
      <c r="AE1327" s="1418"/>
      <c r="AI1327" s="1418"/>
      <c r="AJ1327" s="1418"/>
      <c r="AN1327" s="1418"/>
    </row>
    <row r="1328">
      <c r="E1328" s="1418"/>
      <c r="I1328" s="1418"/>
      <c r="J1328" s="1418"/>
      <c r="N1328" s="1418"/>
      <c r="O1328" s="1418"/>
      <c r="S1328" s="1620"/>
      <c r="Z1328" s="1418"/>
      <c r="AD1328" s="1418"/>
      <c r="AE1328" s="1418"/>
      <c r="AI1328" s="1418"/>
      <c r="AJ1328" s="1418"/>
      <c r="AN1328" s="1418"/>
    </row>
    <row r="1329">
      <c r="E1329" s="1418"/>
      <c r="I1329" s="1418"/>
      <c r="J1329" s="1418"/>
      <c r="N1329" s="1418"/>
      <c r="O1329" s="1418"/>
      <c r="S1329" s="1620"/>
      <c r="Z1329" s="1418"/>
      <c r="AD1329" s="1418"/>
      <c r="AE1329" s="1418"/>
      <c r="AI1329" s="1418"/>
      <c r="AJ1329" s="1418"/>
      <c r="AN1329" s="1418"/>
    </row>
    <row r="1330">
      <c r="E1330" s="1418"/>
      <c r="I1330" s="1418"/>
      <c r="J1330" s="1418"/>
      <c r="N1330" s="1418"/>
      <c r="O1330" s="1418"/>
      <c r="S1330" s="1620"/>
      <c r="Z1330" s="1418"/>
      <c r="AD1330" s="1418"/>
      <c r="AE1330" s="1418"/>
      <c r="AI1330" s="1418"/>
      <c r="AJ1330" s="1418"/>
      <c r="AN1330" s="1418"/>
    </row>
    <row r="1331">
      <c r="E1331" s="1418"/>
      <c r="I1331" s="1418"/>
      <c r="J1331" s="1418"/>
      <c r="N1331" s="1418"/>
      <c r="O1331" s="1418"/>
      <c r="S1331" s="1620"/>
      <c r="Z1331" s="1418"/>
      <c r="AD1331" s="1418"/>
      <c r="AE1331" s="1418"/>
      <c r="AI1331" s="1418"/>
      <c r="AJ1331" s="1418"/>
      <c r="AN1331" s="1418"/>
    </row>
    <row r="1332">
      <c r="E1332" s="1418"/>
      <c r="I1332" s="1418"/>
      <c r="J1332" s="1418"/>
      <c r="N1332" s="1418"/>
      <c r="O1332" s="1418"/>
      <c r="S1332" s="1620"/>
      <c r="Z1332" s="1418"/>
      <c r="AD1332" s="1418"/>
      <c r="AE1332" s="1418"/>
      <c r="AI1332" s="1418"/>
      <c r="AJ1332" s="1418"/>
      <c r="AN1332" s="1418"/>
    </row>
    <row r="1333">
      <c r="E1333" s="1418"/>
      <c r="I1333" s="1418"/>
      <c r="J1333" s="1418"/>
      <c r="N1333" s="1418"/>
      <c r="O1333" s="1418"/>
      <c r="S1333" s="1620"/>
      <c r="Z1333" s="1418"/>
      <c r="AD1333" s="1418"/>
      <c r="AE1333" s="1418"/>
      <c r="AI1333" s="1418"/>
      <c r="AJ1333" s="1418"/>
      <c r="AN1333" s="1418"/>
    </row>
    <row r="1334">
      <c r="E1334" s="1418"/>
      <c r="I1334" s="1418"/>
      <c r="J1334" s="1418"/>
      <c r="N1334" s="1418"/>
      <c r="O1334" s="1418"/>
      <c r="S1334" s="1620"/>
      <c r="Z1334" s="1418"/>
      <c r="AD1334" s="1418"/>
      <c r="AE1334" s="1418"/>
      <c r="AI1334" s="1418"/>
      <c r="AJ1334" s="1418"/>
      <c r="AN1334" s="1418"/>
    </row>
    <row r="1335">
      <c r="E1335" s="1418"/>
      <c r="I1335" s="1418"/>
      <c r="J1335" s="1418"/>
      <c r="N1335" s="1418"/>
      <c r="O1335" s="1418"/>
      <c r="S1335" s="1620"/>
      <c r="Z1335" s="1418"/>
      <c r="AD1335" s="1418"/>
      <c r="AE1335" s="1418"/>
      <c r="AI1335" s="1418"/>
      <c r="AJ1335" s="1418"/>
      <c r="AN1335" s="1418"/>
    </row>
    <row r="1336">
      <c r="E1336" s="1418"/>
      <c r="I1336" s="1418"/>
      <c r="J1336" s="1418"/>
      <c r="N1336" s="1418"/>
      <c r="O1336" s="1418"/>
      <c r="S1336" s="1620"/>
      <c r="Z1336" s="1418"/>
      <c r="AD1336" s="1418"/>
      <c r="AE1336" s="1418"/>
      <c r="AI1336" s="1418"/>
      <c r="AJ1336" s="1418"/>
      <c r="AN1336" s="1418"/>
    </row>
    <row r="1337">
      <c r="E1337" s="1418"/>
      <c r="I1337" s="1418"/>
      <c r="J1337" s="1418"/>
      <c r="N1337" s="1418"/>
      <c r="O1337" s="1418"/>
      <c r="S1337" s="1620"/>
      <c r="Z1337" s="1418"/>
      <c r="AD1337" s="1418"/>
      <c r="AE1337" s="1418"/>
      <c r="AI1337" s="1418"/>
      <c r="AJ1337" s="1418"/>
      <c r="AN1337" s="1418"/>
    </row>
    <row r="1338">
      <c r="E1338" s="1418"/>
      <c r="I1338" s="1418"/>
      <c r="J1338" s="1418"/>
      <c r="N1338" s="1418"/>
      <c r="O1338" s="1418"/>
      <c r="S1338" s="1620"/>
      <c r="Z1338" s="1418"/>
      <c r="AD1338" s="1418"/>
      <c r="AE1338" s="1418"/>
      <c r="AI1338" s="1418"/>
      <c r="AJ1338" s="1418"/>
      <c r="AN1338" s="1418"/>
    </row>
    <row r="1339">
      <c r="E1339" s="1418"/>
      <c r="I1339" s="1418"/>
      <c r="J1339" s="1418"/>
      <c r="N1339" s="1418"/>
      <c r="O1339" s="1418"/>
      <c r="S1339" s="1620"/>
      <c r="Z1339" s="1418"/>
      <c r="AD1339" s="1418"/>
      <c r="AE1339" s="1418"/>
      <c r="AI1339" s="1418"/>
      <c r="AJ1339" s="1418"/>
      <c r="AN1339" s="1418"/>
    </row>
    <row r="1340">
      <c r="E1340" s="1418"/>
      <c r="I1340" s="1418"/>
      <c r="J1340" s="1418"/>
      <c r="N1340" s="1418"/>
      <c r="O1340" s="1418"/>
      <c r="S1340" s="1620"/>
      <c r="Z1340" s="1418"/>
      <c r="AD1340" s="1418"/>
      <c r="AE1340" s="1418"/>
      <c r="AI1340" s="1418"/>
      <c r="AJ1340" s="1418"/>
      <c r="AN1340" s="1418"/>
    </row>
    <row r="1341">
      <c r="E1341" s="1418"/>
      <c r="I1341" s="1418"/>
      <c r="J1341" s="1418"/>
      <c r="N1341" s="1418"/>
      <c r="O1341" s="1418"/>
      <c r="S1341" s="1620"/>
      <c r="Z1341" s="1418"/>
      <c r="AD1341" s="1418"/>
      <c r="AE1341" s="1418"/>
      <c r="AI1341" s="1418"/>
      <c r="AJ1341" s="1418"/>
      <c r="AN1341" s="1418"/>
    </row>
    <row r="1342">
      <c r="E1342" s="1418"/>
      <c r="I1342" s="1418"/>
      <c r="J1342" s="1418"/>
      <c r="N1342" s="1418"/>
      <c r="O1342" s="1418"/>
      <c r="S1342" s="1620"/>
      <c r="Z1342" s="1418"/>
      <c r="AD1342" s="1418"/>
      <c r="AE1342" s="1418"/>
      <c r="AI1342" s="1418"/>
      <c r="AJ1342" s="1418"/>
      <c r="AN1342" s="1418"/>
    </row>
    <row r="1343">
      <c r="E1343" s="1418"/>
      <c r="I1343" s="1418"/>
      <c r="J1343" s="1418"/>
      <c r="N1343" s="1418"/>
      <c r="O1343" s="1418"/>
      <c r="S1343" s="1620"/>
      <c r="Z1343" s="1418"/>
      <c r="AD1343" s="1418"/>
      <c r="AE1343" s="1418"/>
      <c r="AI1343" s="1418"/>
      <c r="AJ1343" s="1418"/>
      <c r="AN1343" s="1418"/>
    </row>
    <row r="1344">
      <c r="E1344" s="1418"/>
      <c r="I1344" s="1418"/>
      <c r="J1344" s="1418"/>
      <c r="N1344" s="1418"/>
      <c r="O1344" s="1418"/>
      <c r="S1344" s="1620"/>
      <c r="Z1344" s="1418"/>
      <c r="AD1344" s="1418"/>
      <c r="AE1344" s="1418"/>
      <c r="AI1344" s="1418"/>
      <c r="AJ1344" s="1418"/>
      <c r="AN1344" s="1418"/>
    </row>
    <row r="1345">
      <c r="E1345" s="1418"/>
      <c r="I1345" s="1418"/>
      <c r="J1345" s="1418"/>
      <c r="N1345" s="1418"/>
      <c r="O1345" s="1418"/>
      <c r="S1345" s="1620"/>
      <c r="Z1345" s="1418"/>
      <c r="AD1345" s="1418"/>
      <c r="AE1345" s="1418"/>
      <c r="AI1345" s="1418"/>
      <c r="AJ1345" s="1418"/>
      <c r="AN1345" s="1418"/>
    </row>
    <row r="1346">
      <c r="E1346" s="1418"/>
      <c r="I1346" s="1418"/>
      <c r="J1346" s="1418"/>
      <c r="N1346" s="1418"/>
      <c r="O1346" s="1418"/>
      <c r="S1346" s="1620"/>
      <c r="Z1346" s="1418"/>
      <c r="AD1346" s="1418"/>
      <c r="AE1346" s="1418"/>
      <c r="AI1346" s="1418"/>
      <c r="AJ1346" s="1418"/>
      <c r="AN1346" s="1418"/>
    </row>
    <row r="1347">
      <c r="E1347" s="1418"/>
      <c r="I1347" s="1418"/>
      <c r="J1347" s="1418"/>
      <c r="N1347" s="1418"/>
      <c r="O1347" s="1418"/>
      <c r="S1347" s="1620"/>
      <c r="Z1347" s="1418"/>
      <c r="AD1347" s="1418"/>
      <c r="AE1347" s="1418"/>
      <c r="AI1347" s="1418"/>
      <c r="AJ1347" s="1418"/>
      <c r="AN1347" s="1418"/>
    </row>
    <row r="1348">
      <c r="E1348" s="1418"/>
      <c r="I1348" s="1418"/>
      <c r="J1348" s="1418"/>
      <c r="N1348" s="1418"/>
      <c r="O1348" s="1418"/>
      <c r="S1348" s="1620"/>
      <c r="Z1348" s="1418"/>
      <c r="AD1348" s="1418"/>
      <c r="AE1348" s="1418"/>
      <c r="AI1348" s="1418"/>
      <c r="AJ1348" s="1418"/>
      <c r="AN1348" s="1418"/>
    </row>
    <row r="1349">
      <c r="E1349" s="1418"/>
      <c r="I1349" s="1418"/>
      <c r="J1349" s="1418"/>
      <c r="N1349" s="1418"/>
      <c r="O1349" s="1418"/>
      <c r="S1349" s="1620"/>
      <c r="Z1349" s="1418"/>
      <c r="AD1349" s="1418"/>
      <c r="AE1349" s="1418"/>
      <c r="AI1349" s="1418"/>
      <c r="AJ1349" s="1418"/>
      <c r="AN1349" s="1418"/>
    </row>
    <row r="1350">
      <c r="E1350" s="1418"/>
      <c r="I1350" s="1418"/>
      <c r="J1350" s="1418"/>
      <c r="N1350" s="1418"/>
      <c r="O1350" s="1418"/>
      <c r="S1350" s="1620"/>
      <c r="Z1350" s="1418"/>
      <c r="AD1350" s="1418"/>
      <c r="AE1350" s="1418"/>
      <c r="AI1350" s="1418"/>
      <c r="AJ1350" s="1418"/>
      <c r="AN1350" s="1418"/>
    </row>
    <row r="1351">
      <c r="E1351" s="1418"/>
      <c r="I1351" s="1418"/>
      <c r="J1351" s="1418"/>
      <c r="N1351" s="1418"/>
      <c r="O1351" s="1418"/>
      <c r="S1351" s="1620"/>
      <c r="Z1351" s="1418"/>
      <c r="AD1351" s="1418"/>
      <c r="AE1351" s="1418"/>
      <c r="AI1351" s="1418"/>
      <c r="AJ1351" s="1418"/>
      <c r="AN1351" s="1418"/>
    </row>
    <row r="1352">
      <c r="E1352" s="1418"/>
      <c r="I1352" s="1418"/>
      <c r="J1352" s="1418"/>
      <c r="N1352" s="1418"/>
      <c r="O1352" s="1418"/>
      <c r="S1352" s="1620"/>
      <c r="Z1352" s="1418"/>
      <c r="AD1352" s="1418"/>
      <c r="AE1352" s="1418"/>
      <c r="AI1352" s="1418"/>
      <c r="AJ1352" s="1418"/>
      <c r="AN1352" s="1418"/>
    </row>
    <row r="1353">
      <c r="E1353" s="1418"/>
      <c r="I1353" s="1418"/>
      <c r="J1353" s="1418"/>
      <c r="N1353" s="1418"/>
      <c r="O1353" s="1418"/>
      <c r="S1353" s="1620"/>
      <c r="Z1353" s="1418"/>
      <c r="AD1353" s="1418"/>
      <c r="AE1353" s="1418"/>
      <c r="AI1353" s="1418"/>
      <c r="AJ1353" s="1418"/>
      <c r="AN1353" s="1418"/>
    </row>
    <row r="1354">
      <c r="E1354" s="1418"/>
      <c r="I1354" s="1418"/>
      <c r="J1354" s="1418"/>
      <c r="N1354" s="1418"/>
      <c r="O1354" s="1418"/>
      <c r="S1354" s="1620"/>
      <c r="Z1354" s="1418"/>
      <c r="AD1354" s="1418"/>
      <c r="AE1354" s="1418"/>
      <c r="AI1354" s="1418"/>
      <c r="AJ1354" s="1418"/>
      <c r="AN1354" s="1418"/>
    </row>
    <row r="1355">
      <c r="E1355" s="1418"/>
      <c r="I1355" s="1418"/>
      <c r="J1355" s="1418"/>
      <c r="N1355" s="1418"/>
      <c r="O1355" s="1418"/>
      <c r="S1355" s="1620"/>
      <c r="Z1355" s="1418"/>
      <c r="AD1355" s="1418"/>
      <c r="AE1355" s="1418"/>
      <c r="AI1355" s="1418"/>
      <c r="AJ1355" s="1418"/>
      <c r="AN1355" s="1418"/>
    </row>
    <row r="1356">
      <c r="E1356" s="1418"/>
      <c r="I1356" s="1418"/>
      <c r="J1356" s="1418"/>
      <c r="N1356" s="1418"/>
      <c r="O1356" s="1418"/>
      <c r="S1356" s="1620"/>
      <c r="Z1356" s="1418"/>
      <c r="AD1356" s="1418"/>
      <c r="AE1356" s="1418"/>
      <c r="AI1356" s="1418"/>
      <c r="AJ1356" s="1418"/>
      <c r="AN1356" s="1418"/>
    </row>
    <row r="1357">
      <c r="E1357" s="1418"/>
      <c r="I1357" s="1418"/>
      <c r="J1357" s="1418"/>
      <c r="N1357" s="1418"/>
      <c r="O1357" s="1418"/>
      <c r="S1357" s="1620"/>
      <c r="Z1357" s="1418"/>
      <c r="AD1357" s="1418"/>
      <c r="AE1357" s="1418"/>
      <c r="AI1357" s="1418"/>
      <c r="AJ1357" s="1418"/>
      <c r="AN1357" s="1418"/>
    </row>
    <row r="1358">
      <c r="E1358" s="1418"/>
      <c r="I1358" s="1418"/>
      <c r="J1358" s="1418"/>
      <c r="N1358" s="1418"/>
      <c r="O1358" s="1418"/>
      <c r="S1358" s="1620"/>
      <c r="Z1358" s="1418"/>
      <c r="AD1358" s="1418"/>
      <c r="AE1358" s="1418"/>
      <c r="AI1358" s="1418"/>
      <c r="AJ1358" s="1418"/>
      <c r="AN1358" s="1418"/>
    </row>
    <row r="1359">
      <c r="E1359" s="1418"/>
      <c r="I1359" s="1418"/>
      <c r="J1359" s="1418"/>
      <c r="N1359" s="1418"/>
      <c r="O1359" s="1418"/>
      <c r="S1359" s="1620"/>
      <c r="Z1359" s="1418"/>
      <c r="AD1359" s="1418"/>
      <c r="AE1359" s="1418"/>
      <c r="AI1359" s="1418"/>
      <c r="AJ1359" s="1418"/>
      <c r="AN1359" s="1418"/>
    </row>
    <row r="1360">
      <c r="E1360" s="1418"/>
      <c r="I1360" s="1418"/>
      <c r="J1360" s="1418"/>
      <c r="N1360" s="1418"/>
      <c r="O1360" s="1418"/>
      <c r="S1360" s="1620"/>
      <c r="Z1360" s="1418"/>
      <c r="AD1360" s="1418"/>
      <c r="AE1360" s="1418"/>
      <c r="AI1360" s="1418"/>
      <c r="AJ1360" s="1418"/>
      <c r="AN1360" s="1418"/>
    </row>
    <row r="1361">
      <c r="E1361" s="1418"/>
      <c r="I1361" s="1418"/>
      <c r="J1361" s="1418"/>
      <c r="N1361" s="1418"/>
      <c r="O1361" s="1418"/>
      <c r="S1361" s="1620"/>
      <c r="Z1361" s="1418"/>
      <c r="AD1361" s="1418"/>
      <c r="AE1361" s="1418"/>
      <c r="AI1361" s="1418"/>
      <c r="AJ1361" s="1418"/>
      <c r="AN1361" s="1418"/>
    </row>
    <row r="1362">
      <c r="E1362" s="1418"/>
      <c r="I1362" s="1418"/>
      <c r="J1362" s="1418"/>
      <c r="N1362" s="1418"/>
      <c r="O1362" s="1418"/>
      <c r="S1362" s="1620"/>
      <c r="Z1362" s="1418"/>
      <c r="AD1362" s="1418"/>
      <c r="AE1362" s="1418"/>
      <c r="AI1362" s="1418"/>
      <c r="AJ1362" s="1418"/>
      <c r="AN1362" s="1418"/>
    </row>
    <row r="1363">
      <c r="E1363" s="1418"/>
      <c r="I1363" s="1418"/>
      <c r="J1363" s="1418"/>
      <c r="N1363" s="1418"/>
      <c r="O1363" s="1418"/>
      <c r="S1363" s="1620"/>
      <c r="Z1363" s="1418"/>
      <c r="AD1363" s="1418"/>
      <c r="AE1363" s="1418"/>
      <c r="AI1363" s="1418"/>
      <c r="AJ1363" s="1418"/>
      <c r="AN1363" s="1418"/>
    </row>
    <row r="1364">
      <c r="E1364" s="1418"/>
      <c r="I1364" s="1418"/>
      <c r="J1364" s="1418"/>
      <c r="N1364" s="1418"/>
      <c r="O1364" s="1418"/>
      <c r="S1364" s="1620"/>
      <c r="Z1364" s="1418"/>
      <c r="AD1364" s="1418"/>
      <c r="AE1364" s="1418"/>
      <c r="AI1364" s="1418"/>
      <c r="AJ1364" s="1418"/>
      <c r="AN1364" s="1418"/>
    </row>
    <row r="1365">
      <c r="E1365" s="1418"/>
      <c r="I1365" s="1418"/>
      <c r="J1365" s="1418"/>
      <c r="N1365" s="1418"/>
      <c r="O1365" s="1418"/>
      <c r="S1365" s="1620"/>
      <c r="Z1365" s="1418"/>
      <c r="AD1365" s="1418"/>
      <c r="AE1365" s="1418"/>
      <c r="AI1365" s="1418"/>
      <c r="AJ1365" s="1418"/>
      <c r="AN1365" s="1418"/>
    </row>
    <row r="1366">
      <c r="E1366" s="1418"/>
      <c r="I1366" s="1418"/>
      <c r="J1366" s="1418"/>
      <c r="N1366" s="1418"/>
      <c r="O1366" s="1418"/>
      <c r="S1366" s="1620"/>
      <c r="Z1366" s="1418"/>
      <c r="AD1366" s="1418"/>
      <c r="AE1366" s="1418"/>
      <c r="AI1366" s="1418"/>
      <c r="AJ1366" s="1418"/>
      <c r="AN1366" s="1418"/>
    </row>
    <row r="1367">
      <c r="E1367" s="1418"/>
      <c r="I1367" s="1418"/>
      <c r="J1367" s="1418"/>
      <c r="N1367" s="1418"/>
      <c r="O1367" s="1418"/>
      <c r="S1367" s="1620"/>
      <c r="Z1367" s="1418"/>
      <c r="AD1367" s="1418"/>
      <c r="AE1367" s="1418"/>
      <c r="AI1367" s="1418"/>
      <c r="AJ1367" s="1418"/>
      <c r="AN1367" s="1418"/>
    </row>
    <row r="1368">
      <c r="E1368" s="1418"/>
      <c r="I1368" s="1418"/>
      <c r="J1368" s="1418"/>
      <c r="N1368" s="1418"/>
      <c r="O1368" s="1418"/>
      <c r="S1368" s="1620"/>
      <c r="Z1368" s="1418"/>
      <c r="AD1368" s="1418"/>
      <c r="AE1368" s="1418"/>
      <c r="AI1368" s="1418"/>
      <c r="AJ1368" s="1418"/>
      <c r="AN1368" s="1418"/>
    </row>
    <row r="1369">
      <c r="E1369" s="1418"/>
      <c r="I1369" s="1418"/>
      <c r="J1369" s="1418"/>
      <c r="N1369" s="1418"/>
      <c r="O1369" s="1418"/>
      <c r="S1369" s="1620"/>
      <c r="Z1369" s="1418"/>
      <c r="AD1369" s="1418"/>
      <c r="AE1369" s="1418"/>
      <c r="AI1369" s="1418"/>
      <c r="AJ1369" s="1418"/>
      <c r="AN1369" s="1418"/>
    </row>
    <row r="1370">
      <c r="E1370" s="1418"/>
      <c r="I1370" s="1418"/>
      <c r="J1370" s="1418"/>
      <c r="N1370" s="1418"/>
      <c r="O1370" s="1418"/>
      <c r="S1370" s="1620"/>
      <c r="Z1370" s="1418"/>
      <c r="AD1370" s="1418"/>
      <c r="AE1370" s="1418"/>
      <c r="AI1370" s="1418"/>
      <c r="AJ1370" s="1418"/>
      <c r="AN1370" s="1418"/>
    </row>
    <row r="1371">
      <c r="E1371" s="1418"/>
      <c r="I1371" s="1418"/>
      <c r="J1371" s="1418"/>
      <c r="N1371" s="1418"/>
      <c r="O1371" s="1418"/>
      <c r="S1371" s="1620"/>
      <c r="Z1371" s="1418"/>
      <c r="AD1371" s="1418"/>
      <c r="AE1371" s="1418"/>
      <c r="AI1371" s="1418"/>
      <c r="AJ1371" s="1418"/>
      <c r="AN1371" s="1418"/>
    </row>
    <row r="1372">
      <c r="E1372" s="1418"/>
      <c r="I1372" s="1418"/>
      <c r="J1372" s="1418"/>
      <c r="N1372" s="1418"/>
      <c r="O1372" s="1418"/>
      <c r="S1372" s="1620"/>
      <c r="Z1372" s="1418"/>
      <c r="AD1372" s="1418"/>
      <c r="AE1372" s="1418"/>
      <c r="AI1372" s="1418"/>
      <c r="AJ1372" s="1418"/>
      <c r="AN1372" s="1418"/>
    </row>
    <row r="1373">
      <c r="E1373" s="1418"/>
      <c r="I1373" s="1418"/>
      <c r="J1373" s="1418"/>
      <c r="N1373" s="1418"/>
      <c r="O1373" s="1418"/>
      <c r="S1373" s="1620"/>
      <c r="Z1373" s="1418"/>
      <c r="AD1373" s="1418"/>
      <c r="AE1373" s="1418"/>
      <c r="AI1373" s="1418"/>
      <c r="AJ1373" s="1418"/>
      <c r="AN1373" s="1418"/>
    </row>
    <row r="1374">
      <c r="E1374" s="1418"/>
      <c r="I1374" s="1418"/>
      <c r="J1374" s="1418"/>
      <c r="N1374" s="1418"/>
      <c r="O1374" s="1418"/>
      <c r="S1374" s="1620"/>
      <c r="Z1374" s="1418"/>
      <c r="AD1374" s="1418"/>
      <c r="AE1374" s="1418"/>
      <c r="AI1374" s="1418"/>
      <c r="AJ1374" s="1418"/>
      <c r="AN1374" s="1418"/>
    </row>
    <row r="1375">
      <c r="E1375" s="1418"/>
      <c r="I1375" s="1418"/>
      <c r="J1375" s="1418"/>
      <c r="N1375" s="1418"/>
      <c r="O1375" s="1418"/>
      <c r="S1375" s="1620"/>
      <c r="Z1375" s="1418"/>
      <c r="AD1375" s="1418"/>
      <c r="AE1375" s="1418"/>
      <c r="AI1375" s="1418"/>
      <c r="AJ1375" s="1418"/>
      <c r="AN1375" s="1418"/>
    </row>
    <row r="1376">
      <c r="E1376" s="1418"/>
      <c r="I1376" s="1418"/>
      <c r="J1376" s="1418"/>
      <c r="N1376" s="1418"/>
      <c r="O1376" s="1418"/>
      <c r="S1376" s="1620"/>
      <c r="Z1376" s="1418"/>
      <c r="AD1376" s="1418"/>
      <c r="AE1376" s="1418"/>
      <c r="AI1376" s="1418"/>
      <c r="AJ1376" s="1418"/>
      <c r="AN1376" s="1418"/>
    </row>
    <row r="1377">
      <c r="E1377" s="1418"/>
      <c r="I1377" s="1418"/>
      <c r="J1377" s="1418"/>
      <c r="N1377" s="1418"/>
      <c r="O1377" s="1418"/>
      <c r="S1377" s="1620"/>
      <c r="Z1377" s="1418"/>
      <c r="AD1377" s="1418"/>
      <c r="AE1377" s="1418"/>
      <c r="AI1377" s="1418"/>
      <c r="AJ1377" s="1418"/>
      <c r="AN1377" s="1418"/>
    </row>
    <row r="1378">
      <c r="E1378" s="1418"/>
      <c r="I1378" s="1418"/>
      <c r="J1378" s="1418"/>
      <c r="N1378" s="1418"/>
      <c r="O1378" s="1418"/>
      <c r="S1378" s="1620"/>
      <c r="Z1378" s="1418"/>
      <c r="AD1378" s="1418"/>
      <c r="AE1378" s="1418"/>
      <c r="AI1378" s="1418"/>
      <c r="AJ1378" s="1418"/>
      <c r="AN1378" s="1418"/>
    </row>
    <row r="1379">
      <c r="E1379" s="1418"/>
      <c r="I1379" s="1418"/>
      <c r="J1379" s="1418"/>
      <c r="N1379" s="1418"/>
      <c r="O1379" s="1418"/>
      <c r="S1379" s="1620"/>
      <c r="Z1379" s="1418"/>
      <c r="AD1379" s="1418"/>
      <c r="AE1379" s="1418"/>
      <c r="AI1379" s="1418"/>
      <c r="AJ1379" s="1418"/>
      <c r="AN1379" s="1418"/>
    </row>
    <row r="1380">
      <c r="E1380" s="1418"/>
      <c r="I1380" s="1418"/>
      <c r="J1380" s="1418"/>
      <c r="N1380" s="1418"/>
      <c r="O1380" s="1418"/>
      <c r="S1380" s="1620"/>
      <c r="Z1380" s="1418"/>
      <c r="AD1380" s="1418"/>
      <c r="AE1380" s="1418"/>
      <c r="AI1380" s="1418"/>
      <c r="AJ1380" s="1418"/>
      <c r="AN1380" s="1418"/>
    </row>
    <row r="1381">
      <c r="E1381" s="1418"/>
      <c r="I1381" s="1418"/>
      <c r="J1381" s="1418"/>
      <c r="N1381" s="1418"/>
      <c r="O1381" s="1418"/>
      <c r="S1381" s="1620"/>
      <c r="Z1381" s="1418"/>
      <c r="AD1381" s="1418"/>
      <c r="AE1381" s="1418"/>
      <c r="AI1381" s="1418"/>
      <c r="AJ1381" s="1418"/>
      <c r="AN1381" s="1418"/>
    </row>
    <row r="1382">
      <c r="E1382" s="1418"/>
      <c r="I1382" s="1418"/>
      <c r="J1382" s="1418"/>
      <c r="N1382" s="1418"/>
      <c r="O1382" s="1418"/>
      <c r="S1382" s="1620"/>
      <c r="Z1382" s="1418"/>
      <c r="AD1382" s="1418"/>
      <c r="AE1382" s="1418"/>
      <c r="AI1382" s="1418"/>
      <c r="AJ1382" s="1418"/>
      <c r="AN1382" s="1418"/>
    </row>
    <row r="1383">
      <c r="E1383" s="1418"/>
      <c r="I1383" s="1418"/>
      <c r="J1383" s="1418"/>
      <c r="N1383" s="1418"/>
      <c r="O1383" s="1418"/>
      <c r="S1383" s="1620"/>
      <c r="Z1383" s="1418"/>
      <c r="AD1383" s="1418"/>
      <c r="AE1383" s="1418"/>
      <c r="AI1383" s="1418"/>
      <c r="AJ1383" s="1418"/>
      <c r="AN1383" s="1418"/>
    </row>
    <row r="1384">
      <c r="E1384" s="1418"/>
      <c r="I1384" s="1418"/>
      <c r="J1384" s="1418"/>
      <c r="N1384" s="1418"/>
      <c r="O1384" s="1418"/>
      <c r="S1384" s="1620"/>
      <c r="Z1384" s="1418"/>
      <c r="AD1384" s="1418"/>
      <c r="AE1384" s="1418"/>
      <c r="AI1384" s="1418"/>
      <c r="AJ1384" s="1418"/>
      <c r="AN1384" s="1418"/>
    </row>
    <row r="1385">
      <c r="E1385" s="1418"/>
      <c r="I1385" s="1418"/>
      <c r="J1385" s="1418"/>
      <c r="N1385" s="1418"/>
      <c r="O1385" s="1418"/>
      <c r="S1385" s="1620"/>
      <c r="Z1385" s="1418"/>
      <c r="AD1385" s="1418"/>
      <c r="AE1385" s="1418"/>
      <c r="AI1385" s="1418"/>
      <c r="AJ1385" s="1418"/>
      <c r="AN1385" s="1418"/>
    </row>
    <row r="1386">
      <c r="E1386" s="1418"/>
      <c r="I1386" s="1418"/>
      <c r="J1386" s="1418"/>
      <c r="N1386" s="1418"/>
      <c r="O1386" s="1418"/>
      <c r="S1386" s="1620"/>
      <c r="Z1386" s="1418"/>
      <c r="AD1386" s="1418"/>
      <c r="AE1386" s="1418"/>
      <c r="AI1386" s="1418"/>
      <c r="AJ1386" s="1418"/>
      <c r="AN1386" s="1418"/>
    </row>
    <row r="1387">
      <c r="E1387" s="1418"/>
      <c r="I1387" s="1418"/>
      <c r="J1387" s="1418"/>
      <c r="N1387" s="1418"/>
      <c r="O1387" s="1418"/>
      <c r="S1387" s="1620"/>
      <c r="Z1387" s="1418"/>
      <c r="AD1387" s="1418"/>
      <c r="AE1387" s="1418"/>
      <c r="AI1387" s="1418"/>
      <c r="AJ1387" s="1418"/>
      <c r="AN1387" s="1418"/>
    </row>
    <row r="1388">
      <c r="E1388" s="1418"/>
      <c r="I1388" s="1418"/>
      <c r="J1388" s="1418"/>
      <c r="N1388" s="1418"/>
      <c r="O1388" s="1418"/>
      <c r="S1388" s="1620"/>
      <c r="Z1388" s="1418"/>
      <c r="AD1388" s="1418"/>
      <c r="AE1388" s="1418"/>
      <c r="AI1388" s="1418"/>
      <c r="AJ1388" s="1418"/>
      <c r="AN1388" s="1418"/>
    </row>
    <row r="1389">
      <c r="E1389" s="1418"/>
      <c r="I1389" s="1418"/>
      <c r="J1389" s="1418"/>
      <c r="N1389" s="1418"/>
      <c r="O1389" s="1418"/>
      <c r="S1389" s="1620"/>
      <c r="Z1389" s="1418"/>
      <c r="AD1389" s="1418"/>
      <c r="AE1389" s="1418"/>
      <c r="AI1389" s="1418"/>
      <c r="AJ1389" s="1418"/>
      <c r="AN1389" s="1418"/>
    </row>
    <row r="1390">
      <c r="E1390" s="1418"/>
      <c r="I1390" s="1418"/>
      <c r="J1390" s="1418"/>
      <c r="N1390" s="1418"/>
      <c r="O1390" s="1418"/>
      <c r="S1390" s="1620"/>
      <c r="Z1390" s="1418"/>
      <c r="AD1390" s="1418"/>
      <c r="AE1390" s="1418"/>
      <c r="AI1390" s="1418"/>
      <c r="AJ1390" s="1418"/>
      <c r="AN1390" s="1418"/>
    </row>
    <row r="1391">
      <c r="E1391" s="1418"/>
      <c r="I1391" s="1418"/>
      <c r="J1391" s="1418"/>
      <c r="N1391" s="1418"/>
      <c r="O1391" s="1418"/>
      <c r="S1391" s="1620"/>
      <c r="Z1391" s="1418"/>
      <c r="AD1391" s="1418"/>
      <c r="AE1391" s="1418"/>
      <c r="AI1391" s="1418"/>
      <c r="AJ1391" s="1418"/>
      <c r="AN1391" s="1418"/>
    </row>
    <row r="1392">
      <c r="E1392" s="1418"/>
      <c r="I1392" s="1418"/>
      <c r="J1392" s="1418"/>
      <c r="N1392" s="1418"/>
      <c r="O1392" s="1418"/>
      <c r="S1392" s="1620"/>
      <c r="Z1392" s="1418"/>
      <c r="AD1392" s="1418"/>
      <c r="AE1392" s="1418"/>
      <c r="AI1392" s="1418"/>
      <c r="AJ1392" s="1418"/>
      <c r="AN1392" s="1418"/>
    </row>
    <row r="1393">
      <c r="E1393" s="1418"/>
      <c r="I1393" s="1418"/>
      <c r="J1393" s="1418"/>
      <c r="N1393" s="1418"/>
      <c r="O1393" s="1418"/>
      <c r="S1393" s="1620"/>
      <c r="Z1393" s="1418"/>
      <c r="AD1393" s="1418"/>
      <c r="AE1393" s="1418"/>
      <c r="AI1393" s="1418"/>
      <c r="AJ1393" s="1418"/>
      <c r="AN1393" s="1418"/>
    </row>
    <row r="1394">
      <c r="E1394" s="1418"/>
      <c r="I1394" s="1418"/>
      <c r="J1394" s="1418"/>
      <c r="N1394" s="1418"/>
      <c r="O1394" s="1418"/>
      <c r="S1394" s="1620"/>
      <c r="Z1394" s="1418"/>
      <c r="AD1394" s="1418"/>
      <c r="AE1394" s="1418"/>
      <c r="AI1394" s="1418"/>
      <c r="AJ1394" s="1418"/>
      <c r="AN1394" s="1418"/>
    </row>
    <row r="1395">
      <c r="E1395" s="1418"/>
      <c r="I1395" s="1418"/>
      <c r="J1395" s="1418"/>
      <c r="N1395" s="1418"/>
      <c r="O1395" s="1418"/>
      <c r="S1395" s="1620"/>
      <c r="Z1395" s="1418"/>
      <c r="AD1395" s="1418"/>
      <c r="AE1395" s="1418"/>
      <c r="AI1395" s="1418"/>
      <c r="AJ1395" s="1418"/>
      <c r="AN1395" s="1418"/>
    </row>
    <row r="1396">
      <c r="E1396" s="1418"/>
      <c r="I1396" s="1418"/>
      <c r="J1396" s="1418"/>
      <c r="N1396" s="1418"/>
      <c r="O1396" s="1418"/>
      <c r="S1396" s="1620"/>
      <c r="Z1396" s="1418"/>
      <c r="AD1396" s="1418"/>
      <c r="AE1396" s="1418"/>
      <c r="AI1396" s="1418"/>
      <c r="AJ1396" s="1418"/>
      <c r="AN1396" s="1418"/>
    </row>
    <row r="1397">
      <c r="E1397" s="1418"/>
      <c r="I1397" s="1418"/>
      <c r="J1397" s="1418"/>
      <c r="N1397" s="1418"/>
      <c r="O1397" s="1418"/>
      <c r="S1397" s="1620"/>
      <c r="Z1397" s="1418"/>
      <c r="AD1397" s="1418"/>
      <c r="AE1397" s="1418"/>
      <c r="AI1397" s="1418"/>
      <c r="AJ1397" s="1418"/>
      <c r="AN1397" s="1418"/>
    </row>
    <row r="1398">
      <c r="E1398" s="1418"/>
      <c r="I1398" s="1418"/>
      <c r="J1398" s="1418"/>
      <c r="N1398" s="1418"/>
      <c r="O1398" s="1418"/>
      <c r="S1398" s="1620"/>
      <c r="Z1398" s="1418"/>
      <c r="AD1398" s="1418"/>
      <c r="AE1398" s="1418"/>
      <c r="AI1398" s="1418"/>
      <c r="AJ1398" s="1418"/>
      <c r="AN1398" s="1418"/>
    </row>
    <row r="1399">
      <c r="E1399" s="1418"/>
      <c r="I1399" s="1418"/>
      <c r="J1399" s="1418"/>
      <c r="N1399" s="1418"/>
      <c r="O1399" s="1418"/>
      <c r="S1399" s="1620"/>
      <c r="Z1399" s="1418"/>
      <c r="AD1399" s="1418"/>
      <c r="AE1399" s="1418"/>
      <c r="AI1399" s="1418"/>
      <c r="AJ1399" s="1418"/>
      <c r="AN1399" s="1418"/>
    </row>
    <row r="1400">
      <c r="E1400" s="1418"/>
      <c r="I1400" s="1418"/>
      <c r="J1400" s="1418"/>
      <c r="N1400" s="1418"/>
      <c r="O1400" s="1418"/>
      <c r="S1400" s="1620"/>
      <c r="Z1400" s="1418"/>
      <c r="AD1400" s="1418"/>
      <c r="AE1400" s="1418"/>
      <c r="AI1400" s="1418"/>
      <c r="AJ1400" s="1418"/>
      <c r="AN1400" s="1418"/>
    </row>
    <row r="1401">
      <c r="E1401" s="1418"/>
      <c r="I1401" s="1418"/>
      <c r="J1401" s="1418"/>
      <c r="N1401" s="1418"/>
      <c r="O1401" s="1418"/>
      <c r="S1401" s="1620"/>
      <c r="Z1401" s="1418"/>
      <c r="AD1401" s="1418"/>
      <c r="AE1401" s="1418"/>
      <c r="AI1401" s="1418"/>
      <c r="AJ1401" s="1418"/>
      <c r="AN1401" s="1418"/>
    </row>
    <row r="1402">
      <c r="E1402" s="1418"/>
      <c r="I1402" s="1418"/>
      <c r="J1402" s="1418"/>
      <c r="N1402" s="1418"/>
      <c r="O1402" s="1418"/>
      <c r="S1402" s="1620"/>
      <c r="Z1402" s="1418"/>
      <c r="AD1402" s="1418"/>
      <c r="AE1402" s="1418"/>
      <c r="AI1402" s="1418"/>
      <c r="AJ1402" s="1418"/>
      <c r="AN1402" s="1418"/>
    </row>
    <row r="1403">
      <c r="E1403" s="1418"/>
      <c r="I1403" s="1418"/>
      <c r="J1403" s="1418"/>
      <c r="N1403" s="1418"/>
      <c r="O1403" s="1418"/>
      <c r="S1403" s="1620"/>
      <c r="Z1403" s="1418"/>
      <c r="AD1403" s="1418"/>
      <c r="AE1403" s="1418"/>
      <c r="AI1403" s="1418"/>
      <c r="AJ1403" s="1418"/>
      <c r="AN1403" s="1418"/>
    </row>
    <row r="1404">
      <c r="E1404" s="1418"/>
      <c r="I1404" s="1418"/>
      <c r="J1404" s="1418"/>
      <c r="N1404" s="1418"/>
      <c r="O1404" s="1418"/>
      <c r="S1404" s="1620"/>
      <c r="Z1404" s="1418"/>
      <c r="AD1404" s="1418"/>
      <c r="AE1404" s="1418"/>
      <c r="AI1404" s="1418"/>
      <c r="AJ1404" s="1418"/>
      <c r="AN1404" s="1418"/>
    </row>
    <row r="1405">
      <c r="E1405" s="1418"/>
      <c r="I1405" s="1418"/>
      <c r="J1405" s="1418"/>
      <c r="N1405" s="1418"/>
      <c r="O1405" s="1418"/>
      <c r="S1405" s="1620"/>
      <c r="Z1405" s="1418"/>
      <c r="AD1405" s="1418"/>
      <c r="AE1405" s="1418"/>
      <c r="AI1405" s="1418"/>
      <c r="AJ1405" s="1418"/>
      <c r="AN1405" s="1418"/>
    </row>
    <row r="1406">
      <c r="E1406" s="1418"/>
      <c r="I1406" s="1418"/>
      <c r="J1406" s="1418"/>
      <c r="N1406" s="1418"/>
      <c r="O1406" s="1418"/>
      <c r="S1406" s="1620"/>
      <c r="Z1406" s="1418"/>
      <c r="AD1406" s="1418"/>
      <c r="AE1406" s="1418"/>
      <c r="AI1406" s="1418"/>
      <c r="AJ1406" s="1418"/>
      <c r="AN1406" s="1418"/>
    </row>
    <row r="1407">
      <c r="E1407" s="1418"/>
      <c r="I1407" s="1418"/>
      <c r="J1407" s="1418"/>
      <c r="N1407" s="1418"/>
      <c r="O1407" s="1418"/>
      <c r="S1407" s="1620"/>
      <c r="Z1407" s="1418"/>
      <c r="AD1407" s="1418"/>
      <c r="AE1407" s="1418"/>
      <c r="AI1407" s="1418"/>
      <c r="AJ1407" s="1418"/>
      <c r="AN1407" s="1418"/>
    </row>
    <row r="1408">
      <c r="E1408" s="1418"/>
      <c r="I1408" s="1418"/>
      <c r="J1408" s="1418"/>
      <c r="N1408" s="1418"/>
      <c r="O1408" s="1418"/>
      <c r="S1408" s="1620"/>
      <c r="Z1408" s="1418"/>
      <c r="AD1408" s="1418"/>
      <c r="AE1408" s="1418"/>
      <c r="AI1408" s="1418"/>
      <c r="AJ1408" s="1418"/>
      <c r="AN1408" s="1418"/>
    </row>
    <row r="1409">
      <c r="E1409" s="1418"/>
      <c r="I1409" s="1418"/>
      <c r="J1409" s="1418"/>
      <c r="N1409" s="1418"/>
      <c r="O1409" s="1418"/>
      <c r="S1409" s="1620"/>
      <c r="Z1409" s="1418"/>
      <c r="AD1409" s="1418"/>
      <c r="AE1409" s="1418"/>
      <c r="AI1409" s="1418"/>
      <c r="AJ1409" s="1418"/>
      <c r="AN1409" s="1418"/>
    </row>
    <row r="1410">
      <c r="E1410" s="1418"/>
      <c r="I1410" s="1418"/>
      <c r="J1410" s="1418"/>
      <c r="N1410" s="1418"/>
      <c r="O1410" s="1418"/>
      <c r="S1410" s="1620"/>
      <c r="Z1410" s="1418"/>
      <c r="AD1410" s="1418"/>
      <c r="AE1410" s="1418"/>
      <c r="AI1410" s="1418"/>
      <c r="AJ1410" s="1418"/>
      <c r="AN1410" s="1418"/>
    </row>
    <row r="1411">
      <c r="E1411" s="1418"/>
      <c r="I1411" s="1418"/>
      <c r="J1411" s="1418"/>
      <c r="N1411" s="1418"/>
      <c r="O1411" s="1418"/>
      <c r="S1411" s="1620"/>
      <c r="Z1411" s="1418"/>
      <c r="AD1411" s="1418"/>
      <c r="AE1411" s="1418"/>
      <c r="AI1411" s="1418"/>
      <c r="AJ1411" s="1418"/>
      <c r="AN1411" s="1418"/>
    </row>
    <row r="1412">
      <c r="E1412" s="1418"/>
      <c r="I1412" s="1418"/>
      <c r="J1412" s="1418"/>
      <c r="N1412" s="1418"/>
      <c r="O1412" s="1418"/>
      <c r="S1412" s="1620"/>
      <c r="Z1412" s="1418"/>
      <c r="AD1412" s="1418"/>
      <c r="AE1412" s="1418"/>
      <c r="AI1412" s="1418"/>
      <c r="AJ1412" s="1418"/>
      <c r="AN1412" s="1418"/>
    </row>
    <row r="1413">
      <c r="E1413" s="1418"/>
      <c r="I1413" s="1418"/>
      <c r="J1413" s="1418"/>
      <c r="N1413" s="1418"/>
      <c r="O1413" s="1418"/>
      <c r="S1413" s="1620"/>
      <c r="Z1413" s="1418"/>
      <c r="AD1413" s="1418"/>
      <c r="AE1413" s="1418"/>
      <c r="AI1413" s="1418"/>
      <c r="AJ1413" s="1418"/>
      <c r="AN1413" s="1418"/>
    </row>
    <row r="1414">
      <c r="E1414" s="1418"/>
      <c r="I1414" s="1418"/>
      <c r="J1414" s="1418"/>
      <c r="N1414" s="1418"/>
      <c r="O1414" s="1418"/>
      <c r="S1414" s="1620"/>
      <c r="Z1414" s="1418"/>
      <c r="AD1414" s="1418"/>
      <c r="AE1414" s="1418"/>
      <c r="AI1414" s="1418"/>
      <c r="AJ1414" s="1418"/>
      <c r="AN1414" s="1418"/>
    </row>
    <row r="1415">
      <c r="E1415" s="1418"/>
      <c r="I1415" s="1418"/>
      <c r="J1415" s="1418"/>
      <c r="N1415" s="1418"/>
      <c r="O1415" s="1418"/>
      <c r="S1415" s="1620"/>
      <c r="Z1415" s="1418"/>
      <c r="AD1415" s="1418"/>
      <c r="AE1415" s="1418"/>
      <c r="AI1415" s="1418"/>
      <c r="AJ1415" s="1418"/>
      <c r="AN1415" s="1418"/>
    </row>
    <row r="1416">
      <c r="E1416" s="1418"/>
      <c r="I1416" s="1418"/>
      <c r="J1416" s="1418"/>
      <c r="N1416" s="1418"/>
      <c r="O1416" s="1418"/>
      <c r="S1416" s="1620"/>
      <c r="Z1416" s="1418"/>
      <c r="AD1416" s="1418"/>
      <c r="AE1416" s="1418"/>
      <c r="AI1416" s="1418"/>
      <c r="AJ1416" s="1418"/>
      <c r="AN1416" s="1418"/>
    </row>
    <row r="1417">
      <c r="E1417" s="1418"/>
      <c r="I1417" s="1418"/>
      <c r="J1417" s="1418"/>
      <c r="N1417" s="1418"/>
      <c r="O1417" s="1418"/>
      <c r="S1417" s="1620"/>
      <c r="Z1417" s="1418"/>
      <c r="AD1417" s="1418"/>
      <c r="AE1417" s="1418"/>
      <c r="AI1417" s="1418"/>
      <c r="AJ1417" s="1418"/>
      <c r="AN1417" s="1418"/>
    </row>
    <row r="1418">
      <c r="E1418" s="1418"/>
      <c r="I1418" s="1418"/>
      <c r="J1418" s="1418"/>
      <c r="N1418" s="1418"/>
      <c r="O1418" s="1418"/>
      <c r="S1418" s="1620"/>
      <c r="Z1418" s="1418"/>
      <c r="AD1418" s="1418"/>
      <c r="AE1418" s="1418"/>
      <c r="AI1418" s="1418"/>
      <c r="AJ1418" s="1418"/>
      <c r="AN1418" s="1418"/>
    </row>
    <row r="1419">
      <c r="E1419" s="1418"/>
      <c r="I1419" s="1418"/>
      <c r="J1419" s="1418"/>
      <c r="N1419" s="1418"/>
      <c r="O1419" s="1418"/>
      <c r="S1419" s="1620"/>
      <c r="Z1419" s="1418"/>
      <c r="AD1419" s="1418"/>
      <c r="AE1419" s="1418"/>
      <c r="AI1419" s="1418"/>
      <c r="AJ1419" s="1418"/>
      <c r="AN1419" s="1418"/>
    </row>
    <row r="1420">
      <c r="E1420" s="1418"/>
      <c r="I1420" s="1418"/>
      <c r="J1420" s="1418"/>
      <c r="N1420" s="1418"/>
      <c r="O1420" s="1418"/>
      <c r="S1420" s="1620"/>
      <c r="Z1420" s="1418"/>
      <c r="AD1420" s="1418"/>
      <c r="AE1420" s="1418"/>
      <c r="AI1420" s="1418"/>
      <c r="AJ1420" s="1418"/>
      <c r="AN1420" s="1418"/>
    </row>
    <row r="1421">
      <c r="E1421" s="1418"/>
      <c r="I1421" s="1418"/>
      <c r="J1421" s="1418"/>
      <c r="N1421" s="1418"/>
      <c r="O1421" s="1418"/>
      <c r="S1421" s="1620"/>
      <c r="Z1421" s="1418"/>
      <c r="AD1421" s="1418"/>
      <c r="AE1421" s="1418"/>
      <c r="AI1421" s="1418"/>
      <c r="AJ1421" s="1418"/>
      <c r="AN1421" s="1418"/>
    </row>
    <row r="1422">
      <c r="E1422" s="1418"/>
      <c r="I1422" s="1418"/>
      <c r="J1422" s="1418"/>
      <c r="N1422" s="1418"/>
      <c r="O1422" s="1418"/>
      <c r="S1422" s="1620"/>
      <c r="Z1422" s="1418"/>
      <c r="AD1422" s="1418"/>
      <c r="AE1422" s="1418"/>
      <c r="AI1422" s="1418"/>
      <c r="AJ1422" s="1418"/>
      <c r="AN1422" s="1418"/>
    </row>
    <row r="1423">
      <c r="E1423" s="1418"/>
      <c r="I1423" s="1418"/>
      <c r="J1423" s="1418"/>
      <c r="N1423" s="1418"/>
      <c r="O1423" s="1418"/>
      <c r="S1423" s="1620"/>
      <c r="Z1423" s="1418"/>
      <c r="AD1423" s="1418"/>
      <c r="AE1423" s="1418"/>
      <c r="AI1423" s="1418"/>
      <c r="AJ1423" s="1418"/>
      <c r="AN1423" s="1418"/>
    </row>
    <row r="1424">
      <c r="E1424" s="1418"/>
      <c r="I1424" s="1418"/>
      <c r="J1424" s="1418"/>
      <c r="N1424" s="1418"/>
      <c r="O1424" s="1418"/>
      <c r="S1424" s="1620"/>
      <c r="Z1424" s="1418"/>
      <c r="AD1424" s="1418"/>
      <c r="AE1424" s="1418"/>
      <c r="AI1424" s="1418"/>
      <c r="AJ1424" s="1418"/>
      <c r="AN1424" s="1418"/>
    </row>
    <row r="1425">
      <c r="E1425" s="1418"/>
      <c r="I1425" s="1418"/>
      <c r="J1425" s="1418"/>
      <c r="N1425" s="1418"/>
      <c r="O1425" s="1418"/>
      <c r="S1425" s="1620"/>
      <c r="Z1425" s="1418"/>
      <c r="AD1425" s="1418"/>
      <c r="AE1425" s="1418"/>
      <c r="AI1425" s="1418"/>
      <c r="AJ1425" s="1418"/>
      <c r="AN1425" s="1418"/>
    </row>
    <row r="1426">
      <c r="E1426" s="1418"/>
      <c r="I1426" s="1418"/>
      <c r="J1426" s="1418"/>
      <c r="N1426" s="1418"/>
      <c r="O1426" s="1418"/>
      <c r="S1426" s="1620"/>
      <c r="Z1426" s="1418"/>
      <c r="AD1426" s="1418"/>
      <c r="AE1426" s="1418"/>
      <c r="AI1426" s="1418"/>
      <c r="AJ1426" s="1418"/>
      <c r="AN1426" s="1418"/>
    </row>
    <row r="1427">
      <c r="E1427" s="1418"/>
      <c r="I1427" s="1418"/>
      <c r="J1427" s="1418"/>
      <c r="N1427" s="1418"/>
      <c r="O1427" s="1418"/>
      <c r="S1427" s="1620"/>
      <c r="Z1427" s="1418"/>
      <c r="AD1427" s="1418"/>
      <c r="AE1427" s="1418"/>
      <c r="AI1427" s="1418"/>
      <c r="AJ1427" s="1418"/>
      <c r="AN1427" s="1418"/>
    </row>
    <row r="1428">
      <c r="E1428" s="1418"/>
      <c r="I1428" s="1418"/>
      <c r="J1428" s="1418"/>
      <c r="N1428" s="1418"/>
      <c r="O1428" s="1418"/>
      <c r="S1428" s="1620"/>
      <c r="Z1428" s="1418"/>
      <c r="AD1428" s="1418"/>
      <c r="AE1428" s="1418"/>
      <c r="AI1428" s="1418"/>
      <c r="AJ1428" s="1418"/>
      <c r="AN1428" s="1418"/>
    </row>
    <row r="1429">
      <c r="E1429" s="1418"/>
      <c r="I1429" s="1418"/>
      <c r="J1429" s="1418"/>
      <c r="N1429" s="1418"/>
      <c r="O1429" s="1418"/>
      <c r="S1429" s="1620"/>
      <c r="Z1429" s="1418"/>
      <c r="AD1429" s="1418"/>
      <c r="AE1429" s="1418"/>
      <c r="AI1429" s="1418"/>
      <c r="AJ1429" s="1418"/>
      <c r="AN1429" s="1418"/>
    </row>
    <row r="1430">
      <c r="E1430" s="1418"/>
      <c r="I1430" s="1418"/>
      <c r="J1430" s="1418"/>
      <c r="N1430" s="1418"/>
      <c r="O1430" s="1418"/>
      <c r="S1430" s="1620"/>
      <c r="Z1430" s="1418"/>
      <c r="AD1430" s="1418"/>
      <c r="AE1430" s="1418"/>
      <c r="AI1430" s="1418"/>
      <c r="AJ1430" s="1418"/>
      <c r="AN1430" s="1418"/>
    </row>
    <row r="1431">
      <c r="E1431" s="1418"/>
      <c r="I1431" s="1418"/>
      <c r="J1431" s="1418"/>
      <c r="N1431" s="1418"/>
      <c r="O1431" s="1418"/>
      <c r="S1431" s="1620"/>
      <c r="Z1431" s="1418"/>
      <c r="AD1431" s="1418"/>
      <c r="AE1431" s="1418"/>
      <c r="AI1431" s="1418"/>
      <c r="AJ1431" s="1418"/>
      <c r="AN1431" s="1418"/>
    </row>
    <row r="1432">
      <c r="E1432" s="1418"/>
      <c r="I1432" s="1418"/>
      <c r="J1432" s="1418"/>
      <c r="N1432" s="1418"/>
      <c r="O1432" s="1418"/>
      <c r="S1432" s="1620"/>
      <c r="Z1432" s="1418"/>
      <c r="AD1432" s="1418"/>
      <c r="AE1432" s="1418"/>
      <c r="AI1432" s="1418"/>
      <c r="AJ1432" s="1418"/>
      <c r="AN1432" s="1418"/>
    </row>
    <row r="1433">
      <c r="E1433" s="1418"/>
      <c r="I1433" s="1418"/>
      <c r="J1433" s="1418"/>
      <c r="N1433" s="1418"/>
      <c r="O1433" s="1418"/>
      <c r="S1433" s="1620"/>
      <c r="Z1433" s="1418"/>
      <c r="AD1433" s="1418"/>
      <c r="AE1433" s="1418"/>
      <c r="AI1433" s="1418"/>
      <c r="AJ1433" s="1418"/>
      <c r="AN1433" s="1418"/>
    </row>
    <row r="1434">
      <c r="E1434" s="1418"/>
      <c r="I1434" s="1418"/>
      <c r="J1434" s="1418"/>
      <c r="N1434" s="1418"/>
      <c r="O1434" s="1418"/>
      <c r="S1434" s="1620"/>
      <c r="Z1434" s="1418"/>
      <c r="AD1434" s="1418"/>
      <c r="AE1434" s="1418"/>
      <c r="AI1434" s="1418"/>
      <c r="AJ1434" s="1418"/>
      <c r="AN1434" s="1418"/>
    </row>
    <row r="1435">
      <c r="E1435" s="1418"/>
      <c r="I1435" s="1418"/>
      <c r="J1435" s="1418"/>
      <c r="N1435" s="1418"/>
      <c r="O1435" s="1418"/>
      <c r="S1435" s="1620"/>
      <c r="Z1435" s="1418"/>
      <c r="AD1435" s="1418"/>
      <c r="AE1435" s="1418"/>
      <c r="AI1435" s="1418"/>
      <c r="AJ1435" s="1418"/>
      <c r="AN1435" s="1418"/>
    </row>
    <row r="1436">
      <c r="E1436" s="1418"/>
      <c r="I1436" s="1418"/>
      <c r="J1436" s="1418"/>
      <c r="N1436" s="1418"/>
      <c r="O1436" s="1418"/>
      <c r="S1436" s="1620"/>
      <c r="Z1436" s="1418"/>
      <c r="AD1436" s="1418"/>
      <c r="AE1436" s="1418"/>
      <c r="AI1436" s="1418"/>
      <c r="AJ1436" s="1418"/>
      <c r="AN1436" s="1418"/>
    </row>
    <row r="1437">
      <c r="E1437" s="1418"/>
      <c r="I1437" s="1418"/>
      <c r="J1437" s="1418"/>
      <c r="N1437" s="1418"/>
      <c r="O1437" s="1418"/>
      <c r="S1437" s="1620"/>
      <c r="Z1437" s="1418"/>
      <c r="AD1437" s="1418"/>
      <c r="AE1437" s="1418"/>
      <c r="AI1437" s="1418"/>
      <c r="AJ1437" s="1418"/>
      <c r="AN1437" s="1418"/>
    </row>
    <row r="1438">
      <c r="E1438" s="1418"/>
      <c r="I1438" s="1418"/>
      <c r="J1438" s="1418"/>
      <c r="N1438" s="1418"/>
      <c r="O1438" s="1418"/>
      <c r="S1438" s="1620"/>
      <c r="Z1438" s="1418"/>
      <c r="AD1438" s="1418"/>
      <c r="AE1438" s="1418"/>
      <c r="AI1438" s="1418"/>
      <c r="AJ1438" s="1418"/>
      <c r="AN1438" s="1418"/>
    </row>
    <row r="1439">
      <c r="E1439" s="1418"/>
      <c r="I1439" s="1418"/>
      <c r="J1439" s="1418"/>
      <c r="N1439" s="1418"/>
      <c r="O1439" s="1418"/>
      <c r="S1439" s="1620"/>
      <c r="Z1439" s="1418"/>
      <c r="AD1439" s="1418"/>
      <c r="AE1439" s="1418"/>
      <c r="AI1439" s="1418"/>
      <c r="AJ1439" s="1418"/>
      <c r="AN1439" s="1418"/>
    </row>
    <row r="1440">
      <c r="E1440" s="1418"/>
      <c r="I1440" s="1418"/>
      <c r="J1440" s="1418"/>
      <c r="N1440" s="1418"/>
      <c r="O1440" s="1418"/>
      <c r="S1440" s="1620"/>
      <c r="Z1440" s="1418"/>
      <c r="AD1440" s="1418"/>
      <c r="AE1440" s="1418"/>
      <c r="AI1440" s="1418"/>
      <c r="AJ1440" s="1418"/>
      <c r="AN1440" s="1418"/>
    </row>
    <row r="1441">
      <c r="E1441" s="1418"/>
      <c r="I1441" s="1418"/>
      <c r="J1441" s="1418"/>
      <c r="N1441" s="1418"/>
      <c r="O1441" s="1418"/>
      <c r="S1441" s="1620"/>
      <c r="Z1441" s="1418"/>
      <c r="AD1441" s="1418"/>
      <c r="AE1441" s="1418"/>
      <c r="AI1441" s="1418"/>
      <c r="AJ1441" s="1418"/>
      <c r="AN1441" s="1418"/>
    </row>
    <row r="1442">
      <c r="E1442" s="1418"/>
      <c r="I1442" s="1418"/>
      <c r="J1442" s="1418"/>
      <c r="N1442" s="1418"/>
      <c r="O1442" s="1418"/>
      <c r="S1442" s="1620"/>
      <c r="Z1442" s="1418"/>
      <c r="AD1442" s="1418"/>
      <c r="AE1442" s="1418"/>
      <c r="AI1442" s="1418"/>
      <c r="AJ1442" s="1418"/>
      <c r="AN1442" s="1418"/>
    </row>
    <row r="1443">
      <c r="E1443" s="1418"/>
      <c r="I1443" s="1418"/>
      <c r="J1443" s="1418"/>
      <c r="N1443" s="1418"/>
      <c r="O1443" s="1418"/>
      <c r="S1443" s="1620"/>
      <c r="Z1443" s="1418"/>
      <c r="AD1443" s="1418"/>
      <c r="AE1443" s="1418"/>
      <c r="AI1443" s="1418"/>
      <c r="AJ1443" s="1418"/>
      <c r="AN1443" s="1418"/>
    </row>
    <row r="1444">
      <c r="E1444" s="1418"/>
      <c r="I1444" s="1418"/>
      <c r="J1444" s="1418"/>
      <c r="N1444" s="1418"/>
      <c r="O1444" s="1418"/>
      <c r="S1444" s="1620"/>
      <c r="Z1444" s="1418"/>
      <c r="AD1444" s="1418"/>
      <c r="AE1444" s="1418"/>
      <c r="AI1444" s="1418"/>
      <c r="AJ1444" s="1418"/>
      <c r="AN1444" s="1418"/>
    </row>
    <row r="1445">
      <c r="E1445" s="1418"/>
      <c r="I1445" s="1418"/>
      <c r="J1445" s="1418"/>
      <c r="N1445" s="1418"/>
      <c r="O1445" s="1418"/>
      <c r="S1445" s="1620"/>
      <c r="Z1445" s="1418"/>
      <c r="AD1445" s="1418"/>
      <c r="AE1445" s="1418"/>
      <c r="AI1445" s="1418"/>
      <c r="AJ1445" s="1418"/>
      <c r="AN1445" s="1418"/>
    </row>
    <row r="1446">
      <c r="E1446" s="1418"/>
      <c r="I1446" s="1418"/>
      <c r="J1446" s="1418"/>
      <c r="N1446" s="1418"/>
      <c r="O1446" s="1418"/>
      <c r="S1446" s="1620"/>
      <c r="Z1446" s="1418"/>
      <c r="AD1446" s="1418"/>
      <c r="AE1446" s="1418"/>
      <c r="AI1446" s="1418"/>
      <c r="AJ1446" s="1418"/>
      <c r="AN1446" s="1418"/>
    </row>
    <row r="1447">
      <c r="E1447" s="1418"/>
      <c r="I1447" s="1418"/>
      <c r="J1447" s="1418"/>
      <c r="N1447" s="1418"/>
      <c r="O1447" s="1418"/>
      <c r="S1447" s="1620"/>
      <c r="Z1447" s="1418"/>
      <c r="AD1447" s="1418"/>
      <c r="AE1447" s="1418"/>
      <c r="AI1447" s="1418"/>
      <c r="AJ1447" s="1418"/>
      <c r="AN1447" s="1418"/>
    </row>
    <row r="1448">
      <c r="E1448" s="1418"/>
      <c r="I1448" s="1418"/>
      <c r="J1448" s="1418"/>
      <c r="N1448" s="1418"/>
      <c r="O1448" s="1418"/>
      <c r="S1448" s="1620"/>
      <c r="Z1448" s="1418"/>
      <c r="AD1448" s="1418"/>
      <c r="AE1448" s="1418"/>
      <c r="AI1448" s="1418"/>
      <c r="AJ1448" s="1418"/>
      <c r="AN1448" s="1418"/>
    </row>
    <row r="1449">
      <c r="E1449" s="1418"/>
      <c r="I1449" s="1418"/>
      <c r="J1449" s="1418"/>
      <c r="N1449" s="1418"/>
      <c r="O1449" s="1418"/>
      <c r="S1449" s="1620"/>
      <c r="Z1449" s="1418"/>
      <c r="AD1449" s="1418"/>
      <c r="AE1449" s="1418"/>
      <c r="AI1449" s="1418"/>
      <c r="AJ1449" s="1418"/>
      <c r="AN1449" s="1418"/>
    </row>
    <row r="1450">
      <c r="E1450" s="1418"/>
      <c r="I1450" s="1418"/>
      <c r="J1450" s="1418"/>
      <c r="N1450" s="1418"/>
      <c r="O1450" s="1418"/>
      <c r="S1450" s="1620"/>
      <c r="Z1450" s="1418"/>
      <c r="AD1450" s="1418"/>
      <c r="AE1450" s="1418"/>
      <c r="AI1450" s="1418"/>
      <c r="AJ1450" s="1418"/>
      <c r="AN1450" s="1418"/>
    </row>
    <row r="1451">
      <c r="E1451" s="1418"/>
      <c r="I1451" s="1418"/>
      <c r="J1451" s="1418"/>
      <c r="N1451" s="1418"/>
      <c r="O1451" s="1418"/>
      <c r="S1451" s="1620"/>
      <c r="Z1451" s="1418"/>
      <c r="AD1451" s="1418"/>
      <c r="AE1451" s="1418"/>
      <c r="AI1451" s="1418"/>
      <c r="AJ1451" s="1418"/>
      <c r="AN1451" s="1418"/>
    </row>
    <row r="1452">
      <c r="E1452" s="1418"/>
      <c r="I1452" s="1418"/>
      <c r="J1452" s="1418"/>
      <c r="N1452" s="1418"/>
      <c r="O1452" s="1418"/>
      <c r="S1452" s="1620"/>
      <c r="Z1452" s="1418"/>
      <c r="AD1452" s="1418"/>
      <c r="AE1452" s="1418"/>
      <c r="AI1452" s="1418"/>
      <c r="AJ1452" s="1418"/>
      <c r="AN1452" s="1418"/>
    </row>
    <row r="1453">
      <c r="E1453" s="1418"/>
      <c r="I1453" s="1418"/>
      <c r="J1453" s="1418"/>
      <c r="N1453" s="1418"/>
      <c r="O1453" s="1418"/>
      <c r="S1453" s="1620"/>
      <c r="Z1453" s="1418"/>
      <c r="AD1453" s="1418"/>
      <c r="AE1453" s="1418"/>
      <c r="AI1453" s="1418"/>
      <c r="AJ1453" s="1418"/>
      <c r="AN1453" s="1418"/>
    </row>
    <row r="1454">
      <c r="E1454" s="1418"/>
      <c r="I1454" s="1418"/>
      <c r="J1454" s="1418"/>
      <c r="N1454" s="1418"/>
      <c r="O1454" s="1418"/>
      <c r="S1454" s="1620"/>
      <c r="Z1454" s="1418"/>
      <c r="AD1454" s="1418"/>
      <c r="AE1454" s="1418"/>
      <c r="AI1454" s="1418"/>
      <c r="AJ1454" s="1418"/>
      <c r="AN1454" s="1418"/>
    </row>
    <row r="1455">
      <c r="E1455" s="1418"/>
      <c r="I1455" s="1418"/>
      <c r="J1455" s="1418"/>
      <c r="N1455" s="1418"/>
      <c r="O1455" s="1418"/>
      <c r="S1455" s="1620"/>
      <c r="Z1455" s="1418"/>
      <c r="AD1455" s="1418"/>
      <c r="AE1455" s="1418"/>
      <c r="AI1455" s="1418"/>
      <c r="AJ1455" s="1418"/>
      <c r="AN1455" s="1418"/>
    </row>
    <row r="1456">
      <c r="E1456" s="1418"/>
      <c r="I1456" s="1418"/>
      <c r="J1456" s="1418"/>
      <c r="N1456" s="1418"/>
      <c r="O1456" s="1418"/>
      <c r="S1456" s="1620"/>
      <c r="Z1456" s="1418"/>
      <c r="AD1456" s="1418"/>
      <c r="AE1456" s="1418"/>
      <c r="AI1456" s="1418"/>
      <c r="AJ1456" s="1418"/>
      <c r="AN1456" s="1418"/>
    </row>
    <row r="1457">
      <c r="E1457" s="1418"/>
      <c r="I1457" s="1418"/>
      <c r="J1457" s="1418"/>
      <c r="N1457" s="1418"/>
      <c r="O1457" s="1418"/>
      <c r="S1457" s="1620"/>
      <c r="Z1457" s="1418"/>
      <c r="AD1457" s="1418"/>
      <c r="AE1457" s="1418"/>
      <c r="AI1457" s="1418"/>
      <c r="AJ1457" s="1418"/>
      <c r="AN1457" s="1418"/>
    </row>
    <row r="1458">
      <c r="E1458" s="1418"/>
      <c r="I1458" s="1418"/>
      <c r="J1458" s="1418"/>
      <c r="N1458" s="1418"/>
      <c r="O1458" s="1418"/>
      <c r="S1458" s="1620"/>
      <c r="Z1458" s="1418"/>
      <c r="AD1458" s="1418"/>
      <c r="AE1458" s="1418"/>
      <c r="AI1458" s="1418"/>
      <c r="AJ1458" s="1418"/>
      <c r="AN1458" s="1418"/>
    </row>
    <row r="1459">
      <c r="E1459" s="1418"/>
      <c r="I1459" s="1418"/>
      <c r="J1459" s="1418"/>
      <c r="N1459" s="1418"/>
      <c r="O1459" s="1418"/>
      <c r="S1459" s="1620"/>
      <c r="Z1459" s="1418"/>
      <c r="AD1459" s="1418"/>
      <c r="AE1459" s="1418"/>
      <c r="AI1459" s="1418"/>
      <c r="AJ1459" s="1418"/>
      <c r="AN1459" s="1418"/>
    </row>
    <row r="1460">
      <c r="E1460" s="1418"/>
      <c r="I1460" s="1418"/>
      <c r="J1460" s="1418"/>
      <c r="N1460" s="1418"/>
      <c r="O1460" s="1418"/>
      <c r="S1460" s="1620"/>
      <c r="Z1460" s="1418"/>
      <c r="AD1460" s="1418"/>
      <c r="AE1460" s="1418"/>
      <c r="AI1460" s="1418"/>
      <c r="AJ1460" s="1418"/>
      <c r="AN1460" s="1418"/>
    </row>
    <row r="1461">
      <c r="E1461" s="1418"/>
      <c r="I1461" s="1418"/>
      <c r="J1461" s="1418"/>
      <c r="N1461" s="1418"/>
      <c r="O1461" s="1418"/>
      <c r="S1461" s="1620"/>
      <c r="Z1461" s="1418"/>
      <c r="AD1461" s="1418"/>
      <c r="AE1461" s="1418"/>
      <c r="AI1461" s="1418"/>
      <c r="AJ1461" s="1418"/>
      <c r="AN1461" s="1418"/>
    </row>
    <row r="1462">
      <c r="E1462" s="1418"/>
      <c r="I1462" s="1418"/>
      <c r="J1462" s="1418"/>
      <c r="N1462" s="1418"/>
      <c r="O1462" s="1418"/>
      <c r="S1462" s="1620"/>
      <c r="Z1462" s="1418"/>
      <c r="AD1462" s="1418"/>
      <c r="AE1462" s="1418"/>
      <c r="AI1462" s="1418"/>
      <c r="AJ1462" s="1418"/>
      <c r="AN1462" s="1418"/>
    </row>
    <row r="1463">
      <c r="E1463" s="1418"/>
      <c r="I1463" s="1418"/>
      <c r="J1463" s="1418"/>
      <c r="N1463" s="1418"/>
      <c r="O1463" s="1418"/>
      <c r="S1463" s="1620"/>
      <c r="Z1463" s="1418"/>
      <c r="AD1463" s="1418"/>
      <c r="AE1463" s="1418"/>
      <c r="AI1463" s="1418"/>
      <c r="AJ1463" s="1418"/>
      <c r="AN1463" s="1418"/>
    </row>
    <row r="1464">
      <c r="E1464" s="1418"/>
      <c r="I1464" s="1418"/>
      <c r="J1464" s="1418"/>
      <c r="N1464" s="1418"/>
      <c r="O1464" s="1418"/>
      <c r="S1464" s="1620"/>
      <c r="Z1464" s="1418"/>
      <c r="AD1464" s="1418"/>
      <c r="AE1464" s="1418"/>
      <c r="AI1464" s="1418"/>
      <c r="AJ1464" s="1418"/>
      <c r="AN1464" s="1418"/>
    </row>
    <row r="1465">
      <c r="E1465" s="1418"/>
      <c r="I1465" s="1418"/>
      <c r="J1465" s="1418"/>
      <c r="N1465" s="1418"/>
      <c r="O1465" s="1418"/>
      <c r="S1465" s="1620"/>
      <c r="Z1465" s="1418"/>
      <c r="AD1465" s="1418"/>
      <c r="AE1465" s="1418"/>
      <c r="AI1465" s="1418"/>
      <c r="AJ1465" s="1418"/>
      <c r="AN1465" s="1418"/>
    </row>
    <row r="1466">
      <c r="E1466" s="1418"/>
      <c r="I1466" s="1418"/>
      <c r="J1466" s="1418"/>
      <c r="N1466" s="1418"/>
      <c r="O1466" s="1418"/>
      <c r="S1466" s="1620"/>
      <c r="Z1466" s="1418"/>
      <c r="AD1466" s="1418"/>
      <c r="AE1466" s="1418"/>
      <c r="AI1466" s="1418"/>
      <c r="AJ1466" s="1418"/>
      <c r="AN1466" s="1418"/>
    </row>
    <row r="1467">
      <c r="E1467" s="1418"/>
      <c r="I1467" s="1418"/>
      <c r="J1467" s="1418"/>
      <c r="N1467" s="1418"/>
      <c r="O1467" s="1418"/>
      <c r="S1467" s="1620"/>
      <c r="Z1467" s="1418"/>
      <c r="AD1467" s="1418"/>
      <c r="AE1467" s="1418"/>
      <c r="AI1467" s="1418"/>
      <c r="AJ1467" s="1418"/>
      <c r="AN1467" s="1418"/>
    </row>
    <row r="1468">
      <c r="E1468" s="1418"/>
      <c r="I1468" s="1418"/>
      <c r="J1468" s="1418"/>
      <c r="N1468" s="1418"/>
      <c r="O1468" s="1418"/>
      <c r="S1468" s="1620"/>
      <c r="Z1468" s="1418"/>
      <c r="AD1468" s="1418"/>
      <c r="AE1468" s="1418"/>
      <c r="AI1468" s="1418"/>
      <c r="AJ1468" s="1418"/>
      <c r="AN1468" s="1418"/>
    </row>
    <row r="1469">
      <c r="E1469" s="1418"/>
      <c r="I1469" s="1418"/>
      <c r="J1469" s="1418"/>
      <c r="N1469" s="1418"/>
      <c r="O1469" s="1418"/>
      <c r="S1469" s="1620"/>
      <c r="Z1469" s="1418"/>
      <c r="AD1469" s="1418"/>
      <c r="AE1469" s="1418"/>
      <c r="AI1469" s="1418"/>
      <c r="AJ1469" s="1418"/>
      <c r="AN1469" s="1418"/>
    </row>
    <row r="1470">
      <c r="E1470" s="1418"/>
      <c r="I1470" s="1418"/>
      <c r="J1470" s="1418"/>
      <c r="N1470" s="1418"/>
      <c r="O1470" s="1418"/>
      <c r="S1470" s="1620"/>
      <c r="Z1470" s="1418"/>
      <c r="AD1470" s="1418"/>
      <c r="AE1470" s="1418"/>
      <c r="AI1470" s="1418"/>
      <c r="AJ1470" s="1418"/>
      <c r="AN1470" s="1418"/>
    </row>
    <row r="1471">
      <c r="E1471" s="1418"/>
      <c r="I1471" s="1418"/>
      <c r="J1471" s="1418"/>
      <c r="N1471" s="1418"/>
      <c r="O1471" s="1418"/>
      <c r="S1471" s="1620"/>
      <c r="Z1471" s="1418"/>
      <c r="AD1471" s="1418"/>
      <c r="AE1471" s="1418"/>
      <c r="AI1471" s="1418"/>
      <c r="AJ1471" s="1418"/>
      <c r="AN1471" s="1418"/>
    </row>
    <row r="1472">
      <c r="E1472" s="1418"/>
      <c r="I1472" s="1418"/>
      <c r="J1472" s="1418"/>
      <c r="N1472" s="1418"/>
      <c r="O1472" s="1418"/>
      <c r="S1472" s="1620"/>
      <c r="Z1472" s="1418"/>
      <c r="AD1472" s="1418"/>
      <c r="AE1472" s="1418"/>
      <c r="AI1472" s="1418"/>
      <c r="AJ1472" s="1418"/>
      <c r="AN1472" s="1418"/>
    </row>
    <row r="1473">
      <c r="E1473" s="1418"/>
      <c r="I1473" s="1418"/>
      <c r="J1473" s="1418"/>
      <c r="N1473" s="1418"/>
      <c r="O1473" s="1418"/>
      <c r="S1473" s="1620"/>
      <c r="Z1473" s="1418"/>
      <c r="AD1473" s="1418"/>
      <c r="AE1473" s="1418"/>
      <c r="AI1473" s="1418"/>
      <c r="AJ1473" s="1418"/>
      <c r="AN1473" s="1418"/>
    </row>
    <row r="1474">
      <c r="E1474" s="1418"/>
      <c r="I1474" s="1418"/>
      <c r="J1474" s="1418"/>
      <c r="N1474" s="1418"/>
      <c r="O1474" s="1418"/>
      <c r="S1474" s="1620"/>
      <c r="Z1474" s="1418"/>
      <c r="AD1474" s="1418"/>
      <c r="AE1474" s="1418"/>
      <c r="AI1474" s="1418"/>
      <c r="AJ1474" s="1418"/>
      <c r="AN1474" s="1418"/>
    </row>
    <row r="1475">
      <c r="E1475" s="1418"/>
      <c r="I1475" s="1418"/>
      <c r="J1475" s="1418"/>
      <c r="N1475" s="1418"/>
      <c r="O1475" s="1418"/>
      <c r="S1475" s="1620"/>
      <c r="Z1475" s="1418"/>
      <c r="AD1475" s="1418"/>
      <c r="AE1475" s="1418"/>
      <c r="AI1475" s="1418"/>
      <c r="AJ1475" s="1418"/>
      <c r="AN1475" s="1418"/>
    </row>
    <row r="1476">
      <c r="E1476" s="1418"/>
      <c r="I1476" s="1418"/>
      <c r="J1476" s="1418"/>
      <c r="N1476" s="1418"/>
      <c r="O1476" s="1418"/>
      <c r="S1476" s="1620"/>
      <c r="Z1476" s="1418"/>
      <c r="AD1476" s="1418"/>
      <c r="AE1476" s="1418"/>
      <c r="AI1476" s="1418"/>
      <c r="AJ1476" s="1418"/>
      <c r="AN1476" s="1418"/>
    </row>
    <row r="1477">
      <c r="E1477" s="1418"/>
      <c r="I1477" s="1418"/>
      <c r="J1477" s="1418"/>
      <c r="N1477" s="1418"/>
      <c r="O1477" s="1418"/>
      <c r="S1477" s="1620"/>
      <c r="Z1477" s="1418"/>
      <c r="AD1477" s="1418"/>
      <c r="AE1477" s="1418"/>
      <c r="AI1477" s="1418"/>
      <c r="AJ1477" s="1418"/>
      <c r="AN1477" s="1418"/>
    </row>
    <row r="1478">
      <c r="E1478" s="1418"/>
      <c r="I1478" s="1418"/>
      <c r="J1478" s="1418"/>
      <c r="N1478" s="1418"/>
      <c r="O1478" s="1418"/>
      <c r="S1478" s="1620"/>
      <c r="Z1478" s="1418"/>
      <c r="AD1478" s="1418"/>
      <c r="AE1478" s="1418"/>
      <c r="AI1478" s="1418"/>
      <c r="AJ1478" s="1418"/>
      <c r="AN1478" s="1418"/>
    </row>
    <row r="1479">
      <c r="E1479" s="1418"/>
      <c r="I1479" s="1418"/>
      <c r="J1479" s="1418"/>
      <c r="N1479" s="1418"/>
      <c r="O1479" s="1418"/>
      <c r="S1479" s="1620"/>
      <c r="Z1479" s="1418"/>
      <c r="AD1479" s="1418"/>
      <c r="AE1479" s="1418"/>
      <c r="AI1479" s="1418"/>
      <c r="AJ1479" s="1418"/>
      <c r="AN1479" s="1418"/>
    </row>
    <row r="1480">
      <c r="E1480" s="1418"/>
      <c r="I1480" s="1418"/>
      <c r="J1480" s="1418"/>
      <c r="N1480" s="1418"/>
      <c r="O1480" s="1418"/>
      <c r="S1480" s="1620"/>
      <c r="Z1480" s="1418"/>
      <c r="AD1480" s="1418"/>
      <c r="AE1480" s="1418"/>
      <c r="AI1480" s="1418"/>
      <c r="AJ1480" s="1418"/>
      <c r="AN1480" s="1418"/>
    </row>
    <row r="1481">
      <c r="E1481" s="1418"/>
      <c r="I1481" s="1418"/>
      <c r="J1481" s="1418"/>
      <c r="N1481" s="1418"/>
      <c r="O1481" s="1418"/>
      <c r="S1481" s="1620"/>
      <c r="Z1481" s="1418"/>
      <c r="AD1481" s="1418"/>
      <c r="AE1481" s="1418"/>
      <c r="AI1481" s="1418"/>
      <c r="AJ1481" s="1418"/>
      <c r="AN1481" s="1418"/>
    </row>
    <row r="1482">
      <c r="E1482" s="1418"/>
      <c r="I1482" s="1418"/>
      <c r="J1482" s="1418"/>
      <c r="N1482" s="1418"/>
      <c r="O1482" s="1418"/>
      <c r="S1482" s="1620"/>
      <c r="Z1482" s="1418"/>
      <c r="AD1482" s="1418"/>
      <c r="AE1482" s="1418"/>
      <c r="AI1482" s="1418"/>
      <c r="AJ1482" s="1418"/>
      <c r="AN1482" s="1418"/>
    </row>
    <row r="1483">
      <c r="E1483" s="1418"/>
      <c r="I1483" s="1418"/>
      <c r="J1483" s="1418"/>
      <c r="N1483" s="1418"/>
      <c r="O1483" s="1418"/>
      <c r="S1483" s="1620"/>
      <c r="Z1483" s="1418"/>
      <c r="AD1483" s="1418"/>
      <c r="AE1483" s="1418"/>
      <c r="AI1483" s="1418"/>
      <c r="AJ1483" s="1418"/>
      <c r="AN1483" s="1418"/>
    </row>
    <row r="1484">
      <c r="E1484" s="1418"/>
      <c r="I1484" s="1418"/>
      <c r="J1484" s="1418"/>
      <c r="N1484" s="1418"/>
      <c r="O1484" s="1418"/>
      <c r="S1484" s="1620"/>
      <c r="Z1484" s="1418"/>
      <c r="AD1484" s="1418"/>
      <c r="AE1484" s="1418"/>
      <c r="AI1484" s="1418"/>
      <c r="AJ1484" s="1418"/>
      <c r="AN1484" s="1418"/>
    </row>
    <row r="1485">
      <c r="E1485" s="1418"/>
      <c r="I1485" s="1418"/>
      <c r="J1485" s="1418"/>
      <c r="N1485" s="1418"/>
      <c r="O1485" s="1418"/>
      <c r="S1485" s="1620"/>
      <c r="Z1485" s="1418"/>
      <c r="AD1485" s="1418"/>
      <c r="AE1485" s="1418"/>
      <c r="AI1485" s="1418"/>
      <c r="AJ1485" s="1418"/>
      <c r="AN1485" s="1418"/>
    </row>
    <row r="1486">
      <c r="E1486" s="1418"/>
      <c r="I1486" s="1418"/>
      <c r="J1486" s="1418"/>
      <c r="N1486" s="1418"/>
      <c r="O1486" s="1418"/>
      <c r="S1486" s="1620"/>
      <c r="Z1486" s="1418"/>
      <c r="AD1486" s="1418"/>
      <c r="AE1486" s="1418"/>
      <c r="AI1486" s="1418"/>
      <c r="AJ1486" s="1418"/>
      <c r="AN1486" s="1418"/>
    </row>
    <row r="1487">
      <c r="E1487" s="1418"/>
      <c r="I1487" s="1418"/>
      <c r="J1487" s="1418"/>
      <c r="N1487" s="1418"/>
      <c r="O1487" s="1418"/>
      <c r="S1487" s="1620"/>
      <c r="Z1487" s="1418"/>
      <c r="AD1487" s="1418"/>
      <c r="AE1487" s="1418"/>
      <c r="AI1487" s="1418"/>
      <c r="AJ1487" s="1418"/>
      <c r="AN1487" s="1418"/>
    </row>
    <row r="1488">
      <c r="E1488" s="1418"/>
      <c r="I1488" s="1418"/>
      <c r="J1488" s="1418"/>
      <c r="N1488" s="1418"/>
      <c r="O1488" s="1418"/>
      <c r="S1488" s="1620"/>
      <c r="Z1488" s="1418"/>
      <c r="AD1488" s="1418"/>
      <c r="AE1488" s="1418"/>
      <c r="AI1488" s="1418"/>
      <c r="AJ1488" s="1418"/>
      <c r="AN1488" s="1418"/>
    </row>
    <row r="1489">
      <c r="E1489" s="1418"/>
      <c r="I1489" s="1418"/>
      <c r="J1489" s="1418"/>
      <c r="N1489" s="1418"/>
      <c r="O1489" s="1418"/>
      <c r="S1489" s="1620"/>
      <c r="Z1489" s="1418"/>
      <c r="AD1489" s="1418"/>
      <c r="AE1489" s="1418"/>
      <c r="AI1489" s="1418"/>
      <c r="AJ1489" s="1418"/>
      <c r="AN1489" s="1418"/>
    </row>
    <row r="1490">
      <c r="E1490" s="1418"/>
      <c r="I1490" s="1418"/>
      <c r="J1490" s="1418"/>
      <c r="N1490" s="1418"/>
      <c r="O1490" s="1418"/>
      <c r="S1490" s="1620"/>
      <c r="Z1490" s="1418"/>
      <c r="AD1490" s="1418"/>
      <c r="AE1490" s="1418"/>
      <c r="AI1490" s="1418"/>
      <c r="AJ1490" s="1418"/>
      <c r="AN1490" s="1418"/>
    </row>
    <row r="1491">
      <c r="E1491" s="1418"/>
      <c r="I1491" s="1418"/>
      <c r="J1491" s="1418"/>
      <c r="N1491" s="1418"/>
      <c r="O1491" s="1418"/>
      <c r="S1491" s="1620"/>
      <c r="Z1491" s="1418"/>
      <c r="AD1491" s="1418"/>
      <c r="AE1491" s="1418"/>
      <c r="AI1491" s="1418"/>
      <c r="AJ1491" s="1418"/>
      <c r="AN1491" s="1418"/>
    </row>
    <row r="1492">
      <c r="E1492" s="1418"/>
      <c r="I1492" s="1418"/>
      <c r="J1492" s="1418"/>
      <c r="N1492" s="1418"/>
      <c r="O1492" s="1418"/>
      <c r="S1492" s="1620"/>
      <c r="Z1492" s="1418"/>
      <c r="AD1492" s="1418"/>
      <c r="AE1492" s="1418"/>
      <c r="AI1492" s="1418"/>
      <c r="AJ1492" s="1418"/>
      <c r="AN1492" s="1418"/>
    </row>
    <row r="1493">
      <c r="E1493" s="1418"/>
      <c r="I1493" s="1418"/>
      <c r="J1493" s="1418"/>
      <c r="N1493" s="1418"/>
      <c r="O1493" s="1418"/>
      <c r="S1493" s="1620"/>
      <c r="Z1493" s="1418"/>
      <c r="AD1493" s="1418"/>
      <c r="AE1493" s="1418"/>
      <c r="AI1493" s="1418"/>
      <c r="AJ1493" s="1418"/>
      <c r="AN1493" s="1418"/>
    </row>
    <row r="1494">
      <c r="E1494" s="1418"/>
      <c r="I1494" s="1418"/>
      <c r="J1494" s="1418"/>
      <c r="N1494" s="1418"/>
      <c r="O1494" s="1418"/>
      <c r="S1494" s="1620"/>
      <c r="Z1494" s="1418"/>
      <c r="AD1494" s="1418"/>
      <c r="AE1494" s="1418"/>
      <c r="AI1494" s="1418"/>
      <c r="AJ1494" s="1418"/>
      <c r="AN1494" s="1418"/>
    </row>
    <row r="1495">
      <c r="E1495" s="1418"/>
      <c r="I1495" s="1418"/>
      <c r="J1495" s="1418"/>
      <c r="N1495" s="1418"/>
      <c r="O1495" s="1418"/>
      <c r="S1495" s="1620"/>
      <c r="Z1495" s="1418"/>
      <c r="AD1495" s="1418"/>
      <c r="AE1495" s="1418"/>
      <c r="AI1495" s="1418"/>
      <c r="AJ1495" s="1418"/>
      <c r="AN1495" s="1418"/>
    </row>
    <row r="1496">
      <c r="E1496" s="1418"/>
      <c r="I1496" s="1418"/>
      <c r="J1496" s="1418"/>
      <c r="N1496" s="1418"/>
      <c r="O1496" s="1418"/>
      <c r="S1496" s="1620"/>
      <c r="Z1496" s="1418"/>
      <c r="AD1496" s="1418"/>
      <c r="AE1496" s="1418"/>
      <c r="AI1496" s="1418"/>
      <c r="AJ1496" s="1418"/>
      <c r="AN1496" s="1418"/>
    </row>
    <row r="1497">
      <c r="E1497" s="1418"/>
      <c r="I1497" s="1418"/>
      <c r="J1497" s="1418"/>
      <c r="N1497" s="1418"/>
      <c r="O1497" s="1418"/>
      <c r="S1497" s="1620"/>
      <c r="Z1497" s="1418"/>
      <c r="AD1497" s="1418"/>
      <c r="AE1497" s="1418"/>
      <c r="AI1497" s="1418"/>
      <c r="AJ1497" s="1418"/>
      <c r="AN1497" s="1418"/>
    </row>
    <row r="1498">
      <c r="E1498" s="1418"/>
      <c r="I1498" s="1418"/>
      <c r="J1498" s="1418"/>
      <c r="N1498" s="1418"/>
      <c r="O1498" s="1418"/>
      <c r="S1498" s="1620"/>
      <c r="Z1498" s="1418"/>
      <c r="AD1498" s="1418"/>
      <c r="AE1498" s="1418"/>
      <c r="AI1498" s="1418"/>
      <c r="AJ1498" s="1418"/>
      <c r="AN1498" s="1418"/>
    </row>
    <row r="1499">
      <c r="E1499" s="1418"/>
      <c r="I1499" s="1418"/>
      <c r="J1499" s="1418"/>
      <c r="N1499" s="1418"/>
      <c r="O1499" s="1418"/>
      <c r="S1499" s="1620"/>
      <c r="Z1499" s="1418"/>
      <c r="AD1499" s="1418"/>
      <c r="AE1499" s="1418"/>
      <c r="AI1499" s="1418"/>
      <c r="AJ1499" s="1418"/>
      <c r="AN1499" s="1418"/>
    </row>
    <row r="1500">
      <c r="E1500" s="1418"/>
      <c r="I1500" s="1418"/>
      <c r="J1500" s="1418"/>
      <c r="N1500" s="1418"/>
      <c r="O1500" s="1418"/>
      <c r="S1500" s="1620"/>
      <c r="Z1500" s="1418"/>
      <c r="AD1500" s="1418"/>
      <c r="AE1500" s="1418"/>
      <c r="AI1500" s="1418"/>
      <c r="AJ1500" s="1418"/>
      <c r="AN1500" s="1418"/>
    </row>
    <row r="1501">
      <c r="E1501" s="1418"/>
      <c r="I1501" s="1418"/>
      <c r="J1501" s="1418"/>
      <c r="N1501" s="1418"/>
      <c r="O1501" s="1418"/>
      <c r="S1501" s="1620"/>
      <c r="Z1501" s="1418"/>
      <c r="AD1501" s="1418"/>
      <c r="AE1501" s="1418"/>
      <c r="AI1501" s="1418"/>
      <c r="AJ1501" s="1418"/>
      <c r="AN1501" s="1418"/>
    </row>
    <row r="1502">
      <c r="E1502" s="1418"/>
      <c r="I1502" s="1418"/>
      <c r="J1502" s="1418"/>
      <c r="N1502" s="1418"/>
      <c r="O1502" s="1418"/>
      <c r="S1502" s="1620"/>
      <c r="Z1502" s="1418"/>
      <c r="AD1502" s="1418"/>
      <c r="AE1502" s="1418"/>
      <c r="AI1502" s="1418"/>
      <c r="AJ1502" s="1418"/>
      <c r="AN1502" s="1418"/>
    </row>
    <row r="1503">
      <c r="E1503" s="1418"/>
      <c r="I1503" s="1418"/>
      <c r="J1503" s="1418"/>
      <c r="N1503" s="1418"/>
      <c r="O1503" s="1418"/>
      <c r="S1503" s="1620"/>
      <c r="Z1503" s="1418"/>
      <c r="AD1503" s="1418"/>
      <c r="AE1503" s="1418"/>
      <c r="AI1503" s="1418"/>
      <c r="AJ1503" s="1418"/>
      <c r="AN1503" s="1418"/>
    </row>
    <row r="1504">
      <c r="E1504" s="1418"/>
      <c r="I1504" s="1418"/>
      <c r="J1504" s="1418"/>
      <c r="N1504" s="1418"/>
      <c r="O1504" s="1418"/>
      <c r="S1504" s="1620"/>
      <c r="Z1504" s="1418"/>
      <c r="AD1504" s="1418"/>
      <c r="AE1504" s="1418"/>
      <c r="AI1504" s="1418"/>
      <c r="AJ1504" s="1418"/>
      <c r="AN1504" s="1418"/>
    </row>
    <row r="1505">
      <c r="E1505" s="1418"/>
      <c r="I1505" s="1418"/>
      <c r="J1505" s="1418"/>
      <c r="N1505" s="1418"/>
      <c r="O1505" s="1418"/>
      <c r="S1505" s="1620"/>
      <c r="Z1505" s="1418"/>
      <c r="AD1505" s="1418"/>
      <c r="AE1505" s="1418"/>
      <c r="AI1505" s="1418"/>
      <c r="AJ1505" s="1418"/>
      <c r="AN1505" s="1418"/>
    </row>
    <row r="1506">
      <c r="E1506" s="1418"/>
      <c r="I1506" s="1418"/>
      <c r="J1506" s="1418"/>
      <c r="N1506" s="1418"/>
      <c r="O1506" s="1418"/>
      <c r="S1506" s="1620"/>
      <c r="Z1506" s="1418"/>
      <c r="AD1506" s="1418"/>
      <c r="AE1506" s="1418"/>
      <c r="AI1506" s="1418"/>
      <c r="AJ1506" s="1418"/>
      <c r="AN1506" s="1418"/>
    </row>
    <row r="1507">
      <c r="E1507" s="1418"/>
      <c r="I1507" s="1418"/>
      <c r="J1507" s="1418"/>
      <c r="N1507" s="1418"/>
      <c r="O1507" s="1418"/>
      <c r="S1507" s="1620"/>
      <c r="Z1507" s="1418"/>
      <c r="AD1507" s="1418"/>
      <c r="AE1507" s="1418"/>
      <c r="AI1507" s="1418"/>
      <c r="AJ1507" s="1418"/>
      <c r="AN1507" s="1418"/>
    </row>
    <row r="1508">
      <c r="E1508" s="1418"/>
      <c r="I1508" s="1418"/>
      <c r="J1508" s="1418"/>
      <c r="N1508" s="1418"/>
      <c r="O1508" s="1418"/>
      <c r="S1508" s="1620"/>
      <c r="Z1508" s="1418"/>
      <c r="AD1508" s="1418"/>
      <c r="AE1508" s="1418"/>
      <c r="AI1508" s="1418"/>
      <c r="AJ1508" s="1418"/>
      <c r="AN1508" s="1418"/>
    </row>
    <row r="1509">
      <c r="E1509" s="1418"/>
      <c r="I1509" s="1418"/>
      <c r="J1509" s="1418"/>
      <c r="N1509" s="1418"/>
      <c r="O1509" s="1418"/>
      <c r="S1509" s="1620"/>
      <c r="Z1509" s="1418"/>
      <c r="AD1509" s="1418"/>
      <c r="AE1509" s="1418"/>
      <c r="AI1509" s="1418"/>
      <c r="AJ1509" s="1418"/>
      <c r="AN1509" s="1418"/>
    </row>
    <row r="1510">
      <c r="E1510" s="1418"/>
      <c r="I1510" s="1418"/>
      <c r="J1510" s="1418"/>
      <c r="N1510" s="1418"/>
      <c r="O1510" s="1418"/>
      <c r="S1510" s="1620"/>
      <c r="Z1510" s="1418"/>
      <c r="AD1510" s="1418"/>
      <c r="AE1510" s="1418"/>
      <c r="AI1510" s="1418"/>
      <c r="AJ1510" s="1418"/>
      <c r="AN1510" s="1418"/>
    </row>
    <row r="1511">
      <c r="E1511" s="1418"/>
      <c r="I1511" s="1418"/>
      <c r="J1511" s="1418"/>
      <c r="N1511" s="1418"/>
      <c r="O1511" s="1418"/>
      <c r="S1511" s="1620"/>
      <c r="Z1511" s="1418"/>
      <c r="AD1511" s="1418"/>
      <c r="AE1511" s="1418"/>
      <c r="AI1511" s="1418"/>
      <c r="AJ1511" s="1418"/>
      <c r="AN1511" s="1418"/>
    </row>
    <row r="1512">
      <c r="E1512" s="1418"/>
      <c r="I1512" s="1418"/>
      <c r="J1512" s="1418"/>
      <c r="N1512" s="1418"/>
      <c r="O1512" s="1418"/>
      <c r="S1512" s="1620"/>
      <c r="Z1512" s="1418"/>
      <c r="AD1512" s="1418"/>
      <c r="AE1512" s="1418"/>
      <c r="AI1512" s="1418"/>
      <c r="AJ1512" s="1418"/>
      <c r="AN1512" s="1418"/>
    </row>
    <row r="1513">
      <c r="E1513" s="1418"/>
      <c r="I1513" s="1418"/>
      <c r="J1513" s="1418"/>
      <c r="N1513" s="1418"/>
      <c r="O1513" s="1418"/>
      <c r="S1513" s="1620"/>
      <c r="Z1513" s="1418"/>
      <c r="AD1513" s="1418"/>
      <c r="AE1513" s="1418"/>
      <c r="AI1513" s="1418"/>
      <c r="AJ1513" s="1418"/>
      <c r="AN1513" s="1418"/>
    </row>
    <row r="1514">
      <c r="E1514" s="1418"/>
      <c r="I1514" s="1418"/>
      <c r="J1514" s="1418"/>
      <c r="N1514" s="1418"/>
      <c r="O1514" s="1418"/>
      <c r="S1514" s="1620"/>
      <c r="Z1514" s="1418"/>
      <c r="AD1514" s="1418"/>
      <c r="AE1514" s="1418"/>
      <c r="AI1514" s="1418"/>
      <c r="AJ1514" s="1418"/>
      <c r="AN1514" s="1418"/>
    </row>
    <row r="1515">
      <c r="E1515" s="1418"/>
      <c r="I1515" s="1418"/>
      <c r="J1515" s="1418"/>
      <c r="N1515" s="1418"/>
      <c r="O1515" s="1418"/>
      <c r="S1515" s="1620"/>
      <c r="Z1515" s="1418"/>
      <c r="AD1515" s="1418"/>
      <c r="AE1515" s="1418"/>
      <c r="AI1515" s="1418"/>
      <c r="AJ1515" s="1418"/>
      <c r="AN1515" s="1418"/>
    </row>
    <row r="1516">
      <c r="E1516" s="1418"/>
      <c r="I1516" s="1418"/>
      <c r="J1516" s="1418"/>
      <c r="N1516" s="1418"/>
      <c r="O1516" s="1418"/>
      <c r="S1516" s="1620"/>
      <c r="Z1516" s="1418"/>
      <c r="AD1516" s="1418"/>
      <c r="AE1516" s="1418"/>
      <c r="AI1516" s="1418"/>
      <c r="AJ1516" s="1418"/>
      <c r="AN1516" s="1418"/>
    </row>
    <row r="1517">
      <c r="E1517" s="1418"/>
      <c r="I1517" s="1418"/>
      <c r="J1517" s="1418"/>
      <c r="N1517" s="1418"/>
      <c r="O1517" s="1418"/>
      <c r="S1517" s="1620"/>
      <c r="Z1517" s="1418"/>
      <c r="AD1517" s="1418"/>
      <c r="AE1517" s="1418"/>
      <c r="AI1517" s="1418"/>
      <c r="AJ1517" s="1418"/>
      <c r="AN1517" s="1418"/>
    </row>
    <row r="1518">
      <c r="E1518" s="1418"/>
      <c r="I1518" s="1418"/>
      <c r="J1518" s="1418"/>
      <c r="N1518" s="1418"/>
      <c r="O1518" s="1418"/>
      <c r="S1518" s="1620"/>
      <c r="Z1518" s="1418"/>
      <c r="AD1518" s="1418"/>
      <c r="AE1518" s="1418"/>
      <c r="AI1518" s="1418"/>
      <c r="AJ1518" s="1418"/>
      <c r="AN1518" s="1418"/>
    </row>
    <row r="1519">
      <c r="E1519" s="1418"/>
      <c r="I1519" s="1418"/>
      <c r="J1519" s="1418"/>
      <c r="N1519" s="1418"/>
      <c r="O1519" s="1418"/>
      <c r="S1519" s="1620"/>
      <c r="Z1519" s="1418"/>
      <c r="AD1519" s="1418"/>
      <c r="AE1519" s="1418"/>
      <c r="AI1519" s="1418"/>
      <c r="AJ1519" s="1418"/>
      <c r="AN1519" s="1418"/>
    </row>
    <row r="1520">
      <c r="E1520" s="1418"/>
      <c r="I1520" s="1418"/>
      <c r="J1520" s="1418"/>
      <c r="N1520" s="1418"/>
      <c r="O1520" s="1418"/>
      <c r="S1520" s="1620"/>
      <c r="Z1520" s="1418"/>
      <c r="AD1520" s="1418"/>
      <c r="AE1520" s="1418"/>
      <c r="AI1520" s="1418"/>
      <c r="AJ1520" s="1418"/>
      <c r="AN1520" s="1418"/>
    </row>
    <row r="1521">
      <c r="E1521" s="1418"/>
      <c r="I1521" s="1418"/>
      <c r="J1521" s="1418"/>
      <c r="N1521" s="1418"/>
      <c r="O1521" s="1418"/>
      <c r="S1521" s="1620"/>
      <c r="Z1521" s="1418"/>
      <c r="AD1521" s="1418"/>
      <c r="AE1521" s="1418"/>
      <c r="AI1521" s="1418"/>
      <c r="AJ1521" s="1418"/>
      <c r="AN1521" s="1418"/>
    </row>
    <row r="1522">
      <c r="E1522" s="1418"/>
      <c r="I1522" s="1418"/>
      <c r="J1522" s="1418"/>
      <c r="N1522" s="1418"/>
      <c r="O1522" s="1418"/>
      <c r="S1522" s="1620"/>
      <c r="Z1522" s="1418"/>
      <c r="AD1522" s="1418"/>
      <c r="AE1522" s="1418"/>
      <c r="AI1522" s="1418"/>
      <c r="AJ1522" s="1418"/>
      <c r="AN1522" s="1418"/>
    </row>
    <row r="1523">
      <c r="E1523" s="1418"/>
      <c r="I1523" s="1418"/>
      <c r="J1523" s="1418"/>
      <c r="N1523" s="1418"/>
      <c r="O1523" s="1418"/>
      <c r="S1523" s="1620"/>
      <c r="Z1523" s="1418"/>
      <c r="AD1523" s="1418"/>
      <c r="AE1523" s="1418"/>
      <c r="AI1523" s="1418"/>
      <c r="AJ1523" s="1418"/>
      <c r="AN1523" s="1418"/>
    </row>
    <row r="1524">
      <c r="E1524" s="1418"/>
      <c r="I1524" s="1418"/>
      <c r="J1524" s="1418"/>
      <c r="N1524" s="1418"/>
      <c r="O1524" s="1418"/>
      <c r="S1524" s="1620"/>
      <c r="Z1524" s="1418"/>
      <c r="AD1524" s="1418"/>
      <c r="AE1524" s="1418"/>
      <c r="AI1524" s="1418"/>
      <c r="AJ1524" s="1418"/>
      <c r="AN1524" s="1418"/>
    </row>
    <row r="1525">
      <c r="E1525" s="1418"/>
      <c r="I1525" s="1418"/>
      <c r="J1525" s="1418"/>
      <c r="N1525" s="1418"/>
      <c r="O1525" s="1418"/>
      <c r="S1525" s="1620"/>
      <c r="Z1525" s="1418"/>
      <c r="AD1525" s="1418"/>
      <c r="AE1525" s="1418"/>
      <c r="AI1525" s="1418"/>
      <c r="AJ1525" s="1418"/>
      <c r="AN1525" s="1418"/>
    </row>
    <row r="1526">
      <c r="E1526" s="1418"/>
      <c r="I1526" s="1418"/>
      <c r="J1526" s="1418"/>
      <c r="N1526" s="1418"/>
      <c r="O1526" s="1418"/>
      <c r="S1526" s="1620"/>
      <c r="Z1526" s="1418"/>
      <c r="AD1526" s="1418"/>
      <c r="AE1526" s="1418"/>
      <c r="AI1526" s="1418"/>
      <c r="AJ1526" s="1418"/>
      <c r="AN1526" s="1418"/>
    </row>
    <row r="1527">
      <c r="E1527" s="1418"/>
      <c r="I1527" s="1418"/>
      <c r="J1527" s="1418"/>
      <c r="N1527" s="1418"/>
      <c r="O1527" s="1418"/>
      <c r="S1527" s="1620"/>
      <c r="Z1527" s="1418"/>
      <c r="AD1527" s="1418"/>
      <c r="AE1527" s="1418"/>
      <c r="AI1527" s="1418"/>
      <c r="AJ1527" s="1418"/>
      <c r="AN1527" s="1418"/>
    </row>
    <row r="1528">
      <c r="E1528" s="1418"/>
      <c r="I1528" s="1418"/>
      <c r="J1528" s="1418"/>
      <c r="N1528" s="1418"/>
      <c r="O1528" s="1418"/>
      <c r="S1528" s="1620"/>
      <c r="Z1528" s="1418"/>
      <c r="AD1528" s="1418"/>
      <c r="AE1528" s="1418"/>
      <c r="AI1528" s="1418"/>
      <c r="AJ1528" s="1418"/>
      <c r="AN1528" s="1418"/>
    </row>
    <row r="1529">
      <c r="E1529" s="1418"/>
      <c r="I1529" s="1418"/>
      <c r="J1529" s="1418"/>
      <c r="N1529" s="1418"/>
      <c r="O1529" s="1418"/>
      <c r="S1529" s="1620"/>
      <c r="Z1529" s="1418"/>
      <c r="AD1529" s="1418"/>
      <c r="AE1529" s="1418"/>
      <c r="AI1529" s="1418"/>
      <c r="AJ1529" s="1418"/>
      <c r="AN1529" s="1418"/>
    </row>
    <row r="1530">
      <c r="E1530" s="1418"/>
      <c r="I1530" s="1418"/>
      <c r="J1530" s="1418"/>
      <c r="N1530" s="1418"/>
      <c r="O1530" s="1418"/>
      <c r="S1530" s="1620"/>
      <c r="Z1530" s="1418"/>
      <c r="AD1530" s="1418"/>
      <c r="AE1530" s="1418"/>
      <c r="AI1530" s="1418"/>
      <c r="AJ1530" s="1418"/>
      <c r="AN1530" s="1418"/>
    </row>
    <row r="1531">
      <c r="E1531" s="1418"/>
      <c r="I1531" s="1418"/>
      <c r="J1531" s="1418"/>
      <c r="N1531" s="1418"/>
      <c r="O1531" s="1418"/>
      <c r="S1531" s="1620"/>
      <c r="Z1531" s="1418"/>
      <c r="AD1531" s="1418"/>
      <c r="AE1531" s="1418"/>
      <c r="AI1531" s="1418"/>
      <c r="AJ1531" s="1418"/>
      <c r="AN1531" s="1418"/>
    </row>
    <row r="1532">
      <c r="E1532" s="1418"/>
      <c r="I1532" s="1418"/>
      <c r="J1532" s="1418"/>
      <c r="N1532" s="1418"/>
      <c r="O1532" s="1418"/>
      <c r="S1532" s="1620"/>
      <c r="Z1532" s="1418"/>
      <c r="AD1532" s="1418"/>
      <c r="AE1532" s="1418"/>
      <c r="AI1532" s="1418"/>
      <c r="AJ1532" s="1418"/>
      <c r="AN1532" s="1418"/>
    </row>
    <row r="1533">
      <c r="E1533" s="1418"/>
      <c r="I1533" s="1418"/>
      <c r="J1533" s="1418"/>
      <c r="N1533" s="1418"/>
      <c r="O1533" s="1418"/>
      <c r="S1533" s="1620"/>
      <c r="Z1533" s="1418"/>
      <c r="AD1533" s="1418"/>
      <c r="AE1533" s="1418"/>
      <c r="AI1533" s="1418"/>
      <c r="AJ1533" s="1418"/>
      <c r="AN1533" s="1418"/>
    </row>
    <row r="1534">
      <c r="E1534" s="1418"/>
      <c r="I1534" s="1418"/>
      <c r="J1534" s="1418"/>
      <c r="N1534" s="1418"/>
      <c r="O1534" s="1418"/>
      <c r="S1534" s="1620"/>
      <c r="Z1534" s="1418"/>
      <c r="AD1534" s="1418"/>
      <c r="AE1534" s="1418"/>
      <c r="AI1534" s="1418"/>
      <c r="AJ1534" s="1418"/>
      <c r="AN1534" s="1418"/>
    </row>
    <row r="1535">
      <c r="E1535" s="1418"/>
      <c r="I1535" s="1418"/>
      <c r="J1535" s="1418"/>
      <c r="N1535" s="1418"/>
      <c r="O1535" s="1418"/>
      <c r="S1535" s="1620"/>
      <c r="Z1535" s="1418"/>
      <c r="AD1535" s="1418"/>
      <c r="AE1535" s="1418"/>
      <c r="AI1535" s="1418"/>
      <c r="AJ1535" s="1418"/>
      <c r="AN1535" s="1418"/>
    </row>
    <row r="1536">
      <c r="E1536" s="1418"/>
      <c r="I1536" s="1418"/>
      <c r="J1536" s="1418"/>
      <c r="N1536" s="1418"/>
      <c r="O1536" s="1418"/>
      <c r="S1536" s="1620"/>
      <c r="Z1536" s="1418"/>
      <c r="AD1536" s="1418"/>
      <c r="AE1536" s="1418"/>
      <c r="AI1536" s="1418"/>
      <c r="AJ1536" s="1418"/>
      <c r="AN1536" s="1418"/>
    </row>
    <row r="1537">
      <c r="E1537" s="1418"/>
      <c r="I1537" s="1418"/>
      <c r="J1537" s="1418"/>
      <c r="N1537" s="1418"/>
      <c r="O1537" s="1418"/>
      <c r="S1537" s="1620"/>
      <c r="Z1537" s="1418"/>
      <c r="AD1537" s="1418"/>
      <c r="AE1537" s="1418"/>
      <c r="AI1537" s="1418"/>
      <c r="AJ1537" s="1418"/>
      <c r="AN1537" s="1418"/>
    </row>
    <row r="1538">
      <c r="E1538" s="1418"/>
      <c r="I1538" s="1418"/>
      <c r="J1538" s="1418"/>
      <c r="N1538" s="1418"/>
      <c r="O1538" s="1418"/>
      <c r="S1538" s="1620"/>
      <c r="Z1538" s="1418"/>
      <c r="AD1538" s="1418"/>
      <c r="AE1538" s="1418"/>
      <c r="AI1538" s="1418"/>
      <c r="AJ1538" s="1418"/>
      <c r="AN1538" s="1418"/>
    </row>
    <row r="1539">
      <c r="E1539" s="1418"/>
      <c r="I1539" s="1418"/>
      <c r="J1539" s="1418"/>
      <c r="N1539" s="1418"/>
      <c r="O1539" s="1418"/>
      <c r="S1539" s="1620"/>
      <c r="Z1539" s="1418"/>
      <c r="AD1539" s="1418"/>
      <c r="AE1539" s="1418"/>
      <c r="AI1539" s="1418"/>
      <c r="AJ1539" s="1418"/>
      <c r="AN1539" s="1418"/>
    </row>
    <row r="1540">
      <c r="E1540" s="1418"/>
      <c r="I1540" s="1418"/>
      <c r="J1540" s="1418"/>
      <c r="N1540" s="1418"/>
      <c r="O1540" s="1418"/>
      <c r="S1540" s="1620"/>
      <c r="Z1540" s="1418"/>
      <c r="AD1540" s="1418"/>
      <c r="AE1540" s="1418"/>
      <c r="AI1540" s="1418"/>
      <c r="AJ1540" s="1418"/>
      <c r="AN1540" s="1418"/>
    </row>
    <row r="1541">
      <c r="E1541" s="1418"/>
      <c r="I1541" s="1418"/>
      <c r="J1541" s="1418"/>
      <c r="N1541" s="1418"/>
      <c r="O1541" s="1418"/>
      <c r="S1541" s="1620"/>
      <c r="Z1541" s="1418"/>
      <c r="AD1541" s="1418"/>
      <c r="AE1541" s="1418"/>
      <c r="AI1541" s="1418"/>
      <c r="AJ1541" s="1418"/>
      <c r="AN1541" s="1418"/>
    </row>
  </sheetData>
  <mergeCells count="24">
    <mergeCell ref="A264:A265"/>
    <mergeCell ref="W856:AO856"/>
    <mergeCell ref="W966:AO966"/>
    <mergeCell ref="V1092:X1092"/>
    <mergeCell ref="AK1092:AM1092"/>
    <mergeCell ref="AS48:AT48"/>
    <mergeCell ref="AU48:AV48"/>
    <mergeCell ref="W100:AO100"/>
    <mergeCell ref="A220:A221"/>
    <mergeCell ref="V220:V221"/>
    <mergeCell ref="AQ2:AR2"/>
    <mergeCell ref="AS2:AT2"/>
    <mergeCell ref="W3:X3"/>
    <mergeCell ref="Y3:Z3"/>
    <mergeCell ref="AA3:AB3"/>
    <mergeCell ref="AC3:AD3"/>
    <mergeCell ref="AE3:AF3"/>
    <mergeCell ref="AG3:AH3"/>
    <mergeCell ref="AI3:AJ3"/>
    <mergeCell ref="AK3:AL3"/>
    <mergeCell ref="AM3:AN3"/>
    <mergeCell ref="AO3:AP3"/>
    <mergeCell ref="AQ3:AR3"/>
    <mergeCell ref="AS3:AT3"/>
  </mergeCells>
  <printOptions headings="0" gridLines="0"/>
  <pageMargins left="0.38000000000000006" right="0.24000000000000002" top="0.93000000000000027" bottom="0" header="0" footer="0"/>
  <pageSetup paperSize="9" scale="10" fitToWidth="1" fitToHeight="1" pageOrder="downThenOver" orientation="landscape" usePrinterDefaults="1" blackAndWhite="0" draft="0" cellComments="none" useFirstPageNumber="0" errors="displayed" horizontalDpi="600" verticalDpi="300" copies="1"/>
  <headerFooter/>
  <rowBreaks count="10" manualBreakCount="10">
    <brk id="46" man="1" max="180"/>
    <brk id="98" man="1" max="180"/>
    <brk id="211" man="1" max="180"/>
    <brk id="218" man="1" max="180"/>
    <brk id="262" man="1" max="180"/>
    <brk id="312" man="1" max="180"/>
    <brk id="373" man="1" max="16383"/>
    <brk id="655" man="1" max="180"/>
    <brk id="832" man="1" max="16383"/>
    <brk id="862" man="1" max="16383"/>
  </rowBreaks>
  <colBreaks count="1" manualBreakCount="1">
    <brk id="20" man="1" max="1048575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 codeName="Лист2">
    <outlinePr applyStyles="0" summaryBelow="1" summaryRight="1" showOutlineSymbols="1"/>
    <pageSetUpPr autoPageBreaks="1" fitToPage="0"/>
  </sheetPr>
  <sheetViews>
    <sheetView zoomScale="100" workbookViewId="0">
      <pane xSplit="2" ySplit="9" topLeftCell="C10" activePane="bottomRight" state="frozen"/>
      <selection activeCell="C10" activeCellId="0" sqref="C10"/>
    </sheetView>
  </sheetViews>
  <sheetFormatPr defaultRowHeight="12.75"/>
  <cols>
    <col customWidth="1" min="1" max="1" width="4.7109375"/>
    <col customWidth="1" min="2" max="2" width="20.5703125"/>
    <col customWidth="1" min="3" max="6" width="6.28515625"/>
    <col customWidth="1" min="7" max="10" width="6.7109375"/>
    <col customWidth="1" min="11" max="14" width="6"/>
    <col customWidth="1" min="15" max="15" width="11"/>
    <col customWidth="1" min="16" max="16" width="10.5703125"/>
    <col customWidth="1" min="17" max="19" width="8.85546875"/>
    <col customWidth="1" min="20" max="20" width="11"/>
    <col customWidth="1" min="21" max="23" width="8.85546875"/>
    <col customWidth="1" min="24" max="24" width="9.5703125"/>
    <col customWidth="1" min="25" max="25" width="11.85546875"/>
    <col customWidth="1" min="26" max="28" width="8.85546875"/>
    <col customWidth="1" min="29" max="29" width="11.7109375"/>
    <col customWidth="1" min="30" max="30" width="13.5703125"/>
  </cols>
  <sheetData>
    <row r="1" ht="6.75" customHeight="1"/>
    <row r="2" ht="6.75" customHeight="1"/>
    <row r="3">
      <c r="B3" s="76" t="s">
        <v>47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>
      <c r="B4" s="1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>
      <c r="B5" s="127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ht="45.75" customHeight="1">
      <c r="B6" s="127"/>
      <c r="C6" s="2319" t="s">
        <v>856</v>
      </c>
      <c r="D6" s="2320"/>
      <c r="E6" s="2320"/>
      <c r="F6" s="232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ht="15.75">
      <c r="B7" s="210" t="s">
        <v>173</v>
      </c>
      <c r="C7" s="2321" t="s">
        <v>857</v>
      </c>
      <c r="D7" s="2322"/>
      <c r="E7" s="2322"/>
      <c r="F7" s="2322"/>
      <c r="G7" s="2321" t="s">
        <v>858</v>
      </c>
      <c r="H7" s="2323"/>
      <c r="I7" s="2323"/>
      <c r="J7" s="2323"/>
      <c r="K7" s="2321" t="s">
        <v>859</v>
      </c>
      <c r="L7" s="2323"/>
      <c r="M7" s="2323"/>
      <c r="N7" s="2323"/>
      <c r="O7" s="236" t="s">
        <v>9</v>
      </c>
      <c r="P7" s="237" t="s">
        <v>10</v>
      </c>
      <c r="Q7" s="210" t="s">
        <v>11</v>
      </c>
      <c r="R7" s="235" t="s">
        <v>12</v>
      </c>
      <c r="S7" s="238" t="s">
        <v>174</v>
      </c>
      <c r="T7" s="239" t="s">
        <v>175</v>
      </c>
      <c r="U7" s="237" t="s">
        <v>14</v>
      </c>
      <c r="V7" s="210" t="s">
        <v>15</v>
      </c>
      <c r="W7" s="235" t="s">
        <v>16</v>
      </c>
      <c r="X7" s="238" t="s">
        <v>17</v>
      </c>
      <c r="Y7" s="239" t="s">
        <v>176</v>
      </c>
      <c r="Z7" s="240" t="s">
        <v>18</v>
      </c>
      <c r="AA7" s="210" t="s">
        <v>19</v>
      </c>
      <c r="AB7" s="235" t="s">
        <v>20</v>
      </c>
      <c r="AC7" s="238" t="s">
        <v>177</v>
      </c>
      <c r="AD7" s="239" t="s">
        <v>22</v>
      </c>
    </row>
    <row r="8">
      <c r="B8" s="210"/>
      <c r="C8" s="2324" t="s">
        <v>860</v>
      </c>
      <c r="D8" s="2322"/>
      <c r="E8" s="2325" t="s">
        <v>861</v>
      </c>
      <c r="F8" s="2322"/>
      <c r="G8" s="2324" t="s">
        <v>860</v>
      </c>
      <c r="H8" s="2322"/>
      <c r="I8" s="2325" t="s">
        <v>861</v>
      </c>
      <c r="J8" s="2322"/>
      <c r="K8" s="2324" t="s">
        <v>860</v>
      </c>
      <c r="L8" s="2322"/>
      <c r="M8" s="2325" t="s">
        <v>861</v>
      </c>
      <c r="N8" s="2322"/>
      <c r="O8" s="2326"/>
      <c r="P8" s="237"/>
      <c r="Q8" s="210"/>
      <c r="R8" s="235"/>
      <c r="S8" s="2327"/>
      <c r="T8" s="2328"/>
      <c r="U8" s="237"/>
      <c r="V8" s="210"/>
      <c r="W8" s="235"/>
      <c r="X8" s="2327"/>
      <c r="Y8" s="2328"/>
      <c r="Z8" s="240"/>
      <c r="AA8" s="210"/>
      <c r="AB8" s="235"/>
      <c r="AC8" s="2327"/>
      <c r="AD8" s="2328"/>
    </row>
    <row r="9">
      <c r="B9" s="210"/>
      <c r="C9" s="210" t="s">
        <v>862</v>
      </c>
      <c r="D9" s="210" t="s">
        <v>127</v>
      </c>
      <c r="E9" s="210" t="s">
        <v>862</v>
      </c>
      <c r="F9" s="210" t="s">
        <v>127</v>
      </c>
      <c r="G9" s="210" t="s">
        <v>862</v>
      </c>
      <c r="H9" s="210" t="s">
        <v>127</v>
      </c>
      <c r="I9" s="210" t="s">
        <v>862</v>
      </c>
      <c r="J9" s="210" t="s">
        <v>127</v>
      </c>
      <c r="K9" s="210" t="s">
        <v>862</v>
      </c>
      <c r="L9" s="210" t="s">
        <v>127</v>
      </c>
      <c r="M9" s="210" t="s">
        <v>862</v>
      </c>
      <c r="N9" s="210" t="s">
        <v>127</v>
      </c>
      <c r="O9" s="2326"/>
      <c r="P9" s="237"/>
      <c r="Q9" s="210"/>
      <c r="R9" s="235"/>
      <c r="S9" s="2327"/>
      <c r="T9" s="2328"/>
      <c r="U9" s="237"/>
      <c r="V9" s="210"/>
      <c r="W9" s="235"/>
      <c r="X9" s="2327"/>
      <c r="Y9" s="2328"/>
      <c r="Z9" s="240"/>
      <c r="AA9" s="210"/>
      <c r="AB9" s="235"/>
      <c r="AC9" s="2327"/>
      <c r="AD9" s="2328"/>
    </row>
    <row r="10">
      <c r="B10" s="272" t="s">
        <v>178</v>
      </c>
      <c r="C10" s="273">
        <v>46</v>
      </c>
      <c r="D10" s="273">
        <v>46</v>
      </c>
      <c r="E10" s="273">
        <v>568</v>
      </c>
      <c r="F10" s="273">
        <v>568</v>
      </c>
      <c r="G10" s="273">
        <v>58</v>
      </c>
      <c r="H10" s="307">
        <v>57</v>
      </c>
      <c r="I10" s="307">
        <v>831</v>
      </c>
      <c r="J10" s="307">
        <v>817</v>
      </c>
      <c r="K10" s="307"/>
      <c r="L10" s="439"/>
      <c r="M10" s="439"/>
      <c r="N10" s="439"/>
      <c r="O10" s="308">
        <f t="shared" ref="O10:O42" si="2351">C10+G10+K10</f>
        <v>104</v>
      </c>
      <c r="P10" s="273"/>
      <c r="Q10" s="273"/>
      <c r="R10" s="307"/>
      <c r="S10" s="309">
        <f t="shared" ref="S10:S21" si="2352">P10+Q10+R10</f>
        <v>0</v>
      </c>
      <c r="T10" s="310">
        <f t="shared" ref="T10:T42" si="2353">O10+S10</f>
        <v>104</v>
      </c>
      <c r="U10" s="273"/>
      <c r="V10" s="311"/>
      <c r="W10" s="312"/>
      <c r="X10" s="313">
        <f t="shared" ref="X10:X21" si="2354">U10+V10+W10</f>
        <v>0</v>
      </c>
      <c r="Y10" s="310">
        <f t="shared" ref="Y10:Y42" si="2355">T10+X10</f>
        <v>104</v>
      </c>
      <c r="Z10" s="273"/>
      <c r="AA10" s="273"/>
      <c r="AB10" s="307"/>
      <c r="AC10" s="309">
        <f t="shared" ref="AC10:AC21" si="2356">Z10+AA10+AB10</f>
        <v>0</v>
      </c>
      <c r="AD10" s="314">
        <f t="shared" ref="AD10:AD21" si="2357">Y10+AC10</f>
        <v>104</v>
      </c>
    </row>
    <row r="11">
      <c r="B11" s="272" t="s">
        <v>179</v>
      </c>
      <c r="C11" s="273">
        <f>22+31</f>
        <v>53</v>
      </c>
      <c r="D11" s="273">
        <f>22+30</f>
        <v>52</v>
      </c>
      <c r="E11" s="273">
        <f>224+384</f>
        <v>608</v>
      </c>
      <c r="F11" s="273">
        <f>224+382</f>
        <v>606</v>
      </c>
      <c r="G11" s="273">
        <f>40+46</f>
        <v>86</v>
      </c>
      <c r="H11" s="307">
        <f>40+44</f>
        <v>84</v>
      </c>
      <c r="I11" s="307">
        <f>427+538</f>
        <v>965</v>
      </c>
      <c r="J11" s="307">
        <f>426+506</f>
        <v>932</v>
      </c>
      <c r="K11" s="307"/>
      <c r="L11" s="439"/>
      <c r="M11" s="439"/>
      <c r="N11" s="439"/>
      <c r="O11" s="308">
        <f t="shared" si="2351"/>
        <v>139</v>
      </c>
      <c r="P11" s="273"/>
      <c r="Q11" s="273"/>
      <c r="R11" s="307"/>
      <c r="S11" s="309">
        <f t="shared" si="2352"/>
        <v>0</v>
      </c>
      <c r="T11" s="310">
        <f t="shared" si="2353"/>
        <v>139</v>
      </c>
      <c r="U11" s="273"/>
      <c r="V11" s="311"/>
      <c r="W11" s="312"/>
      <c r="X11" s="313">
        <f t="shared" si="2354"/>
        <v>0</v>
      </c>
      <c r="Y11" s="310">
        <f t="shared" si="2355"/>
        <v>139</v>
      </c>
      <c r="Z11" s="273"/>
      <c r="AA11" s="273"/>
      <c r="AB11" s="307"/>
      <c r="AC11" s="309">
        <f t="shared" si="2356"/>
        <v>0</v>
      </c>
      <c r="AD11" s="314">
        <f t="shared" si="2357"/>
        <v>139</v>
      </c>
    </row>
    <row r="12">
      <c r="B12" s="272" t="s">
        <v>181</v>
      </c>
      <c r="C12" s="273">
        <v>53</v>
      </c>
      <c r="D12" s="273">
        <v>53</v>
      </c>
      <c r="E12" s="273">
        <v>553</v>
      </c>
      <c r="F12" s="273">
        <v>553</v>
      </c>
      <c r="G12" s="273">
        <v>122</v>
      </c>
      <c r="H12" s="307">
        <v>122</v>
      </c>
      <c r="I12" s="307">
        <v>1120</v>
      </c>
      <c r="J12" s="307">
        <v>1120</v>
      </c>
      <c r="K12" s="307"/>
      <c r="L12" s="439"/>
      <c r="M12" s="439"/>
      <c r="N12" s="439"/>
      <c r="O12" s="308">
        <f t="shared" si="2351"/>
        <v>175</v>
      </c>
      <c r="P12" s="273"/>
      <c r="Q12" s="273"/>
      <c r="R12" s="307"/>
      <c r="S12" s="309">
        <f t="shared" si="2352"/>
        <v>0</v>
      </c>
      <c r="T12" s="310">
        <f t="shared" si="2353"/>
        <v>175</v>
      </c>
      <c r="U12" s="273"/>
      <c r="V12" s="311"/>
      <c r="W12" s="312"/>
      <c r="X12" s="313">
        <f t="shared" si="2354"/>
        <v>0</v>
      </c>
      <c r="Y12" s="310">
        <f t="shared" si="2355"/>
        <v>175</v>
      </c>
      <c r="Z12" s="273"/>
      <c r="AA12" s="273"/>
      <c r="AB12" s="307"/>
      <c r="AC12" s="309">
        <f t="shared" si="2356"/>
        <v>0</v>
      </c>
      <c r="AD12" s="314">
        <f t="shared" si="2357"/>
        <v>175</v>
      </c>
    </row>
    <row r="13">
      <c r="B13" s="272" t="s">
        <v>182</v>
      </c>
      <c r="C13" s="273">
        <v>58</v>
      </c>
      <c r="D13" s="273">
        <v>58</v>
      </c>
      <c r="E13" s="273">
        <v>742</v>
      </c>
      <c r="F13" s="273">
        <v>742</v>
      </c>
      <c r="G13" s="273">
        <v>51</v>
      </c>
      <c r="H13" s="307">
        <v>50</v>
      </c>
      <c r="I13" s="307">
        <v>683</v>
      </c>
      <c r="J13" s="307">
        <v>672</v>
      </c>
      <c r="K13" s="307"/>
      <c r="L13" s="439"/>
      <c r="M13" s="439"/>
      <c r="N13" s="439"/>
      <c r="O13" s="308">
        <f t="shared" si="2351"/>
        <v>109</v>
      </c>
      <c r="P13" s="273"/>
      <c r="Q13" s="273"/>
      <c r="R13" s="307"/>
      <c r="S13" s="309">
        <f t="shared" si="2352"/>
        <v>0</v>
      </c>
      <c r="T13" s="310">
        <f t="shared" si="2353"/>
        <v>109</v>
      </c>
      <c r="U13" s="273"/>
      <c r="V13" s="311"/>
      <c r="W13" s="312"/>
      <c r="X13" s="313">
        <f t="shared" si="2354"/>
        <v>0</v>
      </c>
      <c r="Y13" s="310">
        <f t="shared" si="2355"/>
        <v>109</v>
      </c>
      <c r="Z13" s="273"/>
      <c r="AA13" s="273"/>
      <c r="AB13" s="307"/>
      <c r="AC13" s="309">
        <f t="shared" si="2356"/>
        <v>0</v>
      </c>
      <c r="AD13" s="314">
        <f t="shared" si="2357"/>
        <v>109</v>
      </c>
    </row>
    <row r="14">
      <c r="B14" s="272" t="s">
        <v>183</v>
      </c>
      <c r="C14" s="273">
        <v>39</v>
      </c>
      <c r="D14" s="273">
        <v>39</v>
      </c>
      <c r="E14" s="273">
        <v>555</v>
      </c>
      <c r="F14" s="273">
        <v>555</v>
      </c>
      <c r="G14" s="273">
        <v>55</v>
      </c>
      <c r="H14" s="307">
        <v>51</v>
      </c>
      <c r="I14" s="307">
        <v>828</v>
      </c>
      <c r="J14" s="307">
        <v>795</v>
      </c>
      <c r="K14" s="307"/>
      <c r="L14" s="439"/>
      <c r="M14" s="439"/>
      <c r="N14" s="439"/>
      <c r="O14" s="308">
        <f t="shared" si="2351"/>
        <v>94</v>
      </c>
      <c r="P14" s="273"/>
      <c r="Q14" s="273"/>
      <c r="R14" s="307"/>
      <c r="S14" s="309">
        <f t="shared" si="2352"/>
        <v>0</v>
      </c>
      <c r="T14" s="310">
        <f t="shared" si="2353"/>
        <v>94</v>
      </c>
      <c r="U14" s="273"/>
      <c r="V14" s="311"/>
      <c r="W14" s="312"/>
      <c r="X14" s="313">
        <f t="shared" si="2354"/>
        <v>0</v>
      </c>
      <c r="Y14" s="310">
        <f t="shared" si="2355"/>
        <v>94</v>
      </c>
      <c r="Z14" s="273"/>
      <c r="AA14" s="273"/>
      <c r="AB14" s="307"/>
      <c r="AC14" s="309">
        <f t="shared" si="2356"/>
        <v>0</v>
      </c>
      <c r="AD14" s="314">
        <f t="shared" si="2357"/>
        <v>94</v>
      </c>
    </row>
    <row r="15">
      <c r="B15" s="272" t="s">
        <v>184</v>
      </c>
      <c r="C15" s="273">
        <v>47</v>
      </c>
      <c r="D15" s="273">
        <v>45</v>
      </c>
      <c r="E15" s="273">
        <v>555</v>
      </c>
      <c r="F15" s="273">
        <v>528</v>
      </c>
      <c r="G15" s="273">
        <v>78</v>
      </c>
      <c r="H15" s="307">
        <v>77</v>
      </c>
      <c r="I15" s="307">
        <v>813</v>
      </c>
      <c r="J15" s="307">
        <v>799</v>
      </c>
      <c r="K15" s="307"/>
      <c r="L15" s="439"/>
      <c r="M15" s="439"/>
      <c r="N15" s="439"/>
      <c r="O15" s="308">
        <f t="shared" si="2351"/>
        <v>125</v>
      </c>
      <c r="P15" s="273"/>
      <c r="Q15" s="273"/>
      <c r="R15" s="307"/>
      <c r="S15" s="309">
        <f t="shared" si="2352"/>
        <v>0</v>
      </c>
      <c r="T15" s="310">
        <f t="shared" si="2353"/>
        <v>125</v>
      </c>
      <c r="U15" s="273"/>
      <c r="V15" s="311"/>
      <c r="W15" s="312"/>
      <c r="X15" s="313">
        <f t="shared" si="2354"/>
        <v>0</v>
      </c>
      <c r="Y15" s="310">
        <f t="shared" si="2355"/>
        <v>125</v>
      </c>
      <c r="Z15" s="273"/>
      <c r="AA15" s="273"/>
      <c r="AB15" s="307"/>
      <c r="AC15" s="309">
        <f t="shared" si="2356"/>
        <v>0</v>
      </c>
      <c r="AD15" s="314">
        <f t="shared" si="2357"/>
        <v>125</v>
      </c>
    </row>
    <row r="16">
      <c r="B16" s="272" t="s">
        <v>185</v>
      </c>
      <c r="C16" s="273">
        <v>29</v>
      </c>
      <c r="D16" s="273">
        <v>29</v>
      </c>
      <c r="E16" s="273">
        <v>294</v>
      </c>
      <c r="F16" s="273">
        <v>294</v>
      </c>
      <c r="G16" s="273">
        <v>54</v>
      </c>
      <c r="H16" s="307">
        <v>52</v>
      </c>
      <c r="I16" s="307">
        <v>577</v>
      </c>
      <c r="J16" s="307">
        <v>553</v>
      </c>
      <c r="K16" s="307"/>
      <c r="L16" s="439"/>
      <c r="M16" s="439"/>
      <c r="N16" s="439"/>
      <c r="O16" s="308">
        <f t="shared" si="2351"/>
        <v>83</v>
      </c>
      <c r="P16" s="273"/>
      <c r="Q16" s="273"/>
      <c r="R16" s="307"/>
      <c r="S16" s="309">
        <f t="shared" si="2352"/>
        <v>0</v>
      </c>
      <c r="T16" s="310">
        <f t="shared" si="2353"/>
        <v>83</v>
      </c>
      <c r="U16" s="273"/>
      <c r="V16" s="311"/>
      <c r="W16" s="312"/>
      <c r="X16" s="313">
        <f t="shared" si="2354"/>
        <v>0</v>
      </c>
      <c r="Y16" s="310">
        <f t="shared" si="2355"/>
        <v>83</v>
      </c>
      <c r="Z16" s="273"/>
      <c r="AA16" s="273"/>
      <c r="AB16" s="307"/>
      <c r="AC16" s="309">
        <f t="shared" si="2356"/>
        <v>0</v>
      </c>
      <c r="AD16" s="314">
        <f t="shared" si="2357"/>
        <v>83</v>
      </c>
    </row>
    <row r="17">
      <c r="B17" s="272" t="s">
        <v>186</v>
      </c>
      <c r="C17" s="273"/>
      <c r="D17" s="273"/>
      <c r="E17" s="273"/>
      <c r="F17" s="273"/>
      <c r="G17" s="273"/>
      <c r="H17" s="307"/>
      <c r="I17" s="307"/>
      <c r="J17" s="307"/>
      <c r="K17" s="307"/>
      <c r="L17" s="439"/>
      <c r="M17" s="439"/>
      <c r="N17" s="439"/>
      <c r="O17" s="308">
        <f t="shared" si="2351"/>
        <v>0</v>
      </c>
      <c r="P17" s="273"/>
      <c r="Q17" s="273"/>
      <c r="R17" s="307"/>
      <c r="S17" s="309">
        <f t="shared" si="2352"/>
        <v>0</v>
      </c>
      <c r="T17" s="310">
        <f t="shared" si="2353"/>
        <v>0</v>
      </c>
      <c r="U17" s="273"/>
      <c r="V17" s="311"/>
      <c r="W17" s="312"/>
      <c r="X17" s="313">
        <f t="shared" si="2354"/>
        <v>0</v>
      </c>
      <c r="Y17" s="310">
        <f t="shared" si="2355"/>
        <v>0</v>
      </c>
      <c r="Z17" s="273"/>
      <c r="AA17" s="273"/>
      <c r="AB17" s="307"/>
      <c r="AC17" s="309">
        <f t="shared" si="2356"/>
        <v>0</v>
      </c>
      <c r="AD17" s="314">
        <f t="shared" si="2357"/>
        <v>0</v>
      </c>
    </row>
    <row r="18">
      <c r="B18" s="272" t="s">
        <v>187</v>
      </c>
      <c r="C18" s="273">
        <v>132</v>
      </c>
      <c r="D18" s="273">
        <v>131</v>
      </c>
      <c r="E18" s="273">
        <v>1504</v>
      </c>
      <c r="F18" s="273">
        <v>1494</v>
      </c>
      <c r="G18" s="273">
        <v>143</v>
      </c>
      <c r="H18" s="307">
        <v>143</v>
      </c>
      <c r="I18" s="307">
        <v>1532</v>
      </c>
      <c r="J18" s="307">
        <v>1532</v>
      </c>
      <c r="K18" s="307"/>
      <c r="L18" s="439"/>
      <c r="M18" s="439"/>
      <c r="N18" s="439"/>
      <c r="O18" s="308">
        <f t="shared" si="2351"/>
        <v>275</v>
      </c>
      <c r="P18" s="273"/>
      <c r="Q18" s="273"/>
      <c r="R18" s="307"/>
      <c r="S18" s="309">
        <f t="shared" si="2352"/>
        <v>0</v>
      </c>
      <c r="T18" s="310">
        <f t="shared" si="2353"/>
        <v>275</v>
      </c>
      <c r="U18" s="273"/>
      <c r="V18" s="311"/>
      <c r="W18" s="312"/>
      <c r="X18" s="313">
        <f t="shared" si="2354"/>
        <v>0</v>
      </c>
      <c r="Y18" s="310">
        <f t="shared" si="2355"/>
        <v>275</v>
      </c>
      <c r="Z18" s="273"/>
      <c r="AA18" s="273"/>
      <c r="AB18" s="307"/>
      <c r="AC18" s="309">
        <f t="shared" si="2356"/>
        <v>0</v>
      </c>
      <c r="AD18" s="314">
        <f t="shared" si="2357"/>
        <v>275</v>
      </c>
    </row>
    <row r="19">
      <c r="B19" s="272" t="s">
        <v>188</v>
      </c>
      <c r="C19" s="273">
        <v>61</v>
      </c>
      <c r="D19" s="273">
        <v>61</v>
      </c>
      <c r="E19" s="273">
        <v>1269</v>
      </c>
      <c r="F19" s="273">
        <v>1269</v>
      </c>
      <c r="G19" s="273">
        <v>82</v>
      </c>
      <c r="H19" s="307">
        <v>82</v>
      </c>
      <c r="I19" s="307">
        <v>1521</v>
      </c>
      <c r="J19" s="307">
        <v>1521</v>
      </c>
      <c r="K19" s="307"/>
      <c r="L19" s="439"/>
      <c r="M19" s="439"/>
      <c r="N19" s="439"/>
      <c r="O19" s="308">
        <f t="shared" si="2351"/>
        <v>143</v>
      </c>
      <c r="P19" s="273"/>
      <c r="Q19" s="273"/>
      <c r="R19" s="307"/>
      <c r="S19" s="309">
        <f t="shared" si="2352"/>
        <v>0</v>
      </c>
      <c r="T19" s="310">
        <f t="shared" si="2353"/>
        <v>143</v>
      </c>
      <c r="U19" s="273"/>
      <c r="V19" s="311"/>
      <c r="W19" s="312"/>
      <c r="X19" s="313">
        <f t="shared" si="2354"/>
        <v>0</v>
      </c>
      <c r="Y19" s="310">
        <f t="shared" si="2355"/>
        <v>143</v>
      </c>
      <c r="Z19" s="273"/>
      <c r="AA19" s="273"/>
      <c r="AB19" s="307"/>
      <c r="AC19" s="309">
        <f t="shared" si="2356"/>
        <v>0</v>
      </c>
      <c r="AD19" s="314">
        <f t="shared" si="2357"/>
        <v>143</v>
      </c>
    </row>
    <row r="20">
      <c r="B20" s="272" t="s">
        <v>863</v>
      </c>
      <c r="C20" s="273">
        <v>9</v>
      </c>
      <c r="D20" s="273">
        <v>9</v>
      </c>
      <c r="E20" s="273">
        <v>132</v>
      </c>
      <c r="F20" s="273">
        <v>132</v>
      </c>
      <c r="G20" s="273">
        <v>37</v>
      </c>
      <c r="H20" s="307">
        <v>37</v>
      </c>
      <c r="I20" s="307">
        <v>562</v>
      </c>
      <c r="J20" s="307">
        <v>562</v>
      </c>
      <c r="K20" s="307"/>
      <c r="L20" s="439"/>
      <c r="M20" s="439"/>
      <c r="N20" s="439"/>
      <c r="O20" s="308">
        <f t="shared" si="2351"/>
        <v>46</v>
      </c>
      <c r="P20" s="273"/>
      <c r="Q20" s="273"/>
      <c r="R20" s="307"/>
      <c r="S20" s="309"/>
      <c r="T20" s="310"/>
      <c r="U20" s="273"/>
      <c r="V20" s="311"/>
      <c r="W20" s="312"/>
      <c r="X20" s="313"/>
      <c r="Y20" s="310"/>
      <c r="Z20" s="273"/>
      <c r="AA20" s="273"/>
      <c r="AB20" s="307"/>
      <c r="AC20" s="309"/>
      <c r="AD20" s="314"/>
    </row>
    <row r="21">
      <c r="B21" s="272" t="s">
        <v>864</v>
      </c>
      <c r="C21" s="273">
        <v>3</v>
      </c>
      <c r="D21" s="273">
        <v>3</v>
      </c>
      <c r="E21" s="273">
        <v>41</v>
      </c>
      <c r="F21" s="273">
        <v>41</v>
      </c>
      <c r="G21" s="273">
        <v>23</v>
      </c>
      <c r="H21" s="307">
        <v>23</v>
      </c>
      <c r="I21" s="307">
        <v>319</v>
      </c>
      <c r="J21" s="307">
        <v>319</v>
      </c>
      <c r="K21" s="307"/>
      <c r="L21" s="439"/>
      <c r="M21" s="439"/>
      <c r="N21" s="439"/>
      <c r="O21" s="308">
        <f t="shared" si="2351"/>
        <v>26</v>
      </c>
      <c r="P21" s="273"/>
      <c r="Q21" s="273"/>
      <c r="R21" s="307"/>
      <c r="S21" s="309">
        <f t="shared" si="2352"/>
        <v>0</v>
      </c>
      <c r="T21" s="310">
        <f t="shared" si="2353"/>
        <v>26</v>
      </c>
      <c r="U21" s="273"/>
      <c r="V21" s="311"/>
      <c r="W21" s="312"/>
      <c r="X21" s="313">
        <f t="shared" si="2354"/>
        <v>0</v>
      </c>
      <c r="Y21" s="310">
        <f t="shared" si="2355"/>
        <v>26</v>
      </c>
      <c r="Z21" s="273"/>
      <c r="AA21" s="273"/>
      <c r="AB21" s="307"/>
      <c r="AC21" s="309">
        <f t="shared" si="2356"/>
        <v>0</v>
      </c>
      <c r="AD21" s="314">
        <f t="shared" si="2357"/>
        <v>26</v>
      </c>
    </row>
    <row r="22">
      <c r="B22" s="462" t="s">
        <v>22</v>
      </c>
      <c r="C22" s="463">
        <f>SUM(C10:C21)</f>
        <v>530</v>
      </c>
      <c r="D22" s="463">
        <f t="shared" ref="D22:F22" si="2358">SUM(D10:D21)</f>
        <v>526</v>
      </c>
      <c r="E22" s="463">
        <f t="shared" si="2358"/>
        <v>6821</v>
      </c>
      <c r="F22" s="463">
        <f t="shared" si="2358"/>
        <v>6782</v>
      </c>
      <c r="G22" s="463">
        <f>SUM(G10:G21)</f>
        <v>789</v>
      </c>
      <c r="H22" s="463">
        <f t="shared" ref="H22:N22" si="2359">SUM(H10:H21)</f>
        <v>778</v>
      </c>
      <c r="I22" s="463">
        <f t="shared" si="2359"/>
        <v>9751</v>
      </c>
      <c r="J22" s="463">
        <f t="shared" si="2359"/>
        <v>9622</v>
      </c>
      <c r="K22" s="463">
        <f t="shared" si="2359"/>
        <v>0</v>
      </c>
      <c r="L22" s="463">
        <f t="shared" si="2359"/>
        <v>0</v>
      </c>
      <c r="M22" s="463">
        <f t="shared" si="2359"/>
        <v>0</v>
      </c>
      <c r="N22" s="463">
        <f t="shared" si="2359"/>
        <v>0</v>
      </c>
      <c r="O22" s="464">
        <f t="shared" si="2351"/>
        <v>1319</v>
      </c>
      <c r="P22" s="463">
        <f>SUM(P10:P21)</f>
        <v>0</v>
      </c>
      <c r="Q22" s="463">
        <f>SUM(Q10:Q21)</f>
        <v>0</v>
      </c>
      <c r="R22" s="463">
        <f>SUM(R10:R21)</f>
        <v>0</v>
      </c>
      <c r="S22" s="464">
        <f>SUM(S10:S21)</f>
        <v>0</v>
      </c>
      <c r="T22" s="464">
        <f t="shared" si="2353"/>
        <v>1319</v>
      </c>
      <c r="U22" s="463">
        <f>SUM(U10:U21)</f>
        <v>0</v>
      </c>
      <c r="V22" s="463">
        <f>SUM(V10:V21)</f>
        <v>0</v>
      </c>
      <c r="W22" s="463">
        <f>SUM(W10:W21)</f>
        <v>0</v>
      </c>
      <c r="X22" s="465">
        <f>SUM(X10:X21)</f>
        <v>0</v>
      </c>
      <c r="Y22" s="464">
        <f t="shared" si="2355"/>
        <v>1319</v>
      </c>
      <c r="Z22" s="463">
        <f>SUM(Z10:Z21)</f>
        <v>0</v>
      </c>
      <c r="AA22" s="463">
        <f>SUM(AA10:AA21)</f>
        <v>0</v>
      </c>
      <c r="AB22" s="463">
        <f>SUM(AB10:AB21)</f>
        <v>0</v>
      </c>
      <c r="AC22" s="464">
        <f>SUM(AC10:AC21)</f>
        <v>0</v>
      </c>
      <c r="AD22" s="464">
        <f>SUM(AD10:AD21)</f>
        <v>1273</v>
      </c>
    </row>
    <row r="23">
      <c r="B23" s="272" t="s">
        <v>194</v>
      </c>
      <c r="C23" s="273"/>
      <c r="D23" s="273"/>
      <c r="E23" s="273"/>
      <c r="F23" s="273"/>
      <c r="G23" s="273"/>
      <c r="H23" s="307"/>
      <c r="I23" s="307"/>
      <c r="J23" s="307"/>
      <c r="K23" s="273"/>
      <c r="L23" s="273"/>
      <c r="M23" s="273"/>
      <c r="N23" s="273"/>
      <c r="O23" s="2329"/>
      <c r="P23" s="273"/>
      <c r="Q23" s="273"/>
      <c r="R23" s="307"/>
      <c r="S23" s="309">
        <f t="shared" ref="S23:S35" si="2360">P23+Q23+R23</f>
        <v>0</v>
      </c>
      <c r="T23" s="310">
        <f t="shared" si="2353"/>
        <v>0</v>
      </c>
      <c r="U23" s="273"/>
      <c r="V23" s="311"/>
      <c r="W23" s="312"/>
      <c r="X23" s="313">
        <f t="shared" ref="X23:X35" si="2361">U23+V23+W23</f>
        <v>0</v>
      </c>
      <c r="Y23" s="310">
        <f t="shared" si="2355"/>
        <v>0</v>
      </c>
      <c r="Z23" s="273"/>
      <c r="AA23" s="273"/>
      <c r="AB23" s="307"/>
      <c r="AC23" s="309">
        <f t="shared" ref="AC23:AC39" si="2362">Z23+AA23+AB23</f>
        <v>0</v>
      </c>
      <c r="AD23" s="314">
        <f t="shared" ref="AD23:AD42" si="2363">Y23+AC23</f>
        <v>0</v>
      </c>
    </row>
    <row r="24">
      <c r="B24" s="272" t="s">
        <v>195</v>
      </c>
      <c r="C24" s="273">
        <v>95</v>
      </c>
      <c r="D24" s="273">
        <v>88</v>
      </c>
      <c r="E24" s="273">
        <v>1308</v>
      </c>
      <c r="F24" s="273">
        <v>1277</v>
      </c>
      <c r="G24" s="273">
        <v>103</v>
      </c>
      <c r="H24" s="307">
        <v>92</v>
      </c>
      <c r="I24" s="307">
        <v>1098</v>
      </c>
      <c r="J24" s="307">
        <v>1034</v>
      </c>
      <c r="K24" s="273"/>
      <c r="L24" s="273"/>
      <c r="M24" s="273"/>
      <c r="N24" s="273"/>
      <c r="O24" s="2330">
        <f t="shared" si="2351"/>
        <v>198</v>
      </c>
      <c r="P24" s="273"/>
      <c r="Q24" s="273"/>
      <c r="R24" s="307"/>
      <c r="S24" s="309">
        <f t="shared" si="2360"/>
        <v>0</v>
      </c>
      <c r="T24" s="310">
        <f t="shared" si="2353"/>
        <v>198</v>
      </c>
      <c r="U24" s="273"/>
      <c r="V24" s="311"/>
      <c r="W24" s="312"/>
      <c r="X24" s="313">
        <f t="shared" si="2361"/>
        <v>0</v>
      </c>
      <c r="Y24" s="310">
        <f t="shared" si="2355"/>
        <v>198</v>
      </c>
      <c r="Z24" s="273"/>
      <c r="AA24" s="273"/>
      <c r="AB24" s="307"/>
      <c r="AC24" s="309">
        <f t="shared" si="2362"/>
        <v>0</v>
      </c>
      <c r="AD24" s="314">
        <f t="shared" si="2363"/>
        <v>198</v>
      </c>
    </row>
    <row r="25">
      <c r="B25" s="272" t="s">
        <v>196</v>
      </c>
      <c r="C25" s="273">
        <f>18+45+1</f>
        <v>64</v>
      </c>
      <c r="D25" s="273">
        <f>14+44+0</f>
        <v>58</v>
      </c>
      <c r="E25" s="273">
        <f>139+421+33</f>
        <v>593</v>
      </c>
      <c r="F25" s="273">
        <f>113+415+3</f>
        <v>531</v>
      </c>
      <c r="G25" s="273">
        <f>98+42+1</f>
        <v>141</v>
      </c>
      <c r="H25" s="307">
        <f>75+39+1</f>
        <v>115</v>
      </c>
      <c r="I25" s="307">
        <f>867+456+36</f>
        <v>1359</v>
      </c>
      <c r="J25" s="307">
        <f>703+434+36</f>
        <v>1173</v>
      </c>
      <c r="K25" s="273"/>
      <c r="L25" s="273"/>
      <c r="M25" s="273"/>
      <c r="N25" s="273"/>
      <c r="O25" s="2330">
        <f t="shared" si="2351"/>
        <v>205</v>
      </c>
      <c r="P25" s="273"/>
      <c r="Q25" s="273"/>
      <c r="R25" s="307"/>
      <c r="S25" s="309">
        <f t="shared" si="2360"/>
        <v>0</v>
      </c>
      <c r="T25" s="310">
        <f t="shared" si="2353"/>
        <v>205</v>
      </c>
      <c r="U25" s="273"/>
      <c r="V25" s="311"/>
      <c r="W25" s="312"/>
      <c r="X25" s="313">
        <f t="shared" si="2361"/>
        <v>0</v>
      </c>
      <c r="Y25" s="310">
        <f t="shared" si="2355"/>
        <v>205</v>
      </c>
      <c r="Z25" s="273"/>
      <c r="AA25" s="273"/>
      <c r="AB25" s="307"/>
      <c r="AC25" s="309">
        <f t="shared" si="2362"/>
        <v>0</v>
      </c>
      <c r="AD25" s="314">
        <f t="shared" si="2363"/>
        <v>205</v>
      </c>
    </row>
    <row r="26">
      <c r="B26" s="272" t="s">
        <v>200</v>
      </c>
      <c r="C26" s="273"/>
      <c r="D26" s="273"/>
      <c r="E26" s="273"/>
      <c r="F26" s="273"/>
      <c r="G26" s="273"/>
      <c r="H26" s="307"/>
      <c r="I26" s="307"/>
      <c r="J26" s="307"/>
      <c r="K26" s="273"/>
      <c r="L26" s="273"/>
      <c r="M26" s="273"/>
      <c r="N26" s="273"/>
      <c r="O26" s="2330">
        <f t="shared" si="2351"/>
        <v>0</v>
      </c>
      <c r="P26" s="273"/>
      <c r="Q26" s="273"/>
      <c r="R26" s="307"/>
      <c r="S26" s="309">
        <f t="shared" si="2360"/>
        <v>0</v>
      </c>
      <c r="T26" s="310">
        <f t="shared" si="2353"/>
        <v>0</v>
      </c>
      <c r="U26" s="273"/>
      <c r="V26" s="311"/>
      <c r="W26" s="312"/>
      <c r="X26" s="313">
        <f t="shared" si="2361"/>
        <v>0</v>
      </c>
      <c r="Y26" s="310">
        <f t="shared" si="2355"/>
        <v>0</v>
      </c>
      <c r="Z26" s="273"/>
      <c r="AA26" s="273"/>
      <c r="AB26" s="307"/>
      <c r="AC26" s="309">
        <f t="shared" si="2362"/>
        <v>0</v>
      </c>
      <c r="AD26" s="314">
        <f t="shared" si="2363"/>
        <v>0</v>
      </c>
    </row>
    <row r="27">
      <c r="B27" s="272" t="s">
        <v>201</v>
      </c>
      <c r="C27" s="273">
        <v>47</v>
      </c>
      <c r="D27" s="273">
        <v>46</v>
      </c>
      <c r="E27" s="273">
        <v>525</v>
      </c>
      <c r="F27" s="273">
        <v>511</v>
      </c>
      <c r="G27" s="273">
        <v>81</v>
      </c>
      <c r="H27" s="307">
        <v>77</v>
      </c>
      <c r="I27" s="307">
        <v>995</v>
      </c>
      <c r="J27" s="307">
        <v>949</v>
      </c>
      <c r="K27" s="273"/>
      <c r="L27" s="273"/>
      <c r="M27" s="273"/>
      <c r="N27" s="273"/>
      <c r="O27" s="2330">
        <f t="shared" si="2351"/>
        <v>128</v>
      </c>
      <c r="P27" s="273"/>
      <c r="Q27" s="273"/>
      <c r="R27" s="307"/>
      <c r="S27" s="309">
        <f t="shared" si="2360"/>
        <v>0</v>
      </c>
      <c r="T27" s="310">
        <f t="shared" si="2353"/>
        <v>128</v>
      </c>
      <c r="U27" s="273"/>
      <c r="V27" s="311"/>
      <c r="W27" s="312"/>
      <c r="X27" s="313">
        <f t="shared" si="2361"/>
        <v>0</v>
      </c>
      <c r="Y27" s="310">
        <f t="shared" si="2355"/>
        <v>128</v>
      </c>
      <c r="Z27" s="273"/>
      <c r="AA27" s="273"/>
      <c r="AB27" s="307"/>
      <c r="AC27" s="309">
        <f t="shared" si="2362"/>
        <v>0</v>
      </c>
      <c r="AD27" s="314">
        <f t="shared" si="2363"/>
        <v>128</v>
      </c>
    </row>
    <row r="28">
      <c r="B28" s="272" t="s">
        <v>203</v>
      </c>
      <c r="C28" s="273">
        <v>61</v>
      </c>
      <c r="D28" s="273">
        <v>57</v>
      </c>
      <c r="E28" s="273">
        <v>511</v>
      </c>
      <c r="F28" s="273">
        <v>485</v>
      </c>
      <c r="G28" s="273">
        <v>104</v>
      </c>
      <c r="H28" s="307">
        <v>100</v>
      </c>
      <c r="I28" s="307">
        <v>847</v>
      </c>
      <c r="J28" s="307">
        <v>819</v>
      </c>
      <c r="K28" s="273"/>
      <c r="L28" s="273"/>
      <c r="M28" s="273"/>
      <c r="N28" s="273"/>
      <c r="O28" s="2330">
        <f t="shared" si="2351"/>
        <v>165</v>
      </c>
      <c r="P28" s="273"/>
      <c r="Q28" s="273"/>
      <c r="R28" s="307"/>
      <c r="S28" s="309">
        <f t="shared" si="2360"/>
        <v>0</v>
      </c>
      <c r="T28" s="310">
        <f t="shared" si="2353"/>
        <v>165</v>
      </c>
      <c r="U28" s="273"/>
      <c r="V28" s="311"/>
      <c r="W28" s="312"/>
      <c r="X28" s="313">
        <f t="shared" si="2361"/>
        <v>0</v>
      </c>
      <c r="Y28" s="310">
        <f t="shared" si="2355"/>
        <v>165</v>
      </c>
      <c r="Z28" s="273"/>
      <c r="AA28" s="273"/>
      <c r="AB28" s="307"/>
      <c r="AC28" s="309">
        <f t="shared" si="2362"/>
        <v>0</v>
      </c>
      <c r="AD28" s="314">
        <f t="shared" si="2363"/>
        <v>165</v>
      </c>
    </row>
    <row r="29">
      <c r="B29" s="272" t="s">
        <v>204</v>
      </c>
      <c r="C29" s="273">
        <f>16+44</f>
        <v>60</v>
      </c>
      <c r="D29" s="273">
        <f>16+42</f>
        <v>58</v>
      </c>
      <c r="E29" s="273">
        <f>150+392</f>
        <v>542</v>
      </c>
      <c r="F29" s="273">
        <f>150+384</f>
        <v>534</v>
      </c>
      <c r="G29" s="273">
        <f>9+55</f>
        <v>64</v>
      </c>
      <c r="H29" s="307">
        <f>9+52</f>
        <v>61</v>
      </c>
      <c r="I29" s="307">
        <f>74+596</f>
        <v>670</v>
      </c>
      <c r="J29" s="307">
        <f>74+573</f>
        <v>647</v>
      </c>
      <c r="K29" s="273"/>
      <c r="L29" s="273"/>
      <c r="M29" s="273"/>
      <c r="N29" s="273"/>
      <c r="O29" s="2330">
        <f t="shared" si="2351"/>
        <v>124</v>
      </c>
      <c r="P29" s="273"/>
      <c r="Q29" s="273"/>
      <c r="R29" s="307"/>
      <c r="S29" s="309">
        <f t="shared" si="2360"/>
        <v>0</v>
      </c>
      <c r="T29" s="310">
        <f t="shared" si="2353"/>
        <v>124</v>
      </c>
      <c r="U29" s="273"/>
      <c r="V29" s="311"/>
      <c r="W29" s="312"/>
      <c r="X29" s="313">
        <f t="shared" si="2361"/>
        <v>0</v>
      </c>
      <c r="Y29" s="310">
        <f t="shared" si="2355"/>
        <v>124</v>
      </c>
      <c r="Z29" s="273"/>
      <c r="AA29" s="273"/>
      <c r="AB29" s="307"/>
      <c r="AC29" s="309">
        <f t="shared" si="2362"/>
        <v>0</v>
      </c>
      <c r="AD29" s="314">
        <f t="shared" si="2363"/>
        <v>124</v>
      </c>
    </row>
    <row r="30">
      <c r="B30" s="272" t="s">
        <v>205</v>
      </c>
      <c r="C30" s="273">
        <f>3+42</f>
        <v>45</v>
      </c>
      <c r="D30" s="273">
        <f>3+41</f>
        <v>44</v>
      </c>
      <c r="E30" s="273">
        <f>36+1027</f>
        <v>1063</v>
      </c>
      <c r="F30" s="273">
        <f>36+1020</f>
        <v>1056</v>
      </c>
      <c r="G30" s="273">
        <f>4+49</f>
        <v>53</v>
      </c>
      <c r="H30" s="307">
        <f>4+47</f>
        <v>51</v>
      </c>
      <c r="I30" s="307">
        <f>38+925</f>
        <v>963</v>
      </c>
      <c r="J30" s="307">
        <f>38+925</f>
        <v>963</v>
      </c>
      <c r="K30" s="273"/>
      <c r="L30" s="273"/>
      <c r="M30" s="273"/>
      <c r="N30" s="273"/>
      <c r="O30" s="2330">
        <f t="shared" si="2351"/>
        <v>98</v>
      </c>
      <c r="P30" s="273"/>
      <c r="Q30" s="273"/>
      <c r="R30" s="307"/>
      <c r="S30" s="309">
        <f t="shared" si="2360"/>
        <v>0</v>
      </c>
      <c r="T30" s="310">
        <f t="shared" si="2353"/>
        <v>98</v>
      </c>
      <c r="U30" s="273"/>
      <c r="V30" s="311"/>
      <c r="W30" s="312"/>
      <c r="X30" s="313">
        <f t="shared" si="2361"/>
        <v>0</v>
      </c>
      <c r="Y30" s="310">
        <f t="shared" si="2355"/>
        <v>98</v>
      </c>
      <c r="Z30" s="273"/>
      <c r="AA30" s="273"/>
      <c r="AB30" s="307"/>
      <c r="AC30" s="309">
        <f t="shared" si="2362"/>
        <v>0</v>
      </c>
      <c r="AD30" s="314">
        <f t="shared" si="2363"/>
        <v>98</v>
      </c>
    </row>
    <row r="31">
      <c r="B31" s="272" t="s">
        <v>206</v>
      </c>
      <c r="C31" s="273">
        <v>69</v>
      </c>
      <c r="D31" s="273">
        <v>66</v>
      </c>
      <c r="E31" s="273">
        <v>655</v>
      </c>
      <c r="F31" s="273">
        <v>634</v>
      </c>
      <c r="G31" s="273">
        <v>99</v>
      </c>
      <c r="H31" s="307">
        <v>92</v>
      </c>
      <c r="I31" s="307">
        <v>1209</v>
      </c>
      <c r="J31" s="307">
        <v>1121</v>
      </c>
      <c r="K31" s="273"/>
      <c r="L31" s="273"/>
      <c r="M31" s="273"/>
      <c r="N31" s="273"/>
      <c r="O31" s="2330">
        <f t="shared" si="2351"/>
        <v>168</v>
      </c>
      <c r="P31" s="273"/>
      <c r="Q31" s="273"/>
      <c r="R31" s="307"/>
      <c r="S31" s="309">
        <f t="shared" si="2360"/>
        <v>0</v>
      </c>
      <c r="T31" s="310">
        <f t="shared" si="2353"/>
        <v>168</v>
      </c>
      <c r="U31" s="273"/>
      <c r="V31" s="311"/>
      <c r="W31" s="312"/>
      <c r="X31" s="313">
        <f t="shared" si="2361"/>
        <v>0</v>
      </c>
      <c r="Y31" s="310">
        <f t="shared" si="2355"/>
        <v>168</v>
      </c>
      <c r="Z31" s="273"/>
      <c r="AA31" s="273"/>
      <c r="AB31" s="307"/>
      <c r="AC31" s="309">
        <f t="shared" si="2362"/>
        <v>0</v>
      </c>
      <c r="AD31" s="314">
        <f t="shared" si="2363"/>
        <v>168</v>
      </c>
    </row>
    <row r="32">
      <c r="B32" s="272" t="s">
        <v>207</v>
      </c>
      <c r="C32" s="273">
        <v>54</v>
      </c>
      <c r="D32" s="273">
        <v>40</v>
      </c>
      <c r="E32" s="273">
        <v>1112</v>
      </c>
      <c r="F32" s="273">
        <v>976</v>
      </c>
      <c r="G32" s="273">
        <v>57</v>
      </c>
      <c r="H32" s="307">
        <v>53</v>
      </c>
      <c r="I32" s="307">
        <v>1008</v>
      </c>
      <c r="J32" s="307">
        <v>948</v>
      </c>
      <c r="K32" s="273"/>
      <c r="L32" s="273"/>
      <c r="M32" s="273"/>
      <c r="N32" s="273"/>
      <c r="O32" s="2330">
        <f t="shared" si="2351"/>
        <v>111</v>
      </c>
      <c r="P32" s="273"/>
      <c r="Q32" s="273"/>
      <c r="R32" s="307"/>
      <c r="S32" s="309">
        <f t="shared" si="2360"/>
        <v>0</v>
      </c>
      <c r="T32" s="310">
        <f t="shared" si="2353"/>
        <v>111</v>
      </c>
      <c r="U32" s="273"/>
      <c r="V32" s="311"/>
      <c r="W32" s="312"/>
      <c r="X32" s="313">
        <f t="shared" si="2361"/>
        <v>0</v>
      </c>
      <c r="Y32" s="310">
        <f t="shared" si="2355"/>
        <v>111</v>
      </c>
      <c r="Z32" s="273"/>
      <c r="AA32" s="273"/>
      <c r="AB32" s="307"/>
      <c r="AC32" s="309">
        <f t="shared" si="2362"/>
        <v>0</v>
      </c>
      <c r="AD32" s="314">
        <f t="shared" si="2363"/>
        <v>111</v>
      </c>
    </row>
    <row r="33">
      <c r="B33" s="272" t="s">
        <v>209</v>
      </c>
      <c r="C33" s="273">
        <v>95</v>
      </c>
      <c r="D33" s="273">
        <v>83</v>
      </c>
      <c r="E33" s="273">
        <v>905</v>
      </c>
      <c r="F33" s="273">
        <v>839</v>
      </c>
      <c r="G33" s="273">
        <f>121</f>
        <v>121</v>
      </c>
      <c r="H33" s="307">
        <v>103</v>
      </c>
      <c r="I33" s="307">
        <v>1029</v>
      </c>
      <c r="J33" s="307">
        <v>948</v>
      </c>
      <c r="K33" s="273"/>
      <c r="L33" s="273"/>
      <c r="M33" s="273"/>
      <c r="N33" s="273"/>
      <c r="O33" s="2330">
        <f t="shared" si="2351"/>
        <v>216</v>
      </c>
      <c r="P33" s="273"/>
      <c r="Q33" s="273"/>
      <c r="R33" s="307"/>
      <c r="S33" s="309">
        <f t="shared" si="2360"/>
        <v>0</v>
      </c>
      <c r="T33" s="310">
        <f t="shared" si="2353"/>
        <v>216</v>
      </c>
      <c r="U33" s="273"/>
      <c r="V33" s="311"/>
      <c r="W33" s="312"/>
      <c r="X33" s="313">
        <f t="shared" si="2361"/>
        <v>0</v>
      </c>
      <c r="Y33" s="310">
        <f t="shared" si="2355"/>
        <v>216</v>
      </c>
      <c r="Z33" s="273"/>
      <c r="AA33" s="273"/>
      <c r="AB33" s="307"/>
      <c r="AC33" s="309">
        <f t="shared" si="2362"/>
        <v>0</v>
      </c>
      <c r="AD33" s="314">
        <f t="shared" si="2363"/>
        <v>216</v>
      </c>
    </row>
    <row r="34">
      <c r="B34" s="272" t="s">
        <v>210</v>
      </c>
      <c r="C34" s="273">
        <v>35</v>
      </c>
      <c r="D34" s="273">
        <v>34</v>
      </c>
      <c r="E34" s="273">
        <v>641</v>
      </c>
      <c r="F34" s="273">
        <v>637</v>
      </c>
      <c r="G34" s="273">
        <v>48</v>
      </c>
      <c r="H34" s="307">
        <v>43</v>
      </c>
      <c r="I34" s="307">
        <v>650</v>
      </c>
      <c r="J34" s="307">
        <v>612</v>
      </c>
      <c r="K34" s="273"/>
      <c r="L34" s="273"/>
      <c r="M34" s="273"/>
      <c r="N34" s="273"/>
      <c r="O34" s="2330">
        <f t="shared" si="2351"/>
        <v>83</v>
      </c>
      <c r="P34" s="273"/>
      <c r="Q34" s="273"/>
      <c r="R34" s="307"/>
      <c r="S34" s="309">
        <f t="shared" si="2360"/>
        <v>0</v>
      </c>
      <c r="T34" s="310">
        <f t="shared" si="2353"/>
        <v>83</v>
      </c>
      <c r="U34" s="273"/>
      <c r="V34" s="311"/>
      <c r="W34" s="312"/>
      <c r="X34" s="313">
        <f t="shared" si="2361"/>
        <v>0</v>
      </c>
      <c r="Y34" s="310">
        <f t="shared" si="2355"/>
        <v>83</v>
      </c>
      <c r="Z34" s="273"/>
      <c r="AA34" s="273"/>
      <c r="AB34" s="307"/>
      <c r="AC34" s="309">
        <f t="shared" si="2362"/>
        <v>0</v>
      </c>
      <c r="AD34" s="314">
        <f t="shared" si="2363"/>
        <v>83</v>
      </c>
    </row>
    <row r="35">
      <c r="B35" s="272" t="s">
        <v>211</v>
      </c>
      <c r="C35" s="273">
        <v>147</v>
      </c>
      <c r="D35" s="273">
        <v>141</v>
      </c>
      <c r="E35" s="273">
        <v>1073</v>
      </c>
      <c r="F35" s="273">
        <v>1045</v>
      </c>
      <c r="G35" s="273">
        <v>193</v>
      </c>
      <c r="H35" s="307">
        <v>184</v>
      </c>
      <c r="I35" s="307">
        <v>1288</v>
      </c>
      <c r="J35" s="307">
        <v>1237</v>
      </c>
      <c r="K35" s="273"/>
      <c r="L35" s="273"/>
      <c r="M35" s="273"/>
      <c r="N35" s="273"/>
      <c r="O35" s="2330">
        <f t="shared" si="2351"/>
        <v>340</v>
      </c>
      <c r="P35" s="273"/>
      <c r="Q35" s="273"/>
      <c r="R35" s="307"/>
      <c r="S35" s="309">
        <f t="shared" si="2360"/>
        <v>0</v>
      </c>
      <c r="T35" s="310">
        <f t="shared" si="2353"/>
        <v>340</v>
      </c>
      <c r="U35" s="273"/>
      <c r="V35" s="311"/>
      <c r="W35" s="312"/>
      <c r="X35" s="313">
        <f t="shared" si="2361"/>
        <v>0</v>
      </c>
      <c r="Y35" s="310">
        <f t="shared" si="2355"/>
        <v>340</v>
      </c>
      <c r="Z35" s="273"/>
      <c r="AA35" s="273"/>
      <c r="AB35" s="307"/>
      <c r="AC35" s="309">
        <f t="shared" si="2362"/>
        <v>0</v>
      </c>
      <c r="AD35" s="314">
        <f t="shared" si="2363"/>
        <v>340</v>
      </c>
    </row>
    <row r="36">
      <c r="B36" s="462" t="s">
        <v>22</v>
      </c>
      <c r="C36" s="463">
        <f>SUM(C23:C35)</f>
        <v>772</v>
      </c>
      <c r="D36" s="463">
        <f t="shared" ref="D36:F36" si="2364">SUM(D23:D35)</f>
        <v>715</v>
      </c>
      <c r="E36" s="463">
        <f t="shared" si="2364"/>
        <v>8928</v>
      </c>
      <c r="F36" s="463">
        <f t="shared" si="2364"/>
        <v>8525</v>
      </c>
      <c r="G36" s="463">
        <f>SUM(G23:G35)</f>
        <v>1064</v>
      </c>
      <c r="H36" s="463">
        <f t="shared" ref="H36:N36" si="2365">SUM(H23:H35)</f>
        <v>971</v>
      </c>
      <c r="I36" s="463">
        <f t="shared" si="2365"/>
        <v>11116</v>
      </c>
      <c r="J36" s="463">
        <f t="shared" si="2365"/>
        <v>10451</v>
      </c>
      <c r="K36" s="2331">
        <f t="shared" si="2365"/>
        <v>0</v>
      </c>
      <c r="L36" s="2331">
        <f t="shared" si="2365"/>
        <v>0</v>
      </c>
      <c r="M36" s="2331">
        <f t="shared" si="2365"/>
        <v>0</v>
      </c>
      <c r="N36" s="2331">
        <f t="shared" si="2365"/>
        <v>0</v>
      </c>
      <c r="O36" s="2332">
        <f t="shared" si="2351"/>
        <v>1836</v>
      </c>
      <c r="P36" s="463">
        <f>SUM(P23:P35)</f>
        <v>0</v>
      </c>
      <c r="Q36" s="463">
        <f>SUM(Q23:Q35)</f>
        <v>0</v>
      </c>
      <c r="R36" s="463">
        <f>SUM(R23:R35)</f>
        <v>0</v>
      </c>
      <c r="S36" s="464">
        <f>SUM(S23:S35)</f>
        <v>0</v>
      </c>
      <c r="T36" s="464">
        <f t="shared" si="2353"/>
        <v>1836</v>
      </c>
      <c r="U36" s="463">
        <f>SUM(U23:U35)</f>
        <v>0</v>
      </c>
      <c r="V36" s="463">
        <f>SUM(V23:V35)</f>
        <v>0</v>
      </c>
      <c r="W36" s="463">
        <f>SUM(W23:W35)</f>
        <v>0</v>
      </c>
      <c r="X36" s="465">
        <f>SUM(X23:X35)</f>
        <v>0</v>
      </c>
      <c r="Y36" s="464">
        <f t="shared" si="2355"/>
        <v>1836</v>
      </c>
      <c r="Z36" s="463">
        <f>SUM(Z23:Z35)</f>
        <v>0</v>
      </c>
      <c r="AA36" s="463">
        <f>SUM(AA23:AA35)</f>
        <v>0</v>
      </c>
      <c r="AB36" s="463">
        <f>SUM(AB23:AB35)</f>
        <v>0</v>
      </c>
      <c r="AC36" s="464">
        <f>SUM(AC23:AC35)</f>
        <v>0</v>
      </c>
      <c r="AD36" s="464">
        <f>SUM(AD23:AD35)</f>
        <v>1836</v>
      </c>
    </row>
    <row r="37">
      <c r="B37" s="272" t="s">
        <v>213</v>
      </c>
      <c r="C37" s="273">
        <v>221</v>
      </c>
      <c r="D37" s="273">
        <v>198</v>
      </c>
      <c r="E37" s="273">
        <v>1074</v>
      </c>
      <c r="F37" s="273">
        <v>977</v>
      </c>
      <c r="G37" s="273">
        <v>234</v>
      </c>
      <c r="H37" s="307">
        <v>219</v>
      </c>
      <c r="I37" s="307">
        <v>1218</v>
      </c>
      <c r="J37" s="307">
        <v>1150</v>
      </c>
      <c r="K37" s="273"/>
      <c r="L37" s="273"/>
      <c r="M37" s="273"/>
      <c r="N37" s="273"/>
      <c r="O37" s="2330">
        <f t="shared" si="2351"/>
        <v>455</v>
      </c>
      <c r="P37" s="273"/>
      <c r="Q37" s="273"/>
      <c r="R37" s="307"/>
      <c r="S37" s="309">
        <f t="shared" ref="S37:S39" si="2366">P37+Q37+R37</f>
        <v>0</v>
      </c>
      <c r="T37" s="310">
        <f t="shared" si="2353"/>
        <v>455</v>
      </c>
      <c r="U37" s="273"/>
      <c r="V37" s="2333"/>
      <c r="W37" s="2334"/>
      <c r="X37" s="313">
        <f t="shared" ref="X37:X42" si="2367">U37+V37+W37</f>
        <v>0</v>
      </c>
      <c r="Y37" s="310">
        <f t="shared" si="2355"/>
        <v>455</v>
      </c>
      <c r="Z37" s="273"/>
      <c r="AA37" s="273"/>
      <c r="AB37" s="307"/>
      <c r="AC37" s="309">
        <f t="shared" si="2362"/>
        <v>0</v>
      </c>
      <c r="AD37" s="314">
        <f t="shared" si="2363"/>
        <v>455</v>
      </c>
    </row>
    <row r="38">
      <c r="B38" s="552" t="s">
        <v>219</v>
      </c>
      <c r="C38" s="273">
        <f>1+43</f>
        <v>44</v>
      </c>
      <c r="D38" s="273">
        <f>1+42</f>
        <v>43</v>
      </c>
      <c r="E38" s="273">
        <f>4+1500</f>
        <v>1504</v>
      </c>
      <c r="F38" s="273">
        <f>4+1431</f>
        <v>1435</v>
      </c>
      <c r="G38" s="273">
        <f>15+50</f>
        <v>65</v>
      </c>
      <c r="H38">
        <f>15+48</f>
        <v>63</v>
      </c>
      <c r="I38" s="307">
        <f>70+1605</f>
        <v>1675</v>
      </c>
      <c r="J38" s="307">
        <f>70+1561</f>
        <v>1631</v>
      </c>
      <c r="K38" s="273"/>
      <c r="L38" s="273"/>
      <c r="M38" s="273"/>
      <c r="N38" s="273"/>
      <c r="O38" s="2330">
        <f t="shared" si="2351"/>
        <v>109</v>
      </c>
      <c r="P38" s="273"/>
      <c r="Q38" s="273"/>
      <c r="R38" s="307"/>
      <c r="S38" s="309">
        <f t="shared" si="2366"/>
        <v>0</v>
      </c>
      <c r="T38" s="310">
        <f t="shared" si="2353"/>
        <v>109</v>
      </c>
      <c r="U38" s="273"/>
      <c r="V38" s="311"/>
      <c r="W38" s="312"/>
      <c r="X38" s="313">
        <f t="shared" si="2367"/>
        <v>0</v>
      </c>
      <c r="Y38" s="310">
        <f t="shared" si="2355"/>
        <v>109</v>
      </c>
      <c r="Z38" s="273"/>
      <c r="AA38" s="273"/>
      <c r="AB38" s="307"/>
      <c r="AC38" s="309">
        <f t="shared" si="2362"/>
        <v>0</v>
      </c>
      <c r="AD38" s="314">
        <f t="shared" si="2363"/>
        <v>109</v>
      </c>
    </row>
    <row r="39">
      <c r="B39" s="272" t="s">
        <v>220</v>
      </c>
      <c r="C39" s="273">
        <f>33+218</f>
        <v>251</v>
      </c>
      <c r="D39" s="273">
        <f>33+198</f>
        <v>231</v>
      </c>
      <c r="E39" s="273">
        <f>404+1287</f>
        <v>1691</v>
      </c>
      <c r="F39" s="273">
        <f>404+1210</f>
        <v>1614</v>
      </c>
      <c r="G39" s="273">
        <f>30+225</f>
        <v>255</v>
      </c>
      <c r="H39" s="307">
        <f>28+208</f>
        <v>236</v>
      </c>
      <c r="I39" s="307">
        <f>530+1410</f>
        <v>1940</v>
      </c>
      <c r="J39" s="307">
        <f>500+1315</f>
        <v>1815</v>
      </c>
      <c r="K39" s="273"/>
      <c r="L39" s="273"/>
      <c r="M39" s="273"/>
      <c r="N39" s="273"/>
      <c r="O39" s="2330">
        <f t="shared" si="2351"/>
        <v>506</v>
      </c>
      <c r="P39" s="273"/>
      <c r="Q39" s="273"/>
      <c r="R39" s="307"/>
      <c r="S39" s="309">
        <f t="shared" si="2366"/>
        <v>0</v>
      </c>
      <c r="T39" s="310">
        <f t="shared" si="2353"/>
        <v>506</v>
      </c>
      <c r="U39" s="273"/>
      <c r="V39" s="311"/>
      <c r="W39" s="312"/>
      <c r="X39" s="313">
        <f t="shared" si="2367"/>
        <v>0</v>
      </c>
      <c r="Y39" s="310">
        <f t="shared" si="2355"/>
        <v>506</v>
      </c>
      <c r="Z39" s="273"/>
      <c r="AA39" s="273"/>
      <c r="AB39" s="307"/>
      <c r="AC39" s="309">
        <f t="shared" si="2362"/>
        <v>0</v>
      </c>
      <c r="AD39" s="314">
        <f t="shared" si="2363"/>
        <v>506</v>
      </c>
    </row>
    <row r="40">
      <c r="B40" s="462" t="s">
        <v>223</v>
      </c>
      <c r="C40" s="463">
        <f>SUM(C37:C39)</f>
        <v>516</v>
      </c>
      <c r="D40" s="463">
        <f t="shared" ref="D40:G40" si="2368">SUM(D37:D39)</f>
        <v>472</v>
      </c>
      <c r="E40" s="463">
        <f t="shared" si="2368"/>
        <v>4269</v>
      </c>
      <c r="F40" s="463">
        <f t="shared" si="2368"/>
        <v>4026</v>
      </c>
      <c r="G40" s="463">
        <f t="shared" si="2368"/>
        <v>554</v>
      </c>
      <c r="H40" s="463">
        <f t="shared" ref="H40:N40" si="2369">SUM(H37:H39)</f>
        <v>518</v>
      </c>
      <c r="I40" s="463">
        <f>SUM(I37:I39)</f>
        <v>4833</v>
      </c>
      <c r="J40" s="463">
        <f t="shared" si="2369"/>
        <v>4596</v>
      </c>
      <c r="K40" s="463">
        <f t="shared" si="2369"/>
        <v>0</v>
      </c>
      <c r="L40" s="463">
        <f t="shared" si="2369"/>
        <v>0</v>
      </c>
      <c r="M40" s="463">
        <f t="shared" si="2369"/>
        <v>0</v>
      </c>
      <c r="N40" s="463">
        <f t="shared" si="2369"/>
        <v>0</v>
      </c>
      <c r="O40" s="464">
        <f t="shared" si="2351"/>
        <v>1070</v>
      </c>
      <c r="P40" s="463">
        <f>SUM(P37:P39)</f>
        <v>0</v>
      </c>
      <c r="Q40" s="463">
        <f>SUM(Q37:Q39)</f>
        <v>0</v>
      </c>
      <c r="R40" s="463">
        <f>SUM(R37:R39)</f>
        <v>0</v>
      </c>
      <c r="S40" s="464">
        <f>SUM(S37:S39)</f>
        <v>0</v>
      </c>
      <c r="T40" s="464">
        <f t="shared" si="2353"/>
        <v>1070</v>
      </c>
      <c r="U40" s="463">
        <f>SUM(U37:U39)</f>
        <v>0</v>
      </c>
      <c r="V40" s="463">
        <f>SUM(V37:V39)</f>
        <v>0</v>
      </c>
      <c r="W40" s="463">
        <f>SUM(W37:W39)</f>
        <v>0</v>
      </c>
      <c r="X40" s="566">
        <f t="shared" si="2367"/>
        <v>0</v>
      </c>
      <c r="Y40" s="464">
        <f t="shared" si="2355"/>
        <v>1070</v>
      </c>
      <c r="Z40" s="463">
        <f>SUM(Z37:Z39)</f>
        <v>0</v>
      </c>
      <c r="AA40" s="463">
        <f>SUM(AA37:AA39)</f>
        <v>0</v>
      </c>
      <c r="AB40" s="463">
        <f>SUM(AB37:AB39)</f>
        <v>0</v>
      </c>
      <c r="AC40" s="464">
        <f>SUM(AC37:AC39)</f>
        <v>0</v>
      </c>
      <c r="AD40" s="464">
        <f>SUM(AD37:AD39)</f>
        <v>1070</v>
      </c>
    </row>
    <row r="41">
      <c r="B41" s="462" t="s">
        <v>22</v>
      </c>
      <c r="C41" s="572">
        <f>C22+C36+C40</f>
        <v>1818</v>
      </c>
      <c r="D41" s="572">
        <f t="shared" ref="D41:G41" si="2370">D22+D36+D40</f>
        <v>1713</v>
      </c>
      <c r="E41" s="572">
        <f t="shared" si="2370"/>
        <v>20018</v>
      </c>
      <c r="F41" s="572">
        <f t="shared" si="2370"/>
        <v>19333</v>
      </c>
      <c r="G41" s="572">
        <f t="shared" si="2370"/>
        <v>2407</v>
      </c>
      <c r="H41" s="572">
        <f t="shared" ref="H41:N41" si="2371">H22+H36+H40</f>
        <v>2267</v>
      </c>
      <c r="I41" s="572">
        <f t="shared" si="2371"/>
        <v>25700</v>
      </c>
      <c r="J41" s="572">
        <f t="shared" si="2371"/>
        <v>24669</v>
      </c>
      <c r="K41" s="572">
        <f t="shared" si="2371"/>
        <v>0</v>
      </c>
      <c r="L41" s="572">
        <f t="shared" si="2371"/>
        <v>0</v>
      </c>
      <c r="M41" s="572">
        <f t="shared" si="2371"/>
        <v>0</v>
      </c>
      <c r="N41" s="572">
        <f t="shared" si="2371"/>
        <v>0</v>
      </c>
      <c r="O41" s="573">
        <f t="shared" si="2351"/>
        <v>4225</v>
      </c>
      <c r="P41" s="572">
        <f>P22+P36+P40</f>
        <v>0</v>
      </c>
      <c r="Q41" s="572">
        <f>Q22+Q36+Q40</f>
        <v>0</v>
      </c>
      <c r="R41" s="572">
        <f>R22+R36+R40</f>
        <v>0</v>
      </c>
      <c r="S41" s="574">
        <f t="shared" ref="S41:S42" si="2372">P41+Q41+R41</f>
        <v>0</v>
      </c>
      <c r="T41" s="575">
        <f t="shared" si="2353"/>
        <v>4225</v>
      </c>
      <c r="U41" s="572">
        <f>U22+U36+U40</f>
        <v>0</v>
      </c>
      <c r="V41" s="576">
        <f>V22+V36+V40</f>
        <v>0</v>
      </c>
      <c r="W41" s="576">
        <f>W22+W36+W40</f>
        <v>0</v>
      </c>
      <c r="X41" s="566">
        <f t="shared" si="2367"/>
        <v>0</v>
      </c>
      <c r="Y41" s="575">
        <f t="shared" si="2355"/>
        <v>4225</v>
      </c>
      <c r="Z41" s="572">
        <f>Z22+Z36+Z40</f>
        <v>0</v>
      </c>
      <c r="AA41" s="572">
        <f>AA22+AA36+AA40</f>
        <v>0</v>
      </c>
      <c r="AB41" s="572">
        <f>AB22+AB36+AB40</f>
        <v>0</v>
      </c>
      <c r="AC41" s="574">
        <f t="shared" ref="AC41:AC42" si="2373">Z41+AA41+AB41</f>
        <v>0</v>
      </c>
      <c r="AD41" s="577">
        <f t="shared" si="2363"/>
        <v>4225</v>
      </c>
    </row>
    <row r="42">
      <c r="B42" s="272" t="s">
        <v>225</v>
      </c>
      <c r="C42" s="273">
        <v>11</v>
      </c>
      <c r="D42" s="273">
        <v>0</v>
      </c>
      <c r="E42" s="273">
        <v>543</v>
      </c>
      <c r="F42" s="273">
        <v>0</v>
      </c>
      <c r="G42" s="273">
        <v>14</v>
      </c>
      <c r="H42" s="307">
        <v>0</v>
      </c>
      <c r="I42" s="307">
        <v>618</v>
      </c>
      <c r="J42" s="307">
        <v>0</v>
      </c>
      <c r="K42" s="307"/>
      <c r="L42" s="439"/>
      <c r="M42" s="439"/>
      <c r="N42" s="439"/>
      <c r="O42" s="308">
        <f t="shared" si="2351"/>
        <v>25</v>
      </c>
      <c r="P42" s="273"/>
      <c r="Q42" s="273"/>
      <c r="R42" s="307"/>
      <c r="S42" s="309">
        <f t="shared" si="2372"/>
        <v>0</v>
      </c>
      <c r="T42" s="310">
        <f t="shared" si="2353"/>
        <v>25</v>
      </c>
      <c r="U42" s="273"/>
      <c r="V42" s="311"/>
      <c r="W42" s="312"/>
      <c r="X42" s="313">
        <f t="shared" si="2367"/>
        <v>0</v>
      </c>
      <c r="Y42" s="310">
        <f t="shared" si="2355"/>
        <v>25</v>
      </c>
      <c r="Z42" s="273"/>
      <c r="AA42" s="273"/>
      <c r="AB42" s="307"/>
      <c r="AC42" s="309">
        <f t="shared" si="2373"/>
        <v>0</v>
      </c>
      <c r="AD42" s="314">
        <f t="shared" si="2363"/>
        <v>25</v>
      </c>
    </row>
    <row r="43">
      <c r="B43" s="584" t="s">
        <v>22</v>
      </c>
      <c r="C43" s="585">
        <f t="shared" ref="C43:R43" si="2374">C22+C36+C40+C42</f>
        <v>1829</v>
      </c>
      <c r="D43" s="585">
        <f t="shared" si="2374"/>
        <v>1713</v>
      </c>
      <c r="E43" s="585">
        <f t="shared" si="2374"/>
        <v>20561</v>
      </c>
      <c r="F43" s="585">
        <f t="shared" si="2374"/>
        <v>19333</v>
      </c>
      <c r="G43" s="585">
        <f t="shared" si="2374"/>
        <v>2421</v>
      </c>
      <c r="H43" s="585">
        <f t="shared" si="2374"/>
        <v>2267</v>
      </c>
      <c r="I43" s="585">
        <f t="shared" si="2374"/>
        <v>26318</v>
      </c>
      <c r="J43" s="585">
        <f t="shared" si="2374"/>
        <v>24669</v>
      </c>
      <c r="K43" s="585">
        <f t="shared" si="2374"/>
        <v>0</v>
      </c>
      <c r="L43" s="585">
        <f t="shared" si="2374"/>
        <v>0</v>
      </c>
      <c r="M43" s="585">
        <f t="shared" si="2374"/>
        <v>0</v>
      </c>
      <c r="N43" s="585">
        <f t="shared" si="2374"/>
        <v>0</v>
      </c>
      <c r="O43" s="585">
        <f t="shared" si="2374"/>
        <v>4250</v>
      </c>
      <c r="P43" s="585">
        <f t="shared" si="2374"/>
        <v>0</v>
      </c>
      <c r="Q43" s="585">
        <f t="shared" si="2374"/>
        <v>0</v>
      </c>
      <c r="R43" s="585">
        <f t="shared" si="2374"/>
        <v>0</v>
      </c>
      <c r="S43" s="585">
        <f>S22+S36+S40+S41</f>
        <v>0</v>
      </c>
      <c r="T43" s="585">
        <f>T22+T36+T40+T42</f>
        <v>4250</v>
      </c>
      <c r="U43" s="585">
        <f>U22+U36+U40+U42</f>
        <v>0</v>
      </c>
      <c r="V43" s="585">
        <f>V22+V36+V40+V42</f>
        <v>0</v>
      </c>
      <c r="W43" s="585">
        <f>W22+W36+W40+W42</f>
        <v>0</v>
      </c>
      <c r="X43" s="585">
        <f>X22+X36+X40+X41</f>
        <v>0</v>
      </c>
      <c r="Y43" s="585">
        <f>Y22+Y36+Y40+Y42</f>
        <v>4250</v>
      </c>
      <c r="Z43" s="585">
        <f>Z22+Z36+Z40+Z42</f>
        <v>0</v>
      </c>
      <c r="AA43" s="585">
        <f>AA22+AA36+AA40+AA42</f>
        <v>0</v>
      </c>
      <c r="AB43" s="585">
        <f>AB22+AB36+AB40+AB42</f>
        <v>0</v>
      </c>
      <c r="AC43" s="585">
        <f>AC22+AC36+AC40+AC41</f>
        <v>0</v>
      </c>
      <c r="AD43" s="585">
        <f>AD22+AD36+AD40+AD42</f>
        <v>4204</v>
      </c>
    </row>
    <row r="44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28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28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28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</sheetData>
  <mergeCells count="2">
    <mergeCell ref="B3:B6"/>
    <mergeCell ref="C6:F6"/>
  </mergeCells>
  <printOptions headings="0" gridLines="0"/>
  <pageMargins left="0.69999999999999996" right="0.69999999999999996" top="0.75" bottom="0.75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0" copies="1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 codeName="Лист3">
    <outlinePr applyStyles="0" summaryBelow="1" summaryRight="1" showOutlineSymbols="1"/>
    <pageSetUpPr autoPageBreaks="1" fitToPage="0"/>
  </sheetPr>
  <sheetViews>
    <sheetView zoomScale="85" workbookViewId="0">
      <pane xSplit="3" ySplit="8" topLeftCell="D9" activePane="bottomRight" state="frozen"/>
      <selection activeCell="D11" activeCellId="0" sqref="D11"/>
    </sheetView>
  </sheetViews>
  <sheetFormatPr defaultRowHeight="12.75"/>
  <cols>
    <col customWidth="1" min="1" max="1" width="3.5703125"/>
    <col customWidth="1" min="2" max="3" style="1" width="20.85546875"/>
    <col customWidth="1" min="4" max="5" style="1" width="8.5703125"/>
    <col customWidth="1" min="6" max="6" style="1" width="14.28515625"/>
    <col customWidth="1" min="7" max="8" style="1" width="9.7109375"/>
    <col customWidth="1" min="9" max="9" style="1" width="12.7109375"/>
    <col customWidth="1" min="10" max="10" style="280" width="9.85546875"/>
    <col customWidth="1" min="11" max="11" style="280" width="8.85546875"/>
    <col customWidth="1" min="12" max="12" style="1" width="13.42578125"/>
    <col customWidth="1" min="13" max="14" style="280" width="9.7109375"/>
    <col customWidth="1" min="15" max="15" style="1" width="12.7109375"/>
    <col customWidth="1" min="16" max="16" style="280" width="10.140625"/>
    <col customWidth="1" min="17" max="17" style="280" width="8.5703125"/>
    <col customWidth="1" min="18" max="18" style="1" width="13.42578125"/>
    <col customWidth="1" min="19" max="20" style="280" width="9.7109375"/>
    <col customWidth="1" min="21" max="21" style="1" width="12.7109375"/>
    <col customWidth="1" min="22" max="23" style="1" width="9.5703125"/>
    <col customWidth="1" min="24" max="24" style="1" width="13.7109375"/>
    <col customWidth="1" min="25" max="26" style="1" width="8.85546875"/>
    <col customWidth="1" min="27" max="27" style="1" width="13.5703125"/>
    <col customWidth="1" min="28" max="29" style="1" width="8.85546875"/>
    <col customWidth="1" min="30" max="30" style="1" width="13.42578125"/>
    <col customWidth="1" min="31" max="32" style="1" width="8.85546875"/>
    <col customWidth="1" min="33" max="33" style="1" width="12.7109375"/>
    <col customWidth="1" min="34" max="35" style="1" width="8.85546875"/>
    <col customWidth="1" min="36" max="36" style="1" width="14.28515625"/>
    <col customWidth="1" min="37" max="38" style="1" width="8.85546875"/>
    <col customWidth="1" min="39" max="39" style="1" width="13.28515625"/>
    <col customWidth="1" min="40" max="41" style="1" width="8.85546875"/>
    <col customWidth="1" min="42" max="42" style="1" width="14.5703125"/>
    <col customWidth="1" min="43" max="44" style="1" width="8.85546875"/>
    <col customWidth="1" min="45" max="45" style="1" width="13.28515625"/>
    <col customWidth="1" min="46" max="47" style="1" width="8.85546875"/>
    <col customWidth="1" min="48" max="48" style="1" width="15.28515625"/>
    <col customWidth="1" min="49" max="50" style="1" width="8.85546875"/>
    <col customWidth="1" min="51" max="51" style="1" width="13.85546875"/>
    <col customWidth="1" min="52" max="53" style="1" width="8.85546875"/>
    <col customWidth="1" min="54" max="54" style="1" width="14.28515625"/>
    <col customWidth="1" min="55" max="56" style="1" width="8.85546875"/>
    <col customWidth="1" min="57" max="57" style="1" width="13.5703125"/>
    <col customWidth="1" min="58" max="59" style="1" width="8.85546875"/>
    <col customWidth="1" min="60" max="60" style="1" width="14.42578125"/>
    <col customWidth="1" min="61" max="62" style="1" width="8.85546875"/>
    <col customWidth="1" min="63" max="63" style="1" width="12.7109375"/>
    <col customWidth="1" min="64" max="65" style="1" width="8.85546875"/>
    <col customWidth="1" min="66" max="66" style="1" width="13.5703125"/>
    <col customWidth="1" min="67" max="68" style="1" width="8.85546875"/>
    <col customWidth="1" min="69" max="69" style="1" width="14.5703125"/>
    <col customWidth="1" min="70" max="70" style="1" width="12.7109375"/>
    <col customWidth="1" min="71" max="71" style="1" width="8.85546875"/>
    <col customWidth="1" min="72" max="72" style="1" width="13.42578125"/>
    <col customWidth="1" min="73" max="74" style="1" width="8.85546875"/>
    <col customWidth="1" min="75" max="75" style="1" width="15.85546875"/>
    <col customWidth="1" min="76" max="77" style="1" width="8.85546875"/>
    <col customWidth="1" min="78" max="78" style="1" width="13.85546875"/>
    <col customWidth="1" min="79" max="80" style="1" width="8.85546875"/>
    <col customWidth="1" min="81" max="81" style="1" width="14"/>
    <col customWidth="1" min="82" max="83" style="1" width="8.85546875"/>
    <col customWidth="1" min="84" max="84" style="1" width="14.28515625"/>
    <col customWidth="1" min="85" max="86" style="1" width="8.85546875"/>
    <col customWidth="1" min="87" max="87" style="1" width="12.85546875"/>
    <col customWidth="1" min="88" max="89" style="1" width="8.85546875"/>
    <col customWidth="1" min="90" max="90" style="1" width="14.5703125"/>
    <col customWidth="1" min="91" max="92" style="1" width="8.85546875"/>
    <col customWidth="1" min="93" max="93" style="1" width="12.85546875"/>
    <col customWidth="1" min="94" max="95" style="1" width="8.85546875"/>
    <col customWidth="1" min="96" max="96" style="1" width="15.42578125"/>
    <col customWidth="1" min="97" max="98" style="1" width="8.85546875"/>
    <col customWidth="1" min="99" max="99" style="1" width="13.42578125"/>
    <col customWidth="1" min="100" max="101" style="1" width="11.42578125"/>
    <col customWidth="1" min="102" max="102" style="1" width="15.85546875"/>
    <col customWidth="1" min="103" max="104" style="1" width="12.85546875"/>
    <col customWidth="1" min="105" max="105" style="1" width="17"/>
    <col customWidth="1" min="106" max="107" style="1" width="11.42578125"/>
    <col customWidth="1" min="108" max="108" style="1" width="15.85546875"/>
  </cols>
  <sheetData>
    <row r="2" ht="20.25">
      <c r="D2" s="28" t="s">
        <v>6</v>
      </c>
      <c r="E2" s="28"/>
      <c r="F2" s="28"/>
      <c r="G2" s="28"/>
      <c r="H2" s="28"/>
      <c r="I2" s="28"/>
      <c r="J2" s="28" t="s">
        <v>7</v>
      </c>
      <c r="K2" s="28"/>
      <c r="L2" s="28"/>
      <c r="M2" s="28"/>
      <c r="N2" s="28"/>
      <c r="O2" s="28"/>
      <c r="P2" s="28" t="s">
        <v>8</v>
      </c>
      <c r="Q2" s="28"/>
      <c r="R2" s="28"/>
      <c r="S2" s="28"/>
      <c r="T2" s="28"/>
      <c r="U2" s="28"/>
      <c r="V2" s="29" t="s">
        <v>9</v>
      </c>
      <c r="W2" s="30"/>
      <c r="X2" s="30"/>
      <c r="Y2" s="30"/>
      <c r="Z2" s="30"/>
      <c r="AA2" s="31"/>
      <c r="AB2" s="28" t="s">
        <v>10</v>
      </c>
      <c r="AC2" s="28"/>
      <c r="AD2" s="28"/>
      <c r="AE2" s="28"/>
      <c r="AF2" s="28"/>
      <c r="AG2" s="28"/>
      <c r="AH2" s="29" t="s">
        <v>11</v>
      </c>
      <c r="AI2" s="30"/>
      <c r="AJ2" s="30"/>
      <c r="AK2" s="30"/>
      <c r="AL2" s="30"/>
      <c r="AM2" s="31"/>
      <c r="AN2" s="28" t="s">
        <v>12</v>
      </c>
      <c r="AO2" s="28"/>
      <c r="AP2" s="28"/>
      <c r="AQ2" s="28"/>
      <c r="AR2" s="28"/>
      <c r="AS2" s="28"/>
      <c r="AT2" s="29" t="s">
        <v>13</v>
      </c>
      <c r="AU2" s="30"/>
      <c r="AV2" s="30"/>
      <c r="AW2" s="30"/>
      <c r="AX2" s="30"/>
      <c r="AY2" s="31"/>
      <c r="AZ2" s="28" t="s">
        <v>14</v>
      </c>
      <c r="BA2" s="28"/>
      <c r="BB2" s="28"/>
      <c r="BC2" s="28"/>
      <c r="BD2" s="28"/>
      <c r="BE2" s="28"/>
      <c r="BF2" s="29" t="s">
        <v>15</v>
      </c>
      <c r="BG2" s="30"/>
      <c r="BH2" s="30"/>
      <c r="BI2" s="30"/>
      <c r="BJ2" s="30"/>
      <c r="BK2" s="31"/>
      <c r="BL2" s="29" t="s">
        <v>16</v>
      </c>
      <c r="BM2" s="30"/>
      <c r="BN2" s="30"/>
      <c r="BO2" s="30"/>
      <c r="BP2" s="30"/>
      <c r="BQ2" s="30"/>
      <c r="BR2" s="29" t="s">
        <v>17</v>
      </c>
      <c r="BS2" s="30"/>
      <c r="BT2" s="30"/>
      <c r="BU2" s="30"/>
      <c r="BV2" s="30"/>
      <c r="BW2" s="31"/>
      <c r="BX2" s="30" t="s">
        <v>18</v>
      </c>
      <c r="BY2" s="30"/>
      <c r="BZ2" s="30"/>
      <c r="CA2" s="30"/>
      <c r="CB2" s="30"/>
      <c r="CC2" s="30"/>
      <c r="CD2" s="29" t="s">
        <v>19</v>
      </c>
      <c r="CE2" s="30"/>
      <c r="CF2" s="30"/>
      <c r="CG2" s="30"/>
      <c r="CH2" s="30"/>
      <c r="CI2" s="31"/>
      <c r="CJ2" s="30" t="s">
        <v>20</v>
      </c>
      <c r="CK2" s="30"/>
      <c r="CL2" s="30"/>
      <c r="CM2" s="30"/>
      <c r="CN2" s="30"/>
      <c r="CO2" s="30"/>
      <c r="CP2" s="30" t="s">
        <v>21</v>
      </c>
      <c r="CQ2" s="30"/>
      <c r="CR2" s="30"/>
      <c r="CS2" s="30"/>
      <c r="CT2" s="30"/>
      <c r="CU2" s="30"/>
      <c r="CV2" s="32" t="s">
        <v>22</v>
      </c>
      <c r="CW2" s="33"/>
      <c r="CX2" s="33"/>
      <c r="CY2" s="33"/>
      <c r="CZ2" s="33"/>
      <c r="DA2" s="33"/>
      <c r="DB2" s="35" t="s">
        <v>23</v>
      </c>
      <c r="DC2" s="36"/>
      <c r="DD2" s="2335"/>
    </row>
    <row r="3">
      <c r="V3" s="37"/>
      <c r="AA3" s="38"/>
      <c r="AH3" s="37"/>
      <c r="AM3" s="38"/>
      <c r="AT3" s="37"/>
      <c r="AY3" s="38"/>
      <c r="BF3" s="37"/>
      <c r="BK3" s="38"/>
      <c r="BR3" s="37"/>
      <c r="BW3" s="38"/>
      <c r="CD3" s="37"/>
      <c r="CI3" s="38"/>
      <c r="CP3" s="37"/>
      <c r="CV3" s="39"/>
      <c r="DB3" s="39"/>
      <c r="DD3" s="40"/>
    </row>
    <row r="4">
      <c r="V4" s="37"/>
      <c r="AA4" s="38"/>
      <c r="AH4" s="37"/>
      <c r="AM4" s="38"/>
      <c r="AT4" s="37"/>
      <c r="AY4" s="38"/>
      <c r="BF4" s="37"/>
      <c r="BK4" s="38"/>
      <c r="BR4" s="37"/>
      <c r="BW4" s="38"/>
      <c r="CD4" s="37"/>
      <c r="CI4" s="38"/>
      <c r="CP4" s="37"/>
      <c r="CV4" s="39"/>
      <c r="DB4" s="39"/>
      <c r="DD4" s="40"/>
    </row>
    <row r="5">
      <c r="D5" s="57" t="s">
        <v>31</v>
      </c>
      <c r="E5" s="77"/>
      <c r="F5" s="58"/>
      <c r="G5" s="57" t="s">
        <v>32</v>
      </c>
      <c r="H5" s="77"/>
      <c r="I5" s="58"/>
      <c r="J5" s="78" t="s">
        <v>31</v>
      </c>
      <c r="K5" s="79"/>
      <c r="L5" s="80"/>
      <c r="M5" s="78" t="s">
        <v>32</v>
      </c>
      <c r="N5" s="79"/>
      <c r="O5" s="80"/>
      <c r="P5" s="77" t="s">
        <v>31</v>
      </c>
      <c r="Q5" s="77"/>
      <c r="R5" s="58"/>
      <c r="S5" s="57" t="s">
        <v>32</v>
      </c>
      <c r="T5" s="77"/>
      <c r="U5" s="77"/>
      <c r="V5" s="57" t="s">
        <v>31</v>
      </c>
      <c r="W5" s="77"/>
      <c r="X5" s="58"/>
      <c r="Y5" s="57" t="s">
        <v>32</v>
      </c>
      <c r="Z5" s="77"/>
      <c r="AA5" s="58"/>
      <c r="AB5" s="77" t="s">
        <v>31</v>
      </c>
      <c r="AC5" s="77"/>
      <c r="AD5" s="58"/>
      <c r="AE5" s="57" t="s">
        <v>32</v>
      </c>
      <c r="AF5" s="77"/>
      <c r="AG5" s="77"/>
      <c r="AH5" s="57" t="s">
        <v>31</v>
      </c>
      <c r="AI5" s="77"/>
      <c r="AJ5" s="58"/>
      <c r="AK5" s="57" t="s">
        <v>32</v>
      </c>
      <c r="AL5" s="77"/>
      <c r="AM5" s="58"/>
      <c r="AN5" s="77" t="s">
        <v>31</v>
      </c>
      <c r="AO5" s="77"/>
      <c r="AP5" s="58"/>
      <c r="AQ5" s="57" t="s">
        <v>32</v>
      </c>
      <c r="AR5" s="77"/>
      <c r="AS5" s="77"/>
      <c r="AT5" s="57" t="s">
        <v>31</v>
      </c>
      <c r="AU5" s="77"/>
      <c r="AV5" s="58"/>
      <c r="AW5" s="57" t="s">
        <v>32</v>
      </c>
      <c r="AX5" s="77"/>
      <c r="AY5" s="58"/>
      <c r="AZ5" s="77" t="s">
        <v>31</v>
      </c>
      <c r="BA5" s="77"/>
      <c r="BB5" s="58"/>
      <c r="BC5" s="57" t="s">
        <v>32</v>
      </c>
      <c r="BD5" s="77"/>
      <c r="BE5" s="77"/>
      <c r="BF5" s="57" t="s">
        <v>31</v>
      </c>
      <c r="BG5" s="77"/>
      <c r="BH5" s="58"/>
      <c r="BI5" s="57" t="s">
        <v>32</v>
      </c>
      <c r="BJ5" s="77"/>
      <c r="BK5" s="58"/>
      <c r="BL5" s="77" t="s">
        <v>31</v>
      </c>
      <c r="BM5" s="77"/>
      <c r="BN5" s="58"/>
      <c r="BO5" s="57" t="s">
        <v>32</v>
      </c>
      <c r="BP5" s="77"/>
      <c r="BQ5" s="77"/>
      <c r="BR5" s="57" t="s">
        <v>31</v>
      </c>
      <c r="BS5" s="77"/>
      <c r="BT5" s="58"/>
      <c r="BU5" s="57" t="s">
        <v>32</v>
      </c>
      <c r="BV5" s="77"/>
      <c r="BW5" s="58"/>
      <c r="BX5" s="77" t="s">
        <v>31</v>
      </c>
      <c r="BY5" s="77"/>
      <c r="BZ5" s="58"/>
      <c r="CA5" s="57" t="s">
        <v>32</v>
      </c>
      <c r="CB5" s="77"/>
      <c r="CC5" s="77"/>
      <c r="CD5" s="57" t="s">
        <v>31</v>
      </c>
      <c r="CE5" s="77"/>
      <c r="CF5" s="58"/>
      <c r="CG5" s="57" t="s">
        <v>32</v>
      </c>
      <c r="CH5" s="77"/>
      <c r="CI5" s="58"/>
      <c r="CJ5" s="77" t="s">
        <v>31</v>
      </c>
      <c r="CK5" s="77"/>
      <c r="CL5" s="58"/>
      <c r="CM5" s="57" t="s">
        <v>32</v>
      </c>
      <c r="CN5" s="77"/>
      <c r="CO5" s="77"/>
      <c r="CP5" s="57" t="s">
        <v>31</v>
      </c>
      <c r="CQ5" s="77"/>
      <c r="CR5" s="58"/>
      <c r="CS5" s="57" t="s">
        <v>32</v>
      </c>
      <c r="CT5" s="77"/>
      <c r="CU5" s="77"/>
      <c r="CV5" s="81" t="s">
        <v>31</v>
      </c>
      <c r="CW5" s="77"/>
      <c r="CX5" s="58"/>
      <c r="CY5" s="57" t="s">
        <v>32</v>
      </c>
      <c r="CZ5" s="77"/>
      <c r="DA5" s="77"/>
      <c r="DB5" s="81" t="s">
        <v>48</v>
      </c>
      <c r="DC5" s="77"/>
      <c r="DD5" s="82"/>
    </row>
    <row r="6">
      <c r="B6" s="128" t="s">
        <v>64</v>
      </c>
      <c r="C6" s="129"/>
      <c r="D6" s="107"/>
      <c r="E6" s="130"/>
      <c r="F6" s="108"/>
      <c r="G6" s="107"/>
      <c r="H6" s="130"/>
      <c r="I6" s="108"/>
      <c r="J6" s="107"/>
      <c r="K6" s="130"/>
      <c r="L6" s="108"/>
      <c r="M6" s="107"/>
      <c r="N6" s="130"/>
      <c r="O6" s="108"/>
      <c r="P6" s="130"/>
      <c r="Q6" s="130"/>
      <c r="R6" s="108"/>
      <c r="S6" s="107"/>
      <c r="T6" s="130"/>
      <c r="U6" s="130"/>
      <c r="V6" s="107"/>
      <c r="W6" s="130"/>
      <c r="X6" s="108"/>
      <c r="Y6" s="107"/>
      <c r="Z6" s="130"/>
      <c r="AA6" s="108"/>
      <c r="AB6" s="130"/>
      <c r="AC6" s="130"/>
      <c r="AD6" s="108"/>
      <c r="AE6" s="107"/>
      <c r="AF6" s="130"/>
      <c r="AG6" s="130"/>
      <c r="AH6" s="107"/>
      <c r="AI6" s="130"/>
      <c r="AJ6" s="108"/>
      <c r="AK6" s="107"/>
      <c r="AL6" s="130"/>
      <c r="AM6" s="108"/>
      <c r="AN6" s="130"/>
      <c r="AO6" s="130"/>
      <c r="AP6" s="108"/>
      <c r="AQ6" s="107"/>
      <c r="AR6" s="130"/>
      <c r="AS6" s="130"/>
      <c r="AT6" s="107"/>
      <c r="AU6" s="130"/>
      <c r="AV6" s="108"/>
      <c r="AW6" s="107"/>
      <c r="AX6" s="130"/>
      <c r="AY6" s="108"/>
      <c r="AZ6" s="130"/>
      <c r="BA6" s="130"/>
      <c r="BB6" s="108"/>
      <c r="BC6" s="107"/>
      <c r="BD6" s="130"/>
      <c r="BE6" s="130"/>
      <c r="BF6" s="107"/>
      <c r="BG6" s="130"/>
      <c r="BH6" s="108"/>
      <c r="BI6" s="107"/>
      <c r="BJ6" s="130"/>
      <c r="BK6" s="108"/>
      <c r="BL6" s="130"/>
      <c r="BM6" s="130"/>
      <c r="BN6" s="108"/>
      <c r="BO6" s="107"/>
      <c r="BP6" s="130"/>
      <c r="BQ6" s="130"/>
      <c r="BR6" s="107"/>
      <c r="BS6" s="130"/>
      <c r="BT6" s="108"/>
      <c r="BU6" s="107"/>
      <c r="BV6" s="130"/>
      <c r="BW6" s="108"/>
      <c r="BX6" s="130"/>
      <c r="BY6" s="130"/>
      <c r="BZ6" s="108"/>
      <c r="CA6" s="107"/>
      <c r="CB6" s="130"/>
      <c r="CC6" s="130"/>
      <c r="CD6" s="107"/>
      <c r="CE6" s="130"/>
      <c r="CF6" s="108"/>
      <c r="CG6" s="107"/>
      <c r="CH6" s="130"/>
      <c r="CI6" s="108"/>
      <c r="CJ6" s="130"/>
      <c r="CK6" s="130"/>
      <c r="CL6" s="108"/>
      <c r="CM6" s="107"/>
      <c r="CN6" s="130"/>
      <c r="CO6" s="130"/>
      <c r="CP6" s="107"/>
      <c r="CQ6" s="130"/>
      <c r="CR6" s="108"/>
      <c r="CS6" s="107"/>
      <c r="CT6" s="130"/>
      <c r="CU6" s="130"/>
      <c r="CV6" s="131"/>
      <c r="CW6" s="130"/>
      <c r="CX6" s="108"/>
      <c r="CY6" s="107"/>
      <c r="CZ6" s="130"/>
      <c r="DA6" s="130"/>
      <c r="DB6" s="131"/>
      <c r="DC6" s="130"/>
      <c r="DD6" s="132"/>
    </row>
    <row r="7" ht="24">
      <c r="B7" s="128"/>
      <c r="C7" s="129"/>
      <c r="D7" s="150" t="s">
        <v>102</v>
      </c>
      <c r="E7" s="151" t="s">
        <v>103</v>
      </c>
      <c r="F7" s="151" t="s">
        <v>104</v>
      </c>
      <c r="G7" s="150" t="s">
        <v>102</v>
      </c>
      <c r="H7" s="151" t="s">
        <v>103</v>
      </c>
      <c r="I7" s="151" t="s">
        <v>104</v>
      </c>
      <c r="J7" s="2336" t="s">
        <v>102</v>
      </c>
      <c r="K7" s="2337" t="s">
        <v>103</v>
      </c>
      <c r="L7" s="151" t="s">
        <v>104</v>
      </c>
      <c r="M7" s="2336" t="s">
        <v>102</v>
      </c>
      <c r="N7" s="2337" t="s">
        <v>103</v>
      </c>
      <c r="O7" s="151" t="s">
        <v>104</v>
      </c>
      <c r="P7" s="2336" t="s">
        <v>102</v>
      </c>
      <c r="Q7" s="2337" t="s">
        <v>103</v>
      </c>
      <c r="R7" s="151" t="s">
        <v>104</v>
      </c>
      <c r="S7" s="2336" t="s">
        <v>102</v>
      </c>
      <c r="T7" s="2337" t="s">
        <v>103</v>
      </c>
      <c r="U7" s="151" t="s">
        <v>104</v>
      </c>
      <c r="V7" s="151" t="s">
        <v>102</v>
      </c>
      <c r="W7" s="151" t="s">
        <v>103</v>
      </c>
      <c r="X7" s="151" t="s">
        <v>104</v>
      </c>
      <c r="Y7" s="151" t="s">
        <v>102</v>
      </c>
      <c r="Z7" s="151" t="s">
        <v>103</v>
      </c>
      <c r="AA7" s="151" t="s">
        <v>104</v>
      </c>
      <c r="AB7" s="150" t="s">
        <v>102</v>
      </c>
      <c r="AC7" s="151" t="s">
        <v>103</v>
      </c>
      <c r="AD7" s="151" t="s">
        <v>104</v>
      </c>
      <c r="AE7" s="150" t="s">
        <v>102</v>
      </c>
      <c r="AF7" s="151" t="s">
        <v>103</v>
      </c>
      <c r="AG7" s="151" t="s">
        <v>104</v>
      </c>
      <c r="AH7" s="150" t="s">
        <v>102</v>
      </c>
      <c r="AI7" s="151" t="s">
        <v>103</v>
      </c>
      <c r="AJ7" s="151" t="s">
        <v>104</v>
      </c>
      <c r="AK7" s="150" t="s">
        <v>102</v>
      </c>
      <c r="AL7" s="151" t="s">
        <v>103</v>
      </c>
      <c r="AM7" s="151" t="s">
        <v>104</v>
      </c>
      <c r="AN7" s="150" t="s">
        <v>102</v>
      </c>
      <c r="AO7" s="151" t="s">
        <v>103</v>
      </c>
      <c r="AP7" s="151" t="s">
        <v>104</v>
      </c>
      <c r="AQ7" s="150" t="s">
        <v>102</v>
      </c>
      <c r="AR7" s="151" t="s">
        <v>103</v>
      </c>
      <c r="AS7" s="151" t="s">
        <v>104</v>
      </c>
      <c r="AT7" s="150" t="s">
        <v>102</v>
      </c>
      <c r="AU7" s="151" t="s">
        <v>103</v>
      </c>
      <c r="AV7" s="151" t="s">
        <v>104</v>
      </c>
      <c r="AW7" s="150" t="s">
        <v>102</v>
      </c>
      <c r="AX7" s="151" t="s">
        <v>103</v>
      </c>
      <c r="AY7" s="151" t="s">
        <v>104</v>
      </c>
      <c r="AZ7" s="150" t="s">
        <v>102</v>
      </c>
      <c r="BA7" s="151" t="s">
        <v>103</v>
      </c>
      <c r="BB7" s="151" t="s">
        <v>104</v>
      </c>
      <c r="BC7" s="150" t="s">
        <v>102</v>
      </c>
      <c r="BD7" s="151" t="s">
        <v>103</v>
      </c>
      <c r="BE7" s="151" t="s">
        <v>104</v>
      </c>
      <c r="BF7" s="150" t="s">
        <v>102</v>
      </c>
      <c r="BG7" s="151" t="s">
        <v>103</v>
      </c>
      <c r="BH7" s="151" t="s">
        <v>104</v>
      </c>
      <c r="BI7" s="150" t="s">
        <v>102</v>
      </c>
      <c r="BJ7" s="151" t="s">
        <v>103</v>
      </c>
      <c r="BK7" s="151" t="s">
        <v>104</v>
      </c>
      <c r="BL7" s="150" t="s">
        <v>102</v>
      </c>
      <c r="BM7" s="151" t="s">
        <v>103</v>
      </c>
      <c r="BN7" s="151" t="s">
        <v>104</v>
      </c>
      <c r="BO7" s="150" t="s">
        <v>102</v>
      </c>
      <c r="BP7" s="151" t="s">
        <v>103</v>
      </c>
      <c r="BQ7" s="151" t="s">
        <v>104</v>
      </c>
      <c r="BR7" s="150" t="s">
        <v>102</v>
      </c>
      <c r="BS7" s="151" t="s">
        <v>103</v>
      </c>
      <c r="BT7" s="151" t="s">
        <v>104</v>
      </c>
      <c r="BU7" s="150" t="s">
        <v>102</v>
      </c>
      <c r="BV7" s="151" t="s">
        <v>103</v>
      </c>
      <c r="BW7" s="151" t="s">
        <v>104</v>
      </c>
      <c r="BX7" s="150" t="s">
        <v>102</v>
      </c>
      <c r="BY7" s="151" t="s">
        <v>103</v>
      </c>
      <c r="BZ7" s="151" t="s">
        <v>104</v>
      </c>
      <c r="CA7" s="150" t="s">
        <v>102</v>
      </c>
      <c r="CB7" s="151" t="s">
        <v>103</v>
      </c>
      <c r="CC7" s="151" t="s">
        <v>104</v>
      </c>
      <c r="CD7" s="150" t="s">
        <v>102</v>
      </c>
      <c r="CE7" s="151" t="s">
        <v>103</v>
      </c>
      <c r="CF7" s="151" t="s">
        <v>104</v>
      </c>
      <c r="CG7" s="150" t="s">
        <v>102</v>
      </c>
      <c r="CH7" s="151" t="s">
        <v>103</v>
      </c>
      <c r="CI7" s="151" t="s">
        <v>104</v>
      </c>
      <c r="CJ7" s="150" t="s">
        <v>102</v>
      </c>
      <c r="CK7" s="151" t="s">
        <v>103</v>
      </c>
      <c r="CL7" s="151" t="s">
        <v>104</v>
      </c>
      <c r="CM7" s="150" t="s">
        <v>102</v>
      </c>
      <c r="CN7" s="151" t="s">
        <v>103</v>
      </c>
      <c r="CO7" s="151" t="s">
        <v>104</v>
      </c>
      <c r="CP7" s="150" t="s">
        <v>102</v>
      </c>
      <c r="CQ7" s="151" t="s">
        <v>103</v>
      </c>
      <c r="CR7" s="151" t="s">
        <v>104</v>
      </c>
      <c r="CS7" s="150" t="s">
        <v>102</v>
      </c>
      <c r="CT7" s="151" t="s">
        <v>103</v>
      </c>
      <c r="CU7" s="152" t="s">
        <v>104</v>
      </c>
      <c r="CV7" s="153" t="s">
        <v>102</v>
      </c>
      <c r="CW7" s="151" t="s">
        <v>103</v>
      </c>
      <c r="CX7" s="151" t="s">
        <v>104</v>
      </c>
      <c r="CY7" s="150" t="s">
        <v>102</v>
      </c>
      <c r="CZ7" s="151" t="s">
        <v>103</v>
      </c>
      <c r="DA7" s="152" t="s">
        <v>104</v>
      </c>
      <c r="DB7" s="153" t="s">
        <v>102</v>
      </c>
      <c r="DC7" s="151" t="s">
        <v>103</v>
      </c>
      <c r="DD7" s="154" t="s">
        <v>104</v>
      </c>
    </row>
    <row r="8" ht="25.5">
      <c r="D8" s="198" t="s">
        <v>130</v>
      </c>
      <c r="E8" s="199" t="s">
        <v>131</v>
      </c>
      <c r="F8" s="199" t="s">
        <v>132</v>
      </c>
      <c r="G8" s="198" t="s">
        <v>130</v>
      </c>
      <c r="H8" s="199" t="s">
        <v>131</v>
      </c>
      <c r="I8" s="199" t="s">
        <v>132</v>
      </c>
      <c r="J8" s="2338" t="s">
        <v>130</v>
      </c>
      <c r="K8" s="2339" t="s">
        <v>131</v>
      </c>
      <c r="L8" s="199" t="s">
        <v>132</v>
      </c>
      <c r="M8" s="2338" t="s">
        <v>130</v>
      </c>
      <c r="N8" s="2339" t="s">
        <v>131</v>
      </c>
      <c r="O8" s="199" t="s">
        <v>132</v>
      </c>
      <c r="P8" s="2338" t="s">
        <v>130</v>
      </c>
      <c r="Q8" s="2339" t="s">
        <v>131</v>
      </c>
      <c r="R8" s="199" t="s">
        <v>132</v>
      </c>
      <c r="S8" s="2338" t="s">
        <v>130</v>
      </c>
      <c r="T8" s="2339" t="s">
        <v>131</v>
      </c>
      <c r="U8" s="199" t="s">
        <v>132</v>
      </c>
      <c r="V8" s="199" t="s">
        <v>130</v>
      </c>
      <c r="W8" s="199" t="s">
        <v>131</v>
      </c>
      <c r="X8" s="199" t="s">
        <v>132</v>
      </c>
      <c r="Y8" s="199" t="s">
        <v>130</v>
      </c>
      <c r="Z8" s="199" t="s">
        <v>131</v>
      </c>
      <c r="AA8" s="199" t="s">
        <v>132</v>
      </c>
      <c r="AB8" s="198" t="s">
        <v>130</v>
      </c>
      <c r="AC8" s="199" t="s">
        <v>131</v>
      </c>
      <c r="AD8" s="199" t="s">
        <v>132</v>
      </c>
      <c r="AE8" s="198" t="s">
        <v>130</v>
      </c>
      <c r="AF8" s="199" t="s">
        <v>131</v>
      </c>
      <c r="AG8" s="199" t="s">
        <v>132</v>
      </c>
      <c r="AH8" s="198" t="s">
        <v>130</v>
      </c>
      <c r="AI8" s="199" t="s">
        <v>131</v>
      </c>
      <c r="AJ8" s="199" t="s">
        <v>132</v>
      </c>
      <c r="AK8" s="198" t="s">
        <v>130</v>
      </c>
      <c r="AL8" s="199" t="s">
        <v>131</v>
      </c>
      <c r="AM8" s="199" t="s">
        <v>132</v>
      </c>
      <c r="AN8" s="198" t="s">
        <v>130</v>
      </c>
      <c r="AO8" s="199" t="s">
        <v>131</v>
      </c>
      <c r="AP8" s="199" t="s">
        <v>132</v>
      </c>
      <c r="AQ8" s="198" t="s">
        <v>130</v>
      </c>
      <c r="AR8" s="199" t="s">
        <v>131</v>
      </c>
      <c r="AS8" s="199" t="s">
        <v>132</v>
      </c>
      <c r="AT8" s="198" t="s">
        <v>130</v>
      </c>
      <c r="AU8" s="199" t="s">
        <v>131</v>
      </c>
      <c r="AV8" s="199" t="s">
        <v>132</v>
      </c>
      <c r="AW8" s="198" t="s">
        <v>130</v>
      </c>
      <c r="AX8" s="199" t="s">
        <v>131</v>
      </c>
      <c r="AY8" s="199" t="s">
        <v>132</v>
      </c>
      <c r="AZ8" s="198" t="s">
        <v>130</v>
      </c>
      <c r="BA8" s="199" t="s">
        <v>131</v>
      </c>
      <c r="BB8" s="199" t="s">
        <v>132</v>
      </c>
      <c r="BC8" s="198" t="s">
        <v>130</v>
      </c>
      <c r="BD8" s="199" t="s">
        <v>131</v>
      </c>
      <c r="BE8" s="199" t="s">
        <v>132</v>
      </c>
      <c r="BF8" s="198" t="s">
        <v>133</v>
      </c>
      <c r="BG8" s="199" t="s">
        <v>131</v>
      </c>
      <c r="BH8" s="199" t="s">
        <v>134</v>
      </c>
      <c r="BI8" s="198" t="s">
        <v>133</v>
      </c>
      <c r="BJ8" s="199" t="s">
        <v>131</v>
      </c>
      <c r="BK8" s="199" t="s">
        <v>134</v>
      </c>
      <c r="BL8" s="198" t="s">
        <v>130</v>
      </c>
      <c r="BM8" s="199" t="s">
        <v>131</v>
      </c>
      <c r="BN8" s="199" t="s">
        <v>132</v>
      </c>
      <c r="BO8" s="198" t="s">
        <v>130</v>
      </c>
      <c r="BP8" s="199" t="s">
        <v>131</v>
      </c>
      <c r="BQ8" s="199" t="s">
        <v>132</v>
      </c>
      <c r="BR8" s="198" t="s">
        <v>130</v>
      </c>
      <c r="BS8" s="199" t="s">
        <v>131</v>
      </c>
      <c r="BT8" s="199" t="s">
        <v>132</v>
      </c>
      <c r="BU8" s="198" t="s">
        <v>130</v>
      </c>
      <c r="BV8" s="199" t="s">
        <v>131</v>
      </c>
      <c r="BW8" s="199" t="s">
        <v>132</v>
      </c>
      <c r="BX8" s="198" t="s">
        <v>130</v>
      </c>
      <c r="BY8" s="199" t="s">
        <v>131</v>
      </c>
      <c r="BZ8" s="199" t="s">
        <v>132</v>
      </c>
      <c r="CA8" s="198" t="s">
        <v>130</v>
      </c>
      <c r="CB8" s="199" t="s">
        <v>131</v>
      </c>
      <c r="CC8" s="199" t="s">
        <v>132</v>
      </c>
      <c r="CD8" s="198" t="s">
        <v>130</v>
      </c>
      <c r="CE8" s="199" t="s">
        <v>131</v>
      </c>
      <c r="CF8" s="199" t="s">
        <v>132</v>
      </c>
      <c r="CG8" s="198" t="s">
        <v>130</v>
      </c>
      <c r="CH8" s="199" t="s">
        <v>131</v>
      </c>
      <c r="CI8" s="199" t="s">
        <v>132</v>
      </c>
      <c r="CJ8" s="198" t="s">
        <v>130</v>
      </c>
      <c r="CK8" s="199" t="s">
        <v>131</v>
      </c>
      <c r="CL8" s="199" t="s">
        <v>132</v>
      </c>
      <c r="CM8" s="198" t="s">
        <v>130</v>
      </c>
      <c r="CN8" s="199" t="s">
        <v>131</v>
      </c>
      <c r="CO8" s="199" t="s">
        <v>132</v>
      </c>
      <c r="CP8" s="198" t="s">
        <v>130</v>
      </c>
      <c r="CQ8" s="199" t="s">
        <v>131</v>
      </c>
      <c r="CR8" s="199" t="s">
        <v>132</v>
      </c>
      <c r="CS8" s="198" t="s">
        <v>130</v>
      </c>
      <c r="CT8" s="199" t="s">
        <v>131</v>
      </c>
      <c r="CU8" s="200" t="s">
        <v>132</v>
      </c>
      <c r="CV8" s="201" t="s">
        <v>130</v>
      </c>
      <c r="CW8" s="202" t="s">
        <v>131</v>
      </c>
      <c r="CX8" s="202" t="s">
        <v>132</v>
      </c>
      <c r="CY8" s="203" t="s">
        <v>130</v>
      </c>
      <c r="CZ8" s="202" t="s">
        <v>131</v>
      </c>
      <c r="DA8" s="2340" t="s">
        <v>132</v>
      </c>
      <c r="DB8" s="2341" t="s">
        <v>130</v>
      </c>
      <c r="DC8" s="199" t="s">
        <v>131</v>
      </c>
      <c r="DD8" s="2342" t="s">
        <v>132</v>
      </c>
    </row>
    <row r="9">
      <c r="B9" s="206" t="s">
        <v>135</v>
      </c>
      <c r="C9" s="207"/>
      <c r="D9" s="205"/>
      <c r="E9" s="205"/>
      <c r="F9" s="205"/>
      <c r="G9" s="205"/>
      <c r="H9" s="205"/>
      <c r="I9" s="205"/>
      <c r="J9" s="244"/>
      <c r="K9" s="243"/>
      <c r="L9" s="205"/>
      <c r="M9" s="243"/>
      <c r="N9" s="243"/>
      <c r="O9" s="242"/>
      <c r="P9" s="243"/>
      <c r="Q9" s="243"/>
      <c r="R9" s="205"/>
      <c r="S9" s="243"/>
      <c r="T9" s="243"/>
      <c r="U9" s="205"/>
      <c r="V9" s="241"/>
      <c r="W9" s="205"/>
      <c r="X9" s="205"/>
      <c r="Y9" s="243"/>
      <c r="Z9" s="243"/>
      <c r="AA9" s="242"/>
      <c r="AB9" s="243"/>
      <c r="AC9" s="243"/>
      <c r="AD9" s="205"/>
      <c r="AE9" s="243"/>
      <c r="AF9" s="243"/>
      <c r="AG9" s="205"/>
      <c r="AH9" s="244"/>
      <c r="AI9" s="243"/>
      <c r="AJ9" s="205"/>
      <c r="AK9" s="243"/>
      <c r="AL9" s="243"/>
      <c r="AM9" s="242"/>
      <c r="AN9" s="205"/>
      <c r="AO9" s="205"/>
      <c r="AP9" s="205"/>
      <c r="AQ9" s="205"/>
      <c r="AR9" s="205"/>
      <c r="AS9" s="205"/>
      <c r="AT9" s="241"/>
      <c r="AU9" s="205"/>
      <c r="AV9" s="205"/>
      <c r="AW9" s="205"/>
      <c r="AX9" s="205"/>
      <c r="AY9" s="242"/>
      <c r="AZ9" s="205"/>
      <c r="BA9" s="205"/>
      <c r="BB9" s="205"/>
      <c r="BC9" s="205"/>
      <c r="BD9" s="205"/>
      <c r="BE9" s="205"/>
      <c r="BF9" s="241"/>
      <c r="BG9" s="205"/>
      <c r="BH9" s="205"/>
      <c r="BI9" s="205"/>
      <c r="BJ9" s="205"/>
      <c r="BK9" s="242"/>
      <c r="BL9" s="205"/>
      <c r="BM9" s="205"/>
      <c r="BN9" s="205"/>
      <c r="BO9" s="205"/>
      <c r="BP9" s="205"/>
      <c r="BQ9" s="205"/>
      <c r="BR9" s="241"/>
      <c r="BS9" s="205"/>
      <c r="BT9" s="205"/>
      <c r="BU9" s="205"/>
      <c r="BV9" s="205"/>
      <c r="BW9" s="242"/>
      <c r="BX9" s="205"/>
      <c r="BY9" s="205"/>
      <c r="BZ9" s="205"/>
      <c r="CA9" s="205"/>
      <c r="CB9" s="205"/>
      <c r="CC9" s="205"/>
      <c r="CD9" s="241"/>
      <c r="CE9" s="205"/>
      <c r="CF9" s="205"/>
      <c r="CG9" s="205"/>
      <c r="CH9" s="205"/>
      <c r="CI9" s="242"/>
      <c r="CJ9" s="205"/>
      <c r="CK9" s="205"/>
      <c r="CL9" s="205"/>
      <c r="CM9" s="205"/>
      <c r="CN9" s="205"/>
      <c r="CO9" s="205"/>
      <c r="CP9" s="241"/>
      <c r="CQ9" s="205"/>
      <c r="CR9" s="205"/>
      <c r="CS9" s="205"/>
      <c r="CT9" s="205"/>
      <c r="CU9" s="205"/>
      <c r="CV9" s="245"/>
      <c r="CW9" s="205"/>
      <c r="CX9" s="205"/>
      <c r="CY9" s="205"/>
      <c r="CZ9" s="205"/>
      <c r="DA9" s="205"/>
      <c r="DB9" s="245"/>
      <c r="DC9" s="205"/>
      <c r="DD9" s="246"/>
    </row>
    <row r="10">
      <c r="B10" s="247"/>
      <c r="C10" s="247"/>
      <c r="D10" s="280"/>
      <c r="E10" s="280"/>
      <c r="J10" s="470"/>
      <c r="O10" s="38"/>
      <c r="V10" s="37"/>
      <c r="Y10" s="281"/>
      <c r="Z10" s="281"/>
      <c r="AA10" s="38"/>
      <c r="AB10" s="281"/>
      <c r="AC10" s="281"/>
      <c r="AE10" s="281"/>
      <c r="AF10" s="281"/>
      <c r="AH10" s="282"/>
      <c r="AI10" s="281"/>
      <c r="AK10" s="281"/>
      <c r="AL10" s="281"/>
      <c r="AM10" s="38"/>
      <c r="AT10" s="37"/>
      <c r="AY10" s="38"/>
      <c r="BF10" s="37"/>
      <c r="BK10" s="38"/>
      <c r="BR10" s="37"/>
      <c r="BW10" s="38"/>
      <c r="CD10" s="37"/>
      <c r="CI10" s="38"/>
      <c r="CP10" s="37"/>
      <c r="CV10" s="39"/>
      <c r="DB10" s="39"/>
      <c r="DD10" s="40"/>
    </row>
    <row r="11">
      <c r="B11" s="283" t="s">
        <v>178</v>
      </c>
      <c r="C11" s="283"/>
      <c r="D11" s="315">
        <v>21</v>
      </c>
      <c r="E11" s="316">
        <v>280</v>
      </c>
      <c r="F11" s="317">
        <v>6534459.5199999996</v>
      </c>
      <c r="G11" s="316"/>
      <c r="H11" s="316"/>
      <c r="I11" s="317"/>
      <c r="J11" s="315"/>
      <c r="K11" s="316"/>
      <c r="L11" s="317"/>
      <c r="M11" s="316"/>
      <c r="N11" s="316"/>
      <c r="O11" s="319"/>
      <c r="P11" s="316"/>
      <c r="Q11" s="316"/>
      <c r="R11" s="317"/>
      <c r="S11" s="316"/>
      <c r="T11" s="316"/>
      <c r="U11" s="317"/>
      <c r="V11" s="320">
        <f t="shared" ref="V11:AA31" si="2375">D11+J11+P11</f>
        <v>21</v>
      </c>
      <c r="W11" s="321">
        <f t="shared" si="2375"/>
        <v>280</v>
      </c>
      <c r="X11" s="317">
        <f t="shared" si="2375"/>
        <v>6534459.5199999996</v>
      </c>
      <c r="Y11" s="322">
        <f t="shared" si="2375"/>
        <v>0</v>
      </c>
      <c r="Z11" s="322">
        <f t="shared" si="2375"/>
        <v>0</v>
      </c>
      <c r="AA11" s="319">
        <f t="shared" si="2375"/>
        <v>0</v>
      </c>
      <c r="AB11" s="322"/>
      <c r="AC11" s="322"/>
      <c r="AD11" s="317"/>
      <c r="AE11" s="322"/>
      <c r="AF11" s="322"/>
      <c r="AG11" s="317"/>
      <c r="AH11" s="323"/>
      <c r="AI11" s="322"/>
      <c r="AJ11" s="317"/>
      <c r="AK11" s="322"/>
      <c r="AL11" s="322"/>
      <c r="AM11" s="319"/>
      <c r="AN11" s="323"/>
      <c r="AO11" s="322"/>
      <c r="AP11" s="317"/>
      <c r="AQ11" s="322"/>
      <c r="AR11" s="322"/>
      <c r="AS11" s="317"/>
      <c r="AT11" s="323">
        <f t="shared" ref="AT11:AY31" si="2376">V11+AB11+AH11+AN11</f>
        <v>21</v>
      </c>
      <c r="AU11" s="322">
        <f t="shared" si="2376"/>
        <v>280</v>
      </c>
      <c r="AV11" s="324">
        <f t="shared" si="2376"/>
        <v>6534459.5199999996</v>
      </c>
      <c r="AW11" s="322">
        <f t="shared" si="2376"/>
        <v>0</v>
      </c>
      <c r="AX11" s="322">
        <f t="shared" si="2376"/>
        <v>0</v>
      </c>
      <c r="AY11" s="325">
        <f t="shared" si="2376"/>
        <v>0</v>
      </c>
      <c r="AZ11" s="322"/>
      <c r="BA11" s="322"/>
      <c r="BB11" s="317"/>
      <c r="BC11" s="322"/>
      <c r="BD11" s="322"/>
      <c r="BE11" s="319"/>
      <c r="BF11" s="323"/>
      <c r="BG11" s="322"/>
      <c r="BH11" s="317"/>
      <c r="BI11" s="322"/>
      <c r="BJ11" s="322"/>
      <c r="BK11" s="319"/>
      <c r="BL11" s="323"/>
      <c r="BM11" s="322"/>
      <c r="BN11" s="317"/>
      <c r="BO11" s="322"/>
      <c r="BP11" s="322"/>
      <c r="BQ11" s="317"/>
      <c r="BR11" s="323">
        <f t="shared" ref="BR11:BW31" si="2377">AZ11+BF11+BL11</f>
        <v>0</v>
      </c>
      <c r="BS11" s="322">
        <f t="shared" si="2377"/>
        <v>0</v>
      </c>
      <c r="BT11" s="322">
        <f t="shared" si="2377"/>
        <v>0</v>
      </c>
      <c r="BU11" s="322">
        <f t="shared" si="2377"/>
        <v>0</v>
      </c>
      <c r="BV11" s="322">
        <f t="shared" si="2377"/>
        <v>0</v>
      </c>
      <c r="BW11" s="326">
        <f t="shared" si="2377"/>
        <v>0</v>
      </c>
      <c r="BX11" s="322"/>
      <c r="BY11" s="322"/>
      <c r="BZ11" s="317"/>
      <c r="CA11" s="322"/>
      <c r="CB11" s="322"/>
      <c r="CC11" s="319"/>
      <c r="CD11" s="323"/>
      <c r="CE11" s="322"/>
      <c r="CF11" s="317"/>
      <c r="CG11" s="322"/>
      <c r="CH11" s="322"/>
      <c r="CI11" s="319"/>
      <c r="CJ11" s="323"/>
      <c r="CK11" s="322"/>
      <c r="CL11" s="317"/>
      <c r="CM11" s="322"/>
      <c r="CN11" s="322"/>
      <c r="CO11" s="319"/>
      <c r="CP11" s="315">
        <f t="shared" ref="CP11:CU31" si="2378">BR11+BX11+CD11+CJ11</f>
        <v>0</v>
      </c>
      <c r="CQ11" s="316">
        <f t="shared" si="2378"/>
        <v>0</v>
      </c>
      <c r="CR11" s="317">
        <f t="shared" si="2378"/>
        <v>0</v>
      </c>
      <c r="CS11" s="316">
        <f t="shared" si="2378"/>
        <v>0</v>
      </c>
      <c r="CT11" s="316">
        <f t="shared" si="2378"/>
        <v>0</v>
      </c>
      <c r="CU11" s="317">
        <f t="shared" si="2378"/>
        <v>0</v>
      </c>
      <c r="CV11" s="327">
        <f t="shared" ref="CV11:DA31" si="2379">AT11+CP11</f>
        <v>21</v>
      </c>
      <c r="CW11" s="316">
        <f t="shared" si="2379"/>
        <v>280</v>
      </c>
      <c r="CX11" s="317">
        <f t="shared" si="2379"/>
        <v>6534459.5199999996</v>
      </c>
      <c r="CY11" s="316">
        <f t="shared" si="2379"/>
        <v>0</v>
      </c>
      <c r="CZ11" s="316">
        <f t="shared" si="2379"/>
        <v>0</v>
      </c>
      <c r="DA11" s="317">
        <f t="shared" si="2379"/>
        <v>0</v>
      </c>
      <c r="DB11" s="327">
        <f>CV11+CY11</f>
        <v>21</v>
      </c>
      <c r="DC11" s="316">
        <f>CW11+CZ11</f>
        <v>280</v>
      </c>
      <c r="DD11" s="328">
        <f>CX11+DA11</f>
        <v>6534459.5199999996</v>
      </c>
    </row>
    <row r="12">
      <c r="B12" s="329"/>
      <c r="C12" s="329"/>
      <c r="D12" s="342"/>
      <c r="E12" s="343"/>
      <c r="F12" s="344"/>
      <c r="G12" s="343"/>
      <c r="H12" s="343"/>
      <c r="I12" s="344"/>
      <c r="J12" s="342"/>
      <c r="K12" s="343"/>
      <c r="L12" s="346"/>
      <c r="M12" s="343"/>
      <c r="N12" s="343"/>
      <c r="O12" s="347"/>
      <c r="P12" s="343"/>
      <c r="Q12" s="343"/>
      <c r="R12" s="346"/>
      <c r="S12" s="343"/>
      <c r="T12" s="343"/>
      <c r="U12" s="344"/>
      <c r="V12" s="348"/>
      <c r="W12" s="349"/>
      <c r="X12" s="344"/>
      <c r="Y12" s="350"/>
      <c r="Z12" s="350"/>
      <c r="AA12" s="347"/>
      <c r="AB12" s="350"/>
      <c r="AC12" s="350"/>
      <c r="AD12" s="344"/>
      <c r="AE12" s="350"/>
      <c r="AF12" s="350"/>
      <c r="AG12" s="344"/>
      <c r="AH12" s="353"/>
      <c r="AI12" s="350"/>
      <c r="AJ12" s="344"/>
      <c r="AK12" s="352"/>
      <c r="AL12" s="350"/>
      <c r="AM12" s="347"/>
      <c r="AN12" s="351"/>
      <c r="AO12" s="350"/>
      <c r="AP12" s="344"/>
      <c r="AQ12" s="350"/>
      <c r="AR12" s="350"/>
      <c r="AS12" s="344"/>
      <c r="AT12" s="351"/>
      <c r="AU12" s="352"/>
      <c r="AV12" s="344"/>
      <c r="AW12" s="350"/>
      <c r="AX12" s="350"/>
      <c r="AY12" s="347"/>
      <c r="AZ12" s="350"/>
      <c r="BA12" s="350"/>
      <c r="BB12" s="344"/>
      <c r="BC12" s="350"/>
      <c r="BD12" s="350"/>
      <c r="BE12" s="347"/>
      <c r="BF12" s="351"/>
      <c r="BG12" s="350"/>
      <c r="BH12" s="344"/>
      <c r="BI12" s="350"/>
      <c r="BJ12" s="350"/>
      <c r="BK12" s="347"/>
      <c r="BL12" s="351"/>
      <c r="BM12" s="350"/>
      <c r="BN12" s="344"/>
      <c r="BO12" s="350"/>
      <c r="BP12" s="350"/>
      <c r="BQ12" s="344"/>
      <c r="BR12" s="351"/>
      <c r="BS12" s="350"/>
      <c r="BT12" s="344"/>
      <c r="BU12" s="350"/>
      <c r="BV12" s="350"/>
      <c r="BW12" s="347"/>
      <c r="BX12" s="350"/>
      <c r="BY12" s="350"/>
      <c r="BZ12" s="344"/>
      <c r="CA12" s="350"/>
      <c r="CB12" s="350"/>
      <c r="CC12" s="347"/>
      <c r="CD12" s="351"/>
      <c r="CE12" s="350"/>
      <c r="CF12" s="344"/>
      <c r="CG12" s="350"/>
      <c r="CH12" s="350"/>
      <c r="CI12" s="347"/>
      <c r="CJ12" s="351"/>
      <c r="CK12" s="350"/>
      <c r="CL12" s="344"/>
      <c r="CM12" s="350"/>
      <c r="CN12" s="350"/>
      <c r="CO12" s="347"/>
      <c r="CP12" s="342"/>
      <c r="CQ12" s="343"/>
      <c r="CR12" s="344"/>
      <c r="CS12" s="343"/>
      <c r="CT12" s="343"/>
      <c r="CU12" s="344"/>
      <c r="CV12" s="354"/>
      <c r="CW12" s="344"/>
      <c r="CX12" s="344"/>
      <c r="CY12" s="343"/>
      <c r="CZ12" s="343"/>
      <c r="DA12" s="344"/>
      <c r="DB12" s="327"/>
      <c r="DC12" s="316"/>
      <c r="DD12" s="328"/>
    </row>
    <row r="13">
      <c r="B13" s="283" t="s">
        <v>179</v>
      </c>
      <c r="C13" s="283"/>
      <c r="D13" s="280">
        <f>45+40</f>
        <v>85</v>
      </c>
      <c r="E13" s="280">
        <f>478+355</f>
        <v>833</v>
      </c>
      <c r="F13" s="1">
        <f>2791474.46+3430730.38</f>
        <v>6222204.8399999999</v>
      </c>
      <c r="G13" s="280"/>
      <c r="H13" s="280"/>
      <c r="J13" s="470"/>
      <c r="O13" s="38"/>
      <c r="V13" s="356">
        <f t="shared" si="2375"/>
        <v>85</v>
      </c>
      <c r="W13" s="357">
        <f t="shared" si="2375"/>
        <v>833</v>
      </c>
      <c r="X13" s="1">
        <f t="shared" si="2375"/>
        <v>6222204.8399999999</v>
      </c>
      <c r="Y13" s="281">
        <f t="shared" si="2375"/>
        <v>0</v>
      </c>
      <c r="Z13" s="281">
        <f t="shared" si="2375"/>
        <v>0</v>
      </c>
      <c r="AA13" s="38">
        <f t="shared" si="2375"/>
        <v>0</v>
      </c>
      <c r="AB13" s="281"/>
      <c r="AC13" s="281"/>
      <c r="AE13" s="281"/>
      <c r="AF13" s="281"/>
      <c r="AH13" s="282"/>
      <c r="AI13" s="281"/>
      <c r="AK13" s="362"/>
      <c r="AL13" s="281"/>
      <c r="AM13" s="38"/>
      <c r="AN13" s="282"/>
      <c r="AO13" s="281"/>
      <c r="AQ13" s="281"/>
      <c r="AR13" s="281"/>
      <c r="AS13" s="38"/>
      <c r="AT13" s="282">
        <f t="shared" si="2376"/>
        <v>85</v>
      </c>
      <c r="AU13" s="281">
        <f t="shared" si="2376"/>
        <v>833</v>
      </c>
      <c r="AV13" s="358">
        <f t="shared" si="2376"/>
        <v>6222204.8399999999</v>
      </c>
      <c r="AW13" s="281">
        <f t="shared" si="2376"/>
        <v>0</v>
      </c>
      <c r="AX13" s="322">
        <f t="shared" si="2376"/>
        <v>0</v>
      </c>
      <c r="AY13" s="359">
        <f t="shared" si="2376"/>
        <v>0</v>
      </c>
      <c r="AZ13" s="282"/>
      <c r="BA13" s="281"/>
      <c r="BC13" s="281"/>
      <c r="BD13" s="281"/>
      <c r="BE13" s="38"/>
      <c r="BF13" s="282"/>
      <c r="BG13" s="281"/>
      <c r="BI13" s="281"/>
      <c r="BJ13" s="281"/>
      <c r="BK13" s="38"/>
      <c r="BL13" s="282"/>
      <c r="BM13" s="281"/>
      <c r="BO13" s="281"/>
      <c r="BP13" s="281"/>
      <c r="BQ13" s="38"/>
      <c r="BR13" s="323">
        <f t="shared" si="2377"/>
        <v>0</v>
      </c>
      <c r="BS13" s="322">
        <f t="shared" si="2377"/>
        <v>0</v>
      </c>
      <c r="BT13" s="322">
        <f t="shared" si="2377"/>
        <v>0</v>
      </c>
      <c r="BU13" s="322">
        <f t="shared" si="2377"/>
        <v>0</v>
      </c>
      <c r="BV13" s="322">
        <f t="shared" si="2377"/>
        <v>0</v>
      </c>
      <c r="BW13" s="326">
        <f t="shared" si="2377"/>
        <v>0</v>
      </c>
      <c r="BX13" s="282"/>
      <c r="BY13" s="281"/>
      <c r="CA13" s="281"/>
      <c r="CB13" s="281"/>
      <c r="CC13" s="38"/>
      <c r="CD13" s="282"/>
      <c r="CE13" s="281"/>
      <c r="CG13" s="281"/>
      <c r="CH13" s="281"/>
      <c r="CI13" s="38"/>
      <c r="CJ13" s="282"/>
      <c r="CK13" s="281"/>
      <c r="CM13" s="281"/>
      <c r="CN13" s="281"/>
      <c r="CO13" s="38"/>
      <c r="CP13" s="315">
        <f t="shared" si="2378"/>
        <v>0</v>
      </c>
      <c r="CQ13" s="316">
        <f t="shared" si="2378"/>
        <v>0</v>
      </c>
      <c r="CR13" s="317">
        <f t="shared" si="2378"/>
        <v>0</v>
      </c>
      <c r="CS13" s="316">
        <f t="shared" si="2378"/>
        <v>0</v>
      </c>
      <c r="CT13" s="316">
        <f t="shared" si="2378"/>
        <v>0</v>
      </c>
      <c r="CU13" s="317">
        <f t="shared" si="2378"/>
        <v>0</v>
      </c>
      <c r="CV13" s="327">
        <f t="shared" si="2379"/>
        <v>85</v>
      </c>
      <c r="CW13" s="316">
        <f t="shared" si="2379"/>
        <v>833</v>
      </c>
      <c r="CX13" s="317">
        <f t="shared" si="2379"/>
        <v>6222204.8399999999</v>
      </c>
      <c r="CY13" s="316">
        <f t="shared" si="2379"/>
        <v>0</v>
      </c>
      <c r="CZ13" s="316">
        <f t="shared" si="2379"/>
        <v>0</v>
      </c>
      <c r="DA13" s="317">
        <f t="shared" si="2379"/>
        <v>0</v>
      </c>
      <c r="DB13" s="327">
        <f>CV13+CY13</f>
        <v>85</v>
      </c>
      <c r="DC13" s="316">
        <f>CW13+CZ13</f>
        <v>833</v>
      </c>
      <c r="DD13" s="328">
        <f>CX13+DA13</f>
        <v>6222204.8399999999</v>
      </c>
    </row>
    <row r="14">
      <c r="B14" s="329"/>
      <c r="C14" s="329"/>
      <c r="D14" s="280"/>
      <c r="E14" s="280"/>
      <c r="G14" s="280"/>
      <c r="H14" s="280"/>
      <c r="J14" s="470"/>
      <c r="L14" s="15"/>
      <c r="O14" s="38"/>
      <c r="R14" s="15"/>
      <c r="V14" s="356"/>
      <c r="W14" s="357"/>
      <c r="Y14" s="281"/>
      <c r="Z14" s="281"/>
      <c r="AA14" s="38"/>
      <c r="AB14" s="281"/>
      <c r="AC14" s="281"/>
      <c r="AE14" s="281"/>
      <c r="AF14" s="281"/>
      <c r="AH14" s="363"/>
      <c r="AI14" s="281"/>
      <c r="AK14" s="362"/>
      <c r="AL14" s="281"/>
      <c r="AM14" s="38"/>
      <c r="AN14" s="282"/>
      <c r="AO14" s="281"/>
      <c r="AQ14" s="281"/>
      <c r="AR14" s="281"/>
      <c r="AS14" s="38"/>
      <c r="AT14" s="282"/>
      <c r="AU14" s="362"/>
      <c r="AW14" s="281"/>
      <c r="AX14" s="350"/>
      <c r="AY14" s="38"/>
      <c r="AZ14" s="282"/>
      <c r="BA14" s="281"/>
      <c r="BC14" s="281"/>
      <c r="BD14" s="281"/>
      <c r="BE14" s="38"/>
      <c r="BF14" s="282"/>
      <c r="BG14" s="281"/>
      <c r="BI14" s="281"/>
      <c r="BJ14" s="281"/>
      <c r="BK14" s="38"/>
      <c r="BL14" s="282"/>
      <c r="BM14" s="281"/>
      <c r="BO14" s="281"/>
      <c r="BP14" s="281"/>
      <c r="BQ14" s="38"/>
      <c r="BR14" s="351"/>
      <c r="BS14" s="350"/>
      <c r="BT14" s="344"/>
      <c r="BU14" s="350"/>
      <c r="BV14" s="350"/>
      <c r="BW14" s="347"/>
      <c r="BX14" s="282"/>
      <c r="BY14" s="281"/>
      <c r="CA14" s="281"/>
      <c r="CB14" s="281"/>
      <c r="CC14" s="38"/>
      <c r="CD14" s="282"/>
      <c r="CE14" s="281"/>
      <c r="CG14" s="281"/>
      <c r="CH14" s="281"/>
      <c r="CI14" s="38"/>
      <c r="CJ14" s="282"/>
      <c r="CK14" s="281"/>
      <c r="CM14" s="281"/>
      <c r="CN14" s="281"/>
      <c r="CO14" s="38"/>
      <c r="CP14" s="342"/>
      <c r="CQ14" s="343"/>
      <c r="CR14" s="344"/>
      <c r="CS14" s="343"/>
      <c r="CT14" s="343"/>
      <c r="CU14" s="344"/>
      <c r="CV14" s="354"/>
      <c r="CW14" s="344"/>
      <c r="CX14" s="344"/>
      <c r="CY14" s="343"/>
      <c r="CZ14" s="343"/>
      <c r="DA14" s="344"/>
      <c r="DB14" s="327"/>
      <c r="DC14" s="316"/>
      <c r="DD14" s="328"/>
    </row>
    <row r="15">
      <c r="B15" s="283" t="s">
        <v>181</v>
      </c>
      <c r="C15" s="283"/>
      <c r="D15" s="315">
        <v>72</v>
      </c>
      <c r="E15" s="316">
        <v>698</v>
      </c>
      <c r="F15" s="317">
        <v>8146206.8300000001</v>
      </c>
      <c r="G15" s="316"/>
      <c r="H15" s="316"/>
      <c r="I15" s="317"/>
      <c r="J15" s="315"/>
      <c r="K15" s="316"/>
      <c r="L15" s="317"/>
      <c r="M15" s="316"/>
      <c r="N15" s="316"/>
      <c r="O15" s="319"/>
      <c r="P15" s="316"/>
      <c r="Q15" s="316"/>
      <c r="R15" s="317"/>
      <c r="S15" s="316"/>
      <c r="T15" s="316"/>
      <c r="U15" s="317"/>
      <c r="V15" s="320">
        <f t="shared" si="2375"/>
        <v>72</v>
      </c>
      <c r="W15" s="321">
        <f t="shared" si="2375"/>
        <v>698</v>
      </c>
      <c r="X15" s="317">
        <f t="shared" si="2375"/>
        <v>8146206.8300000001</v>
      </c>
      <c r="Y15" s="322">
        <f t="shared" si="2375"/>
        <v>0</v>
      </c>
      <c r="Z15" s="322">
        <f t="shared" si="2375"/>
        <v>0</v>
      </c>
      <c r="AA15" s="319">
        <f t="shared" si="2375"/>
        <v>0</v>
      </c>
      <c r="AB15" s="322"/>
      <c r="AC15" s="322"/>
      <c r="AD15" s="317"/>
      <c r="AE15" s="322"/>
      <c r="AF15" s="322"/>
      <c r="AG15" s="317"/>
      <c r="AH15" s="323"/>
      <c r="AI15" s="322"/>
      <c r="AJ15" s="317"/>
      <c r="AK15" s="322"/>
      <c r="AL15" s="322"/>
      <c r="AM15" s="319"/>
      <c r="AN15" s="323"/>
      <c r="AO15" s="322"/>
      <c r="AP15" s="317"/>
      <c r="AQ15" s="322"/>
      <c r="AR15" s="322"/>
      <c r="AS15" s="319"/>
      <c r="AT15" s="323">
        <f t="shared" si="2376"/>
        <v>72</v>
      </c>
      <c r="AU15" s="322">
        <f t="shared" si="2376"/>
        <v>698</v>
      </c>
      <c r="AV15" s="324">
        <f t="shared" si="2376"/>
        <v>8146206.8300000001</v>
      </c>
      <c r="AW15" s="322">
        <f t="shared" si="2376"/>
        <v>0</v>
      </c>
      <c r="AX15" s="322">
        <f t="shared" si="2376"/>
        <v>0</v>
      </c>
      <c r="AY15" s="325">
        <f t="shared" si="2376"/>
        <v>0</v>
      </c>
      <c r="AZ15" s="323"/>
      <c r="BA15" s="322"/>
      <c r="BB15" s="317"/>
      <c r="BC15" s="322"/>
      <c r="BD15" s="322"/>
      <c r="BE15" s="319"/>
      <c r="BF15" s="323"/>
      <c r="BG15" s="322"/>
      <c r="BH15" s="317"/>
      <c r="BI15" s="322"/>
      <c r="BJ15" s="322"/>
      <c r="BK15" s="319"/>
      <c r="BL15" s="323"/>
      <c r="BM15" s="322"/>
      <c r="BN15" s="317"/>
      <c r="BO15" s="322"/>
      <c r="BP15" s="322"/>
      <c r="BQ15" s="319"/>
      <c r="BR15" s="323">
        <f t="shared" si="2377"/>
        <v>0</v>
      </c>
      <c r="BS15" s="322">
        <f t="shared" si="2377"/>
        <v>0</v>
      </c>
      <c r="BT15" s="322">
        <f t="shared" si="2377"/>
        <v>0</v>
      </c>
      <c r="BU15" s="322">
        <f t="shared" si="2377"/>
        <v>0</v>
      </c>
      <c r="BV15" s="322">
        <f t="shared" si="2377"/>
        <v>0</v>
      </c>
      <c r="BW15" s="326">
        <f t="shared" si="2377"/>
        <v>0</v>
      </c>
      <c r="BX15" s="323"/>
      <c r="BY15" s="322"/>
      <c r="BZ15" s="317"/>
      <c r="CA15" s="322"/>
      <c r="CB15" s="322"/>
      <c r="CC15" s="319"/>
      <c r="CD15" s="323"/>
      <c r="CE15" s="322"/>
      <c r="CF15" s="317"/>
      <c r="CG15" s="322"/>
      <c r="CH15" s="322"/>
      <c r="CI15" s="319"/>
      <c r="CJ15" s="323"/>
      <c r="CK15" s="322"/>
      <c r="CL15" s="317"/>
      <c r="CM15" s="322"/>
      <c r="CN15" s="322"/>
      <c r="CO15" s="319"/>
      <c r="CP15" s="315">
        <f t="shared" si="2378"/>
        <v>0</v>
      </c>
      <c r="CQ15" s="316">
        <f t="shared" si="2378"/>
        <v>0</v>
      </c>
      <c r="CR15" s="317">
        <f t="shared" si="2378"/>
        <v>0</v>
      </c>
      <c r="CS15" s="316">
        <f t="shared" si="2378"/>
        <v>0</v>
      </c>
      <c r="CT15" s="316">
        <f t="shared" si="2378"/>
        <v>0</v>
      </c>
      <c r="CU15" s="317">
        <f t="shared" si="2378"/>
        <v>0</v>
      </c>
      <c r="CV15" s="327">
        <f t="shared" si="2379"/>
        <v>72</v>
      </c>
      <c r="CW15" s="316">
        <f t="shared" si="2379"/>
        <v>698</v>
      </c>
      <c r="CX15" s="317">
        <f t="shared" si="2379"/>
        <v>8146206.8300000001</v>
      </c>
      <c r="CY15" s="316">
        <f t="shared" si="2379"/>
        <v>0</v>
      </c>
      <c r="CZ15" s="316">
        <f t="shared" si="2379"/>
        <v>0</v>
      </c>
      <c r="DA15" s="317">
        <f t="shared" si="2379"/>
        <v>0</v>
      </c>
      <c r="DB15" s="327">
        <f>CV15+CY15</f>
        <v>72</v>
      </c>
      <c r="DC15" s="316">
        <f>CW15+CZ15</f>
        <v>698</v>
      </c>
      <c r="DD15" s="328">
        <f>CX15+DA15</f>
        <v>8146206.8300000001</v>
      </c>
    </row>
    <row r="16">
      <c r="B16" s="329"/>
      <c r="C16" s="329"/>
      <c r="D16" s="342"/>
      <c r="E16" s="343"/>
      <c r="F16" s="344"/>
      <c r="G16" s="343"/>
      <c r="H16" s="343"/>
      <c r="I16" s="344"/>
      <c r="J16" s="342"/>
      <c r="K16" s="343"/>
      <c r="L16" s="346"/>
      <c r="M16" s="343"/>
      <c r="N16" s="343"/>
      <c r="O16" s="347"/>
      <c r="P16" s="343"/>
      <c r="Q16" s="343"/>
      <c r="R16" s="346"/>
      <c r="S16" s="343"/>
      <c r="T16" s="343"/>
      <c r="U16" s="344"/>
      <c r="V16" s="348"/>
      <c r="W16" s="349"/>
      <c r="X16" s="344"/>
      <c r="Y16" s="350"/>
      <c r="Z16" s="350"/>
      <c r="AA16" s="347"/>
      <c r="AB16" s="350"/>
      <c r="AC16" s="350"/>
      <c r="AD16" s="344"/>
      <c r="AE16" s="350"/>
      <c r="AF16" s="350"/>
      <c r="AG16" s="344"/>
      <c r="AH16" s="351"/>
      <c r="AI16" s="350"/>
      <c r="AJ16" s="344"/>
      <c r="AK16" s="350"/>
      <c r="AL16" s="350"/>
      <c r="AM16" s="347"/>
      <c r="AN16" s="351"/>
      <c r="AO16" s="350"/>
      <c r="AP16" s="344"/>
      <c r="AQ16" s="350"/>
      <c r="AR16" s="350"/>
      <c r="AS16" s="347"/>
      <c r="AT16" s="351"/>
      <c r="AU16" s="352"/>
      <c r="AV16" s="344"/>
      <c r="AW16" s="350"/>
      <c r="AX16" s="350"/>
      <c r="AY16" s="347"/>
      <c r="AZ16" s="351"/>
      <c r="BA16" s="350"/>
      <c r="BB16" s="344"/>
      <c r="BC16" s="350"/>
      <c r="BD16" s="350"/>
      <c r="BE16" s="347"/>
      <c r="BF16" s="351"/>
      <c r="BG16" s="350"/>
      <c r="BH16" s="344"/>
      <c r="BI16" s="350"/>
      <c r="BJ16" s="350"/>
      <c r="BK16" s="347"/>
      <c r="BL16" s="351"/>
      <c r="BM16" s="350"/>
      <c r="BN16" s="344"/>
      <c r="BO16" s="350"/>
      <c r="BP16" s="350"/>
      <c r="BQ16" s="347"/>
      <c r="BR16" s="351"/>
      <c r="BS16" s="350"/>
      <c r="BT16" s="344"/>
      <c r="BU16" s="350"/>
      <c r="BV16" s="350"/>
      <c r="BW16" s="347"/>
      <c r="BX16" s="351"/>
      <c r="BY16" s="350"/>
      <c r="BZ16" s="344"/>
      <c r="CA16" s="350"/>
      <c r="CB16" s="350"/>
      <c r="CC16" s="347"/>
      <c r="CD16" s="351"/>
      <c r="CE16" s="350"/>
      <c r="CF16" s="344"/>
      <c r="CG16" s="350"/>
      <c r="CH16" s="350"/>
      <c r="CI16" s="347"/>
      <c r="CJ16" s="351"/>
      <c r="CK16" s="350"/>
      <c r="CL16" s="344"/>
      <c r="CM16" s="350"/>
      <c r="CN16" s="350"/>
      <c r="CO16" s="347"/>
      <c r="CP16" s="342"/>
      <c r="CQ16" s="343"/>
      <c r="CR16" s="344"/>
      <c r="CS16" s="343"/>
      <c r="CT16" s="343"/>
      <c r="CU16" s="344"/>
      <c r="CV16" s="354"/>
      <c r="CW16" s="344"/>
      <c r="CX16" s="344"/>
      <c r="CY16" s="343"/>
      <c r="CZ16" s="343"/>
      <c r="DA16" s="344"/>
      <c r="DB16" s="327"/>
      <c r="DC16" s="316"/>
      <c r="DD16" s="328"/>
    </row>
    <row r="17">
      <c r="B17" s="283" t="s">
        <v>182</v>
      </c>
      <c r="C17" s="283"/>
      <c r="D17" s="280">
        <v>73</v>
      </c>
      <c r="E17" s="280">
        <v>787</v>
      </c>
      <c r="F17" s="1">
        <v>4198507.3600000003</v>
      </c>
      <c r="G17" s="280"/>
      <c r="H17" s="280"/>
      <c r="J17" s="470"/>
      <c r="O17" s="38"/>
      <c r="V17" s="356">
        <f t="shared" si="2375"/>
        <v>73</v>
      </c>
      <c r="W17" s="357">
        <f t="shared" si="2375"/>
        <v>787</v>
      </c>
      <c r="X17" s="1">
        <f t="shared" si="2375"/>
        <v>4198507.3600000003</v>
      </c>
      <c r="Y17" s="281">
        <f t="shared" si="2375"/>
        <v>0</v>
      </c>
      <c r="Z17" s="281">
        <f t="shared" si="2375"/>
        <v>0</v>
      </c>
      <c r="AA17" s="38">
        <f t="shared" si="2375"/>
        <v>0</v>
      </c>
      <c r="AB17" s="281"/>
      <c r="AC17" s="281"/>
      <c r="AE17" s="281"/>
      <c r="AF17" s="281"/>
      <c r="AH17" s="282"/>
      <c r="AI17" s="281"/>
      <c r="AK17" s="281"/>
      <c r="AL17" s="281"/>
      <c r="AM17" s="38"/>
      <c r="AN17" s="282"/>
      <c r="AO17" s="281"/>
      <c r="AQ17" s="281"/>
      <c r="AR17" s="281"/>
      <c r="AS17" s="38"/>
      <c r="AT17" s="282">
        <f t="shared" si="2376"/>
        <v>73</v>
      </c>
      <c r="AU17" s="281">
        <f t="shared" si="2376"/>
        <v>787</v>
      </c>
      <c r="AV17" s="358">
        <f t="shared" si="2376"/>
        <v>4198507.3600000003</v>
      </c>
      <c r="AW17" s="281">
        <f t="shared" si="2376"/>
        <v>0</v>
      </c>
      <c r="AX17" s="322">
        <f t="shared" si="2376"/>
        <v>0</v>
      </c>
      <c r="AY17" s="359">
        <f t="shared" si="2376"/>
        <v>0</v>
      </c>
      <c r="AZ17" s="282"/>
      <c r="BA17" s="281"/>
      <c r="BC17" s="281"/>
      <c r="BD17" s="281"/>
      <c r="BE17" s="38"/>
      <c r="BF17" s="282"/>
      <c r="BG17" s="281"/>
      <c r="BI17" s="281"/>
      <c r="BJ17" s="281"/>
      <c r="BK17" s="38"/>
      <c r="BL17" s="282"/>
      <c r="BM17" s="281"/>
      <c r="BO17" s="281"/>
      <c r="BP17" s="281"/>
      <c r="BQ17" s="38"/>
      <c r="BR17" s="323">
        <f t="shared" si="2377"/>
        <v>0</v>
      </c>
      <c r="BS17" s="322">
        <f t="shared" si="2377"/>
        <v>0</v>
      </c>
      <c r="BT17" s="322">
        <f t="shared" si="2377"/>
        <v>0</v>
      </c>
      <c r="BU17" s="322">
        <f t="shared" si="2377"/>
        <v>0</v>
      </c>
      <c r="BV17" s="322">
        <f t="shared" si="2377"/>
        <v>0</v>
      </c>
      <c r="BW17" s="326">
        <f t="shared" si="2377"/>
        <v>0</v>
      </c>
      <c r="BX17" s="282"/>
      <c r="BY17" s="281"/>
      <c r="CA17" s="281"/>
      <c r="CB17" s="281"/>
      <c r="CC17" s="38"/>
      <c r="CD17" s="282"/>
      <c r="CE17" s="281"/>
      <c r="CG17" s="281"/>
      <c r="CH17" s="281"/>
      <c r="CI17" s="38"/>
      <c r="CJ17" s="282"/>
      <c r="CK17" s="281"/>
      <c r="CM17" s="281"/>
      <c r="CN17" s="281"/>
      <c r="CO17" s="38"/>
      <c r="CP17" s="315">
        <f t="shared" si="2378"/>
        <v>0</v>
      </c>
      <c r="CQ17" s="316">
        <f t="shared" si="2378"/>
        <v>0</v>
      </c>
      <c r="CR17" s="317">
        <f t="shared" si="2378"/>
        <v>0</v>
      </c>
      <c r="CS17" s="316">
        <f t="shared" si="2378"/>
        <v>0</v>
      </c>
      <c r="CT17" s="316">
        <f t="shared" si="2378"/>
        <v>0</v>
      </c>
      <c r="CU17" s="317">
        <f t="shared" si="2378"/>
        <v>0</v>
      </c>
      <c r="CV17" s="327">
        <f t="shared" si="2379"/>
        <v>73</v>
      </c>
      <c r="CW17" s="316">
        <f t="shared" si="2379"/>
        <v>787</v>
      </c>
      <c r="CX17" s="317">
        <f t="shared" si="2379"/>
        <v>4198507.3600000003</v>
      </c>
      <c r="CY17" s="316">
        <f t="shared" si="2379"/>
        <v>0</v>
      </c>
      <c r="CZ17" s="316">
        <f t="shared" si="2379"/>
        <v>0</v>
      </c>
      <c r="DA17" s="317">
        <f t="shared" si="2379"/>
        <v>0</v>
      </c>
      <c r="DB17" s="327">
        <f>CV17+CY17</f>
        <v>73</v>
      </c>
      <c r="DC17" s="316">
        <f>CW17+CZ17</f>
        <v>787</v>
      </c>
      <c r="DD17" s="328">
        <f>CX17+DA17</f>
        <v>4198507.3600000003</v>
      </c>
    </row>
    <row r="18">
      <c r="B18" s="329"/>
      <c r="C18" s="329"/>
      <c r="D18" s="280"/>
      <c r="E18" s="280"/>
      <c r="G18" s="280"/>
      <c r="H18" s="280"/>
      <c r="J18" s="470"/>
      <c r="L18" s="15"/>
      <c r="O18" s="38"/>
      <c r="V18" s="356"/>
      <c r="W18" s="357"/>
      <c r="Y18" s="281"/>
      <c r="Z18" s="281"/>
      <c r="AA18" s="38"/>
      <c r="AB18" s="281"/>
      <c r="AC18" s="281"/>
      <c r="AE18" s="281"/>
      <c r="AF18" s="281"/>
      <c r="AH18" s="282"/>
      <c r="AI18" s="281"/>
      <c r="AK18" s="281"/>
      <c r="AL18" s="281"/>
      <c r="AM18" s="38"/>
      <c r="AN18" s="282"/>
      <c r="AO18" s="281"/>
      <c r="AQ18" s="281"/>
      <c r="AR18" s="281"/>
      <c r="AS18" s="38"/>
      <c r="AT18" s="282"/>
      <c r="AU18" s="362"/>
      <c r="AW18" s="281"/>
      <c r="AX18" s="350"/>
      <c r="AY18" s="38"/>
      <c r="AZ18" s="282"/>
      <c r="BA18" s="281"/>
      <c r="BC18" s="281"/>
      <c r="BD18" s="281"/>
      <c r="BE18" s="38"/>
      <c r="BF18" s="282"/>
      <c r="BG18" s="281"/>
      <c r="BI18" s="281"/>
      <c r="BJ18" s="281"/>
      <c r="BK18" s="38"/>
      <c r="BL18" s="282"/>
      <c r="BM18" s="281"/>
      <c r="BO18" s="281"/>
      <c r="BP18" s="281"/>
      <c r="BQ18" s="38"/>
      <c r="BR18" s="351"/>
      <c r="BS18" s="350"/>
      <c r="BT18" s="344"/>
      <c r="BU18" s="350"/>
      <c r="BV18" s="350"/>
      <c r="BW18" s="347"/>
      <c r="BX18" s="282"/>
      <c r="BY18" s="281"/>
      <c r="CA18" s="281"/>
      <c r="CB18" s="281"/>
      <c r="CC18" s="38"/>
      <c r="CD18" s="282"/>
      <c r="CE18" s="281"/>
      <c r="CG18" s="281"/>
      <c r="CH18" s="281"/>
      <c r="CI18" s="38"/>
      <c r="CJ18" s="282"/>
      <c r="CK18" s="281"/>
      <c r="CM18" s="281"/>
      <c r="CN18" s="281"/>
      <c r="CO18" s="38"/>
      <c r="CP18" s="342"/>
      <c r="CQ18" s="343"/>
      <c r="CR18" s="344"/>
      <c r="CS18" s="343"/>
      <c r="CT18" s="343"/>
      <c r="CU18" s="344"/>
      <c r="CV18" s="354"/>
      <c r="CW18" s="344"/>
      <c r="CX18" s="344"/>
      <c r="CY18" s="343"/>
      <c r="CZ18" s="343"/>
      <c r="DA18" s="344"/>
      <c r="DB18" s="327"/>
      <c r="DC18" s="316"/>
      <c r="DD18" s="328"/>
    </row>
    <row r="19">
      <c r="B19" s="283" t="s">
        <v>183</v>
      </c>
      <c r="C19" s="283"/>
      <c r="D19" s="315">
        <v>51</v>
      </c>
      <c r="E19" s="316">
        <v>645</v>
      </c>
      <c r="F19" s="317">
        <v>4164014.0600000001</v>
      </c>
      <c r="G19" s="316"/>
      <c r="H19" s="316"/>
      <c r="I19" s="317"/>
      <c r="J19" s="315"/>
      <c r="K19" s="316"/>
      <c r="L19" s="317"/>
      <c r="M19" s="316"/>
      <c r="N19" s="316"/>
      <c r="O19" s="319"/>
      <c r="P19" s="316"/>
      <c r="Q19" s="316"/>
      <c r="R19" s="317"/>
      <c r="S19" s="316"/>
      <c r="T19" s="316"/>
      <c r="U19" s="317"/>
      <c r="V19" s="320">
        <f t="shared" si="2375"/>
        <v>51</v>
      </c>
      <c r="W19" s="321">
        <f t="shared" si="2375"/>
        <v>645</v>
      </c>
      <c r="X19" s="317">
        <f t="shared" si="2375"/>
        <v>4164014.0600000001</v>
      </c>
      <c r="Y19" s="322">
        <f t="shared" si="2375"/>
        <v>0</v>
      </c>
      <c r="Z19" s="322">
        <f t="shared" si="2375"/>
        <v>0</v>
      </c>
      <c r="AA19" s="319">
        <f t="shared" si="2375"/>
        <v>0</v>
      </c>
      <c r="AB19" s="322"/>
      <c r="AC19" s="322"/>
      <c r="AD19" s="317"/>
      <c r="AE19" s="322"/>
      <c r="AF19" s="322"/>
      <c r="AG19" s="317"/>
      <c r="AH19" s="323"/>
      <c r="AI19" s="322"/>
      <c r="AJ19" s="317"/>
      <c r="AK19" s="322"/>
      <c r="AL19" s="322"/>
      <c r="AM19" s="319"/>
      <c r="AN19" s="323"/>
      <c r="AO19" s="322"/>
      <c r="AP19" s="317"/>
      <c r="AQ19" s="322"/>
      <c r="AR19" s="322"/>
      <c r="AS19" s="319"/>
      <c r="AT19" s="323">
        <f t="shared" si="2376"/>
        <v>51</v>
      </c>
      <c r="AU19" s="322">
        <f t="shared" si="2376"/>
        <v>645</v>
      </c>
      <c r="AV19" s="324">
        <f t="shared" si="2376"/>
        <v>4164014.0600000001</v>
      </c>
      <c r="AW19" s="322">
        <f t="shared" si="2376"/>
        <v>0</v>
      </c>
      <c r="AX19" s="322">
        <f t="shared" si="2376"/>
        <v>0</v>
      </c>
      <c r="AY19" s="325">
        <f t="shared" si="2376"/>
        <v>0</v>
      </c>
      <c r="AZ19" s="323"/>
      <c r="BA19" s="322"/>
      <c r="BB19" s="317"/>
      <c r="BC19" s="322"/>
      <c r="BD19" s="322"/>
      <c r="BE19" s="319"/>
      <c r="BF19" s="323"/>
      <c r="BG19" s="322"/>
      <c r="BH19" s="317"/>
      <c r="BI19" s="322"/>
      <c r="BJ19" s="322"/>
      <c r="BK19" s="319"/>
      <c r="BL19" s="323"/>
      <c r="BM19" s="322"/>
      <c r="BN19" s="317"/>
      <c r="BO19" s="322"/>
      <c r="BP19" s="322"/>
      <c r="BQ19" s="319"/>
      <c r="BR19" s="323">
        <f t="shared" si="2377"/>
        <v>0</v>
      </c>
      <c r="BS19" s="322">
        <f t="shared" si="2377"/>
        <v>0</v>
      </c>
      <c r="BT19" s="322">
        <f t="shared" si="2377"/>
        <v>0</v>
      </c>
      <c r="BU19" s="322">
        <f t="shared" si="2377"/>
        <v>0</v>
      </c>
      <c r="BV19" s="322">
        <f t="shared" si="2377"/>
        <v>0</v>
      </c>
      <c r="BW19" s="326">
        <f t="shared" si="2377"/>
        <v>0</v>
      </c>
      <c r="BX19" s="323"/>
      <c r="BY19" s="322"/>
      <c r="BZ19" s="317"/>
      <c r="CA19" s="322"/>
      <c r="CB19" s="322"/>
      <c r="CC19" s="319"/>
      <c r="CD19" s="323"/>
      <c r="CE19" s="322"/>
      <c r="CF19" s="317"/>
      <c r="CG19" s="322"/>
      <c r="CH19" s="322"/>
      <c r="CI19" s="319"/>
      <c r="CJ19" s="323"/>
      <c r="CK19" s="322"/>
      <c r="CL19" s="317"/>
      <c r="CM19" s="322"/>
      <c r="CN19" s="322"/>
      <c r="CO19" s="319"/>
      <c r="CP19" s="315">
        <f t="shared" si="2378"/>
        <v>0</v>
      </c>
      <c r="CQ19" s="316">
        <f t="shared" si="2378"/>
        <v>0</v>
      </c>
      <c r="CR19" s="317">
        <f t="shared" si="2378"/>
        <v>0</v>
      </c>
      <c r="CS19" s="316">
        <f t="shared" si="2378"/>
        <v>0</v>
      </c>
      <c r="CT19" s="316">
        <f t="shared" si="2378"/>
        <v>0</v>
      </c>
      <c r="CU19" s="317">
        <f t="shared" si="2378"/>
        <v>0</v>
      </c>
      <c r="CV19" s="327">
        <f t="shared" si="2379"/>
        <v>51</v>
      </c>
      <c r="CW19" s="316">
        <f t="shared" si="2379"/>
        <v>645</v>
      </c>
      <c r="CX19" s="317">
        <f t="shared" si="2379"/>
        <v>4164014.0600000001</v>
      </c>
      <c r="CY19" s="316">
        <f t="shared" si="2379"/>
        <v>0</v>
      </c>
      <c r="CZ19" s="316">
        <f t="shared" si="2379"/>
        <v>0</v>
      </c>
      <c r="DA19" s="317">
        <f t="shared" si="2379"/>
        <v>0</v>
      </c>
      <c r="DB19" s="327">
        <f>CV19+CY19</f>
        <v>51</v>
      </c>
      <c r="DC19" s="316">
        <f>CW19+CZ19</f>
        <v>645</v>
      </c>
      <c r="DD19" s="328">
        <f>CX19+DA19</f>
        <v>4164014.0600000001</v>
      </c>
    </row>
    <row r="20">
      <c r="B20" s="329"/>
      <c r="C20" s="329"/>
      <c r="D20" s="342"/>
      <c r="E20" s="343"/>
      <c r="F20" s="344"/>
      <c r="G20" s="343"/>
      <c r="H20" s="343"/>
      <c r="I20" s="344"/>
      <c r="J20" s="342"/>
      <c r="K20" s="343"/>
      <c r="L20" s="346"/>
      <c r="M20" s="343"/>
      <c r="N20" s="343"/>
      <c r="O20" s="347"/>
      <c r="P20" s="343"/>
      <c r="Q20" s="343"/>
      <c r="R20" s="344"/>
      <c r="S20" s="343"/>
      <c r="T20" s="343"/>
      <c r="U20" s="344"/>
      <c r="V20" s="348"/>
      <c r="W20" s="349"/>
      <c r="X20" s="344"/>
      <c r="Y20" s="350"/>
      <c r="Z20" s="350"/>
      <c r="AA20" s="347"/>
      <c r="AB20" s="350"/>
      <c r="AC20" s="350"/>
      <c r="AD20" s="344"/>
      <c r="AE20" s="350"/>
      <c r="AF20" s="350"/>
      <c r="AG20" s="344"/>
      <c r="AH20" s="351"/>
      <c r="AI20" s="350"/>
      <c r="AJ20" s="344"/>
      <c r="AK20" s="350"/>
      <c r="AL20" s="350"/>
      <c r="AM20" s="347"/>
      <c r="AN20" s="351"/>
      <c r="AO20" s="350"/>
      <c r="AP20" s="344"/>
      <c r="AQ20" s="350"/>
      <c r="AR20" s="350"/>
      <c r="AS20" s="347"/>
      <c r="AT20" s="351"/>
      <c r="AU20" s="350"/>
      <c r="AV20" s="344"/>
      <c r="AW20" s="350"/>
      <c r="AX20" s="350"/>
      <c r="AY20" s="347"/>
      <c r="AZ20" s="351"/>
      <c r="BA20" s="350"/>
      <c r="BB20" s="344"/>
      <c r="BC20" s="350"/>
      <c r="BD20" s="350"/>
      <c r="BE20" s="347"/>
      <c r="BF20" s="351"/>
      <c r="BG20" s="350"/>
      <c r="BH20" s="344"/>
      <c r="BI20" s="350"/>
      <c r="BJ20" s="350"/>
      <c r="BK20" s="347"/>
      <c r="BL20" s="351"/>
      <c r="BM20" s="350"/>
      <c r="BN20" s="344"/>
      <c r="BO20" s="350"/>
      <c r="BP20" s="350"/>
      <c r="BQ20" s="347"/>
      <c r="BR20" s="351"/>
      <c r="BS20" s="350"/>
      <c r="BT20" s="344"/>
      <c r="BU20" s="350"/>
      <c r="BV20" s="350"/>
      <c r="BW20" s="347"/>
      <c r="BX20" s="351"/>
      <c r="BY20" s="350"/>
      <c r="BZ20" s="344"/>
      <c r="CA20" s="350"/>
      <c r="CB20" s="350"/>
      <c r="CC20" s="347"/>
      <c r="CD20" s="351"/>
      <c r="CE20" s="350"/>
      <c r="CF20" s="344"/>
      <c r="CG20" s="350"/>
      <c r="CH20" s="350"/>
      <c r="CI20" s="347"/>
      <c r="CJ20" s="351"/>
      <c r="CK20" s="350"/>
      <c r="CL20" s="344"/>
      <c r="CM20" s="350"/>
      <c r="CN20" s="350"/>
      <c r="CO20" s="347"/>
      <c r="CP20" s="342"/>
      <c r="CQ20" s="343"/>
      <c r="CR20" s="344"/>
      <c r="CS20" s="343"/>
      <c r="CT20" s="343"/>
      <c r="CU20" s="344"/>
      <c r="CV20" s="354"/>
      <c r="CW20" s="344"/>
      <c r="CX20" s="344"/>
      <c r="CY20" s="343"/>
      <c r="CZ20" s="343"/>
      <c r="DA20" s="344"/>
      <c r="DB20" s="327"/>
      <c r="DC20" s="316"/>
      <c r="DD20" s="328"/>
    </row>
    <row r="21">
      <c r="B21" s="283" t="s">
        <v>186</v>
      </c>
      <c r="C21" s="414" t="s">
        <v>190</v>
      </c>
      <c r="D21" s="280">
        <f>234+419</f>
        <v>653</v>
      </c>
      <c r="E21" s="280"/>
      <c r="F21" s="1">
        <f>2183294+3963655</f>
        <v>6146949</v>
      </c>
      <c r="G21" s="280"/>
      <c r="H21" s="280"/>
      <c r="J21" s="470"/>
      <c r="O21" s="38"/>
      <c r="V21" s="356">
        <f t="shared" si="2375"/>
        <v>653</v>
      </c>
      <c r="W21" s="357">
        <f t="shared" si="2375"/>
        <v>0</v>
      </c>
      <c r="X21" s="1">
        <f t="shared" si="2375"/>
        <v>6146949</v>
      </c>
      <c r="Y21" s="281">
        <f t="shared" si="2375"/>
        <v>0</v>
      </c>
      <c r="Z21" s="281">
        <f t="shared" si="2375"/>
        <v>0</v>
      </c>
      <c r="AA21" s="38">
        <f t="shared" si="2375"/>
        <v>0</v>
      </c>
      <c r="AB21" s="281"/>
      <c r="AC21" s="281"/>
      <c r="AE21" s="281"/>
      <c r="AF21" s="281"/>
      <c r="AH21" s="282"/>
      <c r="AI21" s="281"/>
      <c r="AK21" s="281"/>
      <c r="AL21" s="281"/>
      <c r="AM21" s="38"/>
      <c r="AN21" s="282"/>
      <c r="AO21" s="281"/>
      <c r="AQ21" s="281"/>
      <c r="AR21" s="281"/>
      <c r="AS21" s="38"/>
      <c r="AT21" s="282">
        <f t="shared" si="2376"/>
        <v>653</v>
      </c>
      <c r="AU21" s="281">
        <f t="shared" si="2376"/>
        <v>0</v>
      </c>
      <c r="AV21" s="358">
        <f t="shared" si="2376"/>
        <v>6146949</v>
      </c>
      <c r="AW21" s="281">
        <f t="shared" si="2376"/>
        <v>0</v>
      </c>
      <c r="AX21" s="322">
        <f t="shared" si="2376"/>
        <v>0</v>
      </c>
      <c r="AY21" s="359">
        <f t="shared" si="2376"/>
        <v>0</v>
      </c>
      <c r="AZ21" s="282"/>
      <c r="BA21" s="281"/>
      <c r="BC21" s="281"/>
      <c r="BD21" s="281"/>
      <c r="BE21" s="38"/>
      <c r="BF21" s="282"/>
      <c r="BG21" s="281"/>
      <c r="BI21" s="281"/>
      <c r="BJ21" s="281"/>
      <c r="BK21" s="38"/>
      <c r="BL21" s="282"/>
      <c r="BM21" s="281"/>
      <c r="BO21" s="281"/>
      <c r="BP21" s="281"/>
      <c r="BQ21" s="38"/>
      <c r="BR21" s="323">
        <f t="shared" si="2377"/>
        <v>0</v>
      </c>
      <c r="BS21" s="322">
        <f t="shared" si="2377"/>
        <v>0</v>
      </c>
      <c r="BT21" s="322">
        <f t="shared" si="2377"/>
        <v>0</v>
      </c>
      <c r="BU21" s="322">
        <f t="shared" si="2377"/>
        <v>0</v>
      </c>
      <c r="BV21" s="322">
        <f t="shared" si="2377"/>
        <v>0</v>
      </c>
      <c r="BW21" s="326">
        <f t="shared" si="2377"/>
        <v>0</v>
      </c>
      <c r="BX21" s="282"/>
      <c r="BY21" s="281"/>
      <c r="CA21" s="281"/>
      <c r="CB21" s="281"/>
      <c r="CC21" s="38"/>
      <c r="CD21" s="282"/>
      <c r="CE21" s="281"/>
      <c r="CG21" s="281"/>
      <c r="CH21" s="281"/>
      <c r="CI21" s="38"/>
      <c r="CJ21" s="282"/>
      <c r="CK21" s="281"/>
      <c r="CM21" s="281"/>
      <c r="CN21" s="281"/>
      <c r="CO21" s="38"/>
      <c r="CP21" s="315">
        <f t="shared" si="2378"/>
        <v>0</v>
      </c>
      <c r="CQ21" s="316">
        <f t="shared" si="2378"/>
        <v>0</v>
      </c>
      <c r="CR21" s="317">
        <f t="shared" si="2378"/>
        <v>0</v>
      </c>
      <c r="CS21" s="316">
        <f t="shared" si="2378"/>
        <v>0</v>
      </c>
      <c r="CT21" s="316">
        <f t="shared" si="2378"/>
        <v>0</v>
      </c>
      <c r="CU21" s="317">
        <f t="shared" si="2378"/>
        <v>0</v>
      </c>
      <c r="CV21" s="327">
        <f t="shared" si="2379"/>
        <v>653</v>
      </c>
      <c r="CW21" s="316">
        <f t="shared" si="2379"/>
        <v>0</v>
      </c>
      <c r="CX21" s="317">
        <f t="shared" si="2379"/>
        <v>6146949</v>
      </c>
      <c r="CY21" s="316">
        <f t="shared" si="2379"/>
        <v>0</v>
      </c>
      <c r="CZ21" s="316">
        <f t="shared" si="2379"/>
        <v>0</v>
      </c>
      <c r="DA21" s="317">
        <f t="shared" si="2379"/>
        <v>0</v>
      </c>
      <c r="DB21" s="327">
        <f t="shared" ref="DB21:DD31" si="2380">CV21+CY21</f>
        <v>653</v>
      </c>
      <c r="DC21" s="316">
        <f t="shared" si="2380"/>
        <v>0</v>
      </c>
      <c r="DD21" s="328">
        <f t="shared" si="2380"/>
        <v>6146949</v>
      </c>
    </row>
    <row r="22">
      <c r="B22" s="437"/>
      <c r="C22" s="438" t="s">
        <v>193</v>
      </c>
      <c r="D22" s="307">
        <f>39+649</f>
        <v>688</v>
      </c>
      <c r="E22" s="439"/>
      <c r="F22" s="440">
        <f>301899+5272833</f>
        <v>5574732</v>
      </c>
      <c r="G22" s="439"/>
      <c r="H22" s="439"/>
      <c r="I22" s="440"/>
      <c r="J22" s="307"/>
      <c r="K22" s="439"/>
      <c r="L22" s="440"/>
      <c r="M22" s="439"/>
      <c r="N22" s="439"/>
      <c r="O22" s="276"/>
      <c r="P22" s="439"/>
      <c r="Q22" s="439"/>
      <c r="R22" s="440"/>
      <c r="S22" s="439"/>
      <c r="T22" s="439"/>
      <c r="U22" s="440"/>
      <c r="V22" s="312">
        <f t="shared" si="2375"/>
        <v>688</v>
      </c>
      <c r="W22" s="441">
        <f t="shared" si="2375"/>
        <v>0</v>
      </c>
      <c r="X22" s="440">
        <f t="shared" si="2375"/>
        <v>5574732</v>
      </c>
      <c r="Y22" s="442">
        <f t="shared" si="2375"/>
        <v>0</v>
      </c>
      <c r="Z22" s="442">
        <f t="shared" si="2375"/>
        <v>0</v>
      </c>
      <c r="AA22" s="276">
        <f t="shared" si="2375"/>
        <v>0</v>
      </c>
      <c r="AB22" s="442"/>
      <c r="AC22" s="442"/>
      <c r="AD22" s="440"/>
      <c r="AE22" s="442"/>
      <c r="AF22" s="442"/>
      <c r="AG22" s="440"/>
      <c r="AH22" s="443"/>
      <c r="AI22" s="442"/>
      <c r="AJ22" s="440"/>
      <c r="AK22" s="442"/>
      <c r="AL22" s="442"/>
      <c r="AM22" s="276"/>
      <c r="AN22" s="443"/>
      <c r="AO22" s="442"/>
      <c r="AP22" s="440"/>
      <c r="AQ22" s="442"/>
      <c r="AR22" s="442"/>
      <c r="AS22" s="276"/>
      <c r="AT22" s="443">
        <f t="shared" si="2376"/>
        <v>688</v>
      </c>
      <c r="AU22" s="442">
        <f t="shared" si="2376"/>
        <v>0</v>
      </c>
      <c r="AV22" s="440">
        <f t="shared" si="2376"/>
        <v>5574732</v>
      </c>
      <c r="AW22" s="442">
        <f t="shared" si="2376"/>
        <v>0</v>
      </c>
      <c r="AX22" s="442">
        <f t="shared" si="2376"/>
        <v>0</v>
      </c>
      <c r="AY22" s="276">
        <f t="shared" si="2376"/>
        <v>0</v>
      </c>
      <c r="AZ22" s="443"/>
      <c r="BA22" s="442"/>
      <c r="BB22" s="440"/>
      <c r="BC22" s="442"/>
      <c r="BD22" s="442"/>
      <c r="BE22" s="276"/>
      <c r="BF22" s="443"/>
      <c r="BG22" s="442"/>
      <c r="BH22" s="440"/>
      <c r="BI22" s="442"/>
      <c r="BJ22" s="442"/>
      <c r="BK22" s="276"/>
      <c r="BL22" s="443"/>
      <c r="BM22" s="442"/>
      <c r="BN22" s="440"/>
      <c r="BO22" s="442"/>
      <c r="BP22" s="442"/>
      <c r="BQ22" s="276"/>
      <c r="BR22" s="443">
        <f t="shared" si="2377"/>
        <v>0</v>
      </c>
      <c r="BS22" s="322">
        <f t="shared" si="2377"/>
        <v>0</v>
      </c>
      <c r="BT22" s="322">
        <f t="shared" si="2377"/>
        <v>0</v>
      </c>
      <c r="BU22" s="442">
        <f t="shared" si="2377"/>
        <v>0</v>
      </c>
      <c r="BV22" s="322">
        <f t="shared" si="2377"/>
        <v>0</v>
      </c>
      <c r="BW22" s="326">
        <f t="shared" si="2377"/>
        <v>0</v>
      </c>
      <c r="BX22" s="443"/>
      <c r="BY22" s="442"/>
      <c r="BZ22" s="440"/>
      <c r="CA22" s="442"/>
      <c r="CB22" s="442"/>
      <c r="CC22" s="276"/>
      <c r="CD22" s="443"/>
      <c r="CE22" s="442"/>
      <c r="CF22" s="440"/>
      <c r="CG22" s="442"/>
      <c r="CH22" s="442"/>
      <c r="CI22" s="276"/>
      <c r="CJ22" s="443"/>
      <c r="CK22" s="442"/>
      <c r="CL22" s="440"/>
      <c r="CM22" s="442"/>
      <c r="CN22" s="442"/>
      <c r="CO22" s="276"/>
      <c r="CP22" s="307">
        <f t="shared" si="2378"/>
        <v>0</v>
      </c>
      <c r="CQ22" s="439">
        <f t="shared" si="2378"/>
        <v>0</v>
      </c>
      <c r="CR22" s="440">
        <f t="shared" si="2378"/>
        <v>0</v>
      </c>
      <c r="CS22" s="439">
        <f t="shared" si="2378"/>
        <v>0</v>
      </c>
      <c r="CT22" s="439">
        <f t="shared" si="2378"/>
        <v>0</v>
      </c>
      <c r="CU22" s="440">
        <f t="shared" si="2378"/>
        <v>0</v>
      </c>
      <c r="CV22" s="445">
        <f t="shared" si="2379"/>
        <v>688</v>
      </c>
      <c r="CW22" s="439">
        <f t="shared" si="2379"/>
        <v>0</v>
      </c>
      <c r="CX22" s="440">
        <f t="shared" si="2379"/>
        <v>5574732</v>
      </c>
      <c r="CY22" s="439">
        <f t="shared" si="2379"/>
        <v>0</v>
      </c>
      <c r="CZ22" s="439">
        <f t="shared" si="2379"/>
        <v>0</v>
      </c>
      <c r="DA22" s="440">
        <f t="shared" si="2379"/>
        <v>0</v>
      </c>
      <c r="DB22" s="327">
        <f t="shared" si="2380"/>
        <v>688</v>
      </c>
      <c r="DC22" s="316">
        <f t="shared" si="2380"/>
        <v>0</v>
      </c>
      <c r="DD22" s="328">
        <f t="shared" si="2380"/>
        <v>5574732</v>
      </c>
    </row>
    <row r="23">
      <c r="B23" s="283" t="s">
        <v>184</v>
      </c>
      <c r="C23" s="283"/>
      <c r="D23" s="280">
        <v>70</v>
      </c>
      <c r="E23" s="280">
        <v>676</v>
      </c>
      <c r="F23" s="1">
        <v>2950171.2799999998</v>
      </c>
      <c r="G23" s="280"/>
      <c r="H23" s="280"/>
      <c r="J23" s="470"/>
      <c r="O23" s="38"/>
      <c r="V23" s="356">
        <f t="shared" si="2375"/>
        <v>70</v>
      </c>
      <c r="W23" s="357">
        <f t="shared" si="2375"/>
        <v>676</v>
      </c>
      <c r="X23" s="1">
        <f t="shared" si="2375"/>
        <v>2950171.2799999998</v>
      </c>
      <c r="Y23" s="281">
        <f t="shared" si="2375"/>
        <v>0</v>
      </c>
      <c r="Z23" s="281">
        <f t="shared" si="2375"/>
        <v>0</v>
      </c>
      <c r="AA23" s="38">
        <f t="shared" si="2375"/>
        <v>0</v>
      </c>
      <c r="AB23" s="281"/>
      <c r="AC23" s="281"/>
      <c r="AE23" s="281"/>
      <c r="AF23" s="281"/>
      <c r="AH23" s="282"/>
      <c r="AI23" s="281"/>
      <c r="AK23" s="281"/>
      <c r="AL23" s="281"/>
      <c r="AM23" s="38"/>
      <c r="AN23" s="282"/>
      <c r="AO23" s="281"/>
      <c r="AQ23" s="281"/>
      <c r="AR23" s="281"/>
      <c r="AS23" s="38"/>
      <c r="AT23" s="282">
        <f t="shared" si="2376"/>
        <v>70</v>
      </c>
      <c r="AU23" s="281">
        <f t="shared" si="2376"/>
        <v>676</v>
      </c>
      <c r="AV23" s="358">
        <f t="shared" si="2376"/>
        <v>2950171.2799999998</v>
      </c>
      <c r="AW23" s="281">
        <f t="shared" si="2376"/>
        <v>0</v>
      </c>
      <c r="AX23" s="281">
        <f t="shared" si="2376"/>
        <v>0</v>
      </c>
      <c r="AY23" s="359">
        <f t="shared" si="2376"/>
        <v>0</v>
      </c>
      <c r="AZ23" s="282"/>
      <c r="BA23" s="281"/>
      <c r="BC23" s="281"/>
      <c r="BD23" s="281"/>
      <c r="BE23" s="38"/>
      <c r="BF23" s="282"/>
      <c r="BG23" s="281"/>
      <c r="BI23" s="281"/>
      <c r="BJ23" s="281"/>
      <c r="BK23" s="38"/>
      <c r="BL23" s="282"/>
      <c r="BM23" s="281"/>
      <c r="BO23" s="281"/>
      <c r="BP23" s="281"/>
      <c r="BQ23" s="38"/>
      <c r="BR23" s="323">
        <f t="shared" si="2377"/>
        <v>0</v>
      </c>
      <c r="BS23" s="322">
        <f t="shared" si="2377"/>
        <v>0</v>
      </c>
      <c r="BT23" s="322">
        <f t="shared" si="2377"/>
        <v>0</v>
      </c>
      <c r="BU23" s="322">
        <f t="shared" si="2377"/>
        <v>0</v>
      </c>
      <c r="BV23" s="322">
        <f t="shared" si="2377"/>
        <v>0</v>
      </c>
      <c r="BW23" s="326">
        <f t="shared" si="2377"/>
        <v>0</v>
      </c>
      <c r="BX23" s="282"/>
      <c r="BY23" s="281"/>
      <c r="CA23" s="281"/>
      <c r="CB23" s="281"/>
      <c r="CC23" s="38"/>
      <c r="CD23" s="282"/>
      <c r="CE23" s="281"/>
      <c r="CG23" s="281"/>
      <c r="CH23" s="2343"/>
      <c r="CI23" s="38"/>
      <c r="CJ23" s="282"/>
      <c r="CK23" s="281"/>
      <c r="CM23" s="281"/>
      <c r="CN23" s="281"/>
      <c r="CO23" s="38"/>
      <c r="CP23" s="315">
        <f t="shared" si="2378"/>
        <v>0</v>
      </c>
      <c r="CQ23" s="316">
        <f t="shared" si="2378"/>
        <v>0</v>
      </c>
      <c r="CR23" s="317">
        <f t="shared" si="2378"/>
        <v>0</v>
      </c>
      <c r="CS23" s="316">
        <f t="shared" si="2378"/>
        <v>0</v>
      </c>
      <c r="CT23" s="316">
        <f t="shared" si="2378"/>
        <v>0</v>
      </c>
      <c r="CU23" s="317">
        <f t="shared" si="2378"/>
        <v>0</v>
      </c>
      <c r="CV23" s="327">
        <f t="shared" si="2379"/>
        <v>70</v>
      </c>
      <c r="CW23" s="316">
        <f t="shared" si="2379"/>
        <v>676</v>
      </c>
      <c r="CX23" s="317">
        <f t="shared" si="2379"/>
        <v>2950171.2799999998</v>
      </c>
      <c r="CY23" s="316">
        <f t="shared" si="2379"/>
        <v>0</v>
      </c>
      <c r="CZ23" s="316">
        <f t="shared" si="2379"/>
        <v>0</v>
      </c>
      <c r="DA23" s="317">
        <f t="shared" si="2379"/>
        <v>0</v>
      </c>
      <c r="DB23" s="327">
        <f t="shared" si="2380"/>
        <v>70</v>
      </c>
      <c r="DC23" s="316">
        <f t="shared" si="2380"/>
        <v>676</v>
      </c>
      <c r="DD23" s="328">
        <f t="shared" si="2380"/>
        <v>2950171.2799999998</v>
      </c>
    </row>
    <row r="24">
      <c r="B24" s="329"/>
      <c r="C24" s="329"/>
      <c r="D24" s="280"/>
      <c r="E24" s="280"/>
      <c r="G24" s="280"/>
      <c r="H24" s="280"/>
      <c r="J24" s="470"/>
      <c r="L24" s="15"/>
      <c r="O24" s="38"/>
      <c r="V24" s="356"/>
      <c r="W24" s="357"/>
      <c r="Y24" s="281"/>
      <c r="Z24" s="281"/>
      <c r="AA24" s="38"/>
      <c r="AB24" s="281"/>
      <c r="AC24" s="281"/>
      <c r="AE24" s="281"/>
      <c r="AF24" s="281"/>
      <c r="AH24" s="282"/>
      <c r="AI24" s="281"/>
      <c r="AK24" s="281"/>
      <c r="AL24" s="281"/>
      <c r="AM24" s="38"/>
      <c r="AN24" s="282"/>
      <c r="AO24" s="281"/>
      <c r="AQ24" s="281"/>
      <c r="AR24" s="281"/>
      <c r="AS24" s="38"/>
      <c r="AT24" s="282"/>
      <c r="AU24" s="362"/>
      <c r="AW24" s="281"/>
      <c r="AX24" s="281"/>
      <c r="AY24" s="38"/>
      <c r="AZ24" s="282"/>
      <c r="BA24" s="281"/>
      <c r="BC24" s="281"/>
      <c r="BD24" s="281"/>
      <c r="BE24" s="38"/>
      <c r="BF24" s="282"/>
      <c r="BG24" s="281"/>
      <c r="BI24" s="281"/>
      <c r="BJ24" s="281"/>
      <c r="BK24" s="38"/>
      <c r="BL24" s="282"/>
      <c r="BM24" s="281"/>
      <c r="BO24" s="281"/>
      <c r="BP24" s="281"/>
      <c r="BQ24" s="38"/>
      <c r="BR24" s="351"/>
      <c r="BS24" s="350"/>
      <c r="BT24" s="344"/>
      <c r="BU24" s="350"/>
      <c r="BV24" s="350"/>
      <c r="BW24" s="347"/>
      <c r="BX24" s="282"/>
      <c r="BY24" s="281"/>
      <c r="CA24" s="281"/>
      <c r="CB24" s="281"/>
      <c r="CC24" s="38"/>
      <c r="CD24" s="282"/>
      <c r="CE24" s="281"/>
      <c r="CG24" s="281"/>
      <c r="CH24" s="281"/>
      <c r="CI24" s="38"/>
      <c r="CJ24" s="282"/>
      <c r="CK24" s="281"/>
      <c r="CM24" s="281"/>
      <c r="CN24" s="281"/>
      <c r="CO24" s="38"/>
      <c r="CP24" s="342"/>
      <c r="CQ24" s="343"/>
      <c r="CR24" s="344"/>
      <c r="CS24" s="343"/>
      <c r="CT24" s="343"/>
      <c r="CU24" s="344"/>
      <c r="CV24" s="354"/>
      <c r="CW24" s="344"/>
      <c r="CX24" s="344"/>
      <c r="CY24" s="343"/>
      <c r="CZ24" s="343"/>
      <c r="DA24" s="344"/>
      <c r="DB24" s="327"/>
      <c r="DC24" s="316"/>
      <c r="DD24" s="328"/>
    </row>
    <row r="25">
      <c r="B25" s="283" t="s">
        <v>185</v>
      </c>
      <c r="C25" s="283"/>
      <c r="D25" s="315">
        <v>42</v>
      </c>
      <c r="E25" s="316">
        <v>396</v>
      </c>
      <c r="F25" s="317">
        <v>3466629.8300000001</v>
      </c>
      <c r="G25" s="316"/>
      <c r="H25" s="316"/>
      <c r="I25" s="317"/>
      <c r="J25" s="315"/>
      <c r="K25" s="316"/>
      <c r="L25" s="317"/>
      <c r="M25" s="316"/>
      <c r="N25" s="316"/>
      <c r="O25" s="319"/>
      <c r="P25" s="316"/>
      <c r="Q25" s="316"/>
      <c r="R25" s="317"/>
      <c r="S25" s="316"/>
      <c r="T25" s="316"/>
      <c r="U25" s="317"/>
      <c r="V25" s="320">
        <f t="shared" si="2375"/>
        <v>42</v>
      </c>
      <c r="W25" s="321">
        <f t="shared" si="2375"/>
        <v>396</v>
      </c>
      <c r="X25" s="317">
        <f t="shared" si="2375"/>
        <v>3466629.8300000001</v>
      </c>
      <c r="Y25" s="322">
        <f t="shared" si="2375"/>
        <v>0</v>
      </c>
      <c r="Z25" s="322">
        <f t="shared" si="2375"/>
        <v>0</v>
      </c>
      <c r="AA25" s="319">
        <f t="shared" si="2375"/>
        <v>0</v>
      </c>
      <c r="AB25" s="322"/>
      <c r="AC25" s="322"/>
      <c r="AD25" s="317"/>
      <c r="AE25" s="322"/>
      <c r="AF25" s="322"/>
      <c r="AG25" s="317"/>
      <c r="AH25" s="323"/>
      <c r="AI25" s="322"/>
      <c r="AJ25" s="317"/>
      <c r="AK25" s="322"/>
      <c r="AL25" s="322"/>
      <c r="AM25" s="319"/>
      <c r="AN25" s="323"/>
      <c r="AO25" s="322"/>
      <c r="AP25" s="317"/>
      <c r="AQ25" s="322"/>
      <c r="AR25" s="322"/>
      <c r="AS25" s="319"/>
      <c r="AT25" s="323">
        <f t="shared" si="2376"/>
        <v>42</v>
      </c>
      <c r="AU25" s="322">
        <f t="shared" si="2376"/>
        <v>396</v>
      </c>
      <c r="AV25" s="324">
        <f t="shared" si="2376"/>
        <v>3466629.8300000001</v>
      </c>
      <c r="AW25" s="322">
        <f t="shared" si="2376"/>
        <v>0</v>
      </c>
      <c r="AX25" s="322">
        <f t="shared" si="2376"/>
        <v>0</v>
      </c>
      <c r="AY25" s="325">
        <f t="shared" si="2376"/>
        <v>0</v>
      </c>
      <c r="AZ25" s="323"/>
      <c r="BA25" s="322"/>
      <c r="BB25" s="317"/>
      <c r="BC25" s="322"/>
      <c r="BD25" s="322"/>
      <c r="BE25" s="319"/>
      <c r="BF25" s="323"/>
      <c r="BG25" s="322"/>
      <c r="BH25" s="317"/>
      <c r="BI25" s="322"/>
      <c r="BJ25" s="322"/>
      <c r="BK25" s="319"/>
      <c r="BL25" s="323"/>
      <c r="BM25" s="322"/>
      <c r="BN25" s="317"/>
      <c r="BO25" s="322"/>
      <c r="BP25" s="322"/>
      <c r="BQ25" s="319"/>
      <c r="BR25" s="323">
        <f t="shared" si="2377"/>
        <v>0</v>
      </c>
      <c r="BS25" s="322">
        <f t="shared" si="2377"/>
        <v>0</v>
      </c>
      <c r="BT25" s="322">
        <f t="shared" si="2377"/>
        <v>0</v>
      </c>
      <c r="BU25" s="322">
        <f t="shared" si="2377"/>
        <v>0</v>
      </c>
      <c r="BV25" s="322">
        <f t="shared" si="2377"/>
        <v>0</v>
      </c>
      <c r="BW25" s="326">
        <f t="shared" si="2377"/>
        <v>0</v>
      </c>
      <c r="BX25" s="323"/>
      <c r="BY25" s="322"/>
      <c r="BZ25" s="317"/>
      <c r="CA25" s="322"/>
      <c r="CB25" s="322"/>
      <c r="CC25" s="319"/>
      <c r="CD25" s="323"/>
      <c r="CE25" s="322"/>
      <c r="CF25" s="317"/>
      <c r="CG25" s="322"/>
      <c r="CH25" s="322"/>
      <c r="CI25" s="319"/>
      <c r="CJ25" s="323"/>
      <c r="CK25" s="322"/>
      <c r="CL25" s="317"/>
      <c r="CM25" s="322"/>
      <c r="CN25" s="322"/>
      <c r="CO25" s="319"/>
      <c r="CP25" s="315">
        <f t="shared" si="2378"/>
        <v>0</v>
      </c>
      <c r="CQ25" s="316">
        <f t="shared" si="2378"/>
        <v>0</v>
      </c>
      <c r="CR25" s="317">
        <f t="shared" si="2378"/>
        <v>0</v>
      </c>
      <c r="CS25" s="316">
        <f t="shared" si="2378"/>
        <v>0</v>
      </c>
      <c r="CT25" s="316">
        <f t="shared" si="2378"/>
        <v>0</v>
      </c>
      <c r="CU25" s="317">
        <f t="shared" si="2378"/>
        <v>0</v>
      </c>
      <c r="CV25" s="327">
        <f t="shared" si="2379"/>
        <v>42</v>
      </c>
      <c r="CW25" s="316">
        <f t="shared" si="2379"/>
        <v>396</v>
      </c>
      <c r="CX25" s="317">
        <f t="shared" si="2379"/>
        <v>3466629.8300000001</v>
      </c>
      <c r="CY25" s="316">
        <f t="shared" si="2379"/>
        <v>0</v>
      </c>
      <c r="CZ25" s="316">
        <f t="shared" si="2379"/>
        <v>0</v>
      </c>
      <c r="DA25" s="317">
        <f t="shared" si="2379"/>
        <v>0</v>
      </c>
      <c r="DB25" s="327">
        <f t="shared" si="2380"/>
        <v>42</v>
      </c>
      <c r="DC25" s="316">
        <f>CW25+CZ25</f>
        <v>396</v>
      </c>
      <c r="DD25" s="328">
        <f>CX25+DA25</f>
        <v>3466629.8300000001</v>
      </c>
    </row>
    <row r="26">
      <c r="B26" s="329"/>
      <c r="C26" s="329"/>
      <c r="D26" s="342"/>
      <c r="E26" s="343"/>
      <c r="F26" s="344"/>
      <c r="G26" s="343"/>
      <c r="H26" s="343"/>
      <c r="I26" s="344"/>
      <c r="J26" s="342"/>
      <c r="K26" s="343"/>
      <c r="L26" s="346"/>
      <c r="M26" s="343"/>
      <c r="N26" s="343"/>
      <c r="O26" s="347"/>
      <c r="P26" s="343"/>
      <c r="Q26" s="343"/>
      <c r="R26" s="344"/>
      <c r="S26" s="343"/>
      <c r="T26" s="343"/>
      <c r="U26" s="344"/>
      <c r="V26" s="348"/>
      <c r="W26" s="349"/>
      <c r="X26" s="344"/>
      <c r="Y26" s="350"/>
      <c r="Z26" s="350"/>
      <c r="AA26" s="347"/>
      <c r="AB26" s="350"/>
      <c r="AC26" s="350"/>
      <c r="AD26" s="344"/>
      <c r="AE26" s="350"/>
      <c r="AF26" s="350"/>
      <c r="AG26" s="344"/>
      <c r="AH26" s="351"/>
      <c r="AI26" s="350"/>
      <c r="AJ26" s="344"/>
      <c r="AK26" s="350"/>
      <c r="AL26" s="350"/>
      <c r="AM26" s="347"/>
      <c r="AN26" s="351"/>
      <c r="AO26" s="350"/>
      <c r="AP26" s="344"/>
      <c r="AQ26" s="350"/>
      <c r="AR26" s="350"/>
      <c r="AS26" s="347"/>
      <c r="AT26" s="351"/>
      <c r="AU26" s="352"/>
      <c r="AV26" s="344"/>
      <c r="AW26" s="350"/>
      <c r="AX26" s="350"/>
      <c r="AY26" s="347"/>
      <c r="AZ26" s="351"/>
      <c r="BA26" s="350"/>
      <c r="BB26" s="344"/>
      <c r="BC26" s="350"/>
      <c r="BD26" s="350"/>
      <c r="BE26" s="347"/>
      <c r="BF26" s="351"/>
      <c r="BG26" s="350"/>
      <c r="BH26" s="344"/>
      <c r="BI26" s="350"/>
      <c r="BJ26" s="350"/>
      <c r="BK26" s="347"/>
      <c r="BL26" s="351"/>
      <c r="BM26" s="350"/>
      <c r="BN26" s="344"/>
      <c r="BO26" s="350"/>
      <c r="BP26" s="350"/>
      <c r="BQ26" s="347"/>
      <c r="BR26" s="351"/>
      <c r="BS26" s="350"/>
      <c r="BT26" s="344"/>
      <c r="BU26" s="350"/>
      <c r="BV26" s="350"/>
      <c r="BW26" s="347"/>
      <c r="BX26" s="351"/>
      <c r="BY26" s="350"/>
      <c r="BZ26" s="344"/>
      <c r="CA26" s="350"/>
      <c r="CB26" s="350"/>
      <c r="CC26" s="347"/>
      <c r="CD26" s="351"/>
      <c r="CE26" s="350"/>
      <c r="CF26" s="344"/>
      <c r="CG26" s="350"/>
      <c r="CH26" s="350"/>
      <c r="CI26" s="347"/>
      <c r="CJ26" s="351"/>
      <c r="CK26" s="350"/>
      <c r="CL26" s="344"/>
      <c r="CM26" s="350"/>
      <c r="CN26" s="350"/>
      <c r="CO26" s="347"/>
      <c r="CP26" s="342"/>
      <c r="CQ26" s="343"/>
      <c r="CR26" s="344"/>
      <c r="CS26" s="343"/>
      <c r="CT26" s="343"/>
      <c r="CU26" s="344"/>
      <c r="CV26" s="354"/>
      <c r="CW26" s="344"/>
      <c r="CX26" s="344"/>
      <c r="CY26" s="343"/>
      <c r="CZ26" s="343"/>
      <c r="DA26" s="344"/>
      <c r="DB26" s="327"/>
      <c r="DC26" s="316"/>
      <c r="DD26" s="328"/>
    </row>
    <row r="27">
      <c r="B27" s="375" t="s">
        <v>198</v>
      </c>
      <c r="C27" s="375"/>
      <c r="D27" s="315">
        <v>12</v>
      </c>
      <c r="E27" s="316">
        <v>173</v>
      </c>
      <c r="F27" s="317">
        <v>1548454.1299999999</v>
      </c>
      <c r="G27" s="316"/>
      <c r="H27" s="316"/>
      <c r="I27" s="317"/>
      <c r="J27" s="315"/>
      <c r="K27" s="316"/>
      <c r="L27" s="317"/>
      <c r="M27" s="316"/>
      <c r="N27" s="316"/>
      <c r="O27" s="319"/>
      <c r="P27" s="316"/>
      <c r="Q27" s="316"/>
      <c r="R27" s="317"/>
      <c r="S27" s="316"/>
      <c r="T27" s="316"/>
      <c r="U27" s="317"/>
      <c r="V27" s="320">
        <f t="shared" si="2375"/>
        <v>12</v>
      </c>
      <c r="W27" s="321">
        <f t="shared" si="2375"/>
        <v>173</v>
      </c>
      <c r="X27" s="317">
        <f t="shared" si="2375"/>
        <v>1548454.1299999999</v>
      </c>
      <c r="Y27" s="322">
        <f t="shared" si="2375"/>
        <v>0</v>
      </c>
      <c r="Z27" s="322">
        <f t="shared" si="2375"/>
        <v>0</v>
      </c>
      <c r="AA27" s="319">
        <f t="shared" si="2375"/>
        <v>0</v>
      </c>
      <c r="AB27" s="322"/>
      <c r="AC27" s="322"/>
      <c r="AD27" s="317"/>
      <c r="AE27" s="322"/>
      <c r="AF27" s="322"/>
      <c r="AG27" s="317"/>
      <c r="AH27" s="323"/>
      <c r="AI27" s="322"/>
      <c r="AJ27" s="317"/>
      <c r="AK27" s="322"/>
      <c r="AL27" s="322"/>
      <c r="AM27" s="319"/>
      <c r="AN27" s="323"/>
      <c r="AO27" s="322"/>
      <c r="AP27" s="317"/>
      <c r="AQ27" s="322"/>
      <c r="AR27" s="322"/>
      <c r="AS27" s="319"/>
      <c r="AT27" s="282">
        <f t="shared" si="2376"/>
        <v>12</v>
      </c>
      <c r="AU27" s="281">
        <f t="shared" si="2376"/>
        <v>173</v>
      </c>
      <c r="AV27" s="358">
        <f t="shared" si="2376"/>
        <v>1548454.1299999999</v>
      </c>
      <c r="AW27" s="281">
        <f t="shared" si="2376"/>
        <v>0</v>
      </c>
      <c r="AX27" s="281">
        <f t="shared" si="2376"/>
        <v>0</v>
      </c>
      <c r="AY27" s="359">
        <f t="shared" si="2376"/>
        <v>0</v>
      </c>
      <c r="AZ27" s="282"/>
      <c r="BA27" s="281"/>
      <c r="BC27" s="281"/>
      <c r="BD27" s="281"/>
      <c r="BE27" s="38"/>
      <c r="BF27" s="282"/>
      <c r="BG27" s="281"/>
      <c r="BI27" s="281"/>
      <c r="BJ27" s="281"/>
      <c r="BK27" s="38"/>
      <c r="BL27" s="282"/>
      <c r="BM27" s="281"/>
      <c r="BO27" s="281"/>
      <c r="BP27" s="281"/>
      <c r="BQ27" s="38"/>
      <c r="BR27" s="282"/>
      <c r="BS27" s="281"/>
      <c r="BU27" s="281"/>
      <c r="BV27" s="281"/>
      <c r="BW27" s="38"/>
      <c r="BX27" s="282"/>
      <c r="BY27" s="281"/>
      <c r="CA27" s="281"/>
      <c r="CB27" s="281"/>
      <c r="CC27" s="38"/>
      <c r="CD27" s="282"/>
      <c r="CE27" s="281"/>
      <c r="CG27" s="281"/>
      <c r="CH27" s="281"/>
      <c r="CI27" s="38"/>
      <c r="CJ27" s="282"/>
      <c r="CK27" s="281"/>
      <c r="CM27" s="281"/>
      <c r="CN27" s="281"/>
      <c r="CO27" s="38"/>
      <c r="CP27" s="470"/>
      <c r="CQ27" s="280"/>
      <c r="CS27" s="280"/>
      <c r="CT27" s="280"/>
      <c r="CV27" s="327">
        <f t="shared" si="2379"/>
        <v>12</v>
      </c>
      <c r="CW27" s="316">
        <f t="shared" si="2379"/>
        <v>173</v>
      </c>
      <c r="CX27" s="317">
        <f t="shared" si="2379"/>
        <v>1548454.1299999999</v>
      </c>
      <c r="CY27" s="316">
        <f t="shared" si="2379"/>
        <v>0</v>
      </c>
      <c r="CZ27" s="316">
        <f t="shared" si="2379"/>
        <v>0</v>
      </c>
      <c r="DA27" s="317">
        <f t="shared" si="2379"/>
        <v>0</v>
      </c>
      <c r="DB27" s="327">
        <f t="shared" si="2380"/>
        <v>12</v>
      </c>
      <c r="DC27" s="316">
        <f>CW27+CZ27</f>
        <v>173</v>
      </c>
      <c r="DD27" s="328">
        <f>CX27+DA27</f>
        <v>1548454.1299999999</v>
      </c>
    </row>
    <row r="28">
      <c r="B28" s="375"/>
      <c r="C28" s="375"/>
      <c r="D28" s="342"/>
      <c r="E28" s="343"/>
      <c r="F28" s="344"/>
      <c r="G28" s="343"/>
      <c r="H28" s="343"/>
      <c r="I28" s="344"/>
      <c r="J28" s="342"/>
      <c r="K28" s="343"/>
      <c r="L28" s="346"/>
      <c r="M28" s="343"/>
      <c r="N28" s="343"/>
      <c r="O28" s="347"/>
      <c r="P28" s="343"/>
      <c r="Q28" s="343"/>
      <c r="R28" s="344"/>
      <c r="S28" s="343"/>
      <c r="T28" s="343"/>
      <c r="U28" s="344"/>
      <c r="V28" s="348"/>
      <c r="W28" s="349"/>
      <c r="X28" s="344"/>
      <c r="Y28" s="350"/>
      <c r="Z28" s="350"/>
      <c r="AA28" s="347"/>
      <c r="AB28" s="350"/>
      <c r="AC28" s="350"/>
      <c r="AD28" s="344"/>
      <c r="AE28" s="350"/>
      <c r="AF28" s="350"/>
      <c r="AG28" s="344"/>
      <c r="AH28" s="351"/>
      <c r="AI28" s="350"/>
      <c r="AJ28" s="344"/>
      <c r="AK28" s="350"/>
      <c r="AL28" s="350"/>
      <c r="AM28" s="347"/>
      <c r="AN28" s="351"/>
      <c r="AO28" s="350"/>
      <c r="AP28" s="344"/>
      <c r="AQ28" s="350"/>
      <c r="AR28" s="350"/>
      <c r="AS28" s="347"/>
      <c r="AT28" s="351"/>
      <c r="AU28" s="352"/>
      <c r="AV28" s="344"/>
      <c r="AW28" s="350"/>
      <c r="AX28" s="350"/>
      <c r="AY28" s="347"/>
      <c r="AZ28" s="351"/>
      <c r="BA28" s="350"/>
      <c r="BB28" s="344"/>
      <c r="BC28" s="350"/>
      <c r="BD28" s="350"/>
      <c r="BE28" s="347"/>
      <c r="BF28" s="351"/>
      <c r="BG28" s="350"/>
      <c r="BH28" s="344"/>
      <c r="BI28" s="350"/>
      <c r="BJ28" s="350"/>
      <c r="BK28" s="347"/>
      <c r="BL28" s="351"/>
      <c r="BM28" s="350"/>
      <c r="BN28" s="344"/>
      <c r="BO28" s="350"/>
      <c r="BP28" s="350"/>
      <c r="BQ28" s="347"/>
      <c r="BR28" s="351"/>
      <c r="BS28" s="350"/>
      <c r="BT28" s="344"/>
      <c r="BU28" s="350"/>
      <c r="BV28" s="350"/>
      <c r="BW28" s="347"/>
      <c r="BX28" s="351"/>
      <c r="BY28" s="350"/>
      <c r="BZ28" s="344"/>
      <c r="CA28" s="350"/>
      <c r="CB28" s="350"/>
      <c r="CC28" s="347"/>
      <c r="CD28" s="351"/>
      <c r="CE28" s="350"/>
      <c r="CF28" s="344"/>
      <c r="CG28" s="350"/>
      <c r="CH28" s="350"/>
      <c r="CI28" s="347"/>
      <c r="CJ28" s="351"/>
      <c r="CK28" s="350"/>
      <c r="CL28" s="344"/>
      <c r="CM28" s="350"/>
      <c r="CN28" s="350"/>
      <c r="CO28" s="347"/>
      <c r="CP28" s="342"/>
      <c r="CQ28" s="343"/>
      <c r="CR28" s="344"/>
      <c r="CS28" s="343"/>
      <c r="CT28" s="343"/>
      <c r="CU28" s="344"/>
      <c r="CV28" s="354"/>
      <c r="CW28" s="344"/>
      <c r="CX28" s="344"/>
      <c r="CY28" s="343"/>
      <c r="CZ28" s="343"/>
      <c r="DA28" s="344"/>
      <c r="DB28" s="445"/>
      <c r="DC28" s="439"/>
      <c r="DD28" s="446"/>
    </row>
    <row r="29">
      <c r="B29" s="283" t="s">
        <v>187</v>
      </c>
      <c r="C29" s="283"/>
      <c r="D29" s="280">
        <v>153</v>
      </c>
      <c r="E29" s="280">
        <v>1507</v>
      </c>
      <c r="F29" s="1">
        <v>29518932.149999999</v>
      </c>
      <c r="G29" s="280"/>
      <c r="H29" s="280"/>
      <c r="J29" s="470"/>
      <c r="O29" s="38"/>
      <c r="V29" s="356">
        <f t="shared" si="2375"/>
        <v>153</v>
      </c>
      <c r="W29" s="357">
        <f t="shared" si="2375"/>
        <v>1507</v>
      </c>
      <c r="X29" s="1">
        <f t="shared" si="2375"/>
        <v>29518932.149999999</v>
      </c>
      <c r="Y29" s="281">
        <f t="shared" si="2375"/>
        <v>0</v>
      </c>
      <c r="Z29" s="281">
        <f t="shared" si="2375"/>
        <v>0</v>
      </c>
      <c r="AA29" s="38">
        <f t="shared" si="2375"/>
        <v>0</v>
      </c>
      <c r="AB29" s="281"/>
      <c r="AC29" s="281"/>
      <c r="AE29" s="281"/>
      <c r="AF29" s="281"/>
      <c r="AH29" s="282"/>
      <c r="AI29" s="281"/>
      <c r="AK29" s="281"/>
      <c r="AL29" s="281"/>
      <c r="AM29" s="38"/>
      <c r="AN29" s="282"/>
      <c r="AO29" s="281"/>
      <c r="AQ29" s="281"/>
      <c r="AR29" s="281"/>
      <c r="AS29" s="38"/>
      <c r="AT29" s="282">
        <f t="shared" si="2376"/>
        <v>153</v>
      </c>
      <c r="AU29" s="281">
        <f t="shared" si="2376"/>
        <v>1507</v>
      </c>
      <c r="AV29" s="358">
        <f t="shared" si="2376"/>
        <v>29518932.149999999</v>
      </c>
      <c r="AW29" s="281">
        <f t="shared" si="2376"/>
        <v>0</v>
      </c>
      <c r="AX29" s="281">
        <f t="shared" si="2376"/>
        <v>0</v>
      </c>
      <c r="AY29" s="359">
        <f t="shared" si="2376"/>
        <v>0</v>
      </c>
      <c r="AZ29" s="282"/>
      <c r="BA29" s="281"/>
      <c r="BC29" s="281"/>
      <c r="BD29" s="281"/>
      <c r="BE29" s="38"/>
      <c r="BF29" s="282"/>
      <c r="BG29" s="281"/>
      <c r="BI29" s="281"/>
      <c r="BJ29" s="281"/>
      <c r="BK29" s="38"/>
      <c r="BL29" s="282"/>
      <c r="BM29" s="281"/>
      <c r="BO29" s="281"/>
      <c r="BP29" s="281"/>
      <c r="BQ29" s="38"/>
      <c r="BR29" s="282">
        <f t="shared" si="2377"/>
        <v>0</v>
      </c>
      <c r="BS29" s="281">
        <f t="shared" si="2377"/>
        <v>0</v>
      </c>
      <c r="BT29" s="281">
        <f t="shared" si="2377"/>
        <v>0</v>
      </c>
      <c r="BU29" s="281">
        <f t="shared" si="2377"/>
        <v>0</v>
      </c>
      <c r="BV29" s="281">
        <f t="shared" si="2377"/>
        <v>0</v>
      </c>
      <c r="BW29" s="2344">
        <f t="shared" si="2377"/>
        <v>0</v>
      </c>
      <c r="BX29" s="282"/>
      <c r="BY29" s="281"/>
      <c r="CA29" s="281"/>
      <c r="CB29" s="281"/>
      <c r="CC29" s="38"/>
      <c r="CD29" s="282"/>
      <c r="CE29" s="281"/>
      <c r="CG29" s="281"/>
      <c r="CH29" s="281"/>
      <c r="CI29" s="38"/>
      <c r="CJ29" s="282"/>
      <c r="CK29" s="281"/>
      <c r="CM29" s="281"/>
      <c r="CN29" s="281"/>
      <c r="CO29" s="38"/>
      <c r="CP29" s="470">
        <f t="shared" si="2378"/>
        <v>0</v>
      </c>
      <c r="CQ29" s="280">
        <f t="shared" si="2378"/>
        <v>0</v>
      </c>
      <c r="CR29" s="1">
        <f t="shared" si="2378"/>
        <v>0</v>
      </c>
      <c r="CS29" s="280">
        <f t="shared" si="2378"/>
        <v>0</v>
      </c>
      <c r="CT29" s="280">
        <f t="shared" si="2378"/>
        <v>0</v>
      </c>
      <c r="CU29" s="1">
        <f t="shared" si="2378"/>
        <v>0</v>
      </c>
      <c r="CV29" s="535">
        <f t="shared" si="2379"/>
        <v>153</v>
      </c>
      <c r="CW29" s="280">
        <f t="shared" si="2379"/>
        <v>1507</v>
      </c>
      <c r="CX29" s="1">
        <f t="shared" si="2379"/>
        <v>29518932.149999999</v>
      </c>
      <c r="CY29" s="280">
        <f t="shared" si="2379"/>
        <v>0</v>
      </c>
      <c r="CZ29" s="280">
        <f t="shared" si="2379"/>
        <v>0</v>
      </c>
      <c r="DA29" s="1">
        <f t="shared" si="2379"/>
        <v>0</v>
      </c>
      <c r="DB29" s="535">
        <f t="shared" si="2380"/>
        <v>153</v>
      </c>
      <c r="DC29" s="280">
        <f>CW29+CZ29</f>
        <v>1507</v>
      </c>
      <c r="DD29" s="40">
        <f>CX29+DA29</f>
        <v>29518932.149999999</v>
      </c>
    </row>
    <row r="30">
      <c r="B30" s="437"/>
      <c r="C30" s="437"/>
      <c r="D30" s="280"/>
      <c r="E30" s="280"/>
      <c r="G30" s="280"/>
      <c r="H30" s="280"/>
      <c r="J30" s="470"/>
      <c r="L30" s="15"/>
      <c r="O30" s="38"/>
      <c r="V30" s="356"/>
      <c r="W30" s="357"/>
      <c r="Y30" s="281"/>
      <c r="Z30" s="281"/>
      <c r="AA30" s="38"/>
      <c r="AB30" s="281"/>
      <c r="AC30" s="281"/>
      <c r="AE30" s="281"/>
      <c r="AF30" s="281"/>
      <c r="AH30" s="282"/>
      <c r="AI30" s="281"/>
      <c r="AK30" s="281"/>
      <c r="AL30" s="281"/>
      <c r="AM30" s="38"/>
      <c r="AN30" s="282"/>
      <c r="AO30" s="281"/>
      <c r="AQ30" s="281"/>
      <c r="AR30" s="281"/>
      <c r="AS30" s="38"/>
      <c r="AT30" s="282"/>
      <c r="AU30" s="362"/>
      <c r="AW30" s="281"/>
      <c r="AX30" s="281"/>
      <c r="AY30" s="38"/>
      <c r="AZ30" s="282"/>
      <c r="BA30" s="281"/>
      <c r="BC30" s="281"/>
      <c r="BD30" s="281"/>
      <c r="BE30" s="38"/>
      <c r="BF30" s="282"/>
      <c r="BG30" s="281"/>
      <c r="BI30" s="281"/>
      <c r="BJ30" s="281"/>
      <c r="BK30" s="38"/>
      <c r="BL30" s="282"/>
      <c r="BM30" s="281"/>
      <c r="BO30" s="281"/>
      <c r="BP30" s="281"/>
      <c r="BQ30" s="38"/>
      <c r="BR30" s="351"/>
      <c r="BS30" s="350"/>
      <c r="BT30" s="344"/>
      <c r="BU30" s="350"/>
      <c r="BV30" s="350"/>
      <c r="BW30" s="347"/>
      <c r="BX30" s="282"/>
      <c r="BY30" s="281"/>
      <c r="CA30" s="281"/>
      <c r="CB30" s="281"/>
      <c r="CC30" s="38"/>
      <c r="CD30" s="282"/>
      <c r="CE30" s="281"/>
      <c r="CG30" s="281"/>
      <c r="CH30" s="281"/>
      <c r="CI30" s="38"/>
      <c r="CJ30" s="282"/>
      <c r="CK30" s="281"/>
      <c r="CM30" s="281"/>
      <c r="CN30" s="281"/>
      <c r="CO30" s="38"/>
      <c r="CP30" s="342"/>
      <c r="CQ30" s="343"/>
      <c r="CR30" s="344"/>
      <c r="CS30" s="343"/>
      <c r="CT30" s="343"/>
      <c r="CU30" s="344"/>
      <c r="CV30" s="354"/>
      <c r="CW30" s="344"/>
      <c r="CX30" s="344"/>
      <c r="CY30" s="343"/>
      <c r="CZ30" s="343"/>
      <c r="DA30" s="344"/>
      <c r="DB30" s="327"/>
      <c r="DC30" s="316"/>
      <c r="DD30" s="328"/>
    </row>
    <row r="31">
      <c r="B31" s="482" t="s">
        <v>188</v>
      </c>
      <c r="C31" s="482"/>
      <c r="D31" s="315">
        <v>86</v>
      </c>
      <c r="E31" s="316">
        <v>1393</v>
      </c>
      <c r="F31" s="317">
        <v>20325832.370000001</v>
      </c>
      <c r="G31" s="316"/>
      <c r="H31" s="316"/>
      <c r="I31" s="317"/>
      <c r="J31" s="315"/>
      <c r="K31" s="316"/>
      <c r="L31" s="317"/>
      <c r="M31" s="316"/>
      <c r="N31" s="316"/>
      <c r="O31" s="319"/>
      <c r="P31" s="316"/>
      <c r="Q31" s="316"/>
      <c r="R31" s="317"/>
      <c r="S31" s="316"/>
      <c r="T31" s="316"/>
      <c r="U31" s="317"/>
      <c r="V31" s="320">
        <f t="shared" si="2375"/>
        <v>86</v>
      </c>
      <c r="W31" s="321">
        <f t="shared" si="2375"/>
        <v>1393</v>
      </c>
      <c r="X31" s="317">
        <f t="shared" si="2375"/>
        <v>20325832.370000001</v>
      </c>
      <c r="Y31" s="322">
        <f t="shared" si="2375"/>
        <v>0</v>
      </c>
      <c r="Z31" s="322">
        <f t="shared" si="2375"/>
        <v>0</v>
      </c>
      <c r="AA31" s="319">
        <f t="shared" si="2375"/>
        <v>0</v>
      </c>
      <c r="AB31" s="322"/>
      <c r="AC31" s="322"/>
      <c r="AD31" s="317"/>
      <c r="AE31" s="322"/>
      <c r="AF31" s="322"/>
      <c r="AG31" s="317"/>
      <c r="AH31" s="323"/>
      <c r="AI31" s="322"/>
      <c r="AJ31" s="317"/>
      <c r="AK31" s="322"/>
      <c r="AL31" s="322"/>
      <c r="AM31" s="319"/>
      <c r="AN31" s="323"/>
      <c r="AO31" s="322"/>
      <c r="AP31" s="317"/>
      <c r="AQ31" s="322"/>
      <c r="AR31" s="322"/>
      <c r="AS31" s="319"/>
      <c r="AT31" s="323">
        <f t="shared" si="2376"/>
        <v>86</v>
      </c>
      <c r="AU31" s="322">
        <f t="shared" si="2376"/>
        <v>1393</v>
      </c>
      <c r="AV31" s="324">
        <f t="shared" si="2376"/>
        <v>20325832.370000001</v>
      </c>
      <c r="AW31" s="322">
        <f t="shared" si="2376"/>
        <v>0</v>
      </c>
      <c r="AX31" s="322">
        <f t="shared" si="2376"/>
        <v>0</v>
      </c>
      <c r="AY31" s="325">
        <f t="shared" si="2376"/>
        <v>0</v>
      </c>
      <c r="AZ31" s="323"/>
      <c r="BA31" s="322"/>
      <c r="BB31" s="317"/>
      <c r="BC31" s="322"/>
      <c r="BD31" s="322"/>
      <c r="BE31" s="319"/>
      <c r="BF31" s="323"/>
      <c r="BG31" s="322"/>
      <c r="BH31" s="317"/>
      <c r="BI31" s="322"/>
      <c r="BJ31" s="322"/>
      <c r="BK31" s="319"/>
      <c r="BL31" s="323"/>
      <c r="BM31" s="322"/>
      <c r="BN31" s="317"/>
      <c r="BO31" s="322"/>
      <c r="BP31" s="322"/>
      <c r="BQ31" s="319"/>
      <c r="BR31" s="323">
        <f t="shared" si="2377"/>
        <v>0</v>
      </c>
      <c r="BS31" s="322">
        <f t="shared" si="2377"/>
        <v>0</v>
      </c>
      <c r="BT31" s="322">
        <f t="shared" si="2377"/>
        <v>0</v>
      </c>
      <c r="BU31" s="322">
        <f t="shared" si="2377"/>
        <v>0</v>
      </c>
      <c r="BV31" s="322">
        <f t="shared" si="2377"/>
        <v>0</v>
      </c>
      <c r="BW31" s="326">
        <f t="shared" si="2377"/>
        <v>0</v>
      </c>
      <c r="BX31" s="323"/>
      <c r="BY31" s="322"/>
      <c r="BZ31" s="317"/>
      <c r="CA31" s="322"/>
      <c r="CB31" s="322"/>
      <c r="CC31" s="319"/>
      <c r="CD31" s="323"/>
      <c r="CE31" s="322"/>
      <c r="CF31" s="317"/>
      <c r="CG31" s="322"/>
      <c r="CH31" s="322"/>
      <c r="CI31" s="319"/>
      <c r="CJ31" s="323"/>
      <c r="CK31" s="322"/>
      <c r="CL31" s="317"/>
      <c r="CM31" s="322"/>
      <c r="CN31" s="322"/>
      <c r="CO31" s="319"/>
      <c r="CP31" s="315">
        <f t="shared" si="2378"/>
        <v>0</v>
      </c>
      <c r="CQ31" s="316">
        <f t="shared" si="2378"/>
        <v>0</v>
      </c>
      <c r="CR31" s="317">
        <f t="shared" si="2378"/>
        <v>0</v>
      </c>
      <c r="CS31" s="316">
        <f t="shared" si="2378"/>
        <v>0</v>
      </c>
      <c r="CT31" s="316">
        <f t="shared" si="2378"/>
        <v>0</v>
      </c>
      <c r="CU31" s="317">
        <f t="shared" si="2378"/>
        <v>0</v>
      </c>
      <c r="CV31" s="327">
        <f t="shared" si="2379"/>
        <v>86</v>
      </c>
      <c r="CW31" s="316">
        <f t="shared" si="2379"/>
        <v>1393</v>
      </c>
      <c r="CX31" s="317">
        <f t="shared" si="2379"/>
        <v>20325832.370000001</v>
      </c>
      <c r="CY31" s="316">
        <f t="shared" si="2379"/>
        <v>0</v>
      </c>
      <c r="CZ31" s="316">
        <f t="shared" si="2379"/>
        <v>0</v>
      </c>
      <c r="DA31" s="317">
        <f t="shared" si="2379"/>
        <v>0</v>
      </c>
      <c r="DB31" s="327">
        <f t="shared" si="2380"/>
        <v>86</v>
      </c>
      <c r="DC31" s="316">
        <f>CW31+CZ31</f>
        <v>1393</v>
      </c>
      <c r="DD31" s="328">
        <f>CX31+DA31</f>
        <v>20325832.370000001</v>
      </c>
    </row>
    <row r="32">
      <c r="B32" s="437"/>
      <c r="C32" s="437"/>
      <c r="D32" s="342"/>
      <c r="E32" s="343"/>
      <c r="F32" s="344"/>
      <c r="G32" s="343"/>
      <c r="H32" s="343"/>
      <c r="I32" s="344"/>
      <c r="J32" s="342"/>
      <c r="K32" s="343"/>
      <c r="L32" s="346"/>
      <c r="M32" s="343"/>
      <c r="N32" s="343"/>
      <c r="O32" s="347"/>
      <c r="P32" s="343"/>
      <c r="Q32" s="343"/>
      <c r="R32" s="344"/>
      <c r="S32" s="343"/>
      <c r="T32" s="343"/>
      <c r="U32" s="344"/>
      <c r="V32" s="356"/>
      <c r="W32" s="357"/>
      <c r="Y32" s="281"/>
      <c r="Z32" s="281"/>
      <c r="AA32" s="38"/>
      <c r="AB32" s="350"/>
      <c r="AC32" s="350"/>
      <c r="AD32" s="344"/>
      <c r="AE32" s="350"/>
      <c r="AF32" s="350"/>
      <c r="AG32" s="344"/>
      <c r="AH32" s="351"/>
      <c r="AI32" s="350"/>
      <c r="AJ32" s="344"/>
      <c r="AK32" s="350"/>
      <c r="AL32" s="350"/>
      <c r="AM32" s="347"/>
      <c r="AN32" s="351"/>
      <c r="AO32" s="350"/>
      <c r="AP32" s="344"/>
      <c r="AQ32" s="350"/>
      <c r="AR32" s="350"/>
      <c r="AS32" s="347"/>
      <c r="AT32" s="351"/>
      <c r="AU32" s="350"/>
      <c r="AV32" s="344"/>
      <c r="AW32" s="350"/>
      <c r="AX32" s="350"/>
      <c r="AY32" s="347"/>
      <c r="AZ32" s="351"/>
      <c r="BA32" s="350"/>
      <c r="BB32" s="344"/>
      <c r="BC32" s="350"/>
      <c r="BD32" s="350"/>
      <c r="BE32" s="347"/>
      <c r="BF32" s="351"/>
      <c r="BG32" s="350"/>
      <c r="BH32" s="344"/>
      <c r="BI32" s="350"/>
      <c r="BJ32" s="350"/>
      <c r="BK32" s="347"/>
      <c r="BL32" s="351"/>
      <c r="BM32" s="350"/>
      <c r="BN32" s="344"/>
      <c r="BO32" s="350"/>
      <c r="BP32" s="350"/>
      <c r="BQ32" s="347"/>
      <c r="BR32" s="351"/>
      <c r="BS32" s="350"/>
      <c r="BT32" s="344"/>
      <c r="BU32" s="350"/>
      <c r="BV32" s="350"/>
      <c r="BW32" s="347"/>
      <c r="BX32" s="351"/>
      <c r="BY32" s="350"/>
      <c r="BZ32" s="344"/>
      <c r="CA32" s="350"/>
      <c r="CB32" s="350"/>
      <c r="CC32" s="347"/>
      <c r="CD32" s="351"/>
      <c r="CE32" s="350"/>
      <c r="CF32" s="344"/>
      <c r="CG32" s="350"/>
      <c r="CH32" s="350"/>
      <c r="CI32" s="347"/>
      <c r="CJ32" s="351"/>
      <c r="CK32" s="350"/>
      <c r="CL32" s="344"/>
      <c r="CM32" s="350"/>
      <c r="CN32" s="350"/>
      <c r="CO32" s="347"/>
      <c r="CP32" s="342"/>
      <c r="CQ32" s="343"/>
      <c r="CR32" s="344"/>
      <c r="CS32" s="343"/>
      <c r="CT32" s="343"/>
      <c r="CU32" s="344"/>
      <c r="CV32" s="354"/>
      <c r="CW32" s="344"/>
      <c r="CX32" s="344"/>
      <c r="CY32" s="343"/>
      <c r="CZ32" s="343"/>
      <c r="DA32" s="344"/>
      <c r="DB32" s="327"/>
      <c r="DC32" s="316"/>
      <c r="DD32" s="328"/>
    </row>
    <row r="33">
      <c r="B33" s="483" t="s">
        <v>22</v>
      </c>
      <c r="C33" s="483"/>
      <c r="D33" s="491">
        <f t="shared" ref="D33:BO33" si="2381">SUM(D11:D32)</f>
        <v>2006</v>
      </c>
      <c r="E33" s="491">
        <f t="shared" si="2381"/>
        <v>7388</v>
      </c>
      <c r="F33" s="12">
        <f t="shared" si="2381"/>
        <v>98797093.370000005</v>
      </c>
      <c r="G33" s="491">
        <f t="shared" si="2381"/>
        <v>0</v>
      </c>
      <c r="H33" s="491">
        <f t="shared" si="2381"/>
        <v>0</v>
      </c>
      <c r="I33" s="12">
        <f t="shared" si="2381"/>
        <v>0</v>
      </c>
      <c r="J33" s="2345">
        <f t="shared" si="2381"/>
        <v>0</v>
      </c>
      <c r="K33" s="491">
        <f t="shared" si="2381"/>
        <v>0</v>
      </c>
      <c r="L33" s="12">
        <f t="shared" si="2381"/>
        <v>0</v>
      </c>
      <c r="M33" s="491">
        <f t="shared" si="2381"/>
        <v>0</v>
      </c>
      <c r="N33" s="491">
        <f t="shared" si="2381"/>
        <v>0</v>
      </c>
      <c r="O33" s="493">
        <f t="shared" si="2381"/>
        <v>0</v>
      </c>
      <c r="P33" s="491">
        <f t="shared" si="2381"/>
        <v>0</v>
      </c>
      <c r="Q33" s="491">
        <f t="shared" si="2381"/>
        <v>0</v>
      </c>
      <c r="R33" s="12">
        <f t="shared" si="2381"/>
        <v>0</v>
      </c>
      <c r="S33" s="491">
        <f t="shared" si="2381"/>
        <v>0</v>
      </c>
      <c r="T33" s="491">
        <f t="shared" si="2381"/>
        <v>0</v>
      </c>
      <c r="U33" s="12">
        <f t="shared" si="2381"/>
        <v>0</v>
      </c>
      <c r="V33" s="494">
        <f t="shared" si="2381"/>
        <v>2006</v>
      </c>
      <c r="W33" s="495">
        <f t="shared" si="2381"/>
        <v>7388</v>
      </c>
      <c r="X33" s="496">
        <f t="shared" si="2381"/>
        <v>98797093.370000005</v>
      </c>
      <c r="Y33" s="495">
        <f t="shared" si="2381"/>
        <v>0</v>
      </c>
      <c r="Z33" s="495">
        <f t="shared" si="2381"/>
        <v>0</v>
      </c>
      <c r="AA33" s="497">
        <f t="shared" si="2381"/>
        <v>0</v>
      </c>
      <c r="AB33" s="494">
        <f t="shared" si="2381"/>
        <v>0</v>
      </c>
      <c r="AC33" s="495">
        <f t="shared" si="2381"/>
        <v>0</v>
      </c>
      <c r="AD33" s="496">
        <f t="shared" si="2381"/>
        <v>0</v>
      </c>
      <c r="AE33" s="495">
        <f t="shared" si="2381"/>
        <v>0</v>
      </c>
      <c r="AF33" s="495">
        <f t="shared" si="2381"/>
        <v>0</v>
      </c>
      <c r="AG33" s="497">
        <f t="shared" si="2381"/>
        <v>0</v>
      </c>
      <c r="AH33" s="494">
        <f t="shared" si="2381"/>
        <v>0</v>
      </c>
      <c r="AI33" s="495">
        <f t="shared" si="2381"/>
        <v>0</v>
      </c>
      <c r="AJ33" s="496">
        <f t="shared" si="2381"/>
        <v>0</v>
      </c>
      <c r="AK33" s="495">
        <f t="shared" si="2381"/>
        <v>0</v>
      </c>
      <c r="AL33" s="495">
        <f t="shared" si="2381"/>
        <v>0</v>
      </c>
      <c r="AM33" s="497">
        <f t="shared" si="2381"/>
        <v>0</v>
      </c>
      <c r="AN33" s="494">
        <f t="shared" si="2381"/>
        <v>0</v>
      </c>
      <c r="AO33" s="495">
        <f t="shared" si="2381"/>
        <v>0</v>
      </c>
      <c r="AP33" s="496">
        <f t="shared" si="2381"/>
        <v>0</v>
      </c>
      <c r="AQ33" s="495">
        <f t="shared" si="2381"/>
        <v>0</v>
      </c>
      <c r="AR33" s="495">
        <f t="shared" si="2381"/>
        <v>0</v>
      </c>
      <c r="AS33" s="497">
        <f t="shared" si="2381"/>
        <v>0</v>
      </c>
      <c r="AT33" s="498">
        <f t="shared" si="2381"/>
        <v>2006</v>
      </c>
      <c r="AU33" s="499">
        <f t="shared" si="2381"/>
        <v>7388</v>
      </c>
      <c r="AV33" s="500">
        <f t="shared" si="2381"/>
        <v>98797093.370000005</v>
      </c>
      <c r="AW33" s="499">
        <f t="shared" si="2381"/>
        <v>0</v>
      </c>
      <c r="AX33" s="499">
        <f t="shared" si="2381"/>
        <v>0</v>
      </c>
      <c r="AY33" s="501">
        <f t="shared" si="2381"/>
        <v>0</v>
      </c>
      <c r="AZ33" s="494">
        <f t="shared" si="2381"/>
        <v>0</v>
      </c>
      <c r="BA33" s="495">
        <f t="shared" si="2381"/>
        <v>0</v>
      </c>
      <c r="BB33" s="496">
        <f t="shared" si="2381"/>
        <v>0</v>
      </c>
      <c r="BC33" s="495">
        <f t="shared" si="2381"/>
        <v>0</v>
      </c>
      <c r="BD33" s="495">
        <f t="shared" si="2381"/>
        <v>0</v>
      </c>
      <c r="BE33" s="497">
        <f t="shared" si="2381"/>
        <v>0</v>
      </c>
      <c r="BF33" s="494">
        <f t="shared" si="2381"/>
        <v>0</v>
      </c>
      <c r="BG33" s="495">
        <f t="shared" si="2381"/>
        <v>0</v>
      </c>
      <c r="BH33" s="496">
        <f t="shared" si="2381"/>
        <v>0</v>
      </c>
      <c r="BI33" s="495">
        <f t="shared" si="2381"/>
        <v>0</v>
      </c>
      <c r="BJ33" s="495">
        <f t="shared" si="2381"/>
        <v>0</v>
      </c>
      <c r="BK33" s="497">
        <f t="shared" si="2381"/>
        <v>0</v>
      </c>
      <c r="BL33" s="494">
        <f t="shared" si="2381"/>
        <v>0</v>
      </c>
      <c r="BM33" s="495">
        <f t="shared" si="2381"/>
        <v>0</v>
      </c>
      <c r="BN33" s="496">
        <f t="shared" si="2381"/>
        <v>0</v>
      </c>
      <c r="BO33" s="495">
        <f t="shared" si="2381"/>
        <v>0</v>
      </c>
      <c r="BP33" s="495">
        <f t="shared" ref="BP33:DD33" si="2382">SUM(BP11:BP32)</f>
        <v>0</v>
      </c>
      <c r="BQ33" s="497">
        <f t="shared" si="2382"/>
        <v>0</v>
      </c>
      <c r="BR33" s="494">
        <f t="shared" si="2382"/>
        <v>0</v>
      </c>
      <c r="BS33" s="495">
        <f t="shared" si="2382"/>
        <v>0</v>
      </c>
      <c r="BT33" s="496">
        <f t="shared" si="2382"/>
        <v>0</v>
      </c>
      <c r="BU33" s="495">
        <f t="shared" si="2382"/>
        <v>0</v>
      </c>
      <c r="BV33" s="495">
        <f t="shared" si="2382"/>
        <v>0</v>
      </c>
      <c r="BW33" s="497">
        <f t="shared" si="2382"/>
        <v>0</v>
      </c>
      <c r="BX33" s="494">
        <f t="shared" si="2382"/>
        <v>0</v>
      </c>
      <c r="BY33" s="495">
        <f t="shared" si="2382"/>
        <v>0</v>
      </c>
      <c r="BZ33" s="496">
        <f t="shared" si="2382"/>
        <v>0</v>
      </c>
      <c r="CA33" s="495">
        <f t="shared" si="2382"/>
        <v>0</v>
      </c>
      <c r="CB33" s="495">
        <f t="shared" si="2382"/>
        <v>0</v>
      </c>
      <c r="CC33" s="497">
        <f t="shared" si="2382"/>
        <v>0</v>
      </c>
      <c r="CD33" s="494">
        <f t="shared" si="2382"/>
        <v>0</v>
      </c>
      <c r="CE33" s="495">
        <f t="shared" si="2382"/>
        <v>0</v>
      </c>
      <c r="CF33" s="496">
        <f t="shared" si="2382"/>
        <v>0</v>
      </c>
      <c r="CG33" s="495">
        <f t="shared" si="2382"/>
        <v>0</v>
      </c>
      <c r="CH33" s="495">
        <f t="shared" si="2382"/>
        <v>0</v>
      </c>
      <c r="CI33" s="497">
        <f t="shared" si="2382"/>
        <v>0</v>
      </c>
      <c r="CJ33" s="494">
        <f t="shared" si="2382"/>
        <v>0</v>
      </c>
      <c r="CK33" s="495">
        <f t="shared" si="2382"/>
        <v>0</v>
      </c>
      <c r="CL33" s="496">
        <f t="shared" si="2382"/>
        <v>0</v>
      </c>
      <c r="CM33" s="495">
        <f t="shared" si="2382"/>
        <v>0</v>
      </c>
      <c r="CN33" s="495">
        <f t="shared" si="2382"/>
        <v>0</v>
      </c>
      <c r="CO33" s="497">
        <f t="shared" si="2382"/>
        <v>0</v>
      </c>
      <c r="CP33" s="494">
        <f t="shared" si="2382"/>
        <v>0</v>
      </c>
      <c r="CQ33" s="495">
        <f t="shared" si="2382"/>
        <v>0</v>
      </c>
      <c r="CR33" s="496">
        <f t="shared" si="2382"/>
        <v>0</v>
      </c>
      <c r="CS33" s="495">
        <f t="shared" si="2382"/>
        <v>0</v>
      </c>
      <c r="CT33" s="495">
        <f t="shared" si="2382"/>
        <v>0</v>
      </c>
      <c r="CU33" s="497">
        <f t="shared" si="2382"/>
        <v>0</v>
      </c>
      <c r="CV33" s="494">
        <f t="shared" si="2382"/>
        <v>2006</v>
      </c>
      <c r="CW33" s="495">
        <f t="shared" si="2382"/>
        <v>7388</v>
      </c>
      <c r="CX33" s="496">
        <f t="shared" si="2382"/>
        <v>98797093.370000005</v>
      </c>
      <c r="CY33" s="495">
        <f t="shared" si="2382"/>
        <v>0</v>
      </c>
      <c r="CZ33" s="495">
        <f t="shared" si="2382"/>
        <v>0</v>
      </c>
      <c r="DA33" s="496">
        <f t="shared" si="2382"/>
        <v>0</v>
      </c>
      <c r="DB33" s="2346">
        <f t="shared" si="2382"/>
        <v>2006</v>
      </c>
      <c r="DC33" s="495">
        <f>SUM(DC11:DC32)</f>
        <v>7388</v>
      </c>
      <c r="DD33" s="2347">
        <f t="shared" si="2382"/>
        <v>98797093.370000005</v>
      </c>
    </row>
    <row r="34">
      <c r="B34" s="502"/>
      <c r="C34" s="502"/>
      <c r="D34" s="491"/>
      <c r="E34" s="491"/>
      <c r="F34" s="12"/>
      <c r="G34" s="491"/>
      <c r="H34" s="491"/>
      <c r="I34" s="12"/>
      <c r="J34" s="2345"/>
      <c r="K34" s="491"/>
      <c r="L34" s="511"/>
      <c r="M34" s="491"/>
      <c r="N34" s="491"/>
      <c r="O34" s="493"/>
      <c r="P34" s="491"/>
      <c r="Q34" s="491"/>
      <c r="R34" s="12"/>
      <c r="S34" s="491"/>
      <c r="T34" s="491"/>
      <c r="U34" s="12"/>
      <c r="V34" s="512"/>
      <c r="W34" s="513"/>
      <c r="X34" s="514"/>
      <c r="Y34" s="515"/>
      <c r="Z34" s="515"/>
      <c r="AA34" s="516"/>
      <c r="AB34" s="517"/>
      <c r="AC34" s="517"/>
      <c r="AD34" s="12"/>
      <c r="AE34" s="517"/>
      <c r="AF34" s="517"/>
      <c r="AG34" s="12"/>
      <c r="AH34" s="518"/>
      <c r="AI34" s="517"/>
      <c r="AJ34" s="12"/>
      <c r="AK34" s="517"/>
      <c r="AL34" s="517"/>
      <c r="AM34" s="493"/>
      <c r="AN34" s="518"/>
      <c r="AO34" s="517"/>
      <c r="AP34" s="12"/>
      <c r="AQ34" s="517"/>
      <c r="AR34" s="517"/>
      <c r="AS34" s="493"/>
      <c r="AT34" s="518"/>
      <c r="AU34" s="517"/>
      <c r="AV34" s="12"/>
      <c r="AW34" s="517"/>
      <c r="AX34" s="517"/>
      <c r="AY34" s="493"/>
      <c r="AZ34" s="518"/>
      <c r="BA34" s="517"/>
      <c r="BB34" s="12"/>
      <c r="BC34" s="517"/>
      <c r="BD34" s="517"/>
      <c r="BE34" s="493"/>
      <c r="BF34" s="518"/>
      <c r="BG34" s="517"/>
      <c r="BH34" s="12"/>
      <c r="BI34" s="517"/>
      <c r="BJ34" s="517"/>
      <c r="BK34" s="493"/>
      <c r="BL34" s="518"/>
      <c r="BM34" s="517"/>
      <c r="BN34" s="12"/>
      <c r="BO34" s="517"/>
      <c r="BP34" s="517"/>
      <c r="BQ34" s="493"/>
      <c r="BR34" s="518"/>
      <c r="BS34" s="517"/>
      <c r="BT34" s="12"/>
      <c r="BU34" s="517"/>
      <c r="BV34" s="517"/>
      <c r="BW34" s="493"/>
      <c r="BX34" s="518"/>
      <c r="BY34" s="517"/>
      <c r="BZ34" s="12"/>
      <c r="CA34" s="517"/>
      <c r="CB34" s="517"/>
      <c r="CC34" s="493"/>
      <c r="CD34" s="518"/>
      <c r="CE34" s="517"/>
      <c r="CF34" s="12"/>
      <c r="CG34" s="517"/>
      <c r="CH34" s="517"/>
      <c r="CI34" s="493"/>
      <c r="CJ34" s="518"/>
      <c r="CK34" s="517"/>
      <c r="CL34" s="12"/>
      <c r="CM34" s="517"/>
      <c r="CN34" s="517"/>
      <c r="CO34" s="493"/>
      <c r="CP34" s="518"/>
      <c r="CQ34" s="517"/>
      <c r="CR34" s="12"/>
      <c r="CS34" s="517"/>
      <c r="CT34" s="517"/>
      <c r="CU34" s="493"/>
      <c r="CV34" s="519"/>
      <c r="CW34" s="491"/>
      <c r="CX34" s="12"/>
      <c r="CY34" s="491"/>
      <c r="CZ34" s="491"/>
      <c r="DA34" s="12"/>
      <c r="DB34" s="519"/>
      <c r="DC34" s="491"/>
      <c r="DD34" s="520"/>
    </row>
    <row r="35">
      <c r="B35" s="283" t="s">
        <v>194</v>
      </c>
      <c r="C35" s="283"/>
      <c r="D35" s="315"/>
      <c r="E35" s="316"/>
      <c r="F35" s="317"/>
      <c r="G35" s="316"/>
      <c r="H35" s="316"/>
      <c r="I35" s="317"/>
      <c r="J35" s="315"/>
      <c r="K35" s="316"/>
      <c r="L35" s="527"/>
      <c r="M35" s="316"/>
      <c r="N35" s="316"/>
      <c r="O35" s="319"/>
      <c r="P35" s="316"/>
      <c r="Q35" s="316"/>
      <c r="R35" s="317"/>
      <c r="S35" s="316"/>
      <c r="T35" s="316"/>
      <c r="U35" s="317"/>
      <c r="V35" s="356"/>
      <c r="W35" s="357"/>
      <c r="Y35" s="281"/>
      <c r="Z35" s="281"/>
      <c r="AA35" s="38"/>
      <c r="AB35" s="322"/>
      <c r="AC35" s="322"/>
      <c r="AD35" s="317"/>
      <c r="AE35" s="322"/>
      <c r="AF35" s="322"/>
      <c r="AG35" s="317"/>
      <c r="AH35" s="323"/>
      <c r="AI35" s="322"/>
      <c r="AJ35" s="317"/>
      <c r="AK35" s="322"/>
      <c r="AL35" s="322"/>
      <c r="AM35" s="319"/>
      <c r="AN35" s="323"/>
      <c r="AO35" s="322"/>
      <c r="AP35" s="317"/>
      <c r="AQ35" s="322"/>
      <c r="AR35" s="322"/>
      <c r="AS35" s="319"/>
      <c r="AT35" s="323"/>
      <c r="AU35" s="322"/>
      <c r="AV35" s="317"/>
      <c r="AW35" s="322"/>
      <c r="AX35" s="322"/>
      <c r="AY35" s="319"/>
      <c r="AZ35" s="323"/>
      <c r="BA35" s="322"/>
      <c r="BB35" s="317"/>
      <c r="BC35" s="322"/>
      <c r="BD35" s="322"/>
      <c r="BE35" s="319"/>
      <c r="BF35" s="323"/>
      <c r="BG35" s="322"/>
      <c r="BH35" s="317"/>
      <c r="BI35" s="322"/>
      <c r="BJ35" s="322"/>
      <c r="BK35" s="319"/>
      <c r="BL35" s="323"/>
      <c r="BM35" s="322"/>
      <c r="BN35" s="317"/>
      <c r="BO35" s="322"/>
      <c r="BP35" s="322"/>
      <c r="BQ35" s="319"/>
      <c r="BR35" s="323"/>
      <c r="BS35" s="322"/>
      <c r="BT35" s="317"/>
      <c r="BU35" s="322"/>
      <c r="BV35" s="322"/>
      <c r="BW35" s="319"/>
      <c r="BX35" s="323"/>
      <c r="BY35" s="322"/>
      <c r="BZ35" s="317"/>
      <c r="CA35" s="322"/>
      <c r="CB35" s="322"/>
      <c r="CC35" s="319"/>
      <c r="CD35" s="323"/>
      <c r="CE35" s="322"/>
      <c r="CF35" s="317"/>
      <c r="CG35" s="322"/>
      <c r="CH35" s="322"/>
      <c r="CI35" s="319"/>
      <c r="CJ35" s="323"/>
      <c r="CK35" s="322"/>
      <c r="CL35" s="317"/>
      <c r="CM35" s="322"/>
      <c r="CN35" s="322"/>
      <c r="CO35" s="319"/>
      <c r="CP35" s="315"/>
      <c r="CQ35" s="316"/>
      <c r="CR35" s="317"/>
      <c r="CS35" s="316"/>
      <c r="CT35" s="316"/>
      <c r="CU35" s="317"/>
      <c r="CV35" s="528"/>
      <c r="CW35" s="317"/>
      <c r="CX35" s="317"/>
      <c r="CY35" s="316"/>
      <c r="CZ35" s="316"/>
      <c r="DA35" s="317"/>
      <c r="DB35" s="528"/>
      <c r="DC35" s="317"/>
      <c r="DD35" s="328"/>
    </row>
    <row r="36">
      <c r="B36" s="437"/>
      <c r="C36" s="437"/>
      <c r="D36" s="342"/>
      <c r="E36" s="343"/>
      <c r="F36" s="344"/>
      <c r="G36" s="343"/>
      <c r="H36" s="343"/>
      <c r="I36" s="344"/>
      <c r="J36" s="342"/>
      <c r="K36" s="343"/>
      <c r="L36" s="346"/>
      <c r="M36" s="343"/>
      <c r="N36" s="343"/>
      <c r="O36" s="347"/>
      <c r="P36" s="343"/>
      <c r="Q36" s="343"/>
      <c r="R36" s="344"/>
      <c r="S36" s="343"/>
      <c r="T36" s="343"/>
      <c r="U36" s="344"/>
      <c r="V36" s="348"/>
      <c r="W36" s="349"/>
      <c r="X36" s="344"/>
      <c r="Y36" s="350"/>
      <c r="Z36" s="350"/>
      <c r="AA36" s="347"/>
      <c r="AB36" s="350"/>
      <c r="AC36" s="350"/>
      <c r="AD36" s="344"/>
      <c r="AE36" s="350"/>
      <c r="AF36" s="350"/>
      <c r="AG36" s="344"/>
      <c r="AH36" s="351"/>
      <c r="AI36" s="350"/>
      <c r="AJ36" s="344"/>
      <c r="AK36" s="350"/>
      <c r="AL36" s="350"/>
      <c r="AM36" s="347"/>
      <c r="AN36" s="351"/>
      <c r="AO36" s="350"/>
      <c r="AP36" s="344"/>
      <c r="AQ36" s="350"/>
      <c r="AR36" s="350"/>
      <c r="AS36" s="347"/>
      <c r="AT36" s="351"/>
      <c r="AU36" s="352"/>
      <c r="AV36" s="344"/>
      <c r="AW36" s="350"/>
      <c r="AX36" s="350"/>
      <c r="AY36" s="347"/>
      <c r="AZ36" s="351"/>
      <c r="BA36" s="350"/>
      <c r="BB36" s="344"/>
      <c r="BC36" s="350"/>
      <c r="BD36" s="350"/>
      <c r="BE36" s="347"/>
      <c r="BF36" s="351"/>
      <c r="BG36" s="350"/>
      <c r="BH36" s="344"/>
      <c r="BI36" s="350"/>
      <c r="BJ36" s="350"/>
      <c r="BK36" s="347"/>
      <c r="BL36" s="351"/>
      <c r="BM36" s="350"/>
      <c r="BN36" s="344"/>
      <c r="BO36" s="350"/>
      <c r="BP36" s="350"/>
      <c r="BQ36" s="347"/>
      <c r="BR36" s="351"/>
      <c r="BS36" s="350"/>
      <c r="BT36" s="344"/>
      <c r="BU36" s="350"/>
      <c r="BV36" s="350"/>
      <c r="BW36" s="347"/>
      <c r="BX36" s="351"/>
      <c r="BY36" s="350"/>
      <c r="BZ36" s="344"/>
      <c r="CA36" s="350"/>
      <c r="CB36" s="350"/>
      <c r="CC36" s="347"/>
      <c r="CD36" s="351"/>
      <c r="CE36" s="350"/>
      <c r="CF36" s="344"/>
      <c r="CG36" s="350"/>
      <c r="CH36" s="350"/>
      <c r="CI36" s="347"/>
      <c r="CJ36" s="351"/>
      <c r="CK36" s="350"/>
      <c r="CL36" s="344"/>
      <c r="CM36" s="350"/>
      <c r="CN36" s="350"/>
      <c r="CO36" s="347"/>
      <c r="CP36" s="342"/>
      <c r="CQ36" s="343"/>
      <c r="CR36" s="344"/>
      <c r="CS36" s="343"/>
      <c r="CT36" s="343"/>
      <c r="CU36" s="344"/>
      <c r="CV36" s="534"/>
      <c r="CW36" s="343"/>
      <c r="CX36" s="344"/>
      <c r="CY36" s="343"/>
      <c r="CZ36" s="343"/>
      <c r="DA36" s="344"/>
      <c r="DB36" s="534"/>
      <c r="DC36" s="343"/>
      <c r="DD36" s="355"/>
    </row>
    <row r="37">
      <c r="B37" s="283" t="s">
        <v>195</v>
      </c>
      <c r="C37" s="283"/>
      <c r="D37" s="280">
        <v>118</v>
      </c>
      <c r="E37" s="280">
        <v>1316</v>
      </c>
      <c r="F37" s="1">
        <v>10361888.869999999</v>
      </c>
      <c r="G37" s="280"/>
      <c r="H37" s="280"/>
      <c r="J37" s="470"/>
      <c r="O37" s="38"/>
      <c r="V37" s="356">
        <f t="shared" ref="V37:AA59" si="2383">D37+J37+P37</f>
        <v>118</v>
      </c>
      <c r="W37" s="357">
        <f t="shared" si="2383"/>
        <v>1316</v>
      </c>
      <c r="X37" s="1">
        <f t="shared" si="2383"/>
        <v>10361888.869999999</v>
      </c>
      <c r="Y37" s="281">
        <f t="shared" si="2383"/>
        <v>0</v>
      </c>
      <c r="Z37" s="281">
        <f t="shared" si="2383"/>
        <v>0</v>
      </c>
      <c r="AA37" s="38">
        <f t="shared" si="2383"/>
        <v>0</v>
      </c>
      <c r="AB37" s="281"/>
      <c r="AC37" s="281"/>
      <c r="AE37" s="281"/>
      <c r="AF37" s="281"/>
      <c r="AH37" s="282"/>
      <c r="AI37" s="281"/>
      <c r="AK37" s="281"/>
      <c r="AL37" s="281"/>
      <c r="AM37" s="38"/>
      <c r="AN37" s="282"/>
      <c r="AO37" s="281"/>
      <c r="AQ37" s="281"/>
      <c r="AR37" s="281"/>
      <c r="AS37" s="38"/>
      <c r="AT37" s="323">
        <f t="shared" ref="AT37:AY59" si="2384">V37+AB37+AH37+AN37</f>
        <v>118</v>
      </c>
      <c r="AU37" s="322">
        <f t="shared" si="2384"/>
        <v>1316</v>
      </c>
      <c r="AV37" s="324">
        <f t="shared" si="2384"/>
        <v>10361888.869999999</v>
      </c>
      <c r="AW37" s="322">
        <f t="shared" si="2384"/>
        <v>0</v>
      </c>
      <c r="AX37" s="322">
        <f t="shared" si="2384"/>
        <v>0</v>
      </c>
      <c r="AY37" s="325">
        <f t="shared" si="2384"/>
        <v>0</v>
      </c>
      <c r="AZ37" s="282"/>
      <c r="BA37" s="281"/>
      <c r="BC37" s="281"/>
      <c r="BD37" s="281"/>
      <c r="BE37" s="38"/>
      <c r="BF37" s="282"/>
      <c r="BG37" s="281"/>
      <c r="BI37" s="281"/>
      <c r="BJ37" s="281"/>
      <c r="BK37" s="38"/>
      <c r="BL37" s="282"/>
      <c r="BM37" s="281"/>
      <c r="BO37" s="281"/>
      <c r="BP37" s="281"/>
      <c r="BQ37" s="38"/>
      <c r="BR37" s="323">
        <f t="shared" ref="BR37:BW59" si="2385">AZ37+BF37+BL37</f>
        <v>0</v>
      </c>
      <c r="BS37" s="322">
        <f t="shared" si="2385"/>
        <v>0</v>
      </c>
      <c r="BT37" s="322">
        <f t="shared" si="2385"/>
        <v>0</v>
      </c>
      <c r="BU37" s="322">
        <f t="shared" si="2385"/>
        <v>0</v>
      </c>
      <c r="BV37" s="322">
        <f t="shared" si="2385"/>
        <v>0</v>
      </c>
      <c r="BW37" s="326">
        <f t="shared" si="2385"/>
        <v>0</v>
      </c>
      <c r="BX37" s="282"/>
      <c r="BY37" s="281"/>
      <c r="CA37" s="281"/>
      <c r="CB37" s="281"/>
      <c r="CC37" s="38"/>
      <c r="CD37" s="282"/>
      <c r="CE37" s="281"/>
      <c r="CG37" s="281"/>
      <c r="CH37" s="281"/>
      <c r="CI37" s="38"/>
      <c r="CJ37" s="282"/>
      <c r="CK37" s="281"/>
      <c r="CM37" s="281"/>
      <c r="CN37" s="281"/>
      <c r="CO37" s="38"/>
      <c r="CP37" s="315">
        <f t="shared" ref="CP37:CU59" si="2386">BR37+BX37+CD37+CJ37</f>
        <v>0</v>
      </c>
      <c r="CQ37" s="316">
        <f t="shared" si="2386"/>
        <v>0</v>
      </c>
      <c r="CR37" s="317">
        <f t="shared" si="2386"/>
        <v>0</v>
      </c>
      <c r="CS37" s="316">
        <f t="shared" si="2386"/>
        <v>0</v>
      </c>
      <c r="CT37" s="316">
        <f t="shared" si="2386"/>
        <v>0</v>
      </c>
      <c r="CU37" s="317">
        <f t="shared" si="2386"/>
        <v>0</v>
      </c>
      <c r="CV37" s="535">
        <f t="shared" ref="CV37:DA59" si="2387">AT37+CP37</f>
        <v>118</v>
      </c>
      <c r="CW37" s="280">
        <f t="shared" si="2387"/>
        <v>1316</v>
      </c>
      <c r="CX37" s="1">
        <f t="shared" si="2387"/>
        <v>10361888.869999999</v>
      </c>
      <c r="CY37" s="280">
        <f t="shared" si="2387"/>
        <v>0</v>
      </c>
      <c r="CZ37" s="280">
        <f t="shared" si="2387"/>
        <v>0</v>
      </c>
      <c r="DA37" s="1">
        <f t="shared" si="2387"/>
        <v>0</v>
      </c>
      <c r="DB37" s="535">
        <f>CV37+CY37</f>
        <v>118</v>
      </c>
      <c r="DC37" s="280">
        <f>CW37+CZ37</f>
        <v>1316</v>
      </c>
      <c r="DD37" s="40">
        <f>CX37+DA37</f>
        <v>10361888.869999999</v>
      </c>
    </row>
    <row r="38">
      <c r="B38" s="437"/>
      <c r="C38" s="437"/>
      <c r="D38" s="280"/>
      <c r="E38" s="280"/>
      <c r="G38" s="280"/>
      <c r="H38" s="280"/>
      <c r="J38" s="470"/>
      <c r="L38" s="15"/>
      <c r="O38" s="38"/>
      <c r="V38" s="356"/>
      <c r="W38" s="357"/>
      <c r="Y38" s="281"/>
      <c r="Z38" s="281"/>
      <c r="AA38" s="38"/>
      <c r="AB38" s="281"/>
      <c r="AC38" s="281"/>
      <c r="AE38" s="281"/>
      <c r="AF38" s="281"/>
      <c r="AH38" s="282"/>
      <c r="AI38" s="281"/>
      <c r="AK38" s="281"/>
      <c r="AL38" s="281"/>
      <c r="AM38" s="38"/>
      <c r="AN38" s="282"/>
      <c r="AO38" s="281"/>
      <c r="AQ38" s="281"/>
      <c r="AR38" s="281"/>
      <c r="AS38" s="38"/>
      <c r="AT38" s="351"/>
      <c r="AU38" s="352"/>
      <c r="AV38" s="344"/>
      <c r="AW38" s="350"/>
      <c r="AX38" s="350"/>
      <c r="AY38" s="347"/>
      <c r="AZ38" s="282"/>
      <c r="BA38" s="281"/>
      <c r="BC38" s="281"/>
      <c r="BD38" s="281"/>
      <c r="BE38" s="38"/>
      <c r="BF38" s="282"/>
      <c r="BG38" s="281"/>
      <c r="BI38" s="281"/>
      <c r="BJ38" s="281"/>
      <c r="BK38" s="38"/>
      <c r="BL38" s="282"/>
      <c r="BM38" s="281"/>
      <c r="BO38" s="281"/>
      <c r="BP38" s="281"/>
      <c r="BQ38" s="38"/>
      <c r="BR38" s="351"/>
      <c r="BS38" s="350"/>
      <c r="BT38" s="344"/>
      <c r="BU38" s="350"/>
      <c r="BV38" s="350"/>
      <c r="BW38" s="347"/>
      <c r="BX38" s="282"/>
      <c r="BY38" s="281"/>
      <c r="CA38" s="281"/>
      <c r="CB38" s="281"/>
      <c r="CC38" s="38"/>
      <c r="CD38" s="282"/>
      <c r="CE38" s="281"/>
      <c r="CG38" s="281"/>
      <c r="CH38" s="281"/>
      <c r="CI38" s="38"/>
      <c r="CJ38" s="282"/>
      <c r="CK38" s="281"/>
      <c r="CM38" s="281"/>
      <c r="CN38" s="281"/>
      <c r="CO38" s="38"/>
      <c r="CP38" s="342"/>
      <c r="CQ38" s="343"/>
      <c r="CR38" s="344"/>
      <c r="CS38" s="343"/>
      <c r="CT38" s="343"/>
      <c r="CU38" s="344"/>
      <c r="CV38" s="535"/>
      <c r="CW38" s="280"/>
      <c r="CY38" s="280"/>
      <c r="CZ38" s="280"/>
      <c r="DB38" s="535"/>
      <c r="DC38" s="280"/>
      <c r="DD38" s="40"/>
    </row>
    <row r="39">
      <c r="B39" s="283" t="s">
        <v>196</v>
      </c>
      <c r="C39" s="283"/>
      <c r="D39" s="315">
        <v>77</v>
      </c>
      <c r="E39" s="316">
        <v>665</v>
      </c>
      <c r="F39" s="317">
        <v>7098891.4199999999</v>
      </c>
      <c r="G39" s="316"/>
      <c r="H39" s="316"/>
      <c r="I39" s="317"/>
      <c r="J39" s="315"/>
      <c r="K39" s="316"/>
      <c r="L39" s="317"/>
      <c r="M39" s="316"/>
      <c r="N39" s="316"/>
      <c r="O39" s="319"/>
      <c r="P39" s="316"/>
      <c r="Q39" s="316"/>
      <c r="R39" s="317"/>
      <c r="S39" s="316"/>
      <c r="T39" s="316"/>
      <c r="U39" s="317"/>
      <c r="V39" s="320">
        <f t="shared" si="2383"/>
        <v>77</v>
      </c>
      <c r="W39" s="321">
        <f t="shared" si="2383"/>
        <v>665</v>
      </c>
      <c r="X39" s="317">
        <f t="shared" si="2383"/>
        <v>7098891.4199999999</v>
      </c>
      <c r="Y39" s="322">
        <f t="shared" si="2383"/>
        <v>0</v>
      </c>
      <c r="Z39" s="322">
        <f t="shared" si="2383"/>
        <v>0</v>
      </c>
      <c r="AA39" s="319">
        <f t="shared" si="2383"/>
        <v>0</v>
      </c>
      <c r="AB39" s="322"/>
      <c r="AC39" s="322"/>
      <c r="AD39" s="317"/>
      <c r="AE39" s="322"/>
      <c r="AF39" s="322"/>
      <c r="AG39" s="317"/>
      <c r="AH39" s="323"/>
      <c r="AI39" s="322"/>
      <c r="AJ39" s="317"/>
      <c r="AK39" s="322"/>
      <c r="AL39" s="322"/>
      <c r="AM39" s="319"/>
      <c r="AN39" s="323"/>
      <c r="AO39" s="322"/>
      <c r="AP39" s="317"/>
      <c r="AQ39" s="322"/>
      <c r="AR39" s="322"/>
      <c r="AS39" s="319"/>
      <c r="AT39" s="323">
        <f t="shared" si="2384"/>
        <v>77</v>
      </c>
      <c r="AU39" s="322">
        <f t="shared" si="2384"/>
        <v>665</v>
      </c>
      <c r="AV39" s="324">
        <f t="shared" si="2384"/>
        <v>7098891.4199999999</v>
      </c>
      <c r="AW39" s="322">
        <f t="shared" si="2384"/>
        <v>0</v>
      </c>
      <c r="AX39" s="322">
        <f t="shared" si="2384"/>
        <v>0</v>
      </c>
      <c r="AY39" s="325">
        <f t="shared" si="2384"/>
        <v>0</v>
      </c>
      <c r="AZ39" s="323"/>
      <c r="BA39" s="322"/>
      <c r="BB39" s="317"/>
      <c r="BC39" s="322"/>
      <c r="BD39" s="322"/>
      <c r="BE39" s="319"/>
      <c r="BF39" s="323"/>
      <c r="BG39" s="322"/>
      <c r="BH39" s="317"/>
      <c r="BI39" s="322"/>
      <c r="BJ39" s="322"/>
      <c r="BK39" s="319"/>
      <c r="BL39" s="323"/>
      <c r="BM39" s="322"/>
      <c r="BN39" s="317"/>
      <c r="BO39" s="322"/>
      <c r="BP39" s="322"/>
      <c r="BQ39" s="319"/>
      <c r="BR39" s="323">
        <f t="shared" si="2385"/>
        <v>0</v>
      </c>
      <c r="BS39" s="322">
        <f t="shared" si="2385"/>
        <v>0</v>
      </c>
      <c r="BT39" s="322">
        <f t="shared" si="2385"/>
        <v>0</v>
      </c>
      <c r="BU39" s="322">
        <f t="shared" si="2385"/>
        <v>0</v>
      </c>
      <c r="BV39" s="322">
        <f t="shared" si="2385"/>
        <v>0</v>
      </c>
      <c r="BW39" s="326">
        <f t="shared" si="2385"/>
        <v>0</v>
      </c>
      <c r="BX39" s="323"/>
      <c r="BY39" s="322"/>
      <c r="BZ39" s="317"/>
      <c r="CA39" s="322"/>
      <c r="CB39" s="322"/>
      <c r="CC39" s="319"/>
      <c r="CD39" s="323"/>
      <c r="CE39" s="322"/>
      <c r="CF39" s="317"/>
      <c r="CG39" s="322"/>
      <c r="CH39" s="322"/>
      <c r="CI39" s="319"/>
      <c r="CJ39" s="323"/>
      <c r="CK39" s="322"/>
      <c r="CL39" s="317"/>
      <c r="CM39" s="322"/>
      <c r="CN39" s="322"/>
      <c r="CO39" s="319"/>
      <c r="CP39" s="315">
        <f t="shared" si="2386"/>
        <v>0</v>
      </c>
      <c r="CQ39" s="316">
        <f t="shared" si="2386"/>
        <v>0</v>
      </c>
      <c r="CR39" s="317">
        <f t="shared" si="2386"/>
        <v>0</v>
      </c>
      <c r="CS39" s="316">
        <f t="shared" si="2386"/>
        <v>0</v>
      </c>
      <c r="CT39" s="316">
        <f t="shared" si="2386"/>
        <v>0</v>
      </c>
      <c r="CU39" s="317">
        <f t="shared" si="2386"/>
        <v>0</v>
      </c>
      <c r="CV39" s="327">
        <f t="shared" si="2387"/>
        <v>77</v>
      </c>
      <c r="CW39" s="316">
        <f t="shared" si="2387"/>
        <v>665</v>
      </c>
      <c r="CX39" s="317">
        <f t="shared" si="2387"/>
        <v>7098891.4199999999</v>
      </c>
      <c r="CY39" s="316">
        <f t="shared" si="2387"/>
        <v>0</v>
      </c>
      <c r="CZ39" s="316">
        <f t="shared" si="2387"/>
        <v>0</v>
      </c>
      <c r="DA39" s="317">
        <f t="shared" si="2387"/>
        <v>0</v>
      </c>
      <c r="DB39" s="535">
        <f>CV39+CY39</f>
        <v>77</v>
      </c>
      <c r="DC39" s="280">
        <f>CW39+CZ39</f>
        <v>665</v>
      </c>
      <c r="DD39" s="40">
        <f>CX39+DA39</f>
        <v>7098891.4199999999</v>
      </c>
    </row>
    <row r="40">
      <c r="B40" s="437"/>
      <c r="C40" s="437"/>
      <c r="D40" s="342"/>
      <c r="E40" s="343"/>
      <c r="F40" s="344"/>
      <c r="G40" s="343"/>
      <c r="H40" s="343"/>
      <c r="I40" s="344"/>
      <c r="J40" s="342"/>
      <c r="K40" s="343"/>
      <c r="L40" s="346"/>
      <c r="M40" s="343"/>
      <c r="N40" s="343"/>
      <c r="O40" s="347"/>
      <c r="P40" s="343"/>
      <c r="Q40" s="343"/>
      <c r="R40" s="344"/>
      <c r="S40" s="343"/>
      <c r="T40" s="343"/>
      <c r="U40" s="344"/>
      <c r="V40" s="348"/>
      <c r="W40" s="349"/>
      <c r="X40" s="344"/>
      <c r="Y40" s="350"/>
      <c r="Z40" s="350"/>
      <c r="AA40" s="347"/>
      <c r="AB40" s="350"/>
      <c r="AC40" s="350"/>
      <c r="AD40" s="344"/>
      <c r="AE40" s="350"/>
      <c r="AF40" s="350"/>
      <c r="AG40" s="344"/>
      <c r="AH40" s="351"/>
      <c r="AI40" s="350"/>
      <c r="AJ40" s="344"/>
      <c r="AK40" s="350"/>
      <c r="AL40" s="350"/>
      <c r="AM40" s="347"/>
      <c r="AN40" s="351"/>
      <c r="AO40" s="350"/>
      <c r="AP40" s="344"/>
      <c r="AQ40" s="350"/>
      <c r="AR40" s="350"/>
      <c r="AS40" s="347"/>
      <c r="AT40" s="351"/>
      <c r="AU40" s="352"/>
      <c r="AV40" s="344"/>
      <c r="AW40" s="350"/>
      <c r="AX40" s="350"/>
      <c r="AY40" s="347"/>
      <c r="AZ40" s="351"/>
      <c r="BA40" s="350"/>
      <c r="BB40" s="344"/>
      <c r="BC40" s="350"/>
      <c r="BD40" s="350"/>
      <c r="BE40" s="347"/>
      <c r="BF40" s="351"/>
      <c r="BG40" s="350"/>
      <c r="BH40" s="344"/>
      <c r="BI40" s="350"/>
      <c r="BJ40" s="350"/>
      <c r="BK40" s="347"/>
      <c r="BL40" s="351"/>
      <c r="BM40" s="350"/>
      <c r="BN40" s="344"/>
      <c r="BO40" s="350"/>
      <c r="BP40" s="350"/>
      <c r="BQ40" s="347"/>
      <c r="BR40" s="351"/>
      <c r="BS40" s="350"/>
      <c r="BT40" s="344"/>
      <c r="BU40" s="350"/>
      <c r="BV40" s="350"/>
      <c r="BW40" s="347"/>
      <c r="BX40" s="351"/>
      <c r="BY40" s="350"/>
      <c r="BZ40" s="344"/>
      <c r="CA40" s="350"/>
      <c r="CB40" s="350"/>
      <c r="CC40" s="347"/>
      <c r="CD40" s="351"/>
      <c r="CE40" s="350"/>
      <c r="CF40" s="344"/>
      <c r="CG40" s="350"/>
      <c r="CH40" s="350"/>
      <c r="CI40" s="347"/>
      <c r="CJ40" s="351"/>
      <c r="CK40" s="350"/>
      <c r="CL40" s="344"/>
      <c r="CM40" s="350"/>
      <c r="CN40" s="350"/>
      <c r="CO40" s="347"/>
      <c r="CP40" s="342"/>
      <c r="CQ40" s="343"/>
      <c r="CR40" s="344"/>
      <c r="CS40" s="343"/>
      <c r="CT40" s="343"/>
      <c r="CU40" s="344"/>
      <c r="CV40" s="534"/>
      <c r="CW40" s="343"/>
      <c r="CX40" s="344"/>
      <c r="CY40" s="343"/>
      <c r="CZ40" s="343"/>
      <c r="DA40" s="344"/>
      <c r="DB40" s="535"/>
      <c r="DC40" s="280"/>
      <c r="DD40" s="40"/>
    </row>
    <row r="41">
      <c r="B41" s="283" t="s">
        <v>200</v>
      </c>
      <c r="C41" s="283"/>
      <c r="D41" s="280"/>
      <c r="E41" s="280"/>
      <c r="G41" s="280"/>
      <c r="H41" s="280"/>
      <c r="J41" s="470"/>
      <c r="L41" s="15"/>
      <c r="O41" s="38"/>
      <c r="V41" s="356">
        <f t="shared" si="2383"/>
        <v>0</v>
      </c>
      <c r="W41" s="357">
        <f t="shared" si="2383"/>
        <v>0</v>
      </c>
      <c r="X41" s="1">
        <f t="shared" si="2383"/>
        <v>0</v>
      </c>
      <c r="Y41" s="281">
        <f t="shared" si="2383"/>
        <v>0</v>
      </c>
      <c r="Z41" s="281">
        <f t="shared" si="2383"/>
        <v>0</v>
      </c>
      <c r="AA41" s="38">
        <f t="shared" si="2383"/>
        <v>0</v>
      </c>
      <c r="AB41" s="281"/>
      <c r="AC41" s="281"/>
      <c r="AE41" s="281"/>
      <c r="AF41" s="281"/>
      <c r="AH41" s="282"/>
      <c r="AI41" s="281"/>
      <c r="AK41" s="281"/>
      <c r="AL41" s="281"/>
      <c r="AM41" s="38"/>
      <c r="AN41" s="282"/>
      <c r="AO41" s="281"/>
      <c r="AQ41" s="281"/>
      <c r="AR41" s="281"/>
      <c r="AS41" s="38"/>
      <c r="AT41" s="323">
        <f t="shared" si="2384"/>
        <v>0</v>
      </c>
      <c r="AU41" s="551">
        <f t="shared" si="2384"/>
        <v>0</v>
      </c>
      <c r="AV41" s="324">
        <f t="shared" si="2384"/>
        <v>0</v>
      </c>
      <c r="AW41" s="322">
        <f t="shared" si="2384"/>
        <v>0</v>
      </c>
      <c r="AX41" s="322">
        <f t="shared" si="2384"/>
        <v>0</v>
      </c>
      <c r="AY41" s="325">
        <f t="shared" si="2384"/>
        <v>0</v>
      </c>
      <c r="AZ41" s="282"/>
      <c r="BA41" s="281"/>
      <c r="BC41" s="281"/>
      <c r="BD41" s="281"/>
      <c r="BE41" s="38"/>
      <c r="BF41" s="282"/>
      <c r="BG41" s="281"/>
      <c r="BI41" s="281"/>
      <c r="BJ41" s="281"/>
      <c r="BK41" s="38"/>
      <c r="BL41" s="282"/>
      <c r="BM41" s="281"/>
      <c r="BO41" s="281"/>
      <c r="BP41" s="281"/>
      <c r="BQ41" s="38"/>
      <c r="BR41" s="323">
        <f t="shared" si="2385"/>
        <v>0</v>
      </c>
      <c r="BS41" s="322">
        <f t="shared" si="2385"/>
        <v>0</v>
      </c>
      <c r="BT41" s="322">
        <f t="shared" si="2385"/>
        <v>0</v>
      </c>
      <c r="BU41" s="322">
        <f t="shared" si="2385"/>
        <v>0</v>
      </c>
      <c r="BV41" s="322">
        <f t="shared" si="2385"/>
        <v>0</v>
      </c>
      <c r="BW41" s="326">
        <f t="shared" si="2385"/>
        <v>0</v>
      </c>
      <c r="BX41" s="282"/>
      <c r="BY41" s="281"/>
      <c r="CA41" s="281"/>
      <c r="CB41" s="281"/>
      <c r="CC41" s="38"/>
      <c r="CD41" s="282"/>
      <c r="CE41" s="281"/>
      <c r="CG41" s="281"/>
      <c r="CH41" s="281"/>
      <c r="CI41" s="38"/>
      <c r="CJ41" s="282"/>
      <c r="CK41" s="281"/>
      <c r="CM41" s="281"/>
      <c r="CN41" s="281"/>
      <c r="CO41" s="38"/>
      <c r="CP41" s="315">
        <f t="shared" si="2386"/>
        <v>0</v>
      </c>
      <c r="CQ41" s="316">
        <f t="shared" si="2386"/>
        <v>0</v>
      </c>
      <c r="CR41" s="317">
        <f t="shared" si="2386"/>
        <v>0</v>
      </c>
      <c r="CS41" s="316">
        <f t="shared" si="2386"/>
        <v>0</v>
      </c>
      <c r="CT41" s="316">
        <f t="shared" si="2386"/>
        <v>0</v>
      </c>
      <c r="CU41" s="317">
        <f t="shared" si="2386"/>
        <v>0</v>
      </c>
      <c r="CV41" s="535">
        <f t="shared" si="2387"/>
        <v>0</v>
      </c>
      <c r="CW41" s="280">
        <f t="shared" si="2387"/>
        <v>0</v>
      </c>
      <c r="CX41" s="1">
        <f t="shared" si="2387"/>
        <v>0</v>
      </c>
      <c r="CY41" s="280">
        <f t="shared" si="2387"/>
        <v>0</v>
      </c>
      <c r="CZ41" s="280">
        <f t="shared" si="2387"/>
        <v>0</v>
      </c>
      <c r="DA41" s="1">
        <f t="shared" si="2387"/>
        <v>0</v>
      </c>
      <c r="DB41" s="535">
        <f>CV41+CY41</f>
        <v>0</v>
      </c>
      <c r="DC41" s="280">
        <f>CW41+CZ41</f>
        <v>0</v>
      </c>
      <c r="DD41" s="40">
        <f>CX41+DA41</f>
        <v>0</v>
      </c>
    </row>
    <row r="42">
      <c r="B42" s="437"/>
      <c r="C42" s="437"/>
      <c r="D42" s="280"/>
      <c r="E42" s="280"/>
      <c r="G42" s="280"/>
      <c r="H42" s="280"/>
      <c r="J42" s="470"/>
      <c r="L42" s="15"/>
      <c r="O42" s="38"/>
      <c r="V42" s="356"/>
      <c r="W42" s="357"/>
      <c r="Y42" s="281"/>
      <c r="Z42" s="281"/>
      <c r="AA42" s="38"/>
      <c r="AB42" s="281"/>
      <c r="AC42" s="281"/>
      <c r="AE42" s="281"/>
      <c r="AF42" s="281"/>
      <c r="AH42" s="282"/>
      <c r="AI42" s="281"/>
      <c r="AK42" s="281"/>
      <c r="AL42" s="281"/>
      <c r="AM42" s="38"/>
      <c r="AN42" s="282"/>
      <c r="AO42" s="281"/>
      <c r="AQ42" s="281"/>
      <c r="AR42" s="281"/>
      <c r="AS42" s="38"/>
      <c r="AT42" s="282"/>
      <c r="AU42" s="362"/>
      <c r="AW42" s="281"/>
      <c r="AX42" s="281"/>
      <c r="AY42" s="38"/>
      <c r="AZ42" s="282"/>
      <c r="BA42" s="281"/>
      <c r="BC42" s="281"/>
      <c r="BD42" s="281"/>
      <c r="BE42" s="38"/>
      <c r="BF42" s="282"/>
      <c r="BG42" s="281"/>
      <c r="BI42" s="281"/>
      <c r="BJ42" s="281"/>
      <c r="BK42" s="38"/>
      <c r="BL42" s="282"/>
      <c r="BM42" s="281"/>
      <c r="BO42" s="281"/>
      <c r="BP42" s="281"/>
      <c r="BQ42" s="38"/>
      <c r="BR42" s="282"/>
      <c r="BS42" s="281"/>
      <c r="BU42" s="281"/>
      <c r="BV42" s="281"/>
      <c r="BW42" s="38"/>
      <c r="BX42" s="282"/>
      <c r="BY42" s="281"/>
      <c r="CA42" s="281"/>
      <c r="CB42" s="281"/>
      <c r="CC42" s="38"/>
      <c r="CD42" s="282"/>
      <c r="CE42" s="281"/>
      <c r="CG42" s="281"/>
      <c r="CH42" s="281"/>
      <c r="CI42" s="38"/>
      <c r="CJ42" s="282"/>
      <c r="CK42" s="281"/>
      <c r="CM42" s="281"/>
      <c r="CN42" s="281"/>
      <c r="CO42" s="38"/>
      <c r="CP42" s="470"/>
      <c r="CQ42" s="280"/>
      <c r="CS42" s="280"/>
      <c r="CT42" s="280"/>
      <c r="CV42" s="535"/>
      <c r="CW42" s="280"/>
      <c r="CY42" s="280"/>
      <c r="CZ42" s="280"/>
      <c r="DB42" s="535"/>
      <c r="DC42" s="280"/>
      <c r="DD42" s="40"/>
    </row>
    <row r="43">
      <c r="B43" s="283" t="s">
        <v>201</v>
      </c>
      <c r="C43" s="283"/>
      <c r="D43" s="315">
        <v>63</v>
      </c>
      <c r="E43" s="316">
        <v>580</v>
      </c>
      <c r="F43" s="317">
        <v>11231196.83</v>
      </c>
      <c r="G43" s="316"/>
      <c r="H43" s="316"/>
      <c r="I43" s="317"/>
      <c r="J43" s="315"/>
      <c r="K43" s="316"/>
      <c r="L43" s="317"/>
      <c r="M43" s="316"/>
      <c r="N43" s="316"/>
      <c r="O43" s="319"/>
      <c r="P43" s="316"/>
      <c r="Q43" s="316"/>
      <c r="R43" s="317"/>
      <c r="S43" s="316"/>
      <c r="T43" s="316"/>
      <c r="U43" s="317"/>
      <c r="V43" s="320">
        <f t="shared" si="2383"/>
        <v>63</v>
      </c>
      <c r="W43" s="321">
        <f t="shared" si="2383"/>
        <v>580</v>
      </c>
      <c r="X43" s="317">
        <f t="shared" si="2383"/>
        <v>11231196.83</v>
      </c>
      <c r="Y43" s="322">
        <f t="shared" si="2383"/>
        <v>0</v>
      </c>
      <c r="Z43" s="322">
        <f t="shared" si="2383"/>
        <v>0</v>
      </c>
      <c r="AA43" s="319">
        <f t="shared" si="2383"/>
        <v>0</v>
      </c>
      <c r="AB43" s="322"/>
      <c r="AC43" s="322"/>
      <c r="AD43" s="317"/>
      <c r="AE43" s="322"/>
      <c r="AF43" s="322"/>
      <c r="AG43" s="317"/>
      <c r="AH43" s="323"/>
      <c r="AI43" s="322"/>
      <c r="AJ43" s="317"/>
      <c r="AK43" s="322"/>
      <c r="AL43" s="322"/>
      <c r="AM43" s="319"/>
      <c r="AN43" s="323"/>
      <c r="AO43" s="322"/>
      <c r="AP43" s="317"/>
      <c r="AQ43" s="322"/>
      <c r="AR43" s="322"/>
      <c r="AS43" s="319"/>
      <c r="AT43" s="323">
        <f t="shared" si="2384"/>
        <v>63</v>
      </c>
      <c r="AU43" s="322">
        <f t="shared" si="2384"/>
        <v>580</v>
      </c>
      <c r="AV43" s="324">
        <f t="shared" si="2384"/>
        <v>11231196.83</v>
      </c>
      <c r="AW43" s="322">
        <f t="shared" si="2384"/>
        <v>0</v>
      </c>
      <c r="AX43" s="322">
        <f t="shared" si="2384"/>
        <v>0</v>
      </c>
      <c r="AY43" s="325">
        <f t="shared" si="2384"/>
        <v>0</v>
      </c>
      <c r="AZ43" s="323"/>
      <c r="BA43" s="322"/>
      <c r="BB43" s="317"/>
      <c r="BC43" s="322"/>
      <c r="BD43" s="322"/>
      <c r="BE43" s="319"/>
      <c r="BF43" s="323"/>
      <c r="BG43" s="322"/>
      <c r="BH43" s="317"/>
      <c r="BI43" s="322"/>
      <c r="BJ43" s="322"/>
      <c r="BK43" s="319"/>
      <c r="BL43" s="323"/>
      <c r="BM43" s="322"/>
      <c r="BN43" s="317"/>
      <c r="BO43" s="322"/>
      <c r="BP43" s="322"/>
      <c r="BQ43" s="319"/>
      <c r="BR43" s="323">
        <f t="shared" si="2385"/>
        <v>0</v>
      </c>
      <c r="BS43" s="322">
        <f t="shared" si="2385"/>
        <v>0</v>
      </c>
      <c r="BT43" s="322">
        <f t="shared" si="2385"/>
        <v>0</v>
      </c>
      <c r="BU43" s="322">
        <f t="shared" si="2385"/>
        <v>0</v>
      </c>
      <c r="BV43" s="322">
        <f t="shared" si="2385"/>
        <v>0</v>
      </c>
      <c r="BW43" s="326">
        <f t="shared" si="2385"/>
        <v>0</v>
      </c>
      <c r="BX43" s="323"/>
      <c r="BY43" s="322"/>
      <c r="BZ43" s="317"/>
      <c r="CA43" s="322"/>
      <c r="CB43" s="322"/>
      <c r="CC43" s="319"/>
      <c r="CD43" s="323"/>
      <c r="CE43" s="322"/>
      <c r="CF43" s="317"/>
      <c r="CG43" s="322"/>
      <c r="CH43" s="322"/>
      <c r="CI43" s="319"/>
      <c r="CJ43" s="323"/>
      <c r="CK43" s="322"/>
      <c r="CL43" s="317"/>
      <c r="CM43" s="322"/>
      <c r="CN43" s="322"/>
      <c r="CO43" s="319"/>
      <c r="CP43" s="315">
        <f t="shared" si="2386"/>
        <v>0</v>
      </c>
      <c r="CQ43" s="316">
        <f t="shared" si="2386"/>
        <v>0</v>
      </c>
      <c r="CR43" s="317">
        <f t="shared" si="2386"/>
        <v>0</v>
      </c>
      <c r="CS43" s="316">
        <f t="shared" si="2386"/>
        <v>0</v>
      </c>
      <c r="CT43" s="316">
        <f t="shared" si="2386"/>
        <v>0</v>
      </c>
      <c r="CU43" s="317">
        <f t="shared" si="2386"/>
        <v>0</v>
      </c>
      <c r="CV43" s="327">
        <f t="shared" si="2387"/>
        <v>63</v>
      </c>
      <c r="CW43" s="316">
        <f t="shared" si="2387"/>
        <v>580</v>
      </c>
      <c r="CX43" s="317">
        <f t="shared" si="2387"/>
        <v>11231196.83</v>
      </c>
      <c r="CY43" s="316">
        <f t="shared" si="2387"/>
        <v>0</v>
      </c>
      <c r="CZ43" s="316">
        <f t="shared" si="2387"/>
        <v>0</v>
      </c>
      <c r="DA43" s="317">
        <f t="shared" si="2387"/>
        <v>0</v>
      </c>
      <c r="DB43" s="327">
        <f>CV43+CY43</f>
        <v>63</v>
      </c>
      <c r="DC43" s="316">
        <f>CW43+CZ43</f>
        <v>580</v>
      </c>
      <c r="DD43" s="328">
        <f>CX43+DA43</f>
        <v>11231196.83</v>
      </c>
    </row>
    <row r="44">
      <c r="B44" s="437"/>
      <c r="C44" s="437"/>
      <c r="D44" s="342"/>
      <c r="E44" s="343"/>
      <c r="F44" s="344"/>
      <c r="G44" s="343"/>
      <c r="H44" s="343"/>
      <c r="I44" s="344"/>
      <c r="J44" s="342"/>
      <c r="K44" s="343"/>
      <c r="L44" s="346"/>
      <c r="M44" s="343"/>
      <c r="N44" s="343"/>
      <c r="O44" s="347"/>
      <c r="P44" s="343"/>
      <c r="Q44" s="343"/>
      <c r="R44" s="344"/>
      <c r="S44" s="343"/>
      <c r="T44" s="343"/>
      <c r="U44" s="344"/>
      <c r="V44" s="348"/>
      <c r="W44" s="349"/>
      <c r="X44" s="344"/>
      <c r="Y44" s="350"/>
      <c r="Z44" s="350"/>
      <c r="AA44" s="347"/>
      <c r="AB44" s="350"/>
      <c r="AC44" s="350"/>
      <c r="AD44" s="344"/>
      <c r="AE44" s="350"/>
      <c r="AF44" s="350"/>
      <c r="AG44" s="344"/>
      <c r="AH44" s="351"/>
      <c r="AI44" s="350"/>
      <c r="AJ44" s="344"/>
      <c r="AK44" s="350"/>
      <c r="AL44" s="350"/>
      <c r="AM44" s="347"/>
      <c r="AN44" s="351"/>
      <c r="AO44" s="350"/>
      <c r="AP44" s="344"/>
      <c r="AQ44" s="350"/>
      <c r="AR44" s="350"/>
      <c r="AS44" s="347"/>
      <c r="AT44" s="351"/>
      <c r="AU44" s="352"/>
      <c r="AV44" s="344"/>
      <c r="AW44" s="350"/>
      <c r="AX44" s="350"/>
      <c r="AY44" s="347"/>
      <c r="AZ44" s="351"/>
      <c r="BA44" s="350"/>
      <c r="BB44" s="344"/>
      <c r="BC44" s="350"/>
      <c r="BD44" s="350"/>
      <c r="BE44" s="347"/>
      <c r="BF44" s="351"/>
      <c r="BG44" s="350"/>
      <c r="BH44" s="344"/>
      <c r="BI44" s="350"/>
      <c r="BJ44" s="350"/>
      <c r="BK44" s="347"/>
      <c r="BL44" s="351"/>
      <c r="BM44" s="350"/>
      <c r="BN44" s="344"/>
      <c r="BO44" s="350"/>
      <c r="BP44" s="350"/>
      <c r="BQ44" s="347"/>
      <c r="BR44" s="351"/>
      <c r="BS44" s="350"/>
      <c r="BT44" s="344"/>
      <c r="BU44" s="350"/>
      <c r="BV44" s="350"/>
      <c r="BW44" s="347"/>
      <c r="BX44" s="351"/>
      <c r="BY44" s="350"/>
      <c r="BZ44" s="344"/>
      <c r="CA44" s="350"/>
      <c r="CB44" s="350"/>
      <c r="CC44" s="347"/>
      <c r="CD44" s="351"/>
      <c r="CE44" s="350"/>
      <c r="CF44" s="344"/>
      <c r="CG44" s="350"/>
      <c r="CH44" s="350"/>
      <c r="CI44" s="347"/>
      <c r="CJ44" s="351"/>
      <c r="CK44" s="350"/>
      <c r="CL44" s="344"/>
      <c r="CM44" s="350"/>
      <c r="CN44" s="350"/>
      <c r="CO44" s="347"/>
      <c r="CP44" s="342"/>
      <c r="CQ44" s="343"/>
      <c r="CR44" s="344"/>
      <c r="CS44" s="343"/>
      <c r="CT44" s="343"/>
      <c r="CU44" s="344"/>
      <c r="CV44" s="534"/>
      <c r="CW44" s="343"/>
      <c r="CX44" s="344"/>
      <c r="CY44" s="343"/>
      <c r="CZ44" s="343"/>
      <c r="DA44" s="344"/>
      <c r="DB44" s="534"/>
      <c r="DC44" s="343"/>
      <c r="DD44" s="355"/>
    </row>
    <row r="45">
      <c r="B45" s="283" t="s">
        <v>203</v>
      </c>
      <c r="C45" s="283"/>
      <c r="D45" s="470">
        <v>81</v>
      </c>
      <c r="E45" s="280">
        <v>644</v>
      </c>
      <c r="F45" s="1">
        <v>4017274.1800000002</v>
      </c>
      <c r="G45" s="280"/>
      <c r="H45" s="280"/>
      <c r="J45" s="470"/>
      <c r="O45" s="38"/>
      <c r="V45" s="356">
        <f t="shared" si="2383"/>
        <v>81</v>
      </c>
      <c r="W45" s="357">
        <f t="shared" si="2383"/>
        <v>644</v>
      </c>
      <c r="X45" s="1">
        <f t="shared" si="2383"/>
        <v>4017274.1800000002</v>
      </c>
      <c r="Y45" s="281">
        <f t="shared" si="2383"/>
        <v>0</v>
      </c>
      <c r="Z45" s="281">
        <f t="shared" si="2383"/>
        <v>0</v>
      </c>
      <c r="AA45" s="38">
        <f t="shared" si="2383"/>
        <v>0</v>
      </c>
      <c r="AB45" s="281"/>
      <c r="AC45" s="281"/>
      <c r="AE45" s="281"/>
      <c r="AF45" s="281"/>
      <c r="AH45" s="282"/>
      <c r="AI45" s="281"/>
      <c r="AK45" s="281"/>
      <c r="AL45" s="281"/>
      <c r="AM45" s="38"/>
      <c r="AN45" s="282"/>
      <c r="AO45" s="281"/>
      <c r="AQ45" s="281"/>
      <c r="AR45" s="281"/>
      <c r="AS45" s="38"/>
      <c r="AT45" s="282">
        <f t="shared" si="2384"/>
        <v>81</v>
      </c>
      <c r="AU45" s="281">
        <f t="shared" si="2384"/>
        <v>644</v>
      </c>
      <c r="AV45" s="358">
        <f t="shared" si="2384"/>
        <v>4017274.1800000002</v>
      </c>
      <c r="AW45" s="281">
        <f t="shared" si="2384"/>
        <v>0</v>
      </c>
      <c r="AX45" s="281">
        <f t="shared" si="2384"/>
        <v>0</v>
      </c>
      <c r="AY45" s="359">
        <f t="shared" si="2384"/>
        <v>0</v>
      </c>
      <c r="AZ45" s="282"/>
      <c r="BA45" s="281"/>
      <c r="BC45" s="281"/>
      <c r="BD45" s="281"/>
      <c r="BE45" s="38"/>
      <c r="BF45" s="282"/>
      <c r="BG45" s="281"/>
      <c r="BI45" s="281"/>
      <c r="BJ45" s="281"/>
      <c r="BK45" s="38"/>
      <c r="BL45" s="282"/>
      <c r="BM45" s="281"/>
      <c r="BO45" s="281"/>
      <c r="BP45" s="281"/>
      <c r="BQ45" s="38"/>
      <c r="BR45" s="282">
        <f t="shared" si="2385"/>
        <v>0</v>
      </c>
      <c r="BS45" s="281">
        <f t="shared" si="2385"/>
        <v>0</v>
      </c>
      <c r="BT45" s="281">
        <f t="shared" si="2385"/>
        <v>0</v>
      </c>
      <c r="BU45" s="281">
        <f t="shared" si="2385"/>
        <v>0</v>
      </c>
      <c r="BV45" s="281">
        <f t="shared" si="2385"/>
        <v>0</v>
      </c>
      <c r="BW45" s="2344">
        <f t="shared" si="2385"/>
        <v>0</v>
      </c>
      <c r="BX45" s="282"/>
      <c r="BY45" s="281"/>
      <c r="CA45" s="281"/>
      <c r="CB45" s="281"/>
      <c r="CC45" s="38"/>
      <c r="CD45" s="282"/>
      <c r="CE45" s="281"/>
      <c r="CG45" s="281"/>
      <c r="CH45" s="281"/>
      <c r="CI45" s="38"/>
      <c r="CJ45" s="282"/>
      <c r="CK45" s="281"/>
      <c r="CM45" s="281"/>
      <c r="CN45" s="281"/>
      <c r="CO45" s="38"/>
      <c r="CP45" s="470">
        <f t="shared" si="2386"/>
        <v>0</v>
      </c>
      <c r="CQ45" s="280">
        <f t="shared" si="2386"/>
        <v>0</v>
      </c>
      <c r="CR45" s="1">
        <f t="shared" si="2386"/>
        <v>0</v>
      </c>
      <c r="CS45" s="280">
        <f t="shared" si="2386"/>
        <v>0</v>
      </c>
      <c r="CT45" s="280">
        <f t="shared" si="2386"/>
        <v>0</v>
      </c>
      <c r="CU45" s="1">
        <f t="shared" si="2386"/>
        <v>0</v>
      </c>
      <c r="CV45" s="535">
        <f t="shared" si="2387"/>
        <v>81</v>
      </c>
      <c r="CW45" s="280">
        <f t="shared" si="2387"/>
        <v>644</v>
      </c>
      <c r="CX45" s="1">
        <f t="shared" si="2387"/>
        <v>4017274.1800000002</v>
      </c>
      <c r="CY45" s="280">
        <f t="shared" si="2387"/>
        <v>0</v>
      </c>
      <c r="CZ45" s="280">
        <f t="shared" si="2387"/>
        <v>0</v>
      </c>
      <c r="DA45" s="1">
        <f t="shared" si="2387"/>
        <v>0</v>
      </c>
      <c r="DB45" s="535">
        <f>CV45+CY45</f>
        <v>81</v>
      </c>
      <c r="DC45" s="280">
        <f>CW45+CZ45</f>
        <v>644</v>
      </c>
      <c r="DD45" s="40">
        <f>CX45+DA45</f>
        <v>4017274.1800000002</v>
      </c>
    </row>
    <row r="46">
      <c r="B46" s="437"/>
      <c r="C46" s="437"/>
      <c r="D46" s="342"/>
      <c r="E46" s="343"/>
      <c r="F46" s="344"/>
      <c r="G46" s="343"/>
      <c r="H46" s="343"/>
      <c r="I46" s="344"/>
      <c r="J46" s="342"/>
      <c r="K46" s="343"/>
      <c r="L46" s="346"/>
      <c r="M46" s="343"/>
      <c r="N46" s="343"/>
      <c r="O46" s="347"/>
      <c r="P46" s="343"/>
      <c r="Q46" s="343"/>
      <c r="R46" s="344"/>
      <c r="S46" s="343"/>
      <c r="T46" s="343"/>
      <c r="U46" s="344"/>
      <c r="V46" s="348"/>
      <c r="W46" s="349"/>
      <c r="X46" s="344"/>
      <c r="Y46" s="350"/>
      <c r="Z46" s="350"/>
      <c r="AA46" s="347"/>
      <c r="AB46" s="350"/>
      <c r="AC46" s="350"/>
      <c r="AD46" s="344"/>
      <c r="AE46" s="350"/>
      <c r="AF46" s="350"/>
      <c r="AG46" s="344"/>
      <c r="AH46" s="351"/>
      <c r="AI46" s="350"/>
      <c r="AJ46" s="344"/>
      <c r="AK46" s="350"/>
      <c r="AL46" s="350"/>
      <c r="AM46" s="347"/>
      <c r="AN46" s="351"/>
      <c r="AO46" s="350"/>
      <c r="AP46" s="344"/>
      <c r="AQ46" s="350"/>
      <c r="AR46" s="350"/>
      <c r="AS46" s="347"/>
      <c r="AT46" s="351"/>
      <c r="AU46" s="352"/>
      <c r="AV46" s="344"/>
      <c r="AW46" s="350"/>
      <c r="AX46" s="350"/>
      <c r="AY46" s="347"/>
      <c r="AZ46" s="351"/>
      <c r="BA46" s="350"/>
      <c r="BB46" s="344"/>
      <c r="BC46" s="350"/>
      <c r="BD46" s="350"/>
      <c r="BE46" s="347"/>
      <c r="BF46" s="351"/>
      <c r="BG46" s="350"/>
      <c r="BH46" s="344"/>
      <c r="BI46" s="350"/>
      <c r="BJ46" s="350"/>
      <c r="BK46" s="347"/>
      <c r="BL46" s="351"/>
      <c r="BM46" s="350"/>
      <c r="BN46" s="344"/>
      <c r="BO46" s="350"/>
      <c r="BP46" s="350"/>
      <c r="BQ46" s="347"/>
      <c r="BR46" s="351"/>
      <c r="BS46" s="350"/>
      <c r="BT46" s="344"/>
      <c r="BU46" s="350"/>
      <c r="BV46" s="350"/>
      <c r="BW46" s="347"/>
      <c r="BX46" s="351"/>
      <c r="BY46" s="350"/>
      <c r="BZ46" s="344"/>
      <c r="CA46" s="350"/>
      <c r="CB46" s="350"/>
      <c r="CC46" s="347"/>
      <c r="CD46" s="351"/>
      <c r="CE46" s="350"/>
      <c r="CF46" s="344"/>
      <c r="CG46" s="350"/>
      <c r="CH46" s="350"/>
      <c r="CI46" s="347"/>
      <c r="CJ46" s="351"/>
      <c r="CK46" s="350"/>
      <c r="CL46" s="344"/>
      <c r="CM46" s="350"/>
      <c r="CN46" s="350"/>
      <c r="CO46" s="347"/>
      <c r="CP46" s="342"/>
      <c r="CQ46" s="343"/>
      <c r="CR46" s="344"/>
      <c r="CS46" s="343"/>
      <c r="CT46" s="343"/>
      <c r="CU46" s="344"/>
      <c r="CV46" s="535"/>
      <c r="CW46" s="280"/>
      <c r="CY46" s="280"/>
      <c r="CZ46" s="280"/>
      <c r="DB46" s="535"/>
      <c r="DC46" s="280"/>
      <c r="DD46" s="40"/>
    </row>
    <row r="47">
      <c r="B47" s="283" t="s">
        <v>204</v>
      </c>
      <c r="C47" s="283"/>
      <c r="D47" s="280">
        <v>76</v>
      </c>
      <c r="E47" s="280">
        <v>681</v>
      </c>
      <c r="F47" s="1">
        <v>3802580.8399999999</v>
      </c>
      <c r="G47" s="280"/>
      <c r="H47" s="280"/>
      <c r="J47" s="470"/>
      <c r="O47" s="38"/>
      <c r="V47" s="356">
        <f t="shared" si="2383"/>
        <v>76</v>
      </c>
      <c r="W47" s="357">
        <f t="shared" si="2383"/>
        <v>681</v>
      </c>
      <c r="X47" s="1">
        <f t="shared" si="2383"/>
        <v>3802580.8399999999</v>
      </c>
      <c r="Y47" s="281">
        <f t="shared" si="2383"/>
        <v>0</v>
      </c>
      <c r="Z47" s="281">
        <f t="shared" si="2383"/>
        <v>0</v>
      </c>
      <c r="AA47" s="38">
        <f t="shared" si="2383"/>
        <v>0</v>
      </c>
      <c r="AB47" s="281"/>
      <c r="AC47" s="281"/>
      <c r="AE47" s="281"/>
      <c r="AF47" s="281"/>
      <c r="AH47" s="282"/>
      <c r="AI47" s="281"/>
      <c r="AK47" s="281"/>
      <c r="AL47" s="281"/>
      <c r="AM47" s="38"/>
      <c r="AN47" s="282"/>
      <c r="AO47" s="281"/>
      <c r="AQ47" s="281"/>
      <c r="AR47" s="281"/>
      <c r="AS47" s="38"/>
      <c r="AT47" s="323">
        <f t="shared" si="2384"/>
        <v>76</v>
      </c>
      <c r="AU47" s="322">
        <f t="shared" si="2384"/>
        <v>681</v>
      </c>
      <c r="AV47" s="324">
        <f t="shared" si="2384"/>
        <v>3802580.8399999999</v>
      </c>
      <c r="AW47" s="322">
        <f t="shared" si="2384"/>
        <v>0</v>
      </c>
      <c r="AX47" s="322">
        <f t="shared" si="2384"/>
        <v>0</v>
      </c>
      <c r="AY47" s="325">
        <f t="shared" si="2384"/>
        <v>0</v>
      </c>
      <c r="AZ47" s="282"/>
      <c r="BA47" s="281"/>
      <c r="BC47" s="281"/>
      <c r="BD47" s="281"/>
      <c r="BE47" s="38"/>
      <c r="BF47" s="282"/>
      <c r="BG47" s="281"/>
      <c r="BI47" s="281"/>
      <c r="BJ47" s="281"/>
      <c r="BK47" s="38"/>
      <c r="BL47" s="282"/>
      <c r="BM47" s="281"/>
      <c r="BO47" s="281"/>
      <c r="BP47" s="281"/>
      <c r="BQ47" s="38"/>
      <c r="BR47" s="323">
        <f t="shared" si="2385"/>
        <v>0</v>
      </c>
      <c r="BS47" s="322">
        <f t="shared" si="2385"/>
        <v>0</v>
      </c>
      <c r="BT47" s="322">
        <f t="shared" si="2385"/>
        <v>0</v>
      </c>
      <c r="BU47" s="322">
        <f t="shared" si="2385"/>
        <v>0</v>
      </c>
      <c r="BV47" s="322">
        <f t="shared" si="2385"/>
        <v>0</v>
      </c>
      <c r="BW47" s="326">
        <f t="shared" si="2385"/>
        <v>0</v>
      </c>
      <c r="BX47" s="282"/>
      <c r="BY47" s="281"/>
      <c r="CA47" s="281"/>
      <c r="CB47" s="281"/>
      <c r="CC47" s="38"/>
      <c r="CD47" s="282"/>
      <c r="CE47" s="281"/>
      <c r="CG47" s="281"/>
      <c r="CH47" s="281"/>
      <c r="CI47" s="38"/>
      <c r="CJ47" s="282"/>
      <c r="CK47" s="281"/>
      <c r="CM47" s="281"/>
      <c r="CN47" s="281"/>
      <c r="CO47" s="38"/>
      <c r="CP47" s="315">
        <f t="shared" si="2386"/>
        <v>0</v>
      </c>
      <c r="CQ47" s="316">
        <f t="shared" si="2386"/>
        <v>0</v>
      </c>
      <c r="CR47" s="317">
        <f t="shared" si="2386"/>
        <v>0</v>
      </c>
      <c r="CS47" s="316">
        <f t="shared" si="2386"/>
        <v>0</v>
      </c>
      <c r="CT47" s="316">
        <f t="shared" si="2386"/>
        <v>0</v>
      </c>
      <c r="CU47" s="317">
        <f t="shared" si="2386"/>
        <v>0</v>
      </c>
      <c r="CV47" s="327">
        <f t="shared" si="2387"/>
        <v>76</v>
      </c>
      <c r="CW47" s="316">
        <f t="shared" si="2387"/>
        <v>681</v>
      </c>
      <c r="CX47" s="317">
        <f t="shared" si="2387"/>
        <v>3802580.8399999999</v>
      </c>
      <c r="CY47" s="316">
        <f t="shared" si="2387"/>
        <v>0</v>
      </c>
      <c r="CZ47" s="316">
        <f t="shared" si="2387"/>
        <v>0</v>
      </c>
      <c r="DA47" s="317">
        <f t="shared" si="2387"/>
        <v>0</v>
      </c>
      <c r="DB47" s="535">
        <f>CV47+CY47</f>
        <v>76</v>
      </c>
      <c r="DC47" s="280">
        <f>CW47+CZ47</f>
        <v>681</v>
      </c>
      <c r="DD47" s="40">
        <f>CX47+DA47</f>
        <v>3802580.8399999999</v>
      </c>
    </row>
    <row r="48">
      <c r="B48" s="437"/>
      <c r="C48" s="437"/>
      <c r="D48" s="280"/>
      <c r="E48" s="280"/>
      <c r="G48" s="280"/>
      <c r="H48" s="280"/>
      <c r="J48" s="470"/>
      <c r="L48" s="15"/>
      <c r="O48" s="38"/>
      <c r="V48" s="356"/>
      <c r="W48" s="357"/>
      <c r="Y48" s="281"/>
      <c r="Z48" s="281"/>
      <c r="AA48" s="38"/>
      <c r="AB48" s="281"/>
      <c r="AC48" s="281"/>
      <c r="AE48" s="281"/>
      <c r="AF48" s="281"/>
      <c r="AH48" s="282"/>
      <c r="AI48" s="281"/>
      <c r="AK48" s="281"/>
      <c r="AL48" s="281"/>
      <c r="AM48" s="38"/>
      <c r="AN48" s="282"/>
      <c r="AO48" s="281"/>
      <c r="AQ48" s="281"/>
      <c r="AR48" s="281"/>
      <c r="AS48" s="38"/>
      <c r="AT48" s="351"/>
      <c r="AU48" s="352"/>
      <c r="AV48" s="344"/>
      <c r="AW48" s="350"/>
      <c r="AX48" s="350"/>
      <c r="AY48" s="347"/>
      <c r="AZ48" s="282"/>
      <c r="BA48" s="281"/>
      <c r="BC48" s="281"/>
      <c r="BD48" s="281"/>
      <c r="BE48" s="38"/>
      <c r="BF48" s="282"/>
      <c r="BG48" s="281"/>
      <c r="BI48" s="281"/>
      <c r="BJ48" s="281"/>
      <c r="BK48" s="38"/>
      <c r="BL48" s="282"/>
      <c r="BM48" s="281"/>
      <c r="BO48" s="281"/>
      <c r="BP48" s="281"/>
      <c r="BQ48" s="38"/>
      <c r="BR48" s="351"/>
      <c r="BS48" s="350"/>
      <c r="BT48" s="344"/>
      <c r="BU48" s="350"/>
      <c r="BV48" s="350"/>
      <c r="BW48" s="347"/>
      <c r="BX48" s="282"/>
      <c r="BY48" s="281"/>
      <c r="CA48" s="281"/>
      <c r="CB48" s="281"/>
      <c r="CC48" s="38"/>
      <c r="CD48" s="282"/>
      <c r="CE48" s="281"/>
      <c r="CG48" s="281"/>
      <c r="CH48" s="281"/>
      <c r="CI48" s="38"/>
      <c r="CJ48" s="282"/>
      <c r="CK48" s="281"/>
      <c r="CM48" s="281"/>
      <c r="CN48" s="281"/>
      <c r="CO48" s="38"/>
      <c r="CP48" s="342"/>
      <c r="CQ48" s="343"/>
      <c r="CR48" s="344"/>
      <c r="CS48" s="343"/>
      <c r="CT48" s="343"/>
      <c r="CU48" s="344"/>
      <c r="CV48" s="534"/>
      <c r="CW48" s="343"/>
      <c r="CX48" s="344"/>
      <c r="CY48" s="343"/>
      <c r="CZ48" s="343"/>
      <c r="DA48" s="344"/>
      <c r="DB48" s="535"/>
      <c r="DC48" s="280"/>
      <c r="DD48" s="40"/>
    </row>
    <row r="49">
      <c r="B49" s="283" t="s">
        <v>205</v>
      </c>
      <c r="C49" s="283"/>
      <c r="D49" s="315">
        <v>58</v>
      </c>
      <c r="E49" s="316">
        <v>987</v>
      </c>
      <c r="F49" s="317">
        <v>8187784.5700000003</v>
      </c>
      <c r="G49" s="316"/>
      <c r="H49" s="316"/>
      <c r="I49" s="317"/>
      <c r="J49" s="315"/>
      <c r="K49" s="316"/>
      <c r="L49" s="317"/>
      <c r="M49" s="316"/>
      <c r="N49" s="316"/>
      <c r="O49" s="319"/>
      <c r="P49" s="316"/>
      <c r="Q49" s="316"/>
      <c r="R49" s="317"/>
      <c r="S49" s="316"/>
      <c r="T49" s="316"/>
      <c r="U49" s="317"/>
      <c r="V49" s="320">
        <f t="shared" si="2383"/>
        <v>58</v>
      </c>
      <c r="W49" s="321">
        <f t="shared" si="2383"/>
        <v>987</v>
      </c>
      <c r="X49" s="317">
        <f t="shared" si="2383"/>
        <v>8187784.5700000003</v>
      </c>
      <c r="Y49" s="322">
        <f t="shared" si="2383"/>
        <v>0</v>
      </c>
      <c r="Z49" s="322">
        <f t="shared" si="2383"/>
        <v>0</v>
      </c>
      <c r="AA49" s="319">
        <f t="shared" si="2383"/>
        <v>0</v>
      </c>
      <c r="AB49" s="322"/>
      <c r="AC49" s="322"/>
      <c r="AD49" s="317"/>
      <c r="AE49" s="322"/>
      <c r="AF49" s="322"/>
      <c r="AG49" s="317"/>
      <c r="AH49" s="323"/>
      <c r="AI49" s="322"/>
      <c r="AJ49" s="317"/>
      <c r="AK49" s="322"/>
      <c r="AL49" s="322"/>
      <c r="AM49" s="319"/>
      <c r="AN49" s="323"/>
      <c r="AO49" s="322"/>
      <c r="AP49" s="317"/>
      <c r="AQ49" s="322"/>
      <c r="AR49" s="322"/>
      <c r="AS49" s="319"/>
      <c r="AT49" s="323">
        <f t="shared" si="2384"/>
        <v>58</v>
      </c>
      <c r="AU49" s="322">
        <f t="shared" si="2384"/>
        <v>987</v>
      </c>
      <c r="AV49" s="324">
        <f t="shared" si="2384"/>
        <v>8187784.5700000003</v>
      </c>
      <c r="AW49" s="322">
        <f t="shared" si="2384"/>
        <v>0</v>
      </c>
      <c r="AX49" s="322">
        <f t="shared" si="2384"/>
        <v>0</v>
      </c>
      <c r="AY49" s="325">
        <f t="shared" si="2384"/>
        <v>0</v>
      </c>
      <c r="AZ49" s="323"/>
      <c r="BA49" s="322"/>
      <c r="BB49" s="317"/>
      <c r="BC49" s="322"/>
      <c r="BD49" s="322"/>
      <c r="BE49" s="319"/>
      <c r="BF49" s="323"/>
      <c r="BG49" s="322"/>
      <c r="BH49" s="317"/>
      <c r="BI49" s="322"/>
      <c r="BJ49" s="322"/>
      <c r="BK49" s="319"/>
      <c r="BL49" s="323"/>
      <c r="BM49" s="322"/>
      <c r="BN49" s="317"/>
      <c r="BO49" s="322"/>
      <c r="BP49" s="322"/>
      <c r="BQ49" s="319"/>
      <c r="BR49" s="323">
        <f t="shared" si="2385"/>
        <v>0</v>
      </c>
      <c r="BS49" s="322">
        <f t="shared" si="2385"/>
        <v>0</v>
      </c>
      <c r="BT49" s="322">
        <f t="shared" si="2385"/>
        <v>0</v>
      </c>
      <c r="BU49" s="322">
        <f t="shared" si="2385"/>
        <v>0</v>
      </c>
      <c r="BV49" s="322">
        <f t="shared" si="2385"/>
        <v>0</v>
      </c>
      <c r="BW49" s="326">
        <f t="shared" si="2385"/>
        <v>0</v>
      </c>
      <c r="BX49" s="323"/>
      <c r="BY49" s="322"/>
      <c r="BZ49" s="317"/>
      <c r="CA49" s="322"/>
      <c r="CB49" s="322"/>
      <c r="CC49" s="319"/>
      <c r="CD49" s="323"/>
      <c r="CE49" s="322"/>
      <c r="CF49" s="317"/>
      <c r="CG49" s="322"/>
      <c r="CH49" s="322"/>
      <c r="CI49" s="319"/>
      <c r="CJ49" s="323"/>
      <c r="CK49" s="322"/>
      <c r="CL49" s="317"/>
      <c r="CM49" s="322"/>
      <c r="CN49" s="322"/>
      <c r="CO49" s="319"/>
      <c r="CP49" s="315">
        <f t="shared" si="2386"/>
        <v>0</v>
      </c>
      <c r="CQ49" s="316">
        <f t="shared" si="2386"/>
        <v>0</v>
      </c>
      <c r="CR49" s="317">
        <f t="shared" si="2386"/>
        <v>0</v>
      </c>
      <c r="CS49" s="316">
        <f t="shared" si="2386"/>
        <v>0</v>
      </c>
      <c r="CT49" s="316">
        <f t="shared" si="2386"/>
        <v>0</v>
      </c>
      <c r="CU49" s="317">
        <f t="shared" si="2386"/>
        <v>0</v>
      </c>
      <c r="CV49" s="535">
        <f t="shared" si="2387"/>
        <v>58</v>
      </c>
      <c r="CW49" s="280">
        <f t="shared" si="2387"/>
        <v>987</v>
      </c>
      <c r="CX49" s="1">
        <f t="shared" si="2387"/>
        <v>8187784.5700000003</v>
      </c>
      <c r="CY49" s="280">
        <f t="shared" si="2387"/>
        <v>0</v>
      </c>
      <c r="CZ49" s="280">
        <f t="shared" si="2387"/>
        <v>0</v>
      </c>
      <c r="DA49" s="1">
        <f t="shared" si="2387"/>
        <v>0</v>
      </c>
      <c r="DB49" s="535">
        <f>CV49+CY49</f>
        <v>58</v>
      </c>
      <c r="DC49" s="280">
        <f>CW49+CZ49</f>
        <v>987</v>
      </c>
      <c r="DD49" s="40">
        <f>CX49+DA49</f>
        <v>8187784.5700000003</v>
      </c>
    </row>
    <row r="50">
      <c r="B50" s="437"/>
      <c r="C50" s="437"/>
      <c r="D50" s="342"/>
      <c r="E50" s="343"/>
      <c r="F50" s="344"/>
      <c r="G50" s="343"/>
      <c r="H50" s="343"/>
      <c r="I50" s="344"/>
      <c r="J50" s="342"/>
      <c r="K50" s="343"/>
      <c r="L50" s="346"/>
      <c r="M50" s="343"/>
      <c r="N50" s="343"/>
      <c r="O50" s="347"/>
      <c r="P50" s="343"/>
      <c r="Q50" s="343"/>
      <c r="R50" s="344"/>
      <c r="S50" s="343"/>
      <c r="T50" s="343"/>
      <c r="U50" s="344"/>
      <c r="V50" s="348"/>
      <c r="W50" s="349"/>
      <c r="X50" s="344"/>
      <c r="Y50" s="350"/>
      <c r="Z50" s="350"/>
      <c r="AA50" s="347"/>
      <c r="AB50" s="350"/>
      <c r="AC50" s="350"/>
      <c r="AD50" s="344"/>
      <c r="AE50" s="350"/>
      <c r="AF50" s="350"/>
      <c r="AG50" s="344"/>
      <c r="AH50" s="351"/>
      <c r="AI50" s="350"/>
      <c r="AJ50" s="344"/>
      <c r="AK50" s="350"/>
      <c r="AL50" s="350"/>
      <c r="AM50" s="347"/>
      <c r="AN50" s="351"/>
      <c r="AO50" s="350"/>
      <c r="AP50" s="344"/>
      <c r="AQ50" s="350"/>
      <c r="AR50" s="350"/>
      <c r="AS50" s="347"/>
      <c r="AT50" s="351"/>
      <c r="AU50" s="352"/>
      <c r="AV50" s="344"/>
      <c r="AW50" s="350"/>
      <c r="AX50" s="350"/>
      <c r="AY50" s="347"/>
      <c r="AZ50" s="351"/>
      <c r="BA50" s="350"/>
      <c r="BB50" s="344"/>
      <c r="BC50" s="350"/>
      <c r="BD50" s="350"/>
      <c r="BE50" s="347"/>
      <c r="BF50" s="351"/>
      <c r="BG50" s="350"/>
      <c r="BH50" s="344"/>
      <c r="BI50" s="350"/>
      <c r="BJ50" s="350"/>
      <c r="BK50" s="347"/>
      <c r="BL50" s="351"/>
      <c r="BM50" s="350"/>
      <c r="BN50" s="344"/>
      <c r="BO50" s="350"/>
      <c r="BP50" s="350"/>
      <c r="BQ50" s="347"/>
      <c r="BR50" s="351"/>
      <c r="BS50" s="350"/>
      <c r="BT50" s="344"/>
      <c r="BU50" s="350"/>
      <c r="BV50" s="350"/>
      <c r="BW50" s="347"/>
      <c r="BX50" s="351"/>
      <c r="BY50" s="350"/>
      <c r="BZ50" s="344"/>
      <c r="CA50" s="350"/>
      <c r="CB50" s="350"/>
      <c r="CC50" s="347"/>
      <c r="CD50" s="351"/>
      <c r="CE50" s="350"/>
      <c r="CF50" s="344"/>
      <c r="CG50" s="350"/>
      <c r="CH50" s="350"/>
      <c r="CI50" s="347"/>
      <c r="CJ50" s="351"/>
      <c r="CK50" s="350"/>
      <c r="CL50" s="344"/>
      <c r="CM50" s="350"/>
      <c r="CN50" s="350"/>
      <c r="CO50" s="347"/>
      <c r="CP50" s="342"/>
      <c r="CQ50" s="343"/>
      <c r="CR50" s="344"/>
      <c r="CS50" s="343"/>
      <c r="CT50" s="343"/>
      <c r="CU50" s="344"/>
      <c r="CV50" s="535"/>
      <c r="CW50" s="280"/>
      <c r="CY50" s="280"/>
      <c r="CZ50" s="280"/>
      <c r="DB50" s="535"/>
      <c r="DC50" s="280"/>
      <c r="DD50" s="40"/>
    </row>
    <row r="51">
      <c r="B51" s="283" t="s">
        <v>206</v>
      </c>
      <c r="C51" s="283"/>
      <c r="D51" s="280">
        <v>97</v>
      </c>
      <c r="E51" s="280">
        <v>788</v>
      </c>
      <c r="F51" s="1">
        <v>8037091.6699999999</v>
      </c>
      <c r="G51" s="280"/>
      <c r="H51" s="280"/>
      <c r="J51" s="470"/>
      <c r="O51" s="38"/>
      <c r="V51" s="356">
        <f t="shared" si="2383"/>
        <v>97</v>
      </c>
      <c r="W51" s="357">
        <f t="shared" si="2383"/>
        <v>788</v>
      </c>
      <c r="X51" s="1">
        <f t="shared" si="2383"/>
        <v>8037091.6699999999</v>
      </c>
      <c r="Y51" s="281">
        <f t="shared" si="2383"/>
        <v>0</v>
      </c>
      <c r="Z51" s="281">
        <f t="shared" si="2383"/>
        <v>0</v>
      </c>
      <c r="AA51" s="38">
        <f t="shared" si="2383"/>
        <v>0</v>
      </c>
      <c r="AB51" s="281"/>
      <c r="AC51" s="281"/>
      <c r="AE51" s="281"/>
      <c r="AF51" s="281"/>
      <c r="AH51" s="282"/>
      <c r="AI51" s="281"/>
      <c r="AK51" s="281"/>
      <c r="AL51" s="281"/>
      <c r="AM51" s="38"/>
      <c r="AN51" s="282"/>
      <c r="AO51" s="281"/>
      <c r="AQ51" s="281"/>
      <c r="AR51" s="281"/>
      <c r="AS51" s="38"/>
      <c r="AT51" s="323">
        <f t="shared" si="2384"/>
        <v>97</v>
      </c>
      <c r="AU51" s="322">
        <f t="shared" si="2384"/>
        <v>788</v>
      </c>
      <c r="AV51" s="324">
        <f t="shared" si="2384"/>
        <v>8037091.6699999999</v>
      </c>
      <c r="AW51" s="322">
        <f t="shared" si="2384"/>
        <v>0</v>
      </c>
      <c r="AX51" s="322">
        <f t="shared" si="2384"/>
        <v>0</v>
      </c>
      <c r="AY51" s="325">
        <f t="shared" si="2384"/>
        <v>0</v>
      </c>
      <c r="AZ51" s="282"/>
      <c r="BA51" s="281"/>
      <c r="BC51" s="281"/>
      <c r="BD51" s="281"/>
      <c r="BE51" s="38"/>
      <c r="BF51" s="282"/>
      <c r="BG51" s="281"/>
      <c r="BI51" s="281"/>
      <c r="BJ51" s="281"/>
      <c r="BK51" s="38"/>
      <c r="BL51" s="282"/>
      <c r="BM51" s="281"/>
      <c r="BO51" s="281"/>
      <c r="BP51" s="281"/>
      <c r="BQ51" s="38"/>
      <c r="BR51" s="323">
        <f t="shared" si="2385"/>
        <v>0</v>
      </c>
      <c r="BS51" s="322">
        <f t="shared" si="2385"/>
        <v>0</v>
      </c>
      <c r="BT51" s="322">
        <f t="shared" si="2385"/>
        <v>0</v>
      </c>
      <c r="BU51" s="322">
        <f t="shared" si="2385"/>
        <v>0</v>
      </c>
      <c r="BV51" s="322">
        <f t="shared" si="2385"/>
        <v>0</v>
      </c>
      <c r="BW51" s="326">
        <f t="shared" si="2385"/>
        <v>0</v>
      </c>
      <c r="BX51" s="282"/>
      <c r="BY51" s="281"/>
      <c r="CA51" s="281"/>
      <c r="CB51" s="281"/>
      <c r="CC51" s="38"/>
      <c r="CD51" s="282"/>
      <c r="CE51" s="281"/>
      <c r="CG51" s="281"/>
      <c r="CH51" s="281"/>
      <c r="CI51" s="38"/>
      <c r="CJ51" s="282"/>
      <c r="CK51" s="281"/>
      <c r="CM51" s="281"/>
      <c r="CN51" s="281"/>
      <c r="CO51" s="38"/>
      <c r="CP51" s="315">
        <f t="shared" si="2386"/>
        <v>0</v>
      </c>
      <c r="CQ51" s="316">
        <f t="shared" si="2386"/>
        <v>0</v>
      </c>
      <c r="CR51" s="317">
        <f t="shared" si="2386"/>
        <v>0</v>
      </c>
      <c r="CS51" s="316">
        <f t="shared" si="2386"/>
        <v>0</v>
      </c>
      <c r="CT51" s="316">
        <f t="shared" si="2386"/>
        <v>0</v>
      </c>
      <c r="CU51" s="317">
        <f t="shared" si="2386"/>
        <v>0</v>
      </c>
      <c r="CV51" s="327">
        <f t="shared" si="2387"/>
        <v>97</v>
      </c>
      <c r="CW51" s="316">
        <f t="shared" si="2387"/>
        <v>788</v>
      </c>
      <c r="CX51" s="317">
        <f t="shared" si="2387"/>
        <v>8037091.6699999999</v>
      </c>
      <c r="CY51" s="316">
        <f t="shared" si="2387"/>
        <v>0</v>
      </c>
      <c r="CZ51" s="316">
        <f t="shared" si="2387"/>
        <v>0</v>
      </c>
      <c r="DA51" s="317">
        <f t="shared" si="2387"/>
        <v>0</v>
      </c>
      <c r="DB51" s="535">
        <f>CV51+CY51</f>
        <v>97</v>
      </c>
      <c r="DC51" s="280">
        <f>CW51+CZ51</f>
        <v>788</v>
      </c>
      <c r="DD51" s="40">
        <f>CX51+DA51</f>
        <v>8037091.6699999999</v>
      </c>
    </row>
    <row r="52">
      <c r="B52" s="437"/>
      <c r="C52" s="437"/>
      <c r="D52" s="280"/>
      <c r="E52" s="280"/>
      <c r="G52" s="280"/>
      <c r="H52" s="280"/>
      <c r="J52" s="470"/>
      <c r="L52" s="15"/>
      <c r="O52" s="38"/>
      <c r="V52" s="356"/>
      <c r="W52" s="357"/>
      <c r="Y52" s="281"/>
      <c r="Z52" s="281"/>
      <c r="AA52" s="38"/>
      <c r="AB52" s="281"/>
      <c r="AC52" s="281"/>
      <c r="AE52" s="281"/>
      <c r="AF52" s="281"/>
      <c r="AH52" s="282"/>
      <c r="AI52" s="281"/>
      <c r="AK52" s="281"/>
      <c r="AL52" s="281"/>
      <c r="AM52" s="38"/>
      <c r="AN52" s="282"/>
      <c r="AO52" s="281"/>
      <c r="AQ52" s="281"/>
      <c r="AR52" s="281"/>
      <c r="AS52" s="38"/>
      <c r="AT52" s="351"/>
      <c r="AU52" s="352"/>
      <c r="AV52" s="344"/>
      <c r="AW52" s="350"/>
      <c r="AX52" s="350"/>
      <c r="AY52" s="347"/>
      <c r="AZ52" s="282"/>
      <c r="BA52" s="281"/>
      <c r="BC52" s="281"/>
      <c r="BD52" s="281"/>
      <c r="BE52" s="38"/>
      <c r="BF52" s="282"/>
      <c r="BG52" s="281"/>
      <c r="BI52" s="281"/>
      <c r="BJ52" s="281"/>
      <c r="BK52" s="38"/>
      <c r="BL52" s="282"/>
      <c r="BM52" s="281"/>
      <c r="BO52" s="281"/>
      <c r="BP52" s="281"/>
      <c r="BQ52" s="38"/>
      <c r="BR52" s="351"/>
      <c r="BS52" s="350"/>
      <c r="BT52" s="344"/>
      <c r="BU52" s="350"/>
      <c r="BV52" s="350"/>
      <c r="BW52" s="347"/>
      <c r="BX52" s="282"/>
      <c r="BY52" s="281"/>
      <c r="CA52" s="281"/>
      <c r="CB52" s="281"/>
      <c r="CC52" s="38"/>
      <c r="CD52" s="282"/>
      <c r="CE52" s="281"/>
      <c r="CG52" s="281"/>
      <c r="CH52" s="281"/>
      <c r="CI52" s="38"/>
      <c r="CJ52" s="282"/>
      <c r="CK52" s="281"/>
      <c r="CM52" s="281"/>
      <c r="CN52" s="281"/>
      <c r="CO52" s="38"/>
      <c r="CP52" s="342"/>
      <c r="CQ52" s="343"/>
      <c r="CR52" s="344"/>
      <c r="CS52" s="343"/>
      <c r="CT52" s="343"/>
      <c r="CU52" s="344"/>
      <c r="CV52" s="534"/>
      <c r="CW52" s="343"/>
      <c r="CX52" s="344"/>
      <c r="CY52" s="343"/>
      <c r="CZ52" s="343"/>
      <c r="DA52" s="344"/>
      <c r="DB52" s="535"/>
      <c r="DC52" s="280"/>
      <c r="DD52" s="40"/>
    </row>
    <row r="53">
      <c r="B53" s="283" t="s">
        <v>207</v>
      </c>
      <c r="C53" s="283"/>
      <c r="D53" s="315">
        <v>48</v>
      </c>
      <c r="E53" s="316">
        <v>938</v>
      </c>
      <c r="F53" s="317">
        <v>7498567.4000000004</v>
      </c>
      <c r="G53" s="316"/>
      <c r="H53" s="316"/>
      <c r="I53" s="317"/>
      <c r="J53" s="315"/>
      <c r="K53" s="316"/>
      <c r="L53" s="317"/>
      <c r="M53" s="316"/>
      <c r="N53" s="316"/>
      <c r="O53" s="319"/>
      <c r="P53" s="316"/>
      <c r="Q53" s="316"/>
      <c r="R53" s="317"/>
      <c r="S53" s="316"/>
      <c r="T53" s="316"/>
      <c r="U53" s="317"/>
      <c r="V53" s="320">
        <f t="shared" si="2383"/>
        <v>48</v>
      </c>
      <c r="W53" s="321">
        <f t="shared" si="2383"/>
        <v>938</v>
      </c>
      <c r="X53" s="317">
        <f t="shared" si="2383"/>
        <v>7498567.4000000004</v>
      </c>
      <c r="Y53" s="322">
        <f t="shared" si="2383"/>
        <v>0</v>
      </c>
      <c r="Z53" s="322">
        <f t="shared" si="2383"/>
        <v>0</v>
      </c>
      <c r="AA53" s="319">
        <f t="shared" si="2383"/>
        <v>0</v>
      </c>
      <c r="AB53" s="322"/>
      <c r="AC53" s="322"/>
      <c r="AD53" s="317"/>
      <c r="AE53" s="322"/>
      <c r="AF53" s="322"/>
      <c r="AG53" s="317"/>
      <c r="AH53" s="323"/>
      <c r="AI53" s="322"/>
      <c r="AJ53" s="317"/>
      <c r="AK53" s="322"/>
      <c r="AL53" s="322"/>
      <c r="AM53" s="319"/>
      <c r="AN53" s="323"/>
      <c r="AO53" s="322"/>
      <c r="AP53" s="317"/>
      <c r="AQ53" s="322"/>
      <c r="AR53" s="322"/>
      <c r="AS53" s="319"/>
      <c r="AT53" s="323">
        <f t="shared" si="2384"/>
        <v>48</v>
      </c>
      <c r="AU53" s="322">
        <f t="shared" si="2384"/>
        <v>938</v>
      </c>
      <c r="AV53" s="324">
        <f t="shared" si="2384"/>
        <v>7498567.4000000004</v>
      </c>
      <c r="AW53" s="322">
        <f t="shared" si="2384"/>
        <v>0</v>
      </c>
      <c r="AX53" s="322">
        <f t="shared" si="2384"/>
        <v>0</v>
      </c>
      <c r="AY53" s="325">
        <f t="shared" si="2384"/>
        <v>0</v>
      </c>
      <c r="AZ53" s="323"/>
      <c r="BA53" s="322"/>
      <c r="BB53" s="317"/>
      <c r="BC53" s="322"/>
      <c r="BD53" s="322"/>
      <c r="BE53" s="319"/>
      <c r="BF53" s="323"/>
      <c r="BG53" s="322"/>
      <c r="BH53" s="317"/>
      <c r="BI53" s="322"/>
      <c r="BJ53" s="322"/>
      <c r="BK53" s="319"/>
      <c r="BL53" s="323"/>
      <c r="BM53" s="322"/>
      <c r="BN53" s="317"/>
      <c r="BO53" s="322"/>
      <c r="BP53" s="322"/>
      <c r="BQ53" s="319"/>
      <c r="BR53" s="323">
        <f t="shared" si="2385"/>
        <v>0</v>
      </c>
      <c r="BS53" s="322">
        <f t="shared" si="2385"/>
        <v>0</v>
      </c>
      <c r="BT53" s="322">
        <f t="shared" si="2385"/>
        <v>0</v>
      </c>
      <c r="BU53" s="322">
        <f t="shared" si="2385"/>
        <v>0</v>
      </c>
      <c r="BV53" s="322">
        <f t="shared" si="2385"/>
        <v>0</v>
      </c>
      <c r="BW53" s="326">
        <f t="shared" si="2385"/>
        <v>0</v>
      </c>
      <c r="BX53" s="323"/>
      <c r="BY53" s="322"/>
      <c r="BZ53" s="317"/>
      <c r="CA53" s="322"/>
      <c r="CB53" s="322"/>
      <c r="CC53" s="319"/>
      <c r="CD53" s="323"/>
      <c r="CE53" s="322"/>
      <c r="CF53" s="317"/>
      <c r="CG53" s="322"/>
      <c r="CH53" s="322"/>
      <c r="CI53" s="319"/>
      <c r="CJ53" s="323"/>
      <c r="CK53" s="322"/>
      <c r="CL53" s="317"/>
      <c r="CM53" s="322"/>
      <c r="CN53" s="322"/>
      <c r="CO53" s="319"/>
      <c r="CP53" s="315">
        <f t="shared" si="2386"/>
        <v>0</v>
      </c>
      <c r="CQ53" s="316">
        <f t="shared" si="2386"/>
        <v>0</v>
      </c>
      <c r="CR53" s="317">
        <f t="shared" si="2386"/>
        <v>0</v>
      </c>
      <c r="CS53" s="316">
        <f t="shared" si="2386"/>
        <v>0</v>
      </c>
      <c r="CT53" s="316">
        <f t="shared" si="2386"/>
        <v>0</v>
      </c>
      <c r="CU53" s="317">
        <f t="shared" si="2386"/>
        <v>0</v>
      </c>
      <c r="CV53" s="535">
        <f t="shared" si="2387"/>
        <v>48</v>
      </c>
      <c r="CW53" s="280">
        <f t="shared" si="2387"/>
        <v>938</v>
      </c>
      <c r="CX53" s="1">
        <f t="shared" si="2387"/>
        <v>7498567.4000000004</v>
      </c>
      <c r="CY53" s="280">
        <f t="shared" si="2387"/>
        <v>0</v>
      </c>
      <c r="CZ53" s="280">
        <f t="shared" si="2387"/>
        <v>0</v>
      </c>
      <c r="DA53" s="1">
        <f t="shared" si="2387"/>
        <v>0</v>
      </c>
      <c r="DB53" s="535">
        <f>CV53+CY53</f>
        <v>48</v>
      </c>
      <c r="DC53" s="280">
        <f>CW53+CZ53</f>
        <v>938</v>
      </c>
      <c r="DD53" s="40">
        <f>CX53+DA53</f>
        <v>7498567.4000000004</v>
      </c>
    </row>
    <row r="54">
      <c r="B54" s="437"/>
      <c r="C54" s="437"/>
      <c r="D54" s="342"/>
      <c r="E54" s="343"/>
      <c r="F54" s="344"/>
      <c r="G54" s="343"/>
      <c r="H54" s="343"/>
      <c r="I54" s="344"/>
      <c r="J54" s="342"/>
      <c r="K54" s="343"/>
      <c r="L54" s="346"/>
      <c r="M54" s="343"/>
      <c r="N54" s="343"/>
      <c r="O54" s="347"/>
      <c r="P54" s="343"/>
      <c r="Q54" s="343"/>
      <c r="R54" s="344"/>
      <c r="S54" s="343"/>
      <c r="T54" s="343"/>
      <c r="U54" s="344"/>
      <c r="V54" s="348"/>
      <c r="W54" s="349"/>
      <c r="X54" s="344"/>
      <c r="Y54" s="350"/>
      <c r="Z54" s="350"/>
      <c r="AA54" s="347"/>
      <c r="AB54" s="350"/>
      <c r="AC54" s="350"/>
      <c r="AD54" s="344"/>
      <c r="AE54" s="350"/>
      <c r="AF54" s="350"/>
      <c r="AG54" s="344"/>
      <c r="AH54" s="351"/>
      <c r="AI54" s="350"/>
      <c r="AJ54" s="344"/>
      <c r="AK54" s="350"/>
      <c r="AL54" s="350"/>
      <c r="AM54" s="347"/>
      <c r="AN54" s="351"/>
      <c r="AO54" s="350"/>
      <c r="AP54" s="344"/>
      <c r="AQ54" s="350"/>
      <c r="AR54" s="350"/>
      <c r="AS54" s="347"/>
      <c r="AT54" s="351"/>
      <c r="AU54" s="352"/>
      <c r="AV54" s="344"/>
      <c r="AW54" s="350"/>
      <c r="AX54" s="350"/>
      <c r="AY54" s="347"/>
      <c r="AZ54" s="351"/>
      <c r="BA54" s="350"/>
      <c r="BB54" s="344"/>
      <c r="BC54" s="350"/>
      <c r="BD54" s="350"/>
      <c r="BE54" s="347"/>
      <c r="BF54" s="351"/>
      <c r="BG54" s="350"/>
      <c r="BH54" s="344"/>
      <c r="BI54" s="350"/>
      <c r="BJ54" s="350"/>
      <c r="BK54" s="347"/>
      <c r="BL54" s="351"/>
      <c r="BM54" s="350"/>
      <c r="BN54" s="344"/>
      <c r="BO54" s="350"/>
      <c r="BP54" s="350"/>
      <c r="BQ54" s="347"/>
      <c r="BR54" s="351"/>
      <c r="BS54" s="350"/>
      <c r="BT54" s="344"/>
      <c r="BU54" s="350"/>
      <c r="BV54" s="350"/>
      <c r="BW54" s="347"/>
      <c r="BX54" s="351"/>
      <c r="BY54" s="350"/>
      <c r="BZ54" s="344"/>
      <c r="CA54" s="350"/>
      <c r="CB54" s="350"/>
      <c r="CC54" s="347"/>
      <c r="CD54" s="351"/>
      <c r="CE54" s="350"/>
      <c r="CF54" s="344"/>
      <c r="CG54" s="350"/>
      <c r="CH54" s="350"/>
      <c r="CI54" s="347"/>
      <c r="CJ54" s="351"/>
      <c r="CK54" s="350"/>
      <c r="CL54" s="344"/>
      <c r="CM54" s="350"/>
      <c r="CN54" s="350"/>
      <c r="CO54" s="347"/>
      <c r="CP54" s="342"/>
      <c r="CQ54" s="343"/>
      <c r="CR54" s="344"/>
      <c r="CS54" s="343"/>
      <c r="CT54" s="343"/>
      <c r="CU54" s="344"/>
      <c r="CV54" s="535"/>
      <c r="CW54" s="280"/>
      <c r="CY54" s="280"/>
      <c r="CZ54" s="280"/>
      <c r="DB54" s="535"/>
      <c r="DC54" s="280"/>
      <c r="DD54" s="40"/>
    </row>
    <row r="55">
      <c r="B55" s="283" t="s">
        <v>209</v>
      </c>
      <c r="C55" s="283"/>
      <c r="D55" s="280">
        <v>109</v>
      </c>
      <c r="E55" s="280">
        <v>1028</v>
      </c>
      <c r="F55" s="1">
        <v>8511088.6699999999</v>
      </c>
      <c r="G55" s="280"/>
      <c r="H55" s="280"/>
      <c r="J55" s="470"/>
      <c r="O55" s="38"/>
      <c r="V55" s="356">
        <f t="shared" si="2383"/>
        <v>109</v>
      </c>
      <c r="W55" s="357">
        <f t="shared" si="2383"/>
        <v>1028</v>
      </c>
      <c r="X55" s="1">
        <f t="shared" si="2383"/>
        <v>8511088.6699999999</v>
      </c>
      <c r="Y55" s="281">
        <f t="shared" si="2383"/>
        <v>0</v>
      </c>
      <c r="Z55" s="281">
        <f t="shared" si="2383"/>
        <v>0</v>
      </c>
      <c r="AA55" s="38">
        <f t="shared" si="2383"/>
        <v>0</v>
      </c>
      <c r="AB55" s="281"/>
      <c r="AC55" s="281"/>
      <c r="AE55" s="281"/>
      <c r="AF55" s="281"/>
      <c r="AH55" s="282"/>
      <c r="AI55" s="281"/>
      <c r="AK55" s="281"/>
      <c r="AL55" s="281"/>
      <c r="AM55" s="38"/>
      <c r="AN55" s="282"/>
      <c r="AO55" s="281"/>
      <c r="AQ55" s="281"/>
      <c r="AR55" s="281"/>
      <c r="AS55" s="38"/>
      <c r="AT55" s="323">
        <f t="shared" si="2384"/>
        <v>109</v>
      </c>
      <c r="AU55" s="322">
        <f t="shared" si="2384"/>
        <v>1028</v>
      </c>
      <c r="AV55" s="324">
        <f t="shared" si="2384"/>
        <v>8511088.6699999999</v>
      </c>
      <c r="AW55" s="322">
        <f t="shared" si="2384"/>
        <v>0</v>
      </c>
      <c r="AX55" s="322">
        <f t="shared" si="2384"/>
        <v>0</v>
      </c>
      <c r="AY55" s="325">
        <f t="shared" si="2384"/>
        <v>0</v>
      </c>
      <c r="AZ55" s="282"/>
      <c r="BA55" s="281"/>
      <c r="BC55" s="281"/>
      <c r="BD55" s="281"/>
      <c r="BE55" s="38"/>
      <c r="BF55" s="282"/>
      <c r="BG55" s="281"/>
      <c r="BI55" s="281"/>
      <c r="BJ55" s="281"/>
      <c r="BK55" s="38"/>
      <c r="BL55" s="282"/>
      <c r="BM55" s="281"/>
      <c r="BO55" s="281"/>
      <c r="BP55" s="281"/>
      <c r="BQ55" s="38"/>
      <c r="BR55" s="323">
        <f t="shared" si="2385"/>
        <v>0</v>
      </c>
      <c r="BS55" s="322">
        <f t="shared" si="2385"/>
        <v>0</v>
      </c>
      <c r="BT55" s="322">
        <f t="shared" si="2385"/>
        <v>0</v>
      </c>
      <c r="BU55" s="322">
        <f t="shared" si="2385"/>
        <v>0</v>
      </c>
      <c r="BV55" s="322">
        <f t="shared" si="2385"/>
        <v>0</v>
      </c>
      <c r="BW55" s="326">
        <f t="shared" si="2385"/>
        <v>0</v>
      </c>
      <c r="BX55" s="282"/>
      <c r="BY55" s="281"/>
      <c r="CA55" s="281"/>
      <c r="CB55" s="281"/>
      <c r="CC55" s="38"/>
      <c r="CD55" s="282"/>
      <c r="CE55" s="281"/>
      <c r="CG55" s="281"/>
      <c r="CH55" s="281"/>
      <c r="CI55" s="38"/>
      <c r="CJ55" s="282"/>
      <c r="CK55" s="281"/>
      <c r="CM55" s="281"/>
      <c r="CN55" s="281"/>
      <c r="CO55" s="38"/>
      <c r="CP55" s="315">
        <f t="shared" si="2386"/>
        <v>0</v>
      </c>
      <c r="CQ55" s="316">
        <f t="shared" si="2386"/>
        <v>0</v>
      </c>
      <c r="CR55" s="317">
        <f t="shared" si="2386"/>
        <v>0</v>
      </c>
      <c r="CS55" s="316">
        <f t="shared" si="2386"/>
        <v>0</v>
      </c>
      <c r="CT55" s="316">
        <f t="shared" si="2386"/>
        <v>0</v>
      </c>
      <c r="CU55" s="317">
        <f t="shared" si="2386"/>
        <v>0</v>
      </c>
      <c r="CV55" s="327">
        <f t="shared" si="2387"/>
        <v>109</v>
      </c>
      <c r="CW55" s="316">
        <f t="shared" si="2387"/>
        <v>1028</v>
      </c>
      <c r="CX55" s="317">
        <f t="shared" si="2387"/>
        <v>8511088.6699999999</v>
      </c>
      <c r="CY55" s="316">
        <f t="shared" si="2387"/>
        <v>0</v>
      </c>
      <c r="CZ55" s="316">
        <f t="shared" si="2387"/>
        <v>0</v>
      </c>
      <c r="DA55" s="317">
        <f t="shared" si="2387"/>
        <v>0</v>
      </c>
      <c r="DB55" s="535">
        <f>CV55+CY55</f>
        <v>109</v>
      </c>
      <c r="DC55" s="280">
        <f>CW55+CZ55</f>
        <v>1028</v>
      </c>
      <c r="DD55" s="40">
        <f>CX55+DA55</f>
        <v>8511088.6699999999</v>
      </c>
    </row>
    <row r="56">
      <c r="B56" s="437"/>
      <c r="C56" s="437"/>
      <c r="D56" s="280"/>
      <c r="E56" s="280"/>
      <c r="G56" s="280"/>
      <c r="H56" s="280"/>
      <c r="J56" s="470"/>
      <c r="L56" s="15"/>
      <c r="O56" s="38"/>
      <c r="V56" s="356"/>
      <c r="W56" s="357"/>
      <c r="Y56" s="281"/>
      <c r="Z56" s="281"/>
      <c r="AA56" s="38"/>
      <c r="AB56" s="281"/>
      <c r="AC56" s="281"/>
      <c r="AE56" s="281"/>
      <c r="AF56" s="281"/>
      <c r="AH56" s="282"/>
      <c r="AI56" s="281"/>
      <c r="AK56" s="281"/>
      <c r="AL56" s="281"/>
      <c r="AM56" s="38"/>
      <c r="AN56" s="282"/>
      <c r="AO56" s="281"/>
      <c r="AQ56" s="281"/>
      <c r="AR56" s="281"/>
      <c r="AS56" s="38"/>
      <c r="AT56" s="351"/>
      <c r="AU56" s="352"/>
      <c r="AV56" s="344"/>
      <c r="AW56" s="350"/>
      <c r="AX56" s="350"/>
      <c r="AY56" s="347"/>
      <c r="AZ56" s="282"/>
      <c r="BA56" s="281"/>
      <c r="BC56" s="281"/>
      <c r="BD56" s="281"/>
      <c r="BE56" s="38"/>
      <c r="BF56" s="282"/>
      <c r="BG56" s="281"/>
      <c r="BI56" s="281"/>
      <c r="BJ56" s="281"/>
      <c r="BK56" s="38"/>
      <c r="BL56" s="282"/>
      <c r="BM56" s="281"/>
      <c r="BO56" s="281"/>
      <c r="BP56" s="281"/>
      <c r="BQ56" s="38"/>
      <c r="BR56" s="351"/>
      <c r="BS56" s="350"/>
      <c r="BT56" s="344"/>
      <c r="BU56" s="350"/>
      <c r="BV56" s="350"/>
      <c r="BW56" s="347"/>
      <c r="BX56" s="282"/>
      <c r="BY56" s="281"/>
      <c r="CA56" s="281"/>
      <c r="CB56" s="281"/>
      <c r="CC56" s="38"/>
      <c r="CD56" s="282"/>
      <c r="CE56" s="281"/>
      <c r="CG56" s="281"/>
      <c r="CH56" s="281"/>
      <c r="CI56" s="38"/>
      <c r="CJ56" s="282"/>
      <c r="CK56" s="281"/>
      <c r="CM56" s="281"/>
      <c r="CN56" s="281"/>
      <c r="CO56" s="38"/>
      <c r="CP56" s="342"/>
      <c r="CQ56" s="343"/>
      <c r="CR56" s="344"/>
      <c r="CS56" s="343"/>
      <c r="CT56" s="343"/>
      <c r="CU56" s="344"/>
      <c r="CV56" s="534"/>
      <c r="CW56" s="343"/>
      <c r="CX56" s="344"/>
      <c r="CY56" s="343"/>
      <c r="CZ56" s="343"/>
      <c r="DA56" s="344"/>
      <c r="DB56" s="535"/>
      <c r="DC56" s="280"/>
      <c r="DD56" s="40"/>
    </row>
    <row r="57">
      <c r="B57" s="283" t="s">
        <v>210</v>
      </c>
      <c r="C57" s="283"/>
      <c r="D57" s="315">
        <v>44</v>
      </c>
      <c r="E57" s="316">
        <v>709</v>
      </c>
      <c r="F57" s="317">
        <v>4206490.0800000001</v>
      </c>
      <c r="G57" s="316"/>
      <c r="H57" s="316"/>
      <c r="I57" s="317"/>
      <c r="J57" s="315"/>
      <c r="K57" s="316"/>
      <c r="L57" s="317"/>
      <c r="M57" s="316"/>
      <c r="N57" s="316"/>
      <c r="O57" s="319"/>
      <c r="P57" s="316"/>
      <c r="Q57" s="316"/>
      <c r="R57" s="317"/>
      <c r="S57" s="316"/>
      <c r="T57" s="316"/>
      <c r="U57" s="317"/>
      <c r="V57" s="320">
        <f t="shared" si="2383"/>
        <v>44</v>
      </c>
      <c r="W57" s="321">
        <f t="shared" si="2383"/>
        <v>709</v>
      </c>
      <c r="X57" s="317">
        <f t="shared" si="2383"/>
        <v>4206490.0800000001</v>
      </c>
      <c r="Y57" s="322">
        <f t="shared" si="2383"/>
        <v>0</v>
      </c>
      <c r="Z57" s="322">
        <f t="shared" si="2383"/>
        <v>0</v>
      </c>
      <c r="AA57" s="319">
        <f t="shared" si="2383"/>
        <v>0</v>
      </c>
      <c r="AB57" s="322"/>
      <c r="AC57" s="322"/>
      <c r="AD57" s="317"/>
      <c r="AE57" s="322"/>
      <c r="AF57" s="322"/>
      <c r="AG57" s="317"/>
      <c r="AH57" s="323"/>
      <c r="AI57" s="322"/>
      <c r="AJ57" s="317"/>
      <c r="AK57" s="322"/>
      <c r="AL57" s="322"/>
      <c r="AM57" s="319"/>
      <c r="AN57" s="323"/>
      <c r="AO57" s="322"/>
      <c r="AP57" s="317"/>
      <c r="AQ57" s="322"/>
      <c r="AR57" s="322"/>
      <c r="AS57" s="319"/>
      <c r="AT57" s="323">
        <f t="shared" si="2384"/>
        <v>44</v>
      </c>
      <c r="AU57" s="322">
        <f t="shared" si="2384"/>
        <v>709</v>
      </c>
      <c r="AV57" s="324">
        <f t="shared" si="2384"/>
        <v>4206490.0800000001</v>
      </c>
      <c r="AW57" s="322">
        <f t="shared" si="2384"/>
        <v>0</v>
      </c>
      <c r="AX57" s="322">
        <f t="shared" si="2384"/>
        <v>0</v>
      </c>
      <c r="AY57" s="325">
        <f t="shared" si="2384"/>
        <v>0</v>
      </c>
      <c r="AZ57" s="323"/>
      <c r="BA57" s="322"/>
      <c r="BB57" s="317"/>
      <c r="BC57" s="322"/>
      <c r="BD57" s="322"/>
      <c r="BE57" s="319"/>
      <c r="BF57" s="323"/>
      <c r="BG57" s="322"/>
      <c r="BH57" s="317"/>
      <c r="BI57" s="322"/>
      <c r="BJ57" s="322"/>
      <c r="BK57" s="319"/>
      <c r="BL57" s="323"/>
      <c r="BM57" s="322"/>
      <c r="BN57" s="317"/>
      <c r="BO57" s="322"/>
      <c r="BP57" s="322"/>
      <c r="BQ57" s="319"/>
      <c r="BR57" s="323">
        <f t="shared" si="2385"/>
        <v>0</v>
      </c>
      <c r="BS57" s="322">
        <f t="shared" si="2385"/>
        <v>0</v>
      </c>
      <c r="BT57" s="322">
        <f t="shared" si="2385"/>
        <v>0</v>
      </c>
      <c r="BU57" s="322">
        <f t="shared" si="2385"/>
        <v>0</v>
      </c>
      <c r="BV57" s="322">
        <f t="shared" si="2385"/>
        <v>0</v>
      </c>
      <c r="BW57" s="326">
        <f t="shared" si="2385"/>
        <v>0</v>
      </c>
      <c r="BX57" s="323"/>
      <c r="BY57" s="322"/>
      <c r="BZ57" s="317"/>
      <c r="CA57" s="322"/>
      <c r="CB57" s="322"/>
      <c r="CC57" s="319"/>
      <c r="CD57" s="323"/>
      <c r="CE57" s="322"/>
      <c r="CF57" s="317"/>
      <c r="CG57" s="322"/>
      <c r="CH57" s="322"/>
      <c r="CI57" s="319"/>
      <c r="CJ57" s="323"/>
      <c r="CK57" s="322"/>
      <c r="CL57" s="317"/>
      <c r="CM57" s="322"/>
      <c r="CN57" s="322"/>
      <c r="CO57" s="319"/>
      <c r="CP57" s="315">
        <f t="shared" si="2386"/>
        <v>0</v>
      </c>
      <c r="CQ57" s="316">
        <f t="shared" si="2386"/>
        <v>0</v>
      </c>
      <c r="CR57" s="317">
        <f t="shared" si="2386"/>
        <v>0</v>
      </c>
      <c r="CS57" s="316">
        <f t="shared" si="2386"/>
        <v>0</v>
      </c>
      <c r="CT57" s="316">
        <f t="shared" si="2386"/>
        <v>0</v>
      </c>
      <c r="CU57" s="317">
        <f t="shared" si="2386"/>
        <v>0</v>
      </c>
      <c r="CV57" s="535">
        <f t="shared" si="2387"/>
        <v>44</v>
      </c>
      <c r="CW57" s="280">
        <f t="shared" si="2387"/>
        <v>709</v>
      </c>
      <c r="CX57" s="1">
        <f t="shared" si="2387"/>
        <v>4206490.0800000001</v>
      </c>
      <c r="CY57" s="280">
        <f t="shared" si="2387"/>
        <v>0</v>
      </c>
      <c r="CZ57" s="280">
        <f t="shared" si="2387"/>
        <v>0</v>
      </c>
      <c r="DA57" s="1">
        <f t="shared" si="2387"/>
        <v>0</v>
      </c>
      <c r="DB57" s="535">
        <f>CV57+CY57</f>
        <v>44</v>
      </c>
      <c r="DC57" s="280">
        <f>CW57+CZ57</f>
        <v>709</v>
      </c>
      <c r="DD57" s="40">
        <f>CX57+DA57</f>
        <v>4206490.0800000001</v>
      </c>
    </row>
    <row r="58">
      <c r="B58" s="437"/>
      <c r="C58" s="437"/>
      <c r="D58" s="342"/>
      <c r="E58" s="343"/>
      <c r="F58" s="344"/>
      <c r="G58" s="343"/>
      <c r="H58" s="343"/>
      <c r="I58" s="344"/>
      <c r="J58" s="342"/>
      <c r="K58" s="343"/>
      <c r="L58" s="346"/>
      <c r="M58" s="343"/>
      <c r="N58" s="343"/>
      <c r="O58" s="347"/>
      <c r="P58" s="343"/>
      <c r="Q58" s="343"/>
      <c r="R58" s="344"/>
      <c r="S58" s="343"/>
      <c r="T58" s="343"/>
      <c r="U58" s="344"/>
      <c r="V58" s="348"/>
      <c r="W58" s="349"/>
      <c r="X58" s="344"/>
      <c r="Y58" s="350"/>
      <c r="Z58" s="350"/>
      <c r="AA58" s="347"/>
      <c r="AB58" s="350"/>
      <c r="AC58" s="350"/>
      <c r="AD58" s="344"/>
      <c r="AE58" s="350"/>
      <c r="AF58" s="350"/>
      <c r="AG58" s="344"/>
      <c r="AH58" s="351"/>
      <c r="AI58" s="350"/>
      <c r="AJ58" s="344"/>
      <c r="AK58" s="350"/>
      <c r="AL58" s="350"/>
      <c r="AM58" s="347"/>
      <c r="AN58" s="351"/>
      <c r="AO58" s="350"/>
      <c r="AP58" s="344"/>
      <c r="AQ58" s="350"/>
      <c r="AR58" s="350"/>
      <c r="AS58" s="347"/>
      <c r="AT58" s="351"/>
      <c r="AU58" s="352"/>
      <c r="AV58" s="344"/>
      <c r="AW58" s="350"/>
      <c r="AX58" s="350"/>
      <c r="AY58" s="347"/>
      <c r="AZ58" s="351"/>
      <c r="BA58" s="350"/>
      <c r="BB58" s="344"/>
      <c r="BC58" s="350"/>
      <c r="BD58" s="350"/>
      <c r="BE58" s="347"/>
      <c r="BF58" s="351"/>
      <c r="BG58" s="350"/>
      <c r="BH58" s="344"/>
      <c r="BI58" s="350"/>
      <c r="BJ58" s="350"/>
      <c r="BK58" s="347"/>
      <c r="BL58" s="351"/>
      <c r="BM58" s="350"/>
      <c r="BN58" s="344"/>
      <c r="BO58" s="350"/>
      <c r="BP58" s="350"/>
      <c r="BQ58" s="347"/>
      <c r="BR58" s="351"/>
      <c r="BS58" s="350"/>
      <c r="BT58" s="344"/>
      <c r="BU58" s="350"/>
      <c r="BV58" s="350"/>
      <c r="BW58" s="347"/>
      <c r="BX58" s="351"/>
      <c r="BY58" s="350"/>
      <c r="BZ58" s="344"/>
      <c r="CA58" s="350"/>
      <c r="CB58" s="350"/>
      <c r="CC58" s="347"/>
      <c r="CD58" s="351"/>
      <c r="CE58" s="350"/>
      <c r="CF58" s="344"/>
      <c r="CG58" s="350"/>
      <c r="CH58" s="350"/>
      <c r="CI58" s="347"/>
      <c r="CJ58" s="351"/>
      <c r="CK58" s="350"/>
      <c r="CL58" s="344"/>
      <c r="CM58" s="350"/>
      <c r="CN58" s="350"/>
      <c r="CO58" s="347"/>
      <c r="CP58" s="342"/>
      <c r="CQ58" s="343"/>
      <c r="CR58" s="344"/>
      <c r="CS58" s="343"/>
      <c r="CT58" s="343"/>
      <c r="CU58" s="344"/>
      <c r="CV58" s="535"/>
      <c r="CW58" s="280"/>
      <c r="CY58" s="280"/>
      <c r="CZ58" s="280"/>
      <c r="DB58" s="535"/>
      <c r="DC58" s="280"/>
      <c r="DD58" s="40"/>
    </row>
    <row r="59">
      <c r="B59" s="283" t="s">
        <v>211</v>
      </c>
      <c r="C59" s="283"/>
      <c r="D59" s="280">
        <v>196</v>
      </c>
      <c r="E59" s="280">
        <v>1277</v>
      </c>
      <c r="F59" s="1">
        <v>12200282.449999999</v>
      </c>
      <c r="G59" s="280"/>
      <c r="H59" s="280"/>
      <c r="J59" s="470"/>
      <c r="O59" s="38"/>
      <c r="V59" s="356">
        <f t="shared" si="2383"/>
        <v>196</v>
      </c>
      <c r="W59" s="357">
        <f t="shared" si="2383"/>
        <v>1277</v>
      </c>
      <c r="X59" s="1">
        <f t="shared" si="2383"/>
        <v>12200282.449999999</v>
      </c>
      <c r="Y59" s="281">
        <f t="shared" si="2383"/>
        <v>0</v>
      </c>
      <c r="Z59" s="281">
        <f t="shared" si="2383"/>
        <v>0</v>
      </c>
      <c r="AA59" s="38">
        <f t="shared" si="2383"/>
        <v>0</v>
      </c>
      <c r="AB59" s="281"/>
      <c r="AC59" s="281"/>
      <c r="AE59" s="281"/>
      <c r="AF59" s="281"/>
      <c r="AH59" s="282"/>
      <c r="AI59" s="281"/>
      <c r="AK59" s="281"/>
      <c r="AL59" s="281"/>
      <c r="AM59" s="38"/>
      <c r="AN59" s="282"/>
      <c r="AO59" s="281"/>
      <c r="AQ59" s="281"/>
      <c r="AR59" s="281"/>
      <c r="AS59" s="38"/>
      <c r="AT59" s="323">
        <f t="shared" si="2384"/>
        <v>196</v>
      </c>
      <c r="AU59" s="322">
        <f t="shared" si="2384"/>
        <v>1277</v>
      </c>
      <c r="AV59" s="324">
        <f t="shared" si="2384"/>
        <v>12200282.449999999</v>
      </c>
      <c r="AW59" s="322">
        <f t="shared" si="2384"/>
        <v>0</v>
      </c>
      <c r="AX59" s="322">
        <f t="shared" si="2384"/>
        <v>0</v>
      </c>
      <c r="AY59" s="325">
        <f t="shared" si="2384"/>
        <v>0</v>
      </c>
      <c r="AZ59" s="282"/>
      <c r="BA59" s="281"/>
      <c r="BC59" s="281"/>
      <c r="BD59" s="281"/>
      <c r="BE59" s="38"/>
      <c r="BF59" s="282"/>
      <c r="BG59" s="281"/>
      <c r="BI59" s="281"/>
      <c r="BJ59" s="281"/>
      <c r="BK59" s="38"/>
      <c r="BL59" s="282"/>
      <c r="BM59" s="281"/>
      <c r="BO59" s="281"/>
      <c r="BP59" s="281"/>
      <c r="BQ59" s="38"/>
      <c r="BR59" s="323">
        <f t="shared" si="2385"/>
        <v>0</v>
      </c>
      <c r="BS59" s="322">
        <f t="shared" si="2385"/>
        <v>0</v>
      </c>
      <c r="BT59" s="322">
        <f t="shared" si="2385"/>
        <v>0</v>
      </c>
      <c r="BU59" s="322">
        <f t="shared" si="2385"/>
        <v>0</v>
      </c>
      <c r="BV59" s="322">
        <f t="shared" si="2385"/>
        <v>0</v>
      </c>
      <c r="BW59" s="326">
        <f t="shared" si="2385"/>
        <v>0</v>
      </c>
      <c r="BX59" s="282"/>
      <c r="BY59" s="281"/>
      <c r="CA59" s="281"/>
      <c r="CB59" s="281"/>
      <c r="CC59" s="38"/>
      <c r="CD59" s="282"/>
      <c r="CE59" s="281"/>
      <c r="CG59" s="281"/>
      <c r="CH59" s="281"/>
      <c r="CI59" s="38"/>
      <c r="CJ59" s="282"/>
      <c r="CK59" s="281"/>
      <c r="CM59" s="281"/>
      <c r="CN59" s="281"/>
      <c r="CO59" s="38"/>
      <c r="CP59" s="315">
        <f t="shared" si="2386"/>
        <v>0</v>
      </c>
      <c r="CQ59" s="316">
        <f t="shared" si="2386"/>
        <v>0</v>
      </c>
      <c r="CR59" s="317">
        <f t="shared" si="2386"/>
        <v>0</v>
      </c>
      <c r="CS59" s="316">
        <f t="shared" si="2386"/>
        <v>0</v>
      </c>
      <c r="CT59" s="316">
        <f t="shared" si="2386"/>
        <v>0</v>
      </c>
      <c r="CU59" s="317">
        <f t="shared" si="2386"/>
        <v>0</v>
      </c>
      <c r="CV59" s="327">
        <f t="shared" si="2387"/>
        <v>196</v>
      </c>
      <c r="CW59" s="316">
        <f t="shared" si="2387"/>
        <v>1277</v>
      </c>
      <c r="CX59" s="317">
        <f t="shared" si="2387"/>
        <v>12200282.449999999</v>
      </c>
      <c r="CY59" s="316">
        <f t="shared" si="2387"/>
        <v>0</v>
      </c>
      <c r="CZ59" s="316">
        <f t="shared" si="2387"/>
        <v>0</v>
      </c>
      <c r="DA59" s="317">
        <f t="shared" si="2387"/>
        <v>0</v>
      </c>
      <c r="DB59" s="535">
        <f>CV59+CY59</f>
        <v>196</v>
      </c>
      <c r="DC59" s="280">
        <f>CW59+CZ59</f>
        <v>1277</v>
      </c>
      <c r="DD59" s="40">
        <f>CX59+DA59</f>
        <v>12200282.449999999</v>
      </c>
    </row>
    <row r="60">
      <c r="B60" s="437"/>
      <c r="C60" s="437"/>
      <c r="D60" s="280"/>
      <c r="E60" s="280"/>
      <c r="G60" s="280"/>
      <c r="H60" s="280"/>
      <c r="J60" s="470"/>
      <c r="L60" s="15"/>
      <c r="O60" s="38"/>
      <c r="V60" s="356"/>
      <c r="W60" s="357"/>
      <c r="Y60" s="281"/>
      <c r="Z60" s="281"/>
      <c r="AA60" s="38"/>
      <c r="AB60" s="281"/>
      <c r="AC60" s="281"/>
      <c r="AE60" s="281"/>
      <c r="AF60" s="281"/>
      <c r="AH60" s="282"/>
      <c r="AI60" s="281"/>
      <c r="AK60" s="281"/>
      <c r="AL60" s="281"/>
      <c r="AM60" s="38"/>
      <c r="AN60" s="282"/>
      <c r="AO60" s="281"/>
      <c r="AQ60" s="281"/>
      <c r="AR60" s="281"/>
      <c r="AS60" s="38"/>
      <c r="AT60" s="351"/>
      <c r="AU60" s="350"/>
      <c r="AV60" s="344"/>
      <c r="AW60" s="350"/>
      <c r="AX60" s="350"/>
      <c r="AY60" s="347"/>
      <c r="AZ60" s="282"/>
      <c r="BA60" s="281"/>
      <c r="BC60" s="281"/>
      <c r="BD60" s="281"/>
      <c r="BE60" s="38"/>
      <c r="BF60" s="282"/>
      <c r="BG60" s="281"/>
      <c r="BI60" s="281"/>
      <c r="BJ60" s="281"/>
      <c r="BK60" s="38"/>
      <c r="BL60" s="282"/>
      <c r="BM60" s="281"/>
      <c r="BO60" s="281"/>
      <c r="BP60" s="281"/>
      <c r="BQ60" s="38"/>
      <c r="BR60" s="351"/>
      <c r="BS60" s="350"/>
      <c r="BT60" s="344"/>
      <c r="BU60" s="350"/>
      <c r="BV60" s="350"/>
      <c r="BW60" s="347"/>
      <c r="BX60" s="282"/>
      <c r="BY60" s="281"/>
      <c r="CA60" s="281"/>
      <c r="CB60" s="281"/>
      <c r="CC60" s="38"/>
      <c r="CD60" s="282"/>
      <c r="CE60" s="281"/>
      <c r="CG60" s="281"/>
      <c r="CH60" s="281"/>
      <c r="CI60" s="38"/>
      <c r="CJ60" s="282"/>
      <c r="CK60" s="281"/>
      <c r="CM60" s="281"/>
      <c r="CN60" s="281"/>
      <c r="CO60" s="38"/>
      <c r="CP60" s="342"/>
      <c r="CQ60" s="343"/>
      <c r="CR60" s="344"/>
      <c r="CS60" s="343"/>
      <c r="CT60" s="343"/>
      <c r="CU60" s="344"/>
      <c r="CV60" s="534"/>
      <c r="CW60" s="343"/>
      <c r="CX60" s="344"/>
      <c r="CY60" s="343"/>
      <c r="CZ60" s="343"/>
      <c r="DA60" s="344"/>
      <c r="DB60" s="535"/>
      <c r="DC60" s="280"/>
      <c r="DD60" s="40"/>
    </row>
    <row r="61">
      <c r="B61" s="483" t="s">
        <v>22</v>
      </c>
      <c r="C61" s="483"/>
      <c r="D61" s="593">
        <f t="shared" ref="D61:AY61" si="2388">SUM(D35:D60)</f>
        <v>967</v>
      </c>
      <c r="E61" s="594">
        <f t="shared" si="2388"/>
        <v>9613</v>
      </c>
      <c r="F61" s="595">
        <f t="shared" si="2388"/>
        <v>85153136.980000004</v>
      </c>
      <c r="G61" s="594">
        <f t="shared" si="2388"/>
        <v>0</v>
      </c>
      <c r="H61" s="594">
        <f t="shared" si="2388"/>
        <v>0</v>
      </c>
      <c r="I61" s="595">
        <f t="shared" si="2388"/>
        <v>0</v>
      </c>
      <c r="J61" s="593">
        <f t="shared" si="2388"/>
        <v>0</v>
      </c>
      <c r="K61" s="594">
        <f t="shared" si="2388"/>
        <v>0</v>
      </c>
      <c r="L61" s="595">
        <f t="shared" si="2388"/>
        <v>0</v>
      </c>
      <c r="M61" s="594">
        <f t="shared" si="2388"/>
        <v>0</v>
      </c>
      <c r="N61" s="594">
        <f t="shared" si="2388"/>
        <v>0</v>
      </c>
      <c r="O61" s="597">
        <f t="shared" si="2388"/>
        <v>0</v>
      </c>
      <c r="P61" s="594">
        <f t="shared" si="2388"/>
        <v>0</v>
      </c>
      <c r="Q61" s="594">
        <f t="shared" si="2388"/>
        <v>0</v>
      </c>
      <c r="R61" s="595">
        <f t="shared" si="2388"/>
        <v>0</v>
      </c>
      <c r="S61" s="594">
        <f t="shared" si="2388"/>
        <v>0</v>
      </c>
      <c r="T61" s="594">
        <f t="shared" si="2388"/>
        <v>0</v>
      </c>
      <c r="U61" s="595">
        <f t="shared" si="2388"/>
        <v>0</v>
      </c>
      <c r="V61" s="494">
        <f t="shared" si="2388"/>
        <v>967</v>
      </c>
      <c r="W61" s="495">
        <f t="shared" si="2388"/>
        <v>9613</v>
      </c>
      <c r="X61" s="496">
        <f t="shared" si="2388"/>
        <v>85153136.980000004</v>
      </c>
      <c r="Y61" s="495">
        <f t="shared" si="2388"/>
        <v>0</v>
      </c>
      <c r="Z61" s="495">
        <f t="shared" si="2388"/>
        <v>0</v>
      </c>
      <c r="AA61" s="497">
        <f t="shared" si="2388"/>
        <v>0</v>
      </c>
      <c r="AB61" s="494">
        <f t="shared" si="2388"/>
        <v>0</v>
      </c>
      <c r="AC61" s="495">
        <f t="shared" si="2388"/>
        <v>0</v>
      </c>
      <c r="AD61" s="496">
        <f t="shared" si="2388"/>
        <v>0</v>
      </c>
      <c r="AE61" s="495">
        <f t="shared" si="2388"/>
        <v>0</v>
      </c>
      <c r="AF61" s="495">
        <f t="shared" si="2388"/>
        <v>0</v>
      </c>
      <c r="AG61" s="497">
        <f t="shared" si="2388"/>
        <v>0</v>
      </c>
      <c r="AH61" s="494">
        <f t="shared" si="2388"/>
        <v>0</v>
      </c>
      <c r="AI61" s="495">
        <f t="shared" si="2388"/>
        <v>0</v>
      </c>
      <c r="AJ61" s="496">
        <f t="shared" si="2388"/>
        <v>0</v>
      </c>
      <c r="AK61" s="495">
        <f t="shared" si="2388"/>
        <v>0</v>
      </c>
      <c r="AL61" s="495">
        <f t="shared" si="2388"/>
        <v>0</v>
      </c>
      <c r="AM61" s="497">
        <f t="shared" si="2388"/>
        <v>0</v>
      </c>
      <c r="AN61" s="494">
        <f t="shared" si="2388"/>
        <v>0</v>
      </c>
      <c r="AO61" s="495">
        <f t="shared" si="2388"/>
        <v>0</v>
      </c>
      <c r="AP61" s="496">
        <f t="shared" si="2388"/>
        <v>0</v>
      </c>
      <c r="AQ61" s="495">
        <f t="shared" si="2388"/>
        <v>0</v>
      </c>
      <c r="AR61" s="495">
        <f>SUM(AR35:AR60)</f>
        <v>0</v>
      </c>
      <c r="AS61" s="497">
        <f t="shared" si="2388"/>
        <v>0</v>
      </c>
      <c r="AT61" s="494">
        <f t="shared" si="2388"/>
        <v>967</v>
      </c>
      <c r="AU61" s="495">
        <f t="shared" si="2388"/>
        <v>9613</v>
      </c>
      <c r="AV61" s="496">
        <f t="shared" si="2388"/>
        <v>85153136.980000004</v>
      </c>
      <c r="AW61" s="495">
        <f t="shared" si="2388"/>
        <v>0</v>
      </c>
      <c r="AX61" s="496">
        <f t="shared" si="2388"/>
        <v>0</v>
      </c>
      <c r="AY61" s="497">
        <f t="shared" si="2388"/>
        <v>0</v>
      </c>
      <c r="AZ61" s="494"/>
      <c r="BA61" s="495"/>
      <c r="BB61" s="496"/>
      <c r="BC61" s="495"/>
      <c r="BD61" s="496"/>
      <c r="BE61" s="497"/>
      <c r="BF61" s="494"/>
      <c r="BG61" s="495"/>
      <c r="BH61" s="496"/>
      <c r="BI61" s="495"/>
      <c r="BJ61" s="496"/>
      <c r="BK61" s="497"/>
      <c r="BL61" s="494"/>
      <c r="BM61" s="495"/>
      <c r="BN61" s="496"/>
      <c r="BO61" s="495"/>
      <c r="BP61" s="496"/>
      <c r="BQ61" s="497"/>
      <c r="BR61" s="494">
        <f t="shared" ref="BR61:DD61" si="2389">SUM(BR35:BR60)</f>
        <v>0</v>
      </c>
      <c r="BS61" s="495">
        <f t="shared" si="2389"/>
        <v>0</v>
      </c>
      <c r="BT61" s="496">
        <f t="shared" si="2389"/>
        <v>0</v>
      </c>
      <c r="BU61" s="495">
        <f t="shared" si="2389"/>
        <v>0</v>
      </c>
      <c r="BV61" s="496">
        <f t="shared" si="2389"/>
        <v>0</v>
      </c>
      <c r="BW61" s="497">
        <f t="shared" si="2389"/>
        <v>0</v>
      </c>
      <c r="BX61" s="494">
        <f t="shared" si="2389"/>
        <v>0</v>
      </c>
      <c r="BY61" s="495">
        <f t="shared" si="2389"/>
        <v>0</v>
      </c>
      <c r="BZ61" s="496">
        <f t="shared" si="2389"/>
        <v>0</v>
      </c>
      <c r="CA61" s="495">
        <f t="shared" si="2389"/>
        <v>0</v>
      </c>
      <c r="CB61" s="496">
        <f t="shared" si="2389"/>
        <v>0</v>
      </c>
      <c r="CC61" s="497">
        <f t="shared" si="2389"/>
        <v>0</v>
      </c>
      <c r="CD61" s="494">
        <f t="shared" si="2389"/>
        <v>0</v>
      </c>
      <c r="CE61" s="495">
        <f t="shared" si="2389"/>
        <v>0</v>
      </c>
      <c r="CF61" s="496">
        <f t="shared" si="2389"/>
        <v>0</v>
      </c>
      <c r="CG61" s="495">
        <f t="shared" si="2389"/>
        <v>0</v>
      </c>
      <c r="CH61" s="496">
        <f t="shared" si="2389"/>
        <v>0</v>
      </c>
      <c r="CI61" s="497">
        <f t="shared" si="2389"/>
        <v>0</v>
      </c>
      <c r="CJ61" s="494">
        <f t="shared" si="2389"/>
        <v>0</v>
      </c>
      <c r="CK61" s="495">
        <f t="shared" si="2389"/>
        <v>0</v>
      </c>
      <c r="CL61" s="496">
        <f t="shared" si="2389"/>
        <v>0</v>
      </c>
      <c r="CM61" s="495">
        <f t="shared" si="2389"/>
        <v>0</v>
      </c>
      <c r="CN61" s="496">
        <f t="shared" si="2389"/>
        <v>0</v>
      </c>
      <c r="CO61" s="497">
        <f t="shared" si="2389"/>
        <v>0</v>
      </c>
      <c r="CP61" s="494">
        <f t="shared" si="2389"/>
        <v>0</v>
      </c>
      <c r="CQ61" s="495">
        <f t="shared" si="2389"/>
        <v>0</v>
      </c>
      <c r="CR61" s="496">
        <f t="shared" si="2389"/>
        <v>0</v>
      </c>
      <c r="CS61" s="495">
        <f t="shared" si="2389"/>
        <v>0</v>
      </c>
      <c r="CT61" s="496">
        <f t="shared" si="2389"/>
        <v>0</v>
      </c>
      <c r="CU61" s="497">
        <f t="shared" si="2389"/>
        <v>0</v>
      </c>
      <c r="CV61" s="494">
        <f t="shared" si="2389"/>
        <v>967</v>
      </c>
      <c r="CW61" s="495">
        <f t="shared" si="2389"/>
        <v>9613</v>
      </c>
      <c r="CX61" s="496">
        <f t="shared" si="2389"/>
        <v>85153136.980000004</v>
      </c>
      <c r="CY61" s="495">
        <f t="shared" si="2389"/>
        <v>0</v>
      </c>
      <c r="CZ61" s="496">
        <f t="shared" si="2389"/>
        <v>0</v>
      </c>
      <c r="DA61" s="496">
        <f t="shared" si="2389"/>
        <v>0</v>
      </c>
      <c r="DB61" s="2346">
        <f t="shared" si="2389"/>
        <v>967</v>
      </c>
      <c r="DC61" s="495">
        <f t="shared" si="2389"/>
        <v>9613</v>
      </c>
      <c r="DD61" s="2347">
        <f t="shared" si="2389"/>
        <v>85153136.980000004</v>
      </c>
    </row>
    <row r="62">
      <c r="B62" s="598"/>
      <c r="C62" s="598"/>
      <c r="D62" s="606"/>
      <c r="E62" s="607"/>
      <c r="F62" s="514"/>
      <c r="G62" s="607"/>
      <c r="H62" s="607"/>
      <c r="I62" s="514"/>
      <c r="J62" s="606"/>
      <c r="K62" s="607"/>
      <c r="L62" s="609"/>
      <c r="M62" s="607"/>
      <c r="N62" s="607"/>
      <c r="O62" s="516"/>
      <c r="P62" s="607"/>
      <c r="Q62" s="607"/>
      <c r="R62" s="514"/>
      <c r="S62" s="607"/>
      <c r="T62" s="607"/>
      <c r="U62" s="514"/>
      <c r="V62" s="512"/>
      <c r="W62" s="513"/>
      <c r="X62" s="514"/>
      <c r="Y62" s="515"/>
      <c r="Z62" s="515"/>
      <c r="AA62" s="516"/>
      <c r="AB62" s="610"/>
      <c r="AC62" s="515"/>
      <c r="AD62" s="514"/>
      <c r="AE62" s="515"/>
      <c r="AF62" s="515"/>
      <c r="AG62" s="514"/>
      <c r="AH62" s="610"/>
      <c r="AI62" s="515"/>
      <c r="AJ62" s="514"/>
      <c r="AK62" s="515"/>
      <c r="AL62" s="515"/>
      <c r="AM62" s="516"/>
      <c r="AN62" s="610"/>
      <c r="AO62" s="515"/>
      <c r="AP62" s="514"/>
      <c r="AQ62" s="515"/>
      <c r="AR62" s="515"/>
      <c r="AS62" s="516"/>
      <c r="AT62" s="610"/>
      <c r="AU62" s="515"/>
      <c r="AV62" s="514"/>
      <c r="AW62" s="515"/>
      <c r="AX62" s="515"/>
      <c r="AY62" s="516"/>
      <c r="AZ62" s="610"/>
      <c r="BA62" s="515"/>
      <c r="BB62" s="514"/>
      <c r="BC62" s="515"/>
      <c r="BD62" s="515"/>
      <c r="BE62" s="516"/>
      <c r="BF62" s="610"/>
      <c r="BG62" s="515"/>
      <c r="BH62" s="514"/>
      <c r="BI62" s="515"/>
      <c r="BJ62" s="515"/>
      <c r="BK62" s="516"/>
      <c r="BL62" s="610"/>
      <c r="BM62" s="515"/>
      <c r="BN62" s="514"/>
      <c r="BO62" s="515"/>
      <c r="BP62" s="515"/>
      <c r="BQ62" s="516"/>
      <c r="BR62" s="610"/>
      <c r="BS62" s="515"/>
      <c r="BT62" s="514"/>
      <c r="BU62" s="515"/>
      <c r="BV62" s="515"/>
      <c r="BW62" s="516"/>
      <c r="BX62" s="610"/>
      <c r="BY62" s="515"/>
      <c r="BZ62" s="514"/>
      <c r="CA62" s="515"/>
      <c r="CB62" s="515"/>
      <c r="CC62" s="516"/>
      <c r="CD62" s="610"/>
      <c r="CE62" s="515"/>
      <c r="CF62" s="514"/>
      <c r="CG62" s="515"/>
      <c r="CH62" s="515"/>
      <c r="CI62" s="516"/>
      <c r="CJ62" s="610"/>
      <c r="CK62" s="515"/>
      <c r="CL62" s="514"/>
      <c r="CM62" s="515"/>
      <c r="CN62" s="515"/>
      <c r="CO62" s="516"/>
      <c r="CP62" s="606"/>
      <c r="CQ62" s="607"/>
      <c r="CR62" s="514"/>
      <c r="CS62" s="607"/>
      <c r="CT62" s="607"/>
      <c r="CU62" s="514"/>
      <c r="CV62" s="611"/>
      <c r="CW62" s="607"/>
      <c r="CX62" s="514"/>
      <c r="CY62" s="607"/>
      <c r="CZ62" s="607"/>
      <c r="DA62" s="514"/>
      <c r="DB62" s="611"/>
      <c r="DC62" s="607"/>
      <c r="DD62" s="612"/>
    </row>
    <row r="63">
      <c r="B63" s="247"/>
      <c r="C63" s="247"/>
      <c r="D63" s="280"/>
      <c r="E63" s="280"/>
      <c r="G63" s="280"/>
      <c r="H63" s="280"/>
      <c r="J63" s="470"/>
      <c r="L63" s="15"/>
      <c r="O63" s="38"/>
      <c r="V63" s="356"/>
      <c r="W63" s="357"/>
      <c r="Y63" s="281"/>
      <c r="Z63" s="281"/>
      <c r="AA63" s="38"/>
      <c r="AB63" s="281"/>
      <c r="AC63" s="281"/>
      <c r="AE63" s="281"/>
      <c r="AF63" s="281"/>
      <c r="AH63" s="282"/>
      <c r="AI63" s="281"/>
      <c r="AK63" s="281"/>
      <c r="AL63" s="281"/>
      <c r="AM63" s="38"/>
      <c r="AN63" s="282"/>
      <c r="AO63" s="281"/>
      <c r="AQ63" s="281"/>
      <c r="AR63" s="281"/>
      <c r="AS63" s="38"/>
      <c r="AT63" s="282"/>
      <c r="AU63" s="281"/>
      <c r="AW63" s="281"/>
      <c r="AX63" s="281"/>
      <c r="AY63" s="38"/>
      <c r="AZ63" s="282"/>
      <c r="BA63" s="281"/>
      <c r="BC63" s="281"/>
      <c r="BD63" s="281"/>
      <c r="BE63" s="38"/>
      <c r="BF63" s="282"/>
      <c r="BG63" s="281"/>
      <c r="BI63" s="281"/>
      <c r="BJ63" s="281"/>
      <c r="BK63" s="38"/>
      <c r="BL63" s="282"/>
      <c r="BM63" s="281"/>
      <c r="BO63" s="281"/>
      <c r="BP63" s="281"/>
      <c r="BQ63" s="38"/>
      <c r="BR63" s="282"/>
      <c r="BS63" s="281"/>
      <c r="BU63" s="281"/>
      <c r="BV63" s="281"/>
      <c r="BW63" s="38"/>
      <c r="BX63" s="282"/>
      <c r="BY63" s="281"/>
      <c r="CA63" s="281"/>
      <c r="CB63" s="281"/>
      <c r="CC63" s="38"/>
      <c r="CD63" s="282"/>
      <c r="CE63" s="281"/>
      <c r="CG63" s="281"/>
      <c r="CH63" s="281"/>
      <c r="CI63" s="38"/>
      <c r="CJ63" s="282"/>
      <c r="CK63" s="281"/>
      <c r="CM63" s="281"/>
      <c r="CN63" s="281"/>
      <c r="CO63" s="38"/>
      <c r="CP63" s="470"/>
      <c r="CQ63" s="280"/>
      <c r="CS63" s="280"/>
      <c r="CT63" s="280"/>
      <c r="CV63" s="535"/>
      <c r="CW63" s="280"/>
      <c r="CY63" s="280"/>
      <c r="CZ63" s="280"/>
      <c r="DB63" s="535"/>
      <c r="DC63" s="280"/>
      <c r="DD63" s="40"/>
    </row>
    <row r="64" ht="25.5">
      <c r="B64" s="283" t="s">
        <v>213</v>
      </c>
      <c r="C64" s="283"/>
      <c r="D64" s="315">
        <v>289</v>
      </c>
      <c r="E64" s="316">
        <v>1392</v>
      </c>
      <c r="F64" s="317">
        <v>17921756.829999998</v>
      </c>
      <c r="G64" s="316"/>
      <c r="H64" s="316"/>
      <c r="I64" s="619"/>
      <c r="J64" s="315"/>
      <c r="K64" s="316"/>
      <c r="L64" s="317"/>
      <c r="M64" s="2348"/>
      <c r="N64" s="2348"/>
      <c r="O64" s="620"/>
      <c r="P64" s="316"/>
      <c r="Q64" s="316"/>
      <c r="R64" s="317"/>
      <c r="S64" s="2348"/>
      <c r="T64" s="2348"/>
      <c r="U64" s="619"/>
      <c r="V64" s="320">
        <f t="shared" ref="V64:AA70" si="2390">D64+J64+P64</f>
        <v>289</v>
      </c>
      <c r="W64" s="321">
        <f t="shared" si="2390"/>
        <v>1392</v>
      </c>
      <c r="X64" s="619">
        <f t="shared" si="2390"/>
        <v>17921756.829999998</v>
      </c>
      <c r="Y64" s="621">
        <f t="shared" si="2390"/>
        <v>0</v>
      </c>
      <c r="Z64" s="621">
        <f t="shared" si="2390"/>
        <v>0</v>
      </c>
      <c r="AA64" s="622">
        <f t="shared" si="2390"/>
        <v>0</v>
      </c>
      <c r="AB64" s="321"/>
      <c r="AC64" s="321"/>
      <c r="AD64" s="623"/>
      <c r="AE64" s="624"/>
      <c r="AF64" s="624"/>
      <c r="AG64" s="619"/>
      <c r="AH64" s="323"/>
      <c r="AI64" s="322"/>
      <c r="AJ64" s="317"/>
      <c r="AK64" s="624"/>
      <c r="AL64" s="624"/>
      <c r="AM64" s="620"/>
      <c r="AN64" s="323"/>
      <c r="AO64" s="322"/>
      <c r="AP64" s="317"/>
      <c r="AQ64" s="624"/>
      <c r="AR64" s="624"/>
      <c r="AS64" s="620"/>
      <c r="AT64" s="323">
        <f t="shared" ref="AT64:AY70" si="2391">V64+AB64+AH64+AN64</f>
        <v>289</v>
      </c>
      <c r="AU64" s="322">
        <f t="shared" si="2391"/>
        <v>1392</v>
      </c>
      <c r="AV64" s="324">
        <f t="shared" si="2391"/>
        <v>17921756.829999998</v>
      </c>
      <c r="AW64" s="322">
        <f t="shared" si="2391"/>
        <v>0</v>
      </c>
      <c r="AX64" s="322">
        <f t="shared" si="2391"/>
        <v>0</v>
      </c>
      <c r="AY64" s="325">
        <f t="shared" si="2391"/>
        <v>0</v>
      </c>
      <c r="AZ64" s="323"/>
      <c r="BA64" s="322"/>
      <c r="BB64" s="2349"/>
      <c r="BC64" s="624"/>
      <c r="BD64" s="624"/>
      <c r="BE64" s="620"/>
      <c r="BF64" s="323"/>
      <c r="BG64" s="322"/>
      <c r="BH64" s="2349"/>
      <c r="BI64" s="624"/>
      <c r="BJ64" s="624"/>
      <c r="BK64" s="620"/>
      <c r="BL64" s="323"/>
      <c r="BM64" s="322"/>
      <c r="BN64" s="317"/>
      <c r="BO64" s="624"/>
      <c r="BP64" s="624"/>
      <c r="BQ64" s="620"/>
      <c r="BR64" s="323">
        <f t="shared" ref="BR64:BW70" si="2392">AZ64+BF64+BL64</f>
        <v>0</v>
      </c>
      <c r="BS64" s="322">
        <f t="shared" si="2392"/>
        <v>0</v>
      </c>
      <c r="BT64" s="322">
        <f t="shared" si="2392"/>
        <v>0</v>
      </c>
      <c r="BU64" s="322">
        <f t="shared" si="2392"/>
        <v>0</v>
      </c>
      <c r="BV64" s="322">
        <f t="shared" si="2392"/>
        <v>0</v>
      </c>
      <c r="BW64" s="326">
        <f t="shared" si="2392"/>
        <v>0</v>
      </c>
      <c r="BX64" s="323"/>
      <c r="BY64" s="322"/>
      <c r="BZ64" s="317"/>
      <c r="CA64" s="624"/>
      <c r="CB64" s="624"/>
      <c r="CC64" s="620"/>
      <c r="CD64" s="323"/>
      <c r="CE64" s="322"/>
      <c r="CF64" s="317"/>
      <c r="CG64" s="624"/>
      <c r="CH64" s="624"/>
      <c r="CI64" s="620"/>
      <c r="CJ64" s="323"/>
      <c r="CK64" s="322"/>
      <c r="CL64" s="317"/>
      <c r="CM64" s="624"/>
      <c r="CN64" s="624"/>
      <c r="CO64" s="620"/>
      <c r="CP64" s="315">
        <f t="shared" ref="CP64:CU70" si="2393">BR64+BX64+CD64+CJ64</f>
        <v>0</v>
      </c>
      <c r="CQ64" s="316">
        <f t="shared" si="2393"/>
        <v>0</v>
      </c>
      <c r="CR64" s="317">
        <f t="shared" si="2393"/>
        <v>0</v>
      </c>
      <c r="CS64" s="316">
        <f t="shared" si="2393"/>
        <v>0</v>
      </c>
      <c r="CT64" s="316">
        <f t="shared" si="2393"/>
        <v>0</v>
      </c>
      <c r="CU64" s="317">
        <f t="shared" si="2393"/>
        <v>0</v>
      </c>
      <c r="CV64" s="327">
        <f t="shared" ref="CV64:DA70" si="2394">AT64+CP64</f>
        <v>289</v>
      </c>
      <c r="CW64" s="316">
        <f t="shared" si="2394"/>
        <v>1392</v>
      </c>
      <c r="CX64" s="317">
        <f t="shared" si="2394"/>
        <v>17921756.829999998</v>
      </c>
      <c r="CY64" s="316">
        <f t="shared" si="2394"/>
        <v>0</v>
      </c>
      <c r="CZ64" s="316">
        <f t="shared" si="2394"/>
        <v>0</v>
      </c>
      <c r="DA64" s="317">
        <f t="shared" si="2394"/>
        <v>0</v>
      </c>
      <c r="DB64" s="327">
        <f>CV64+CY64</f>
        <v>289</v>
      </c>
      <c r="DC64" s="316">
        <f>CW64+CZ64</f>
        <v>1392</v>
      </c>
      <c r="DD64" s="328">
        <f>CX64+DA64</f>
        <v>17921756.829999998</v>
      </c>
    </row>
    <row r="65">
      <c r="B65" s="437"/>
      <c r="C65" s="437"/>
      <c r="D65" s="342"/>
      <c r="E65" s="343"/>
      <c r="F65" s="344"/>
      <c r="G65" s="343"/>
      <c r="H65" s="343"/>
      <c r="I65" s="344"/>
      <c r="J65" s="342"/>
      <c r="K65" s="343"/>
      <c r="L65" s="346"/>
      <c r="M65" s="343"/>
      <c r="N65" s="343"/>
      <c r="O65" s="347"/>
      <c r="P65" s="343"/>
      <c r="Q65" s="343"/>
      <c r="R65" s="344"/>
      <c r="S65" s="343"/>
      <c r="T65" s="343"/>
      <c r="U65" s="344"/>
      <c r="V65" s="348"/>
      <c r="W65" s="349"/>
      <c r="X65" s="344"/>
      <c r="Y65" s="350"/>
      <c r="Z65" s="350"/>
      <c r="AA65" s="347"/>
      <c r="AB65" s="350"/>
      <c r="AC65" s="350"/>
      <c r="AD65" s="344"/>
      <c r="AE65" s="350"/>
      <c r="AF65" s="350"/>
      <c r="AG65" s="344"/>
      <c r="AH65" s="351"/>
      <c r="AI65" s="350"/>
      <c r="AJ65" s="344"/>
      <c r="AK65" s="350"/>
      <c r="AL65" s="350"/>
      <c r="AM65" s="347"/>
      <c r="AN65" s="351"/>
      <c r="AO65" s="350"/>
      <c r="AP65" s="344"/>
      <c r="AQ65" s="350"/>
      <c r="AR65" s="350"/>
      <c r="AS65" s="347"/>
      <c r="AT65" s="351"/>
      <c r="AU65" s="350"/>
      <c r="AV65" s="344"/>
      <c r="AW65" s="350"/>
      <c r="AX65" s="350"/>
      <c r="AY65" s="347"/>
      <c r="AZ65" s="351"/>
      <c r="BA65" s="350"/>
      <c r="BB65" s="344"/>
      <c r="BC65" s="350"/>
      <c r="BD65" s="350"/>
      <c r="BE65" s="347"/>
      <c r="BF65" s="351"/>
      <c r="BG65" s="350"/>
      <c r="BH65" s="344"/>
      <c r="BI65" s="350"/>
      <c r="BJ65" s="350"/>
      <c r="BK65" s="347"/>
      <c r="BL65" s="351"/>
      <c r="BM65" s="350"/>
      <c r="BN65" s="344"/>
      <c r="BO65" s="350"/>
      <c r="BP65" s="350"/>
      <c r="BQ65" s="347"/>
      <c r="BR65" s="351"/>
      <c r="BS65" s="350"/>
      <c r="BT65" s="344"/>
      <c r="BU65" s="350"/>
      <c r="BV65" s="350"/>
      <c r="BW65" s="347"/>
      <c r="BX65" s="351"/>
      <c r="BY65" s="350"/>
      <c r="BZ65" s="344"/>
      <c r="CA65" s="350"/>
      <c r="CB65" s="350"/>
      <c r="CC65" s="347"/>
      <c r="CD65" s="351"/>
      <c r="CE65" s="350"/>
      <c r="CF65" s="344"/>
      <c r="CG65" s="350"/>
      <c r="CH65" s="350"/>
      <c r="CI65" s="347"/>
      <c r="CJ65" s="351"/>
      <c r="CK65" s="350"/>
      <c r="CL65" s="344"/>
      <c r="CM65" s="350"/>
      <c r="CN65" s="350"/>
      <c r="CO65" s="347"/>
      <c r="CP65" s="342"/>
      <c r="CQ65" s="343"/>
      <c r="CR65" s="344"/>
      <c r="CS65" s="343"/>
      <c r="CT65" s="343"/>
      <c r="CU65" s="344"/>
      <c r="CV65" s="534"/>
      <c r="CW65" s="343"/>
      <c r="CX65" s="344"/>
      <c r="CY65" s="343"/>
      <c r="CZ65" s="343"/>
      <c r="DA65" s="344"/>
      <c r="DB65" s="534"/>
      <c r="DC65" s="343"/>
      <c r="DD65" s="355"/>
    </row>
    <row r="66" ht="25.5">
      <c r="B66" s="283" t="s">
        <v>215</v>
      </c>
      <c r="C66" s="283"/>
      <c r="D66" s="280">
        <v>235</v>
      </c>
      <c r="E66" s="280">
        <v>1894</v>
      </c>
      <c r="F66" s="1">
        <v>13471888.25</v>
      </c>
      <c r="G66" s="280"/>
      <c r="H66" s="280"/>
      <c r="J66" s="470"/>
      <c r="O66" s="38"/>
      <c r="V66" s="356">
        <f t="shared" si="2390"/>
        <v>235</v>
      </c>
      <c r="W66" s="357">
        <f t="shared" si="2390"/>
        <v>1894</v>
      </c>
      <c r="X66" s="1">
        <f t="shared" si="2390"/>
        <v>13471888.25</v>
      </c>
      <c r="Y66" s="281">
        <f t="shared" si="2390"/>
        <v>0</v>
      </c>
      <c r="Z66" s="281">
        <f t="shared" si="2390"/>
        <v>0</v>
      </c>
      <c r="AA66" s="38">
        <f t="shared" si="2390"/>
        <v>0</v>
      </c>
      <c r="AB66" s="281"/>
      <c r="AC66" s="281"/>
      <c r="AE66" s="281"/>
      <c r="AF66" s="281"/>
      <c r="AH66" s="282"/>
      <c r="AI66" s="281"/>
      <c r="AK66" s="281"/>
      <c r="AL66" s="281"/>
      <c r="AM66" s="38"/>
      <c r="AN66" s="282"/>
      <c r="AO66" s="281"/>
      <c r="AQ66" s="281"/>
      <c r="AR66" s="281"/>
      <c r="AS66" s="38"/>
      <c r="AT66" s="323">
        <f t="shared" si="2391"/>
        <v>235</v>
      </c>
      <c r="AU66" s="322">
        <f t="shared" si="2391"/>
        <v>1894</v>
      </c>
      <c r="AV66" s="324">
        <f t="shared" si="2391"/>
        <v>13471888.25</v>
      </c>
      <c r="AW66" s="322">
        <f t="shared" si="2391"/>
        <v>0</v>
      </c>
      <c r="AX66" s="322">
        <f t="shared" si="2391"/>
        <v>0</v>
      </c>
      <c r="AY66" s="325">
        <f t="shared" si="2391"/>
        <v>0</v>
      </c>
      <c r="AZ66" s="282"/>
      <c r="BA66" s="281"/>
      <c r="BC66" s="281"/>
      <c r="BD66" s="281"/>
      <c r="BE66" s="38"/>
      <c r="BF66" s="282"/>
      <c r="BG66" s="281"/>
      <c r="BI66" s="281"/>
      <c r="BJ66" s="281"/>
      <c r="BK66" s="38"/>
      <c r="BL66" s="282"/>
      <c r="BM66" s="281"/>
      <c r="BO66" s="281"/>
      <c r="BP66" s="281"/>
      <c r="BQ66" s="38"/>
      <c r="BR66" s="323">
        <f t="shared" si="2392"/>
        <v>0</v>
      </c>
      <c r="BS66" s="322">
        <f t="shared" si="2392"/>
        <v>0</v>
      </c>
      <c r="BT66" s="322">
        <f t="shared" si="2392"/>
        <v>0</v>
      </c>
      <c r="BU66" s="322">
        <f t="shared" si="2392"/>
        <v>0</v>
      </c>
      <c r="BV66" s="322">
        <f t="shared" si="2392"/>
        <v>0</v>
      </c>
      <c r="BW66" s="326">
        <f t="shared" si="2392"/>
        <v>0</v>
      </c>
      <c r="BX66" s="282"/>
      <c r="BY66" s="281"/>
      <c r="CA66" s="281"/>
      <c r="CB66" s="281"/>
      <c r="CC66" s="38"/>
      <c r="CD66" s="282"/>
      <c r="CE66" s="281"/>
      <c r="CG66" s="281"/>
      <c r="CH66" s="281"/>
      <c r="CI66" s="38"/>
      <c r="CJ66" s="282"/>
      <c r="CK66" s="281"/>
      <c r="CM66" s="281"/>
      <c r="CN66" s="281"/>
      <c r="CO66" s="38"/>
      <c r="CP66" s="315">
        <f t="shared" si="2393"/>
        <v>0</v>
      </c>
      <c r="CQ66" s="316">
        <f t="shared" si="2393"/>
        <v>0</v>
      </c>
      <c r="CR66" s="317">
        <f t="shared" si="2393"/>
        <v>0</v>
      </c>
      <c r="CS66" s="316">
        <f t="shared" si="2393"/>
        <v>0</v>
      </c>
      <c r="CT66" s="316">
        <f t="shared" si="2393"/>
        <v>0</v>
      </c>
      <c r="CU66" s="317">
        <f t="shared" si="2393"/>
        <v>0</v>
      </c>
      <c r="CV66" s="535">
        <f t="shared" si="2394"/>
        <v>235</v>
      </c>
      <c r="CW66" s="280">
        <f t="shared" si="2394"/>
        <v>1894</v>
      </c>
      <c r="CX66" s="1">
        <f t="shared" si="2394"/>
        <v>13471888.25</v>
      </c>
      <c r="CY66" s="280">
        <f t="shared" si="2394"/>
        <v>0</v>
      </c>
      <c r="CZ66" s="280">
        <f t="shared" si="2394"/>
        <v>0</v>
      </c>
      <c r="DA66" s="1">
        <f t="shared" si="2394"/>
        <v>0</v>
      </c>
      <c r="DB66" s="327">
        <f>CV66+CY66</f>
        <v>235</v>
      </c>
      <c r="DC66" s="316">
        <f>CW66+CZ66</f>
        <v>1894</v>
      </c>
      <c r="DD66" s="328">
        <f>CX66+DA66</f>
        <v>13471888.25</v>
      </c>
    </row>
    <row r="67">
      <c r="B67" s="437"/>
      <c r="C67" s="437"/>
      <c r="D67" s="280"/>
      <c r="E67" s="280"/>
      <c r="G67" s="280"/>
      <c r="H67" s="280"/>
      <c r="J67" s="470"/>
      <c r="L67" s="15"/>
      <c r="O67" s="38"/>
      <c r="V67" s="356"/>
      <c r="W67" s="357"/>
      <c r="Y67" s="281"/>
      <c r="Z67" s="281"/>
      <c r="AA67" s="38"/>
      <c r="AB67" s="281"/>
      <c r="AC67" s="281"/>
      <c r="AE67" s="281"/>
      <c r="AF67" s="281"/>
      <c r="AH67" s="282"/>
      <c r="AI67" s="281"/>
      <c r="AK67" s="281"/>
      <c r="AL67" s="281"/>
      <c r="AM67" s="38"/>
      <c r="AN67" s="282"/>
      <c r="AO67" s="281"/>
      <c r="AQ67" s="281"/>
      <c r="AR67" s="281"/>
      <c r="AS67" s="38"/>
      <c r="AT67" s="351"/>
      <c r="AU67" s="350"/>
      <c r="AV67" s="344"/>
      <c r="AW67" s="350"/>
      <c r="AX67" s="350"/>
      <c r="AY67" s="347"/>
      <c r="AZ67" s="282"/>
      <c r="BA67" s="281"/>
      <c r="BC67" s="281"/>
      <c r="BD67" s="281"/>
      <c r="BE67" s="38"/>
      <c r="BF67" s="282"/>
      <c r="BG67" s="281"/>
      <c r="BI67" s="281"/>
      <c r="BJ67" s="281"/>
      <c r="BK67" s="38"/>
      <c r="BL67" s="282"/>
      <c r="BM67" s="281"/>
      <c r="BO67" s="281"/>
      <c r="BP67" s="281"/>
      <c r="BQ67" s="38"/>
      <c r="BR67" s="351"/>
      <c r="BS67" s="350"/>
      <c r="BT67" s="344"/>
      <c r="BU67" s="350"/>
      <c r="BV67" s="350"/>
      <c r="BW67" s="347"/>
      <c r="BX67" s="282"/>
      <c r="BY67" s="281"/>
      <c r="CA67" s="281"/>
      <c r="CB67" s="281"/>
      <c r="CC67" s="38"/>
      <c r="CD67" s="282"/>
      <c r="CE67" s="281"/>
      <c r="CG67" s="281"/>
      <c r="CH67" s="281"/>
      <c r="CI67" s="38"/>
      <c r="CJ67" s="282"/>
      <c r="CK67" s="281"/>
      <c r="CM67" s="281"/>
      <c r="CN67" s="281"/>
      <c r="CO67" s="38"/>
      <c r="CP67" s="342"/>
      <c r="CQ67" s="343"/>
      <c r="CR67" s="344"/>
      <c r="CS67" s="343"/>
      <c r="CT67" s="343"/>
      <c r="CU67" s="344"/>
      <c r="CV67" s="535"/>
      <c r="CW67" s="280"/>
      <c r="CY67" s="280"/>
      <c r="CZ67" s="280"/>
      <c r="DB67" s="534"/>
      <c r="DC67" s="343"/>
      <c r="DD67" s="355"/>
    </row>
    <row r="68">
      <c r="B68" s="283" t="s">
        <v>218</v>
      </c>
      <c r="C68" s="283"/>
      <c r="D68" s="315">
        <v>41</v>
      </c>
      <c r="E68" s="316">
        <v>466</v>
      </c>
      <c r="F68" s="317">
        <v>8132592.9000000004</v>
      </c>
      <c r="G68" s="316"/>
      <c r="H68" s="316"/>
      <c r="I68" s="317"/>
      <c r="J68" s="315"/>
      <c r="K68" s="316"/>
      <c r="L68" s="317"/>
      <c r="M68" s="316"/>
      <c r="N68" s="316"/>
      <c r="O68" s="319"/>
      <c r="P68" s="316"/>
      <c r="Q68" s="316"/>
      <c r="R68" s="317"/>
      <c r="S68" s="316"/>
      <c r="T68" s="316"/>
      <c r="U68" s="317"/>
      <c r="V68" s="320">
        <f t="shared" si="2390"/>
        <v>41</v>
      </c>
      <c r="W68" s="321">
        <f t="shared" si="2390"/>
        <v>466</v>
      </c>
      <c r="X68" s="317">
        <f t="shared" si="2390"/>
        <v>8132592.9000000004</v>
      </c>
      <c r="Y68" s="322">
        <f t="shared" si="2390"/>
        <v>0</v>
      </c>
      <c r="Z68" s="322">
        <f t="shared" si="2390"/>
        <v>0</v>
      </c>
      <c r="AA68" s="319">
        <f t="shared" si="2390"/>
        <v>0</v>
      </c>
      <c r="AB68" s="322"/>
      <c r="AC68" s="322"/>
      <c r="AD68" s="317"/>
      <c r="AE68" s="322"/>
      <c r="AF68" s="322"/>
      <c r="AG68" s="317"/>
      <c r="AH68" s="323"/>
      <c r="AI68" s="322"/>
      <c r="AJ68" s="317"/>
      <c r="AK68" s="322"/>
      <c r="AL68" s="322"/>
      <c r="AM68" s="319"/>
      <c r="AN68" s="323"/>
      <c r="AO68" s="322"/>
      <c r="AP68" s="317"/>
      <c r="AQ68" s="322"/>
      <c r="AR68" s="322"/>
      <c r="AS68" s="319"/>
      <c r="AT68" s="323">
        <f t="shared" si="2391"/>
        <v>41</v>
      </c>
      <c r="AU68" s="322">
        <f t="shared" si="2391"/>
        <v>466</v>
      </c>
      <c r="AV68" s="324">
        <f t="shared" si="2391"/>
        <v>8132592.9000000004</v>
      </c>
      <c r="AW68" s="322">
        <f t="shared" si="2391"/>
        <v>0</v>
      </c>
      <c r="AX68" s="322">
        <f t="shared" si="2391"/>
        <v>0</v>
      </c>
      <c r="AY68" s="325">
        <f t="shared" si="2391"/>
        <v>0</v>
      </c>
      <c r="AZ68" s="323"/>
      <c r="BA68" s="322"/>
      <c r="BB68" s="317"/>
      <c r="BC68" s="322"/>
      <c r="BD68" s="322"/>
      <c r="BE68" s="319"/>
      <c r="BF68" s="323"/>
      <c r="BG68" s="322"/>
      <c r="BH68" s="317"/>
      <c r="BI68" s="322"/>
      <c r="BJ68" s="322"/>
      <c r="BK68" s="319"/>
      <c r="BL68" s="323"/>
      <c r="BM68" s="322"/>
      <c r="BN68" s="317"/>
      <c r="BO68" s="322"/>
      <c r="BP68" s="322"/>
      <c r="BQ68" s="319"/>
      <c r="BR68" s="323">
        <f t="shared" si="2392"/>
        <v>0</v>
      </c>
      <c r="BS68" s="322">
        <f t="shared" si="2392"/>
        <v>0</v>
      </c>
      <c r="BT68" s="322">
        <f t="shared" si="2392"/>
        <v>0</v>
      </c>
      <c r="BU68" s="322">
        <f t="shared" si="2392"/>
        <v>0</v>
      </c>
      <c r="BV68" s="322">
        <f t="shared" si="2392"/>
        <v>0</v>
      </c>
      <c r="BW68" s="326">
        <f t="shared" si="2392"/>
        <v>0</v>
      </c>
      <c r="BX68" s="323"/>
      <c r="BY68" s="322"/>
      <c r="BZ68" s="317"/>
      <c r="CA68" s="322"/>
      <c r="CB68" s="322"/>
      <c r="CC68" s="319"/>
      <c r="CD68" s="323"/>
      <c r="CE68" s="322"/>
      <c r="CF68" s="317"/>
      <c r="CG68" s="322"/>
      <c r="CH68" s="322"/>
      <c r="CI68" s="319"/>
      <c r="CJ68" s="323"/>
      <c r="CK68" s="322"/>
      <c r="CL68" s="317"/>
      <c r="CM68" s="322"/>
      <c r="CN68" s="322"/>
      <c r="CO68" s="319"/>
      <c r="CP68" s="315">
        <f t="shared" si="2393"/>
        <v>0</v>
      </c>
      <c r="CQ68" s="316">
        <f t="shared" si="2393"/>
        <v>0</v>
      </c>
      <c r="CR68" s="317">
        <f t="shared" si="2393"/>
        <v>0</v>
      </c>
      <c r="CS68" s="316">
        <f t="shared" si="2393"/>
        <v>0</v>
      </c>
      <c r="CT68" s="316">
        <f t="shared" si="2393"/>
        <v>0</v>
      </c>
      <c r="CU68" s="317">
        <f t="shared" si="2393"/>
        <v>0</v>
      </c>
      <c r="CV68" s="327">
        <f t="shared" si="2394"/>
        <v>41</v>
      </c>
      <c r="CW68" s="316">
        <f t="shared" si="2394"/>
        <v>466</v>
      </c>
      <c r="CX68" s="317">
        <f t="shared" si="2394"/>
        <v>8132592.9000000004</v>
      </c>
      <c r="CY68" s="316">
        <f t="shared" si="2394"/>
        <v>0</v>
      </c>
      <c r="CZ68" s="316">
        <f t="shared" si="2394"/>
        <v>0</v>
      </c>
      <c r="DA68" s="317">
        <f t="shared" si="2394"/>
        <v>0</v>
      </c>
      <c r="DB68" s="327">
        <f>CV68+CY68</f>
        <v>41</v>
      </c>
      <c r="DC68" s="316">
        <f>CW68+CZ68</f>
        <v>466</v>
      </c>
      <c r="DD68" s="328">
        <f>CX68+DA68</f>
        <v>8132592.9000000004</v>
      </c>
    </row>
    <row r="69">
      <c r="B69" s="437"/>
      <c r="C69" s="437"/>
      <c r="D69" s="342"/>
      <c r="E69" s="343"/>
      <c r="F69" s="344"/>
      <c r="G69" s="343"/>
      <c r="H69" s="343"/>
      <c r="I69" s="344"/>
      <c r="J69" s="342"/>
      <c r="K69" s="343"/>
      <c r="L69" s="346"/>
      <c r="M69" s="343"/>
      <c r="N69" s="343"/>
      <c r="O69" s="347"/>
      <c r="P69" s="343"/>
      <c r="Q69" s="343"/>
      <c r="R69" s="344"/>
      <c r="S69" s="343"/>
      <c r="T69" s="343"/>
      <c r="U69" s="344"/>
      <c r="V69" s="348"/>
      <c r="W69" s="349"/>
      <c r="X69" s="344"/>
      <c r="Y69" s="350"/>
      <c r="Z69" s="350"/>
      <c r="AA69" s="347"/>
      <c r="AB69" s="350"/>
      <c r="AC69" s="350"/>
      <c r="AD69" s="344"/>
      <c r="AE69" s="350"/>
      <c r="AF69" s="350"/>
      <c r="AG69" s="344"/>
      <c r="AH69" s="351"/>
      <c r="AI69" s="350"/>
      <c r="AJ69" s="344"/>
      <c r="AK69" s="350"/>
      <c r="AL69" s="350"/>
      <c r="AM69" s="347"/>
      <c r="AN69" s="351"/>
      <c r="AO69" s="350"/>
      <c r="AP69" s="344"/>
      <c r="AQ69" s="350"/>
      <c r="AR69" s="350"/>
      <c r="AS69" s="347"/>
      <c r="AT69" s="351"/>
      <c r="AU69" s="350"/>
      <c r="AV69" s="344"/>
      <c r="AW69" s="350"/>
      <c r="AX69" s="350"/>
      <c r="AY69" s="347"/>
      <c r="AZ69" s="351"/>
      <c r="BA69" s="350"/>
      <c r="BB69" s="344"/>
      <c r="BC69" s="350"/>
      <c r="BD69" s="350"/>
      <c r="BE69" s="347"/>
      <c r="BF69" s="351"/>
      <c r="BG69" s="350"/>
      <c r="BH69" s="344"/>
      <c r="BI69" s="350"/>
      <c r="BJ69" s="350"/>
      <c r="BK69" s="347"/>
      <c r="BL69" s="351"/>
      <c r="BM69" s="350"/>
      <c r="BN69" s="344"/>
      <c r="BO69" s="350"/>
      <c r="BP69" s="350"/>
      <c r="BQ69" s="347"/>
      <c r="BR69" s="351"/>
      <c r="BS69" s="350"/>
      <c r="BT69" s="344"/>
      <c r="BU69" s="350"/>
      <c r="BV69" s="350"/>
      <c r="BW69" s="347"/>
      <c r="BX69" s="351"/>
      <c r="BY69" s="350"/>
      <c r="BZ69" s="344"/>
      <c r="CA69" s="350"/>
      <c r="CB69" s="350"/>
      <c r="CC69" s="347"/>
      <c r="CD69" s="351"/>
      <c r="CE69" s="350"/>
      <c r="CF69" s="344"/>
      <c r="CG69" s="350"/>
      <c r="CH69" s="350"/>
      <c r="CI69" s="347"/>
      <c r="CJ69" s="351"/>
      <c r="CK69" s="350"/>
      <c r="CL69" s="344"/>
      <c r="CM69" s="350"/>
      <c r="CN69" s="350"/>
      <c r="CO69" s="347"/>
      <c r="CP69" s="342"/>
      <c r="CQ69" s="343"/>
      <c r="CR69" s="344"/>
      <c r="CS69" s="343"/>
      <c r="CT69" s="343"/>
      <c r="CU69" s="344"/>
      <c r="CV69" s="534"/>
      <c r="CW69" s="343"/>
      <c r="CX69" s="344"/>
      <c r="CY69" s="343"/>
      <c r="CZ69" s="343"/>
      <c r="DA69" s="344"/>
      <c r="DB69" s="534"/>
      <c r="DC69" s="343"/>
      <c r="DD69" s="355"/>
    </row>
    <row r="70">
      <c r="B70" s="283" t="s">
        <v>222</v>
      </c>
      <c r="C70" s="283"/>
      <c r="D70" s="280">
        <v>4</v>
      </c>
      <c r="E70" s="280">
        <v>60</v>
      </c>
      <c r="F70" s="1">
        <v>736408.18999999994</v>
      </c>
      <c r="G70" s="280"/>
      <c r="H70" s="280"/>
      <c r="J70" s="470"/>
      <c r="O70" s="38"/>
      <c r="V70" s="356">
        <f t="shared" si="2390"/>
        <v>4</v>
      </c>
      <c r="W70" s="357">
        <f t="shared" si="2390"/>
        <v>60</v>
      </c>
      <c r="X70" s="1">
        <f t="shared" si="2390"/>
        <v>736408.18999999994</v>
      </c>
      <c r="Y70" s="281">
        <f t="shared" si="2390"/>
        <v>0</v>
      </c>
      <c r="Z70" s="281">
        <f t="shared" si="2390"/>
        <v>0</v>
      </c>
      <c r="AA70" s="38">
        <f t="shared" si="2390"/>
        <v>0</v>
      </c>
      <c r="AB70" s="281"/>
      <c r="AC70" s="281"/>
      <c r="AE70" s="281"/>
      <c r="AF70" s="281"/>
      <c r="AH70" s="282"/>
      <c r="AI70" s="281"/>
      <c r="AK70" s="281"/>
      <c r="AL70" s="281"/>
      <c r="AM70" s="38"/>
      <c r="AN70" s="282"/>
      <c r="AO70" s="281"/>
      <c r="AQ70" s="281"/>
      <c r="AR70" s="281"/>
      <c r="AS70" s="38"/>
      <c r="AT70" s="323">
        <f t="shared" si="2391"/>
        <v>4</v>
      </c>
      <c r="AU70" s="322">
        <f t="shared" si="2391"/>
        <v>60</v>
      </c>
      <c r="AV70" s="324">
        <f t="shared" si="2391"/>
        <v>736408.18999999994</v>
      </c>
      <c r="AW70" s="322">
        <f t="shared" si="2391"/>
        <v>0</v>
      </c>
      <c r="AX70" s="322">
        <f t="shared" si="2391"/>
        <v>0</v>
      </c>
      <c r="AY70" s="325">
        <f t="shared" si="2391"/>
        <v>0</v>
      </c>
      <c r="AZ70" s="282"/>
      <c r="BA70" s="281"/>
      <c r="BC70" s="281"/>
      <c r="BD70" s="281"/>
      <c r="BE70" s="38"/>
      <c r="BF70" s="282"/>
      <c r="BG70" s="281"/>
      <c r="BI70" s="281"/>
      <c r="BJ70" s="281"/>
      <c r="BK70" s="38"/>
      <c r="BL70" s="282"/>
      <c r="BM70" s="281"/>
      <c r="BO70" s="281"/>
      <c r="BP70" s="281"/>
      <c r="BQ70" s="38"/>
      <c r="BR70" s="323">
        <f t="shared" si="2392"/>
        <v>0</v>
      </c>
      <c r="BS70" s="322">
        <f t="shared" si="2392"/>
        <v>0</v>
      </c>
      <c r="BT70" s="322">
        <f t="shared" si="2392"/>
        <v>0</v>
      </c>
      <c r="BU70" s="322">
        <f t="shared" si="2392"/>
        <v>0</v>
      </c>
      <c r="BV70" s="322">
        <f t="shared" si="2392"/>
        <v>0</v>
      </c>
      <c r="BW70" s="326">
        <f t="shared" si="2392"/>
        <v>0</v>
      </c>
      <c r="BX70" s="282"/>
      <c r="BY70" s="281"/>
      <c r="CA70" s="281"/>
      <c r="CB70" s="281"/>
      <c r="CC70" s="38"/>
      <c r="CD70" s="282"/>
      <c r="CE70" s="281"/>
      <c r="CG70" s="281"/>
      <c r="CH70" s="281"/>
      <c r="CI70" s="38"/>
      <c r="CJ70" s="282"/>
      <c r="CK70" s="281"/>
      <c r="CM70" s="281"/>
      <c r="CN70" s="281"/>
      <c r="CO70" s="38"/>
      <c r="CP70" s="315">
        <f t="shared" si="2393"/>
        <v>0</v>
      </c>
      <c r="CQ70" s="316">
        <f t="shared" si="2393"/>
        <v>0</v>
      </c>
      <c r="CR70" s="317">
        <f t="shared" si="2393"/>
        <v>0</v>
      </c>
      <c r="CS70" s="316">
        <f t="shared" si="2393"/>
        <v>0</v>
      </c>
      <c r="CT70" s="316">
        <f t="shared" si="2393"/>
        <v>0</v>
      </c>
      <c r="CU70" s="317">
        <f t="shared" si="2393"/>
        <v>0</v>
      </c>
      <c r="CV70" s="327">
        <f t="shared" si="2394"/>
        <v>4</v>
      </c>
      <c r="CW70" s="316">
        <f t="shared" si="2394"/>
        <v>60</v>
      </c>
      <c r="CX70" s="317">
        <f t="shared" si="2394"/>
        <v>736408.18999999994</v>
      </c>
      <c r="CY70" s="316">
        <f t="shared" si="2394"/>
        <v>0</v>
      </c>
      <c r="CZ70" s="316">
        <f t="shared" si="2394"/>
        <v>0</v>
      </c>
      <c r="DA70" s="317">
        <f t="shared" si="2394"/>
        <v>0</v>
      </c>
      <c r="DB70" s="327">
        <f>CV70+CY70</f>
        <v>4</v>
      </c>
      <c r="DC70" s="316">
        <f>CW70+CZ70</f>
        <v>60</v>
      </c>
      <c r="DD70" s="328">
        <f>CX70+DA70</f>
        <v>736408.18999999994</v>
      </c>
    </row>
    <row r="71">
      <c r="B71" s="437"/>
      <c r="C71" s="437"/>
      <c r="D71" s="280"/>
      <c r="E71" s="280"/>
      <c r="G71" s="280"/>
      <c r="H71" s="280"/>
      <c r="J71" s="470"/>
      <c r="L71" s="15"/>
      <c r="O71" s="38"/>
      <c r="V71" s="356"/>
      <c r="W71" s="357"/>
      <c r="Y71" s="281"/>
      <c r="Z71" s="281"/>
      <c r="AA71" s="38"/>
      <c r="AB71" s="281"/>
      <c r="AC71" s="281"/>
      <c r="AE71" s="281"/>
      <c r="AF71" s="281"/>
      <c r="AH71" s="282"/>
      <c r="AI71" s="281"/>
      <c r="AK71" s="281"/>
      <c r="AL71" s="281"/>
      <c r="AM71" s="38"/>
      <c r="AN71" s="282"/>
      <c r="AO71" s="281"/>
      <c r="AQ71" s="281"/>
      <c r="AR71" s="281"/>
      <c r="AS71" s="38"/>
      <c r="AT71" s="351"/>
      <c r="AU71" s="350"/>
      <c r="AV71" s="344"/>
      <c r="AW71" s="350"/>
      <c r="AX71" s="350"/>
      <c r="AY71" s="347"/>
      <c r="AZ71" s="282"/>
      <c r="BA71" s="281"/>
      <c r="BC71" s="281"/>
      <c r="BD71" s="281"/>
      <c r="BE71" s="38"/>
      <c r="BF71" s="282"/>
      <c r="BG71" s="281"/>
      <c r="BI71" s="281"/>
      <c r="BJ71" s="281"/>
      <c r="BK71" s="38"/>
      <c r="BL71" s="282"/>
      <c r="BM71" s="281"/>
      <c r="BO71" s="281"/>
      <c r="BP71" s="281"/>
      <c r="BQ71" s="38"/>
      <c r="BR71" s="351"/>
      <c r="BS71" s="350"/>
      <c r="BT71" s="344"/>
      <c r="BU71" s="350"/>
      <c r="BV71" s="350"/>
      <c r="BW71" s="347"/>
      <c r="BX71" s="282"/>
      <c r="BY71" s="281"/>
      <c r="CA71" s="281"/>
      <c r="CB71" s="281"/>
      <c r="CC71" s="38"/>
      <c r="CD71" s="282"/>
      <c r="CE71" s="281"/>
      <c r="CG71" s="281"/>
      <c r="CH71" s="281"/>
      <c r="CI71" s="38"/>
      <c r="CJ71" s="282"/>
      <c r="CK71" s="281"/>
      <c r="CM71" s="281"/>
      <c r="CN71" s="281"/>
      <c r="CO71" s="38"/>
      <c r="CP71" s="342"/>
      <c r="CQ71" s="343"/>
      <c r="CR71" s="344"/>
      <c r="CS71" s="343"/>
      <c r="CT71" s="343"/>
      <c r="CU71" s="344"/>
      <c r="CV71" s="534"/>
      <c r="CW71" s="343"/>
      <c r="CX71" s="344"/>
      <c r="CY71" s="343"/>
      <c r="CZ71" s="343"/>
      <c r="DA71" s="344"/>
      <c r="DB71" s="534"/>
      <c r="DC71" s="343"/>
      <c r="DD71" s="355"/>
    </row>
    <row r="72">
      <c r="B72" s="483" t="s">
        <v>22</v>
      </c>
      <c r="C72" s="483"/>
      <c r="D72" s="593">
        <f>SUM(D64:D71)</f>
        <v>569</v>
      </c>
      <c r="E72" s="594">
        <f>SUM(E64:E71)</f>
        <v>3812</v>
      </c>
      <c r="F72" s="595">
        <f>SUM(F64:F71)</f>
        <v>40262646.169999994</v>
      </c>
      <c r="G72" s="595">
        <f>SUM(G64:G71)</f>
        <v>0</v>
      </c>
      <c r="H72" s="595">
        <f>SUM(H64:H71)</f>
        <v>0</v>
      </c>
      <c r="I72" s="595">
        <f>SUM(I63:I71)</f>
        <v>0</v>
      </c>
      <c r="J72" s="593">
        <f>SUM(J64:J71)</f>
        <v>0</v>
      </c>
      <c r="K72" s="594">
        <f>SUM(K64:K71)</f>
        <v>0</v>
      </c>
      <c r="L72" s="595">
        <f>SUM(L64:L71)</f>
        <v>0</v>
      </c>
      <c r="M72" s="594">
        <f>SUM(M64:M71)</f>
        <v>0</v>
      </c>
      <c r="N72" s="594">
        <f>SUM(N64:N71)</f>
        <v>0</v>
      </c>
      <c r="O72" s="597">
        <f>SUM(O63:O71)</f>
        <v>0</v>
      </c>
      <c r="P72" s="594">
        <f>SUM(P64:P71)</f>
        <v>0</v>
      </c>
      <c r="Q72" s="594">
        <f>SUM(Q64:Q71)</f>
        <v>0</v>
      </c>
      <c r="R72" s="595">
        <f>SUM(R64:R71)</f>
        <v>0</v>
      </c>
      <c r="S72" s="594">
        <f>SUM(S64:S71)</f>
        <v>0</v>
      </c>
      <c r="T72" s="594">
        <f>SUM(T64:T71)</f>
        <v>0</v>
      </c>
      <c r="U72" s="595">
        <f>SUM(U63:U71)</f>
        <v>0</v>
      </c>
      <c r="V72" s="494">
        <f>SUM(V64:V71)</f>
        <v>569</v>
      </c>
      <c r="W72" s="495">
        <f>SUM(W64:W71)</f>
        <v>3812</v>
      </c>
      <c r="X72" s="496">
        <f>SUM(X64:X71)</f>
        <v>40262646.169999994</v>
      </c>
      <c r="Y72" s="495">
        <f>SUM(Y64:Y71)</f>
        <v>0</v>
      </c>
      <c r="Z72" s="495">
        <f>SUM(Z64:Z71)</f>
        <v>0</v>
      </c>
      <c r="AA72" s="497">
        <f>SUM(AA63:AA71)</f>
        <v>0</v>
      </c>
      <c r="AB72" s="494">
        <f>SUM(AB64:AB71)</f>
        <v>0</v>
      </c>
      <c r="AC72" s="495">
        <f>SUM(AC64:AC71)</f>
        <v>0</v>
      </c>
      <c r="AD72" s="496">
        <f>SUM(AD64:AD71)</f>
        <v>0</v>
      </c>
      <c r="AE72" s="495">
        <f>SUM(AE64:AE71)</f>
        <v>0</v>
      </c>
      <c r="AF72" s="495">
        <f>SUM(AF64:AF71)</f>
        <v>0</v>
      </c>
      <c r="AG72" s="497">
        <f>SUM(AG63:AG71)</f>
        <v>0</v>
      </c>
      <c r="AH72" s="494">
        <f>SUM(AH64:AH71)</f>
        <v>0</v>
      </c>
      <c r="AI72" s="495">
        <f>SUM(AI64:AI71)</f>
        <v>0</v>
      </c>
      <c r="AJ72" s="496">
        <f>SUM(AJ64:AJ71)</f>
        <v>0</v>
      </c>
      <c r="AK72" s="495">
        <f>SUM(AK64:AK71)</f>
        <v>0</v>
      </c>
      <c r="AL72" s="495">
        <f>SUM(AL64:AL71)</f>
        <v>0</v>
      </c>
      <c r="AM72" s="497">
        <f>SUM(AM63:AM71)</f>
        <v>0</v>
      </c>
      <c r="AN72" s="494">
        <f>SUM(AN64:AN71)</f>
        <v>0</v>
      </c>
      <c r="AO72" s="495">
        <f>SUM(AO64:AO71)</f>
        <v>0</v>
      </c>
      <c r="AP72" s="496">
        <f>SUM(AP64:AP71)</f>
        <v>0</v>
      </c>
      <c r="AQ72" s="495">
        <f>SUM(AQ64:AQ71)</f>
        <v>0</v>
      </c>
      <c r="AR72" s="495">
        <f>SUM(AR64:AR71)</f>
        <v>0</v>
      </c>
      <c r="AS72" s="497">
        <f>SUM(AS63:AS71)</f>
        <v>0</v>
      </c>
      <c r="AT72" s="494">
        <f>SUM(AT64:AT71)</f>
        <v>569</v>
      </c>
      <c r="AU72" s="495">
        <f>SUM(AU64:AU71)</f>
        <v>3812</v>
      </c>
      <c r="AV72" s="496">
        <f>SUM(AV64:AV71)</f>
        <v>40262646.169999994</v>
      </c>
      <c r="AW72" s="495">
        <f>SUM(AW64:AW71)</f>
        <v>0</v>
      </c>
      <c r="AX72" s="495">
        <f>SUM(AX64:AX71)</f>
        <v>0</v>
      </c>
      <c r="AY72" s="497">
        <f>SUM(AY63:AY71)</f>
        <v>0</v>
      </c>
      <c r="AZ72" s="494">
        <f>SUM(AZ64:AZ71)</f>
        <v>0</v>
      </c>
      <c r="BA72" s="495">
        <f>SUM(BA64:BA71)</f>
        <v>0</v>
      </c>
      <c r="BB72" s="496">
        <f>SUM(BB64:BB71)</f>
        <v>0</v>
      </c>
      <c r="BC72" s="495">
        <f>SUM(BC64:BC71)</f>
        <v>0</v>
      </c>
      <c r="BD72" s="495">
        <f>SUM(BD64:BD71)</f>
        <v>0</v>
      </c>
      <c r="BE72" s="497">
        <f>SUM(BE63:BE71)</f>
        <v>0</v>
      </c>
      <c r="BF72" s="494">
        <f>SUM(BF64:BF71)</f>
        <v>0</v>
      </c>
      <c r="BG72" s="495">
        <f>SUM(BG64:BG71)</f>
        <v>0</v>
      </c>
      <c r="BH72" s="496">
        <f>SUM(BH64:BH71)</f>
        <v>0</v>
      </c>
      <c r="BI72" s="495">
        <f>SUM(BI64:BI71)</f>
        <v>0</v>
      </c>
      <c r="BJ72" s="495">
        <f>SUM(BJ64:BJ71)</f>
        <v>0</v>
      </c>
      <c r="BK72" s="497">
        <f>SUM(BK63:BK71)</f>
        <v>0</v>
      </c>
      <c r="BL72" s="494">
        <f>SUM(BL64:BL71)</f>
        <v>0</v>
      </c>
      <c r="BM72" s="495">
        <f>SUM(BM64:BM71)</f>
        <v>0</v>
      </c>
      <c r="BN72" s="496">
        <f>SUM(BN64:BN71)</f>
        <v>0</v>
      </c>
      <c r="BO72" s="495">
        <f>SUM(BO64:BO71)</f>
        <v>0</v>
      </c>
      <c r="BP72" s="495">
        <f>SUM(BP64:BP71)</f>
        <v>0</v>
      </c>
      <c r="BQ72" s="497">
        <f>SUM(BQ63:BQ71)</f>
        <v>0</v>
      </c>
      <c r="BR72" s="494">
        <f>SUM(BR64:BR71)</f>
        <v>0</v>
      </c>
      <c r="BS72" s="495">
        <f>SUM(BS64:BS71)</f>
        <v>0</v>
      </c>
      <c r="BT72" s="496">
        <f>SUM(BT64:BT71)</f>
        <v>0</v>
      </c>
      <c r="BU72" s="495">
        <f>SUM(BU64:BU71)</f>
        <v>0</v>
      </c>
      <c r="BV72" s="495">
        <f>SUM(BV64:BV71)</f>
        <v>0</v>
      </c>
      <c r="BW72" s="497">
        <f>SUM(BW63:BW71)</f>
        <v>0</v>
      </c>
      <c r="BX72" s="494">
        <f>SUM(BX64:BX71)</f>
        <v>0</v>
      </c>
      <c r="BY72" s="495">
        <f>SUM(BY64:BY71)</f>
        <v>0</v>
      </c>
      <c r="BZ72" s="496">
        <f>SUM(BZ64:BZ71)</f>
        <v>0</v>
      </c>
      <c r="CA72" s="495">
        <f>SUM(CA64:CA71)</f>
        <v>0</v>
      </c>
      <c r="CB72" s="495">
        <f>SUM(CB64:CB71)</f>
        <v>0</v>
      </c>
      <c r="CC72" s="497">
        <f>SUM(CC63:CC71)</f>
        <v>0</v>
      </c>
      <c r="CD72" s="494">
        <f>SUM(CD64:CD71)</f>
        <v>0</v>
      </c>
      <c r="CE72" s="495">
        <f>SUM(CE64:CE71)</f>
        <v>0</v>
      </c>
      <c r="CF72" s="496">
        <f>SUM(CF64:CF71)</f>
        <v>0</v>
      </c>
      <c r="CG72" s="495">
        <f>SUM(CG64:CG71)</f>
        <v>0</v>
      </c>
      <c r="CH72" s="495">
        <f>SUM(CH64:CH71)</f>
        <v>0</v>
      </c>
      <c r="CI72" s="497">
        <f>SUM(CI63:CI71)</f>
        <v>0</v>
      </c>
      <c r="CJ72" s="494">
        <f>SUM(CJ64:CJ71)</f>
        <v>0</v>
      </c>
      <c r="CK72" s="495">
        <f>SUM(CK64:CK71)</f>
        <v>0</v>
      </c>
      <c r="CL72" s="496">
        <f>SUM(CL64:CL71)</f>
        <v>0</v>
      </c>
      <c r="CM72" s="495">
        <f>SUM(CM64:CM71)</f>
        <v>0</v>
      </c>
      <c r="CN72" s="495">
        <f>SUM(CN64:CN71)</f>
        <v>0</v>
      </c>
      <c r="CO72" s="497">
        <f>SUM(CO63:CO71)</f>
        <v>0</v>
      </c>
      <c r="CP72" s="494">
        <f>SUM(CP64:CP71)</f>
        <v>0</v>
      </c>
      <c r="CQ72" s="495">
        <f>SUM(CQ64:CQ71)</f>
        <v>0</v>
      </c>
      <c r="CR72" s="496">
        <f>SUM(CR64:CR71)</f>
        <v>0</v>
      </c>
      <c r="CS72" s="495">
        <f>SUM(CS64:CS71)</f>
        <v>0</v>
      </c>
      <c r="CT72" s="495">
        <f>SUM(CT64:CT71)</f>
        <v>0</v>
      </c>
      <c r="CU72" s="497">
        <f>SUM(CU63:CU71)</f>
        <v>0</v>
      </c>
      <c r="CV72" s="494">
        <f>SUM(CV64:CV71)</f>
        <v>569</v>
      </c>
      <c r="CW72" s="495">
        <f>SUM(CW64:CW71)</f>
        <v>3812</v>
      </c>
      <c r="CX72" s="496">
        <f>SUM(CX64:CX71)</f>
        <v>40262646.169999994</v>
      </c>
      <c r="CY72" s="495">
        <f>SUM(CY64:CY71)</f>
        <v>0</v>
      </c>
      <c r="CZ72" s="495">
        <f>SUM(CZ64:CZ71)</f>
        <v>0</v>
      </c>
      <c r="DA72" s="496">
        <f>SUM(DA63:DA71)</f>
        <v>0</v>
      </c>
      <c r="DB72" s="2346">
        <f>SUM(DB64:DB71)</f>
        <v>569</v>
      </c>
      <c r="DC72" s="495">
        <f>SUM(DC64:DC71)</f>
        <v>3812</v>
      </c>
      <c r="DD72" s="2347">
        <f>SUM(DD64:DD71)</f>
        <v>40262646.169999994</v>
      </c>
    </row>
    <row r="73">
      <c r="B73" s="598"/>
      <c r="C73" s="598"/>
      <c r="D73" s="606"/>
      <c r="E73" s="607"/>
      <c r="F73" s="514"/>
      <c r="G73" s="514"/>
      <c r="H73" s="514"/>
      <c r="I73" s="514"/>
      <c r="J73" s="606"/>
      <c r="K73" s="607"/>
      <c r="L73" s="514"/>
      <c r="M73" s="607"/>
      <c r="N73" s="607"/>
      <c r="O73" s="516"/>
      <c r="P73" s="607"/>
      <c r="Q73" s="607"/>
      <c r="R73" s="514"/>
      <c r="S73" s="607"/>
      <c r="T73" s="607"/>
      <c r="U73" s="514"/>
      <c r="V73" s="674"/>
      <c r="W73" s="675"/>
      <c r="X73" s="12"/>
      <c r="Y73" s="517"/>
      <c r="Z73" s="517"/>
      <c r="AA73" s="493"/>
      <c r="AB73" s="674"/>
      <c r="AC73" s="675"/>
      <c r="AD73" s="12"/>
      <c r="AE73" s="517"/>
      <c r="AF73" s="517"/>
      <c r="AG73" s="493"/>
      <c r="AH73" s="674"/>
      <c r="AI73" s="675"/>
      <c r="AJ73" s="12"/>
      <c r="AK73" s="517"/>
      <c r="AL73" s="517"/>
      <c r="AM73" s="493"/>
      <c r="AN73" s="674"/>
      <c r="AO73" s="675"/>
      <c r="AP73" s="12"/>
      <c r="AQ73" s="517"/>
      <c r="AR73" s="517"/>
      <c r="AS73" s="493"/>
      <c r="AT73" s="674"/>
      <c r="AU73" s="675"/>
      <c r="AV73" s="12"/>
      <c r="AW73" s="517"/>
      <c r="AX73" s="517"/>
      <c r="AY73" s="493"/>
      <c r="AZ73" s="674"/>
      <c r="BA73" s="675"/>
      <c r="BB73" s="12"/>
      <c r="BC73" s="517"/>
      <c r="BD73" s="517"/>
      <c r="BE73" s="493"/>
      <c r="BF73" s="674"/>
      <c r="BG73" s="675"/>
      <c r="BH73" s="12"/>
      <c r="BI73" s="517"/>
      <c r="BJ73" s="517"/>
      <c r="BK73" s="493"/>
      <c r="BL73" s="674"/>
      <c r="BM73" s="675"/>
      <c r="BN73" s="12"/>
      <c r="BO73" s="517"/>
      <c r="BP73" s="517"/>
      <c r="BQ73" s="493"/>
      <c r="BR73" s="674"/>
      <c r="BS73" s="675"/>
      <c r="BT73" s="12"/>
      <c r="BU73" s="517"/>
      <c r="BV73" s="517"/>
      <c r="BW73" s="493"/>
      <c r="BX73" s="674"/>
      <c r="BY73" s="675"/>
      <c r="BZ73" s="12"/>
      <c r="CA73" s="517"/>
      <c r="CB73" s="517"/>
      <c r="CC73" s="493"/>
      <c r="CD73" s="674"/>
      <c r="CE73" s="675"/>
      <c r="CF73" s="12"/>
      <c r="CG73" s="517"/>
      <c r="CH73" s="517"/>
      <c r="CI73" s="493"/>
      <c r="CJ73" s="674"/>
      <c r="CK73" s="675"/>
      <c r="CL73" s="12"/>
      <c r="CM73" s="517"/>
      <c r="CN73" s="517"/>
      <c r="CO73" s="493"/>
      <c r="CP73" s="674"/>
      <c r="CQ73" s="675"/>
      <c r="CR73" s="12"/>
      <c r="CS73" s="517"/>
      <c r="CT73" s="517"/>
      <c r="CU73" s="493"/>
      <c r="CV73" s="674"/>
      <c r="CW73" s="675"/>
      <c r="CX73" s="12"/>
      <c r="CY73" s="517"/>
      <c r="CZ73" s="517"/>
      <c r="DA73" s="12"/>
      <c r="DB73" s="2350"/>
      <c r="DC73" s="675"/>
      <c r="DD73" s="520"/>
    </row>
    <row r="74">
      <c r="B74" s="676" t="s">
        <v>65</v>
      </c>
      <c r="C74" s="676"/>
      <c r="D74" s="685">
        <f t="shared" ref="D74:BO74" si="2395">D33+D61+D72</f>
        <v>3542</v>
      </c>
      <c r="E74" s="686">
        <f t="shared" si="2395"/>
        <v>20813</v>
      </c>
      <c r="F74" s="687">
        <f t="shared" si="2395"/>
        <v>224212876.52000001</v>
      </c>
      <c r="G74" s="686">
        <f t="shared" si="2395"/>
        <v>0</v>
      </c>
      <c r="H74" s="686">
        <f t="shared" si="2395"/>
        <v>0</v>
      </c>
      <c r="I74" s="687">
        <f t="shared" si="2395"/>
        <v>0</v>
      </c>
      <c r="J74" s="685">
        <f t="shared" si="2395"/>
        <v>0</v>
      </c>
      <c r="K74" s="686">
        <f t="shared" si="2395"/>
        <v>0</v>
      </c>
      <c r="L74" s="687">
        <f t="shared" si="2395"/>
        <v>0</v>
      </c>
      <c r="M74" s="686">
        <f t="shared" si="2395"/>
        <v>0</v>
      </c>
      <c r="N74" s="686">
        <f t="shared" si="2395"/>
        <v>0</v>
      </c>
      <c r="O74" s="689">
        <f t="shared" si="2395"/>
        <v>0</v>
      </c>
      <c r="P74" s="686">
        <f t="shared" si="2395"/>
        <v>0</v>
      </c>
      <c r="Q74" s="686">
        <f t="shared" si="2395"/>
        <v>0</v>
      </c>
      <c r="R74" s="687">
        <f t="shared" si="2395"/>
        <v>0</v>
      </c>
      <c r="S74" s="686">
        <f t="shared" si="2395"/>
        <v>0</v>
      </c>
      <c r="T74" s="686">
        <f t="shared" si="2395"/>
        <v>0</v>
      </c>
      <c r="U74" s="687">
        <f t="shared" si="2395"/>
        <v>0</v>
      </c>
      <c r="V74" s="690">
        <f t="shared" si="2395"/>
        <v>3542</v>
      </c>
      <c r="W74" s="691">
        <f t="shared" si="2395"/>
        <v>20813</v>
      </c>
      <c r="X74" s="692">
        <f t="shared" si="2395"/>
        <v>224212876.52000001</v>
      </c>
      <c r="Y74" s="693">
        <f t="shared" si="2395"/>
        <v>0</v>
      </c>
      <c r="Z74" s="693">
        <f t="shared" si="2395"/>
        <v>0</v>
      </c>
      <c r="AA74" s="694">
        <f t="shared" si="2395"/>
        <v>0</v>
      </c>
      <c r="AB74" s="695">
        <f t="shared" si="2395"/>
        <v>0</v>
      </c>
      <c r="AC74" s="693">
        <f t="shared" si="2395"/>
        <v>0</v>
      </c>
      <c r="AD74" s="696">
        <f t="shared" si="2395"/>
        <v>0</v>
      </c>
      <c r="AE74" s="693">
        <f t="shared" si="2395"/>
        <v>0</v>
      </c>
      <c r="AF74" s="693">
        <f t="shared" si="2395"/>
        <v>0</v>
      </c>
      <c r="AG74" s="694">
        <f t="shared" si="2395"/>
        <v>0</v>
      </c>
      <c r="AH74" s="695">
        <f t="shared" si="2395"/>
        <v>0</v>
      </c>
      <c r="AI74" s="693">
        <f t="shared" si="2395"/>
        <v>0</v>
      </c>
      <c r="AJ74" s="696">
        <f t="shared" si="2395"/>
        <v>0</v>
      </c>
      <c r="AK74" s="693">
        <f t="shared" si="2395"/>
        <v>0</v>
      </c>
      <c r="AL74" s="693">
        <f t="shared" si="2395"/>
        <v>0</v>
      </c>
      <c r="AM74" s="694">
        <f t="shared" si="2395"/>
        <v>0</v>
      </c>
      <c r="AN74" s="695">
        <f t="shared" si="2395"/>
        <v>0</v>
      </c>
      <c r="AO74" s="693">
        <f t="shared" si="2395"/>
        <v>0</v>
      </c>
      <c r="AP74" s="696">
        <f t="shared" si="2395"/>
        <v>0</v>
      </c>
      <c r="AQ74" s="693">
        <f t="shared" si="2395"/>
        <v>0</v>
      </c>
      <c r="AR74" s="693">
        <f t="shared" si="2395"/>
        <v>0</v>
      </c>
      <c r="AS74" s="694">
        <f t="shared" si="2395"/>
        <v>0</v>
      </c>
      <c r="AT74" s="695">
        <f t="shared" si="2395"/>
        <v>3542</v>
      </c>
      <c r="AU74" s="693">
        <f t="shared" si="2395"/>
        <v>20813</v>
      </c>
      <c r="AV74" s="696">
        <f t="shared" si="2395"/>
        <v>224212876.52000001</v>
      </c>
      <c r="AW74" s="693">
        <f t="shared" si="2395"/>
        <v>0</v>
      </c>
      <c r="AX74" s="693">
        <f t="shared" si="2395"/>
        <v>0</v>
      </c>
      <c r="AY74" s="694">
        <f t="shared" si="2395"/>
        <v>0</v>
      </c>
      <c r="AZ74" s="695">
        <f t="shared" si="2395"/>
        <v>0</v>
      </c>
      <c r="BA74" s="693">
        <f t="shared" si="2395"/>
        <v>0</v>
      </c>
      <c r="BB74" s="696">
        <f t="shared" si="2395"/>
        <v>0</v>
      </c>
      <c r="BC74" s="693">
        <f t="shared" si="2395"/>
        <v>0</v>
      </c>
      <c r="BD74" s="693">
        <f t="shared" si="2395"/>
        <v>0</v>
      </c>
      <c r="BE74" s="694">
        <f t="shared" si="2395"/>
        <v>0</v>
      </c>
      <c r="BF74" s="695">
        <f t="shared" si="2395"/>
        <v>0</v>
      </c>
      <c r="BG74" s="693">
        <f t="shared" si="2395"/>
        <v>0</v>
      </c>
      <c r="BH74" s="696">
        <f t="shared" si="2395"/>
        <v>0</v>
      </c>
      <c r="BI74" s="693">
        <f t="shared" si="2395"/>
        <v>0</v>
      </c>
      <c r="BJ74" s="693">
        <f t="shared" si="2395"/>
        <v>0</v>
      </c>
      <c r="BK74" s="694">
        <f t="shared" si="2395"/>
        <v>0</v>
      </c>
      <c r="BL74" s="695">
        <f t="shared" si="2395"/>
        <v>0</v>
      </c>
      <c r="BM74" s="693">
        <f t="shared" si="2395"/>
        <v>0</v>
      </c>
      <c r="BN74" s="696">
        <f t="shared" si="2395"/>
        <v>0</v>
      </c>
      <c r="BO74" s="693">
        <f t="shared" si="2395"/>
        <v>0</v>
      </c>
      <c r="BP74" s="693">
        <f t="shared" ref="BP74:DD74" si="2396">BP33+BP61+BP72</f>
        <v>0</v>
      </c>
      <c r="BQ74" s="694">
        <f t="shared" si="2396"/>
        <v>0</v>
      </c>
      <c r="BR74" s="695">
        <f t="shared" si="2396"/>
        <v>0</v>
      </c>
      <c r="BS74" s="693">
        <f t="shared" si="2396"/>
        <v>0</v>
      </c>
      <c r="BT74" s="696">
        <f t="shared" si="2396"/>
        <v>0</v>
      </c>
      <c r="BU74" s="693">
        <f t="shared" si="2396"/>
        <v>0</v>
      </c>
      <c r="BV74" s="693">
        <f t="shared" si="2396"/>
        <v>0</v>
      </c>
      <c r="BW74" s="694">
        <f t="shared" si="2396"/>
        <v>0</v>
      </c>
      <c r="BX74" s="695">
        <f t="shared" si="2396"/>
        <v>0</v>
      </c>
      <c r="BY74" s="693">
        <f t="shared" si="2396"/>
        <v>0</v>
      </c>
      <c r="BZ74" s="696">
        <f t="shared" si="2396"/>
        <v>0</v>
      </c>
      <c r="CA74" s="693">
        <f t="shared" si="2396"/>
        <v>0</v>
      </c>
      <c r="CB74" s="693">
        <f t="shared" si="2396"/>
        <v>0</v>
      </c>
      <c r="CC74" s="694">
        <f t="shared" si="2396"/>
        <v>0</v>
      </c>
      <c r="CD74" s="695">
        <f t="shared" si="2396"/>
        <v>0</v>
      </c>
      <c r="CE74" s="693">
        <f t="shared" si="2396"/>
        <v>0</v>
      </c>
      <c r="CF74" s="696">
        <f t="shared" si="2396"/>
        <v>0</v>
      </c>
      <c r="CG74" s="693">
        <f t="shared" si="2396"/>
        <v>0</v>
      </c>
      <c r="CH74" s="693">
        <f t="shared" si="2396"/>
        <v>0</v>
      </c>
      <c r="CI74" s="694">
        <f t="shared" si="2396"/>
        <v>0</v>
      </c>
      <c r="CJ74" s="695">
        <f t="shared" si="2396"/>
        <v>0</v>
      </c>
      <c r="CK74" s="693">
        <f t="shared" si="2396"/>
        <v>0</v>
      </c>
      <c r="CL74" s="696">
        <f t="shared" si="2396"/>
        <v>0</v>
      </c>
      <c r="CM74" s="693">
        <f t="shared" si="2396"/>
        <v>0</v>
      </c>
      <c r="CN74" s="693">
        <f t="shared" si="2396"/>
        <v>0</v>
      </c>
      <c r="CO74" s="694">
        <f t="shared" si="2396"/>
        <v>0</v>
      </c>
      <c r="CP74" s="695">
        <f t="shared" si="2396"/>
        <v>0</v>
      </c>
      <c r="CQ74" s="693">
        <f t="shared" si="2396"/>
        <v>0</v>
      </c>
      <c r="CR74" s="696">
        <f t="shared" si="2396"/>
        <v>0</v>
      </c>
      <c r="CS74" s="693">
        <f t="shared" si="2396"/>
        <v>0</v>
      </c>
      <c r="CT74" s="693">
        <f t="shared" si="2396"/>
        <v>0</v>
      </c>
      <c r="CU74" s="694">
        <f t="shared" si="2396"/>
        <v>0</v>
      </c>
      <c r="CV74" s="695">
        <f t="shared" si="2396"/>
        <v>3542</v>
      </c>
      <c r="CW74" s="693">
        <f t="shared" si="2396"/>
        <v>20813</v>
      </c>
      <c r="CX74" s="696">
        <f t="shared" si="2396"/>
        <v>224212876.52000001</v>
      </c>
      <c r="CY74" s="693">
        <f t="shared" si="2396"/>
        <v>0</v>
      </c>
      <c r="CZ74" s="693">
        <f t="shared" si="2396"/>
        <v>0</v>
      </c>
      <c r="DA74" s="696">
        <f t="shared" si="2396"/>
        <v>0</v>
      </c>
      <c r="DB74" s="2351">
        <f t="shared" si="2396"/>
        <v>3542</v>
      </c>
      <c r="DC74" s="693">
        <f t="shared" si="2396"/>
        <v>20813</v>
      </c>
      <c r="DD74" s="2352">
        <f t="shared" si="2396"/>
        <v>224212876.52000001</v>
      </c>
    </row>
    <row r="75">
      <c r="C75" s="272"/>
      <c r="D75" s="700">
        <f>D74+G74</f>
        <v>3542</v>
      </c>
      <c r="E75" s="701">
        <f>E74+H74</f>
        <v>20813</v>
      </c>
      <c r="F75" s="702">
        <f>F74+I74</f>
        <v>224212876.52000001</v>
      </c>
      <c r="J75" s="700">
        <f>J74+M74</f>
        <v>0</v>
      </c>
      <c r="K75" s="701">
        <f>K74+N74</f>
        <v>0</v>
      </c>
      <c r="L75" s="702">
        <f>L74+O74</f>
        <v>0</v>
      </c>
      <c r="P75" s="700">
        <f>P74+S74</f>
        <v>0</v>
      </c>
      <c r="Q75" s="701">
        <f>Q74+T74</f>
        <v>0</v>
      </c>
      <c r="R75" s="702">
        <f>R74+U74</f>
        <v>0</v>
      </c>
      <c r="V75" s="700">
        <f>V74+Y74</f>
        <v>3542</v>
      </c>
      <c r="W75" s="701">
        <f>W74+Z74</f>
        <v>20813</v>
      </c>
      <c r="X75" s="702">
        <f>X74+AA74</f>
        <v>224212876.52000001</v>
      </c>
      <c r="Y75" s="281"/>
      <c r="Z75" s="281"/>
      <c r="AB75" s="700">
        <f>AB74+AE74</f>
        <v>0</v>
      </c>
      <c r="AC75" s="701">
        <f>AC74+AF74</f>
        <v>0</v>
      </c>
      <c r="AD75" s="702">
        <f>AD74+AG74</f>
        <v>0</v>
      </c>
      <c r="AE75" s="281"/>
      <c r="AF75" s="281"/>
      <c r="AH75" s="700">
        <f>AH74+AK74</f>
        <v>0</v>
      </c>
      <c r="AI75" s="701">
        <f>AI74+AL74</f>
        <v>0</v>
      </c>
      <c r="AJ75" s="702">
        <f>AJ74+AM74</f>
        <v>0</v>
      </c>
      <c r="AK75" s="281"/>
      <c r="AL75" s="281"/>
      <c r="AN75" s="700">
        <f>AN74+AQ74</f>
        <v>0</v>
      </c>
      <c r="AO75" s="701">
        <f>AO74+AR74</f>
        <v>0</v>
      </c>
      <c r="AP75" s="702">
        <f>AP74+AS74</f>
        <v>0</v>
      </c>
      <c r="AQ75" s="281"/>
      <c r="AR75" s="281"/>
      <c r="AT75" s="700">
        <f>AT74+AW74</f>
        <v>3542</v>
      </c>
      <c r="AU75" s="701">
        <f>AU74+AX74</f>
        <v>20813</v>
      </c>
      <c r="AV75" s="702">
        <f>AV74+AY74</f>
        <v>224212876.52000001</v>
      </c>
      <c r="AW75" s="281"/>
      <c r="AX75" s="281"/>
      <c r="AZ75" s="700">
        <f>AZ74+BC74</f>
        <v>0</v>
      </c>
      <c r="BA75" s="701">
        <f>BA74+BD74</f>
        <v>0</v>
      </c>
      <c r="BB75" s="702">
        <f>BB74+BE74</f>
        <v>0</v>
      </c>
      <c r="BC75" s="281"/>
      <c r="BD75" s="281"/>
      <c r="BF75" s="700">
        <f>BF74+BI74</f>
        <v>0</v>
      </c>
      <c r="BG75" s="701">
        <f>BG74+BJ74</f>
        <v>0</v>
      </c>
      <c r="BH75" s="702">
        <f>BH74+BK74</f>
        <v>0</v>
      </c>
      <c r="BI75" s="281"/>
      <c r="BJ75" s="281"/>
      <c r="BL75" s="700">
        <f>BL74+BO74</f>
        <v>0</v>
      </c>
      <c r="BM75" s="701">
        <f>BM74+BP74</f>
        <v>0</v>
      </c>
      <c r="BN75" s="702">
        <f>BN74+BQ74</f>
        <v>0</v>
      </c>
      <c r="BO75" s="281"/>
      <c r="BP75" s="281"/>
      <c r="BR75" s="700">
        <f>BR74+BU74</f>
        <v>0</v>
      </c>
      <c r="BS75" s="701">
        <f>BS74+BV74</f>
        <v>0</v>
      </c>
      <c r="BT75" s="702">
        <f>BT74+BW74</f>
        <v>0</v>
      </c>
      <c r="BU75" s="281"/>
      <c r="BV75" s="281"/>
      <c r="BX75" s="700">
        <f>BX74+CA74</f>
        <v>0</v>
      </c>
      <c r="BY75" s="701">
        <f>BY74+CB74</f>
        <v>0</v>
      </c>
      <c r="BZ75" s="702">
        <f>BZ74+CC74</f>
        <v>0</v>
      </c>
      <c r="CA75" s="281"/>
      <c r="CB75" s="281"/>
      <c r="CD75" s="700">
        <f>CD74+CG74</f>
        <v>0</v>
      </c>
      <c r="CE75" s="701">
        <f>CE74+CH74</f>
        <v>0</v>
      </c>
      <c r="CF75" s="702">
        <f>CF74+CI74</f>
        <v>0</v>
      </c>
      <c r="CG75" s="281"/>
      <c r="CH75" s="281"/>
      <c r="CJ75" s="700">
        <f>CJ74+CM74</f>
        <v>0</v>
      </c>
      <c r="CK75" s="701">
        <f>CK74+CN74</f>
        <v>0</v>
      </c>
      <c r="CL75" s="702">
        <f>CL74+CO74</f>
        <v>0</v>
      </c>
      <c r="CM75" s="281"/>
      <c r="CN75" s="281"/>
      <c r="CP75" s="700">
        <f>CP74+CS74</f>
        <v>0</v>
      </c>
      <c r="CQ75" s="701">
        <f>CQ74+CT74</f>
        <v>0</v>
      </c>
      <c r="CR75" s="702">
        <f>CR74+CU74</f>
        <v>0</v>
      </c>
      <c r="CS75" s="281"/>
      <c r="CT75" s="281"/>
      <c r="CV75" s="700">
        <f>CV74+CY74</f>
        <v>3542</v>
      </c>
      <c r="CW75" s="701">
        <f>CW74+CZ74</f>
        <v>20813</v>
      </c>
      <c r="CX75" s="702">
        <f>CX74+DA74</f>
        <v>224212876.52000001</v>
      </c>
      <c r="CY75" s="281"/>
      <c r="CZ75" s="281"/>
      <c r="DB75" s="700"/>
      <c r="DC75" s="701"/>
      <c r="DD75" s="702"/>
    </row>
    <row r="76">
      <c r="B76" s="247"/>
      <c r="C76" s="247"/>
      <c r="J76" s="470"/>
      <c r="O76" s="38"/>
      <c r="V76" s="356"/>
      <c r="W76" s="357"/>
      <c r="Y76" s="281"/>
      <c r="Z76" s="281"/>
      <c r="AA76" s="38"/>
      <c r="AB76" s="281"/>
      <c r="AC76" s="281"/>
      <c r="AE76" s="281"/>
      <c r="AF76" s="281"/>
      <c r="AH76" s="282"/>
      <c r="AI76" s="281"/>
      <c r="AK76" s="281"/>
      <c r="AL76" s="281"/>
      <c r="AM76" s="38"/>
      <c r="AN76" s="282"/>
      <c r="AO76" s="281"/>
      <c r="AQ76" s="281"/>
      <c r="AR76" s="281"/>
      <c r="AS76" s="38"/>
      <c r="AT76" s="282"/>
      <c r="AU76" s="281"/>
      <c r="AW76" s="281"/>
      <c r="AX76" s="281"/>
      <c r="AY76" s="38"/>
      <c r="AZ76" s="282"/>
      <c r="BA76" s="281"/>
      <c r="BC76" s="281"/>
      <c r="BD76" s="281"/>
      <c r="BE76" s="38"/>
      <c r="BF76" s="282"/>
      <c r="BG76" s="281"/>
      <c r="BI76" s="281"/>
      <c r="BJ76" s="281"/>
      <c r="BK76" s="38"/>
      <c r="BL76" s="282"/>
      <c r="BM76" s="281"/>
      <c r="BO76" s="281"/>
      <c r="BP76" s="281"/>
      <c r="BQ76" s="38"/>
      <c r="BR76" s="282"/>
      <c r="BS76" s="281"/>
      <c r="BU76" s="281"/>
      <c r="BV76" s="281"/>
      <c r="BW76" s="38"/>
      <c r="BX76" s="282"/>
      <c r="BY76" s="281"/>
      <c r="CA76" s="281"/>
      <c r="CB76" s="281"/>
      <c r="CC76" s="38"/>
      <c r="CD76" s="282"/>
      <c r="CE76" s="281"/>
      <c r="CG76" s="281"/>
      <c r="CH76" s="281"/>
      <c r="CI76" s="38"/>
      <c r="CJ76" s="282"/>
      <c r="CK76" s="281"/>
      <c r="CM76" s="281"/>
      <c r="CN76" s="281"/>
      <c r="CO76" s="38"/>
      <c r="CP76" s="37"/>
      <c r="CV76" s="535"/>
      <c r="CW76" s="280"/>
      <c r="CY76" s="280"/>
      <c r="CZ76" s="280"/>
      <c r="DB76" s="535"/>
      <c r="DC76" s="280"/>
      <c r="DD76" s="40"/>
    </row>
    <row r="77">
      <c r="B77" s="283" t="s">
        <v>226</v>
      </c>
      <c r="C77" s="552" t="s">
        <v>238</v>
      </c>
      <c r="D77" s="735">
        <f>SUM(D78:D86)</f>
        <v>2155</v>
      </c>
      <c r="E77" s="736">
        <f>SUM(E78:E86)</f>
        <v>0</v>
      </c>
      <c r="F77" s="737">
        <f>SUM(F78:F86)</f>
        <v>2940100</v>
      </c>
      <c r="G77" s="738"/>
      <c r="H77" s="738"/>
      <c r="I77" s="739"/>
      <c r="J77" s="735">
        <f>SUM(J78:J86)</f>
        <v>0</v>
      </c>
      <c r="K77" s="736">
        <f>SUM(K78:K86)</f>
        <v>0</v>
      </c>
      <c r="L77" s="737">
        <f>SUM(L78:L86)</f>
        <v>0</v>
      </c>
      <c r="M77" s="738"/>
      <c r="N77" s="738"/>
      <c r="O77" s="739"/>
      <c r="P77" s="735">
        <f>SUM(P78:P86)</f>
        <v>0</v>
      </c>
      <c r="Q77" s="736">
        <f>SUM(Q78:Q86)</f>
        <v>0</v>
      </c>
      <c r="R77" s="737">
        <f>SUM(R78:R86)</f>
        <v>0</v>
      </c>
      <c r="S77" s="738"/>
      <c r="T77" s="738"/>
      <c r="U77" s="739"/>
      <c r="V77" s="735">
        <f>SUM(V78:V86)</f>
        <v>2155</v>
      </c>
      <c r="W77" s="736">
        <f>SUM(W78:W86)</f>
        <v>0</v>
      </c>
      <c r="X77" s="737">
        <f>SUM(X78:X86)</f>
        <v>2940100</v>
      </c>
      <c r="Y77" s="738"/>
      <c r="Z77" s="738"/>
      <c r="AA77" s="739"/>
      <c r="AB77" s="735">
        <f>SUM(AB78:AB86)</f>
        <v>0</v>
      </c>
      <c r="AC77" s="736">
        <f>SUM(AC78:AC86)</f>
        <v>0</v>
      </c>
      <c r="AD77" s="737">
        <f>SUM(AD78:AD86)</f>
        <v>0</v>
      </c>
      <c r="AE77" s="738"/>
      <c r="AF77" s="738"/>
      <c r="AG77" s="739"/>
      <c r="AH77" s="735">
        <f>SUM(AH78:AH86)</f>
        <v>0</v>
      </c>
      <c r="AI77" s="736">
        <f>SUM(AI78:AI86)</f>
        <v>0</v>
      </c>
      <c r="AJ77" s="737">
        <f>SUM(AJ78:AJ86)</f>
        <v>0</v>
      </c>
      <c r="AK77" s="738"/>
      <c r="AL77" s="738"/>
      <c r="AM77" s="739"/>
      <c r="AN77" s="735">
        <f>SUM(AN78:AN86)</f>
        <v>0</v>
      </c>
      <c r="AO77" s="736">
        <f>SUM(AO78:AO86)</f>
        <v>0</v>
      </c>
      <c r="AP77" s="737">
        <f>SUM(AP78:AP86)</f>
        <v>0</v>
      </c>
      <c r="AQ77" s="738"/>
      <c r="AR77" s="738"/>
      <c r="AS77" s="739"/>
      <c r="AT77" s="735">
        <f>SUM(AT78:AT86)</f>
        <v>2155</v>
      </c>
      <c r="AU77" s="736">
        <f>SUM(AU78:AU86)</f>
        <v>0</v>
      </c>
      <c r="AV77" s="737">
        <f>SUM(AV78:AV86)</f>
        <v>2940100</v>
      </c>
      <c r="AW77" s="738"/>
      <c r="AX77" s="738"/>
      <c r="AY77" s="739"/>
      <c r="AZ77" s="735">
        <f>SUM(AZ78:AZ86)</f>
        <v>0</v>
      </c>
      <c r="BA77" s="736">
        <f>SUM(BA78:BA86)</f>
        <v>0</v>
      </c>
      <c r="BB77" s="737">
        <f>SUM(BB78:BB86)</f>
        <v>0</v>
      </c>
      <c r="BC77" s="738"/>
      <c r="BD77" s="738"/>
      <c r="BE77" s="739"/>
      <c r="BF77" s="735">
        <f>SUM(BF78:BF86)</f>
        <v>0</v>
      </c>
      <c r="BG77" s="736">
        <f>SUM(BG78:BG86)</f>
        <v>0</v>
      </c>
      <c r="BH77" s="737">
        <f>SUM(BH78:BH86)</f>
        <v>0</v>
      </c>
      <c r="BI77" s="738"/>
      <c r="BJ77" s="738"/>
      <c r="BK77" s="739"/>
      <c r="BL77" s="735">
        <f>SUM(BL78:BL86)</f>
        <v>0</v>
      </c>
      <c r="BM77" s="736">
        <f>SUM(BM78:BM86)</f>
        <v>0</v>
      </c>
      <c r="BN77" s="737">
        <f>SUM(BN78:BN86)</f>
        <v>0</v>
      </c>
      <c r="BO77" s="738"/>
      <c r="BP77" s="738"/>
      <c r="BQ77" s="739"/>
      <c r="BR77" s="735">
        <f>SUM(BR78:BR86)</f>
        <v>0</v>
      </c>
      <c r="BS77" s="736">
        <f>SUM(BS78:BS86)</f>
        <v>0</v>
      </c>
      <c r="BT77" s="737">
        <f>SUM(BT78:BT86)</f>
        <v>0</v>
      </c>
      <c r="BU77" s="738"/>
      <c r="BV77" s="738"/>
      <c r="BW77" s="739"/>
      <c r="BX77" s="735">
        <f>SUM(BX78:BX86)</f>
        <v>0</v>
      </c>
      <c r="BY77" s="736">
        <f>SUM(BY78:BY86)</f>
        <v>0</v>
      </c>
      <c r="BZ77" s="737">
        <f>SUM(BZ78:BZ86)</f>
        <v>0</v>
      </c>
      <c r="CA77" s="738"/>
      <c r="CB77" s="738"/>
      <c r="CC77" s="739"/>
      <c r="CD77" s="735">
        <f>SUM(CD78:CD86)</f>
        <v>0</v>
      </c>
      <c r="CE77" s="736">
        <f>SUM(CE78:CE86)</f>
        <v>0</v>
      </c>
      <c r="CF77" s="737">
        <f>SUM(CF78:CF86)</f>
        <v>0</v>
      </c>
      <c r="CG77" s="738"/>
      <c r="CH77" s="738"/>
      <c r="CI77" s="739"/>
      <c r="CJ77" s="735">
        <f>SUM(CJ78:CJ86)</f>
        <v>0</v>
      </c>
      <c r="CK77" s="736">
        <f>SUM(CK78:CK86)</f>
        <v>0</v>
      </c>
      <c r="CL77" s="737">
        <f>SUM(CL78:CL86)</f>
        <v>0</v>
      </c>
      <c r="CM77" s="738"/>
      <c r="CN77" s="738"/>
      <c r="CO77" s="739"/>
      <c r="CP77" s="735">
        <f>SUM(CP78:CP86)</f>
        <v>0</v>
      </c>
      <c r="CQ77" s="736">
        <f>SUM(CQ78:CQ86)</f>
        <v>0</v>
      </c>
      <c r="CR77" s="737">
        <f>SUM(CR78:CR86)</f>
        <v>0</v>
      </c>
      <c r="CS77" s="738"/>
      <c r="CT77" s="738"/>
      <c r="CU77" s="739"/>
      <c r="CV77" s="735">
        <f>SUM(CV78:CV86)</f>
        <v>2155</v>
      </c>
      <c r="CW77" s="736">
        <f>SUM(CW78:CW86)</f>
        <v>0</v>
      </c>
      <c r="CX77" s="737">
        <f>SUM(CX78:CX86)</f>
        <v>2940100</v>
      </c>
      <c r="CY77" s="738"/>
      <c r="CZ77" s="738"/>
      <c r="DA77" s="737"/>
      <c r="DB77" s="2353">
        <f>SUM(DB78:DB86)</f>
        <v>2155</v>
      </c>
      <c r="DC77" s="736">
        <f>SUM(DC78:DC86)</f>
        <v>0</v>
      </c>
      <c r="DD77" s="2354">
        <f>SUM(DD78:DD86)</f>
        <v>2940100</v>
      </c>
    </row>
    <row r="78" ht="51">
      <c r="B78" s="447"/>
      <c r="C78" s="552" t="s">
        <v>240</v>
      </c>
      <c r="D78" s="280">
        <v>22</v>
      </c>
      <c r="E78" s="280"/>
      <c r="F78" s="1">
        <v>28031</v>
      </c>
      <c r="J78" s="470"/>
      <c r="O78" s="38"/>
      <c r="V78" s="356">
        <f t="shared" ref="V78:AA86" si="2397">D78+J78+P78</f>
        <v>22</v>
      </c>
      <c r="W78" s="357">
        <f t="shared" si="2397"/>
        <v>0</v>
      </c>
      <c r="X78" s="1">
        <f t="shared" si="2397"/>
        <v>28031</v>
      </c>
      <c r="Y78" s="281">
        <f t="shared" si="2397"/>
        <v>0</v>
      </c>
      <c r="Z78" s="281">
        <f t="shared" si="2397"/>
        <v>0</v>
      </c>
      <c r="AA78" s="38">
        <f t="shared" si="2397"/>
        <v>0</v>
      </c>
      <c r="AB78" s="281"/>
      <c r="AC78" s="281"/>
      <c r="AD78" s="358"/>
      <c r="AE78" s="281"/>
      <c r="AF78" s="281"/>
      <c r="AH78" s="282"/>
      <c r="AI78" s="281"/>
      <c r="AJ78" s="358"/>
      <c r="AK78" s="281"/>
      <c r="AL78" s="281"/>
      <c r="AM78" s="38"/>
      <c r="AN78" s="282"/>
      <c r="AO78" s="281"/>
      <c r="AP78" s="358"/>
      <c r="AQ78" s="281"/>
      <c r="AR78" s="281"/>
      <c r="AS78" s="38"/>
      <c r="AT78" s="323">
        <f t="shared" ref="AT78:AT91" si="2398">V78+AB78+AH78+AN78</f>
        <v>22</v>
      </c>
      <c r="AU78" s="322"/>
      <c r="AV78" s="322">
        <f t="shared" ref="AV78:AW91" si="2399">X78+AD78+AJ78+AP78</f>
        <v>28031</v>
      </c>
      <c r="AW78" s="322">
        <f t="shared" si="2399"/>
        <v>0</v>
      </c>
      <c r="AX78" s="322"/>
      <c r="AY78" s="326">
        <f t="shared" ref="AY78:AY91" si="2400">AA78+AG78+AM78+AS78</f>
        <v>0</v>
      </c>
      <c r="AZ78" s="282"/>
      <c r="BA78" s="281"/>
      <c r="BB78" s="358"/>
      <c r="BC78" s="281"/>
      <c r="BD78" s="281"/>
      <c r="BE78" s="38"/>
      <c r="BF78" s="282"/>
      <c r="BG78" s="281"/>
      <c r="BH78" s="358"/>
      <c r="BI78" s="281"/>
      <c r="BJ78" s="281"/>
      <c r="BK78" s="38"/>
      <c r="BL78" s="282"/>
      <c r="BM78" s="281"/>
      <c r="BN78" s="358"/>
      <c r="BO78" s="281"/>
      <c r="BP78" s="281"/>
      <c r="BQ78" s="38"/>
      <c r="BR78" s="323">
        <f t="shared" ref="BR78:BW86" si="2401">AZ78+BF78+BL78</f>
        <v>0</v>
      </c>
      <c r="BS78" s="322">
        <f t="shared" si="2401"/>
        <v>0</v>
      </c>
      <c r="BT78" s="322">
        <f t="shared" si="2401"/>
        <v>0</v>
      </c>
      <c r="BU78" s="322">
        <f t="shared" si="2401"/>
        <v>0</v>
      </c>
      <c r="BV78" s="322">
        <f t="shared" si="2401"/>
        <v>0</v>
      </c>
      <c r="BW78" s="326">
        <f t="shared" si="2401"/>
        <v>0</v>
      </c>
      <c r="BX78" s="282"/>
      <c r="BY78" s="281"/>
      <c r="BZ78" s="358"/>
      <c r="CA78" s="281"/>
      <c r="CB78" s="281"/>
      <c r="CC78" s="38"/>
      <c r="CD78" s="282"/>
      <c r="CE78" s="281"/>
      <c r="CF78" s="358"/>
      <c r="CG78" s="281"/>
      <c r="CH78" s="281"/>
      <c r="CI78" s="38"/>
      <c r="CJ78" s="282"/>
      <c r="CK78" s="281"/>
      <c r="CL78" s="358"/>
      <c r="CM78" s="281"/>
      <c r="CN78" s="281"/>
      <c r="CO78" s="38"/>
      <c r="CP78" s="315">
        <f t="shared" ref="CP78:CU91" si="2402">BR78+BX78+CD78+CJ78</f>
        <v>0</v>
      </c>
      <c r="CQ78" s="316">
        <f t="shared" si="2402"/>
        <v>0</v>
      </c>
      <c r="CR78" s="317">
        <f t="shared" si="2402"/>
        <v>0</v>
      </c>
      <c r="CS78" s="316">
        <f t="shared" si="2402"/>
        <v>0</v>
      </c>
      <c r="CT78" s="316">
        <f t="shared" si="2402"/>
        <v>0</v>
      </c>
      <c r="CU78" s="317">
        <f t="shared" si="2402"/>
        <v>0</v>
      </c>
      <c r="CV78" s="535">
        <f t="shared" ref="CV78:DA91" si="2403">AT78+CP78</f>
        <v>22</v>
      </c>
      <c r="CW78" s="280">
        <f t="shared" si="2403"/>
        <v>0</v>
      </c>
      <c r="CX78" s="1">
        <f t="shared" si="2403"/>
        <v>28031</v>
      </c>
      <c r="CY78" s="280">
        <f t="shared" si="2403"/>
        <v>0</v>
      </c>
      <c r="CZ78" s="280">
        <f t="shared" si="2403"/>
        <v>0</v>
      </c>
      <c r="DA78" s="1">
        <f t="shared" si="2403"/>
        <v>0</v>
      </c>
      <c r="DB78" s="535">
        <f t="shared" ref="DB78:DD91" si="2404">CV78+CY78</f>
        <v>22</v>
      </c>
      <c r="DC78" s="280">
        <f>CW78+CZ78</f>
        <v>0</v>
      </c>
      <c r="DD78" s="40">
        <f>CX78+DA78</f>
        <v>28031</v>
      </c>
    </row>
    <row r="79">
      <c r="B79" s="447"/>
      <c r="C79" s="552" t="s">
        <v>241</v>
      </c>
      <c r="D79" s="307">
        <v>921</v>
      </c>
      <c r="E79" s="439"/>
      <c r="F79" s="440">
        <v>1416498</v>
      </c>
      <c r="G79" s="440"/>
      <c r="H79" s="440"/>
      <c r="I79" s="440"/>
      <c r="J79" s="307"/>
      <c r="K79" s="439"/>
      <c r="L79" s="440"/>
      <c r="M79" s="439"/>
      <c r="N79" s="439"/>
      <c r="O79" s="276"/>
      <c r="P79" s="439"/>
      <c r="Q79" s="439"/>
      <c r="R79" s="440"/>
      <c r="S79" s="439"/>
      <c r="T79" s="439"/>
      <c r="U79" s="440"/>
      <c r="V79" s="312">
        <f t="shared" si="2397"/>
        <v>921</v>
      </c>
      <c r="W79" s="441">
        <f t="shared" si="2397"/>
        <v>0</v>
      </c>
      <c r="X79" s="440">
        <f t="shared" si="2397"/>
        <v>1416498</v>
      </c>
      <c r="Y79" s="442">
        <f t="shared" si="2397"/>
        <v>0</v>
      </c>
      <c r="Z79" s="442">
        <f t="shared" si="2397"/>
        <v>0</v>
      </c>
      <c r="AA79" s="276">
        <f t="shared" si="2397"/>
        <v>0</v>
      </c>
      <c r="AB79" s="442"/>
      <c r="AC79" s="442"/>
      <c r="AD79" s="752"/>
      <c r="AE79" s="442"/>
      <c r="AF79" s="442"/>
      <c r="AG79" s="440"/>
      <c r="AH79" s="443"/>
      <c r="AI79" s="442"/>
      <c r="AJ79" s="752"/>
      <c r="AK79" s="442"/>
      <c r="AL79" s="442"/>
      <c r="AM79" s="276"/>
      <c r="AN79" s="443"/>
      <c r="AO79" s="442"/>
      <c r="AP79" s="752"/>
      <c r="AQ79" s="442"/>
      <c r="AR79" s="442"/>
      <c r="AS79" s="276"/>
      <c r="AT79" s="443">
        <f t="shared" si="2398"/>
        <v>921</v>
      </c>
      <c r="AU79" s="442"/>
      <c r="AV79" s="442">
        <f t="shared" si="2399"/>
        <v>1416498</v>
      </c>
      <c r="AW79" s="442">
        <f t="shared" si="2399"/>
        <v>0</v>
      </c>
      <c r="AX79" s="442"/>
      <c r="AY79" s="279">
        <f t="shared" si="2400"/>
        <v>0</v>
      </c>
      <c r="AZ79" s="443"/>
      <c r="BA79" s="442"/>
      <c r="BB79" s="752"/>
      <c r="BC79" s="442"/>
      <c r="BD79" s="442"/>
      <c r="BE79" s="276"/>
      <c r="BF79" s="443"/>
      <c r="BG79" s="442"/>
      <c r="BH79" s="752"/>
      <c r="BI79" s="442"/>
      <c r="BJ79" s="442"/>
      <c r="BK79" s="276"/>
      <c r="BL79" s="443"/>
      <c r="BM79" s="442"/>
      <c r="BN79" s="752"/>
      <c r="BO79" s="442"/>
      <c r="BP79" s="442"/>
      <c r="BQ79" s="276"/>
      <c r="BR79" s="323">
        <f t="shared" si="2401"/>
        <v>0</v>
      </c>
      <c r="BS79" s="322">
        <f t="shared" si="2401"/>
        <v>0</v>
      </c>
      <c r="BT79" s="322">
        <f t="shared" si="2401"/>
        <v>0</v>
      </c>
      <c r="BU79" s="322">
        <f t="shared" si="2401"/>
        <v>0</v>
      </c>
      <c r="BV79" s="322">
        <f t="shared" si="2401"/>
        <v>0</v>
      </c>
      <c r="BW79" s="326">
        <f t="shared" si="2401"/>
        <v>0</v>
      </c>
      <c r="BX79" s="443"/>
      <c r="BY79" s="442"/>
      <c r="BZ79" s="752"/>
      <c r="CA79" s="442"/>
      <c r="CB79" s="442"/>
      <c r="CC79" s="276"/>
      <c r="CD79" s="443"/>
      <c r="CE79" s="442"/>
      <c r="CF79" s="752"/>
      <c r="CG79" s="442"/>
      <c r="CH79" s="442"/>
      <c r="CI79" s="276"/>
      <c r="CJ79" s="443"/>
      <c r="CK79" s="442"/>
      <c r="CL79" s="752"/>
      <c r="CM79" s="442"/>
      <c r="CN79" s="442"/>
      <c r="CO79" s="276"/>
      <c r="CP79" s="315">
        <f t="shared" si="2402"/>
        <v>0</v>
      </c>
      <c r="CQ79" s="316">
        <f t="shared" si="2402"/>
        <v>0</v>
      </c>
      <c r="CR79" s="317">
        <f t="shared" si="2402"/>
        <v>0</v>
      </c>
      <c r="CS79" s="316">
        <f t="shared" si="2402"/>
        <v>0</v>
      </c>
      <c r="CT79" s="316">
        <f t="shared" si="2402"/>
        <v>0</v>
      </c>
      <c r="CU79" s="317">
        <f t="shared" si="2402"/>
        <v>0</v>
      </c>
      <c r="CV79" s="445">
        <f t="shared" si="2403"/>
        <v>921</v>
      </c>
      <c r="CW79" s="439">
        <f t="shared" si="2403"/>
        <v>0</v>
      </c>
      <c r="CX79" s="440">
        <f t="shared" si="2403"/>
        <v>1416498</v>
      </c>
      <c r="CY79" s="439">
        <f t="shared" si="2403"/>
        <v>0</v>
      </c>
      <c r="CZ79" s="439">
        <f t="shared" si="2403"/>
        <v>0</v>
      </c>
      <c r="DA79" s="440">
        <f t="shared" si="2403"/>
        <v>0</v>
      </c>
      <c r="DB79" s="535">
        <f t="shared" si="2404"/>
        <v>921</v>
      </c>
      <c r="DC79" s="280">
        <f t="shared" si="2404"/>
        <v>0</v>
      </c>
      <c r="DD79" s="40">
        <f t="shared" si="2404"/>
        <v>1416498</v>
      </c>
    </row>
    <row r="80" ht="38.25">
      <c r="B80" s="447"/>
      <c r="C80" s="753" t="s">
        <v>243</v>
      </c>
      <c r="D80" s="280">
        <v>83</v>
      </c>
      <c r="E80" s="280"/>
      <c r="F80" s="1">
        <v>317680</v>
      </c>
      <c r="J80" s="470"/>
      <c r="O80" s="38"/>
      <c r="V80" s="356">
        <f t="shared" si="2397"/>
        <v>83</v>
      </c>
      <c r="W80" s="357">
        <f t="shared" si="2397"/>
        <v>0</v>
      </c>
      <c r="X80" s="1">
        <f t="shared" si="2397"/>
        <v>317680</v>
      </c>
      <c r="Y80" s="281">
        <f t="shared" si="2397"/>
        <v>0</v>
      </c>
      <c r="Z80" s="281">
        <f t="shared" si="2397"/>
        <v>0</v>
      </c>
      <c r="AA80" s="38">
        <f t="shared" si="2397"/>
        <v>0</v>
      </c>
      <c r="AB80" s="281"/>
      <c r="AC80" s="281"/>
      <c r="AD80" s="358"/>
      <c r="AE80" s="281"/>
      <c r="AF80" s="281"/>
      <c r="AH80" s="282"/>
      <c r="AI80" s="281"/>
      <c r="AJ80" s="358"/>
      <c r="AK80" s="281"/>
      <c r="AL80" s="281"/>
      <c r="AM80" s="38"/>
      <c r="AN80" s="282"/>
      <c r="AO80" s="281"/>
      <c r="AP80" s="358"/>
      <c r="AQ80" s="281"/>
      <c r="AR80" s="281"/>
      <c r="AS80" s="38"/>
      <c r="AT80" s="443">
        <f t="shared" si="2398"/>
        <v>83</v>
      </c>
      <c r="AU80" s="442"/>
      <c r="AV80" s="442">
        <f t="shared" si="2399"/>
        <v>317680</v>
      </c>
      <c r="AW80" s="442">
        <f t="shared" si="2399"/>
        <v>0</v>
      </c>
      <c r="AX80" s="442"/>
      <c r="AY80" s="279">
        <f t="shared" si="2400"/>
        <v>0</v>
      </c>
      <c r="AZ80" s="282"/>
      <c r="BA80" s="281"/>
      <c r="BB80" s="358"/>
      <c r="BC80" s="281"/>
      <c r="BD80" s="281"/>
      <c r="BE80" s="38"/>
      <c r="BF80" s="282"/>
      <c r="BG80" s="281"/>
      <c r="BH80" s="358"/>
      <c r="BI80" s="281"/>
      <c r="BJ80" s="281"/>
      <c r="BK80" s="38"/>
      <c r="BL80" s="282"/>
      <c r="BM80" s="281"/>
      <c r="BN80" s="358"/>
      <c r="BO80" s="281"/>
      <c r="BP80" s="281"/>
      <c r="BQ80" s="38"/>
      <c r="BR80" s="323">
        <f t="shared" si="2401"/>
        <v>0</v>
      </c>
      <c r="BS80" s="322">
        <f t="shared" si="2401"/>
        <v>0</v>
      </c>
      <c r="BT80" s="322">
        <f t="shared" si="2401"/>
        <v>0</v>
      </c>
      <c r="BU80" s="322">
        <f t="shared" si="2401"/>
        <v>0</v>
      </c>
      <c r="BV80" s="322">
        <f t="shared" si="2401"/>
        <v>0</v>
      </c>
      <c r="BW80" s="326">
        <f t="shared" si="2401"/>
        <v>0</v>
      </c>
      <c r="BX80" s="282"/>
      <c r="BY80" s="281"/>
      <c r="BZ80" s="358"/>
      <c r="CA80" s="281"/>
      <c r="CB80" s="281"/>
      <c r="CC80" s="38"/>
      <c r="CD80" s="282"/>
      <c r="CE80" s="281"/>
      <c r="CF80" s="358"/>
      <c r="CG80" s="281"/>
      <c r="CH80" s="281"/>
      <c r="CI80" s="38"/>
      <c r="CJ80" s="282"/>
      <c r="CK80" s="281"/>
      <c r="CL80" s="358"/>
      <c r="CM80" s="281"/>
      <c r="CN80" s="281"/>
      <c r="CO80" s="38"/>
      <c r="CP80" s="315">
        <f t="shared" si="2402"/>
        <v>0</v>
      </c>
      <c r="CQ80" s="316">
        <f t="shared" si="2402"/>
        <v>0</v>
      </c>
      <c r="CR80" s="317">
        <f t="shared" si="2402"/>
        <v>0</v>
      </c>
      <c r="CS80" s="316">
        <f t="shared" si="2402"/>
        <v>0</v>
      </c>
      <c r="CT80" s="316">
        <f t="shared" si="2402"/>
        <v>0</v>
      </c>
      <c r="CU80" s="317">
        <f t="shared" si="2402"/>
        <v>0</v>
      </c>
      <c r="CV80" s="445">
        <f t="shared" si="2403"/>
        <v>83</v>
      </c>
      <c r="CW80" s="439">
        <f t="shared" si="2403"/>
        <v>0</v>
      </c>
      <c r="CX80" s="440">
        <f t="shared" si="2403"/>
        <v>317680</v>
      </c>
      <c r="CY80" s="439">
        <f t="shared" si="2403"/>
        <v>0</v>
      </c>
      <c r="CZ80" s="439">
        <f t="shared" si="2403"/>
        <v>0</v>
      </c>
      <c r="DA80" s="440">
        <f t="shared" si="2403"/>
        <v>0</v>
      </c>
      <c r="DB80" s="535">
        <f t="shared" si="2404"/>
        <v>83</v>
      </c>
      <c r="DC80" s="280">
        <f t="shared" si="2404"/>
        <v>0</v>
      </c>
      <c r="DD80" s="40">
        <f t="shared" si="2404"/>
        <v>317680</v>
      </c>
    </row>
    <row r="81" ht="63.75">
      <c r="B81" s="447"/>
      <c r="C81" s="552" t="s">
        <v>244</v>
      </c>
      <c r="D81" s="307">
        <v>689</v>
      </c>
      <c r="E81" s="439"/>
      <c r="F81" s="440">
        <v>773695</v>
      </c>
      <c r="G81" s="440"/>
      <c r="H81" s="440"/>
      <c r="I81" s="440"/>
      <c r="J81" s="307"/>
      <c r="K81" s="439"/>
      <c r="L81" s="440"/>
      <c r="M81" s="439"/>
      <c r="N81" s="439"/>
      <c r="O81" s="276"/>
      <c r="P81" s="439"/>
      <c r="Q81" s="439"/>
      <c r="R81" s="440"/>
      <c r="S81" s="439"/>
      <c r="T81" s="439"/>
      <c r="U81" s="440"/>
      <c r="V81" s="312">
        <f t="shared" si="2397"/>
        <v>689</v>
      </c>
      <c r="W81" s="441">
        <f t="shared" si="2397"/>
        <v>0</v>
      </c>
      <c r="X81" s="440">
        <f t="shared" si="2397"/>
        <v>773695</v>
      </c>
      <c r="Y81" s="442">
        <f t="shared" si="2397"/>
        <v>0</v>
      </c>
      <c r="Z81" s="442">
        <f t="shared" si="2397"/>
        <v>0</v>
      </c>
      <c r="AA81" s="276">
        <f t="shared" si="2397"/>
        <v>0</v>
      </c>
      <c r="AB81" s="442"/>
      <c r="AC81" s="442"/>
      <c r="AD81" s="752"/>
      <c r="AE81" s="442"/>
      <c r="AF81" s="442"/>
      <c r="AG81" s="440"/>
      <c r="AH81" s="443"/>
      <c r="AI81" s="442"/>
      <c r="AJ81" s="752"/>
      <c r="AK81" s="442"/>
      <c r="AL81" s="442"/>
      <c r="AM81" s="276"/>
      <c r="AN81" s="443"/>
      <c r="AO81" s="442"/>
      <c r="AP81" s="752"/>
      <c r="AQ81" s="442"/>
      <c r="AR81" s="442"/>
      <c r="AS81" s="276"/>
      <c r="AT81" s="443">
        <f t="shared" si="2398"/>
        <v>689</v>
      </c>
      <c r="AU81" s="442"/>
      <c r="AV81" s="442">
        <f t="shared" si="2399"/>
        <v>773695</v>
      </c>
      <c r="AW81" s="442">
        <f t="shared" si="2399"/>
        <v>0</v>
      </c>
      <c r="AX81" s="442"/>
      <c r="AY81" s="279">
        <f t="shared" si="2400"/>
        <v>0</v>
      </c>
      <c r="AZ81" s="443"/>
      <c r="BA81" s="442"/>
      <c r="BB81" s="752"/>
      <c r="BC81" s="442"/>
      <c r="BD81" s="442"/>
      <c r="BE81" s="276"/>
      <c r="BF81" s="443"/>
      <c r="BG81" s="442"/>
      <c r="BH81" s="752"/>
      <c r="BI81" s="442"/>
      <c r="BJ81" s="442"/>
      <c r="BK81" s="276"/>
      <c r="BL81" s="443"/>
      <c r="BM81" s="442"/>
      <c r="BN81" s="752"/>
      <c r="BO81" s="442"/>
      <c r="BP81" s="442"/>
      <c r="BQ81" s="276"/>
      <c r="BR81" s="323">
        <f t="shared" si="2401"/>
        <v>0</v>
      </c>
      <c r="BS81" s="322">
        <f t="shared" si="2401"/>
        <v>0</v>
      </c>
      <c r="BT81" s="322">
        <f t="shared" si="2401"/>
        <v>0</v>
      </c>
      <c r="BU81" s="322">
        <f t="shared" si="2401"/>
        <v>0</v>
      </c>
      <c r="BV81" s="322">
        <f t="shared" si="2401"/>
        <v>0</v>
      </c>
      <c r="BW81" s="326">
        <f t="shared" si="2401"/>
        <v>0</v>
      </c>
      <c r="BX81" s="443"/>
      <c r="BY81" s="442"/>
      <c r="BZ81" s="752"/>
      <c r="CA81" s="442"/>
      <c r="CB81" s="442"/>
      <c r="CC81" s="276"/>
      <c r="CD81" s="443"/>
      <c r="CE81" s="442"/>
      <c r="CF81" s="752"/>
      <c r="CG81" s="442"/>
      <c r="CH81" s="442"/>
      <c r="CI81" s="276"/>
      <c r="CJ81" s="443"/>
      <c r="CK81" s="442"/>
      <c r="CL81" s="752"/>
      <c r="CM81" s="442"/>
      <c r="CN81" s="442"/>
      <c r="CO81" s="276"/>
      <c r="CP81" s="315">
        <f t="shared" si="2402"/>
        <v>0</v>
      </c>
      <c r="CQ81" s="316">
        <f t="shared" si="2402"/>
        <v>0</v>
      </c>
      <c r="CR81" s="317">
        <f t="shared" si="2402"/>
        <v>0</v>
      </c>
      <c r="CS81" s="316">
        <f t="shared" si="2402"/>
        <v>0</v>
      </c>
      <c r="CT81" s="316">
        <f t="shared" si="2402"/>
        <v>0</v>
      </c>
      <c r="CU81" s="317">
        <f t="shared" si="2402"/>
        <v>0</v>
      </c>
      <c r="CV81" s="445">
        <f t="shared" si="2403"/>
        <v>689</v>
      </c>
      <c r="CW81" s="439">
        <f t="shared" si="2403"/>
        <v>0</v>
      </c>
      <c r="CX81" s="440">
        <f t="shared" si="2403"/>
        <v>773695</v>
      </c>
      <c r="CY81" s="439">
        <f t="shared" si="2403"/>
        <v>0</v>
      </c>
      <c r="CZ81" s="439">
        <f t="shared" si="2403"/>
        <v>0</v>
      </c>
      <c r="DA81" s="440">
        <f t="shared" si="2403"/>
        <v>0</v>
      </c>
      <c r="DB81" s="535">
        <f t="shared" si="2404"/>
        <v>689</v>
      </c>
      <c r="DC81" s="280">
        <f t="shared" si="2404"/>
        <v>0</v>
      </c>
      <c r="DD81" s="40">
        <f t="shared" si="2404"/>
        <v>773695</v>
      </c>
    </row>
    <row r="82" ht="51">
      <c r="B82" s="447"/>
      <c r="C82" s="552" t="s">
        <v>245</v>
      </c>
      <c r="D82" s="280">
        <v>106</v>
      </c>
      <c r="E82" s="280"/>
      <c r="F82" s="1">
        <v>99264</v>
      </c>
      <c r="J82" s="470"/>
      <c r="O82" s="38"/>
      <c r="V82" s="356">
        <f t="shared" si="2397"/>
        <v>106</v>
      </c>
      <c r="W82" s="357">
        <f t="shared" si="2397"/>
        <v>0</v>
      </c>
      <c r="X82" s="1">
        <f t="shared" si="2397"/>
        <v>99264</v>
      </c>
      <c r="Y82" s="281">
        <f t="shared" si="2397"/>
        <v>0</v>
      </c>
      <c r="Z82" s="281">
        <f t="shared" si="2397"/>
        <v>0</v>
      </c>
      <c r="AA82" s="38">
        <f t="shared" si="2397"/>
        <v>0</v>
      </c>
      <c r="AB82" s="281"/>
      <c r="AC82" s="281"/>
      <c r="AD82" s="358"/>
      <c r="AE82" s="281"/>
      <c r="AF82" s="281"/>
      <c r="AH82" s="282"/>
      <c r="AI82" s="281"/>
      <c r="AJ82" s="358"/>
      <c r="AK82" s="281"/>
      <c r="AL82" s="281"/>
      <c r="AM82" s="38"/>
      <c r="AN82" s="282"/>
      <c r="AO82" s="281"/>
      <c r="AP82" s="358"/>
      <c r="AQ82" s="281"/>
      <c r="AR82" s="281"/>
      <c r="AS82" s="38"/>
      <c r="AT82" s="443">
        <f t="shared" si="2398"/>
        <v>106</v>
      </c>
      <c r="AU82" s="442"/>
      <c r="AV82" s="442">
        <f t="shared" si="2399"/>
        <v>99264</v>
      </c>
      <c r="AW82" s="442">
        <f t="shared" si="2399"/>
        <v>0</v>
      </c>
      <c r="AX82" s="442"/>
      <c r="AY82" s="279">
        <f t="shared" si="2400"/>
        <v>0</v>
      </c>
      <c r="AZ82" s="282"/>
      <c r="BA82" s="281"/>
      <c r="BB82" s="358"/>
      <c r="BC82" s="281"/>
      <c r="BD82" s="281"/>
      <c r="BE82" s="38"/>
      <c r="BF82" s="282"/>
      <c r="BG82" s="281"/>
      <c r="BH82" s="358"/>
      <c r="BI82" s="281"/>
      <c r="BJ82" s="281"/>
      <c r="BK82" s="38"/>
      <c r="BL82" s="282"/>
      <c r="BM82" s="281"/>
      <c r="BN82" s="358"/>
      <c r="BO82" s="281"/>
      <c r="BP82" s="281"/>
      <c r="BQ82" s="38"/>
      <c r="BR82" s="323">
        <f t="shared" si="2401"/>
        <v>0</v>
      </c>
      <c r="BS82" s="322">
        <f t="shared" si="2401"/>
        <v>0</v>
      </c>
      <c r="BT82" s="322">
        <f t="shared" si="2401"/>
        <v>0</v>
      </c>
      <c r="BU82" s="322">
        <f t="shared" si="2401"/>
        <v>0</v>
      </c>
      <c r="BV82" s="322">
        <f t="shared" si="2401"/>
        <v>0</v>
      </c>
      <c r="BW82" s="326">
        <f t="shared" si="2401"/>
        <v>0</v>
      </c>
      <c r="BX82" s="282"/>
      <c r="BY82" s="281"/>
      <c r="BZ82" s="358"/>
      <c r="CA82" s="281"/>
      <c r="CB82" s="281"/>
      <c r="CC82" s="38"/>
      <c r="CD82" s="282"/>
      <c r="CE82" s="281"/>
      <c r="CF82" s="358"/>
      <c r="CG82" s="281"/>
      <c r="CH82" s="281"/>
      <c r="CI82" s="38"/>
      <c r="CJ82" s="282"/>
      <c r="CK82" s="281"/>
      <c r="CL82" s="358"/>
      <c r="CM82" s="281"/>
      <c r="CN82" s="281"/>
      <c r="CO82" s="38"/>
      <c r="CP82" s="315">
        <f t="shared" si="2402"/>
        <v>0</v>
      </c>
      <c r="CQ82" s="316">
        <f t="shared" si="2402"/>
        <v>0</v>
      </c>
      <c r="CR82" s="317">
        <f t="shared" si="2402"/>
        <v>0</v>
      </c>
      <c r="CS82" s="316">
        <f t="shared" si="2402"/>
        <v>0</v>
      </c>
      <c r="CT82" s="316">
        <f t="shared" si="2402"/>
        <v>0</v>
      </c>
      <c r="CU82" s="317">
        <f t="shared" si="2402"/>
        <v>0</v>
      </c>
      <c r="CV82" s="445">
        <f t="shared" si="2403"/>
        <v>106</v>
      </c>
      <c r="CW82" s="439">
        <f t="shared" si="2403"/>
        <v>0</v>
      </c>
      <c r="CX82" s="440">
        <f t="shared" si="2403"/>
        <v>99264</v>
      </c>
      <c r="CY82" s="439">
        <f t="shared" si="2403"/>
        <v>0</v>
      </c>
      <c r="CZ82" s="439">
        <f t="shared" si="2403"/>
        <v>0</v>
      </c>
      <c r="DA82" s="440">
        <f t="shared" si="2403"/>
        <v>0</v>
      </c>
      <c r="DB82" s="535">
        <f t="shared" si="2404"/>
        <v>106</v>
      </c>
      <c r="DC82" s="280">
        <f t="shared" si="2404"/>
        <v>0</v>
      </c>
      <c r="DD82" s="40">
        <f t="shared" si="2404"/>
        <v>99264</v>
      </c>
    </row>
    <row r="83" ht="38.25">
      <c r="B83" s="447"/>
      <c r="C83" s="552" t="s">
        <v>246</v>
      </c>
      <c r="D83" s="307">
        <v>178</v>
      </c>
      <c r="E83" s="439"/>
      <c r="F83" s="440">
        <v>176814</v>
      </c>
      <c r="G83" s="440"/>
      <c r="H83" s="440"/>
      <c r="I83" s="440"/>
      <c r="J83" s="307"/>
      <c r="K83" s="439"/>
      <c r="L83" s="440"/>
      <c r="M83" s="439"/>
      <c r="N83" s="439"/>
      <c r="O83" s="276"/>
      <c r="P83" s="439"/>
      <c r="Q83" s="439"/>
      <c r="R83" s="440"/>
      <c r="S83" s="439"/>
      <c r="T83" s="439"/>
      <c r="U83" s="440"/>
      <c r="V83" s="312">
        <f t="shared" si="2397"/>
        <v>178</v>
      </c>
      <c r="W83" s="441">
        <f t="shared" si="2397"/>
        <v>0</v>
      </c>
      <c r="X83" s="440">
        <f t="shared" si="2397"/>
        <v>176814</v>
      </c>
      <c r="Y83" s="442">
        <f t="shared" si="2397"/>
        <v>0</v>
      </c>
      <c r="Z83" s="442">
        <f t="shared" si="2397"/>
        <v>0</v>
      </c>
      <c r="AA83" s="276">
        <f t="shared" si="2397"/>
        <v>0</v>
      </c>
      <c r="AB83" s="442"/>
      <c r="AC83" s="442"/>
      <c r="AD83" s="752"/>
      <c r="AE83" s="442"/>
      <c r="AF83" s="442"/>
      <c r="AG83" s="440"/>
      <c r="AH83" s="443"/>
      <c r="AI83" s="442"/>
      <c r="AJ83" s="752"/>
      <c r="AK83" s="442"/>
      <c r="AL83" s="442"/>
      <c r="AM83" s="276"/>
      <c r="AN83" s="443"/>
      <c r="AO83" s="442"/>
      <c r="AP83" s="752"/>
      <c r="AQ83" s="442"/>
      <c r="AR83" s="442"/>
      <c r="AS83" s="276"/>
      <c r="AT83" s="443">
        <f t="shared" si="2398"/>
        <v>178</v>
      </c>
      <c r="AU83" s="442"/>
      <c r="AV83" s="442">
        <f t="shared" si="2399"/>
        <v>176814</v>
      </c>
      <c r="AW83" s="442">
        <f t="shared" si="2399"/>
        <v>0</v>
      </c>
      <c r="AX83" s="442"/>
      <c r="AY83" s="279">
        <f t="shared" si="2400"/>
        <v>0</v>
      </c>
      <c r="AZ83" s="443"/>
      <c r="BA83" s="442"/>
      <c r="BB83" s="752"/>
      <c r="BC83" s="442"/>
      <c r="BD83" s="442"/>
      <c r="BE83" s="276"/>
      <c r="BF83" s="443"/>
      <c r="BG83" s="442"/>
      <c r="BH83" s="752"/>
      <c r="BI83" s="442"/>
      <c r="BJ83" s="442"/>
      <c r="BK83" s="276"/>
      <c r="BL83" s="443"/>
      <c r="BM83" s="442"/>
      <c r="BN83" s="752"/>
      <c r="BO83" s="442"/>
      <c r="BP83" s="442"/>
      <c r="BQ83" s="276"/>
      <c r="BR83" s="323">
        <f t="shared" si="2401"/>
        <v>0</v>
      </c>
      <c r="BS83" s="322">
        <f t="shared" si="2401"/>
        <v>0</v>
      </c>
      <c r="BT83" s="322">
        <f t="shared" si="2401"/>
        <v>0</v>
      </c>
      <c r="BU83" s="322">
        <f t="shared" si="2401"/>
        <v>0</v>
      </c>
      <c r="BV83" s="322">
        <f t="shared" si="2401"/>
        <v>0</v>
      </c>
      <c r="BW83" s="326">
        <f t="shared" si="2401"/>
        <v>0</v>
      </c>
      <c r="BX83" s="443"/>
      <c r="BY83" s="442"/>
      <c r="BZ83" s="752"/>
      <c r="CA83" s="442"/>
      <c r="CB83" s="442"/>
      <c r="CC83" s="276"/>
      <c r="CD83" s="443"/>
      <c r="CE83" s="442"/>
      <c r="CF83" s="752"/>
      <c r="CG83" s="442"/>
      <c r="CH83" s="442"/>
      <c r="CI83" s="276"/>
      <c r="CJ83" s="443"/>
      <c r="CK83" s="442"/>
      <c r="CL83" s="752"/>
      <c r="CM83" s="442"/>
      <c r="CN83" s="442"/>
      <c r="CO83" s="276"/>
      <c r="CP83" s="315">
        <f t="shared" si="2402"/>
        <v>0</v>
      </c>
      <c r="CQ83" s="316">
        <f t="shared" si="2402"/>
        <v>0</v>
      </c>
      <c r="CR83" s="317">
        <f t="shared" si="2402"/>
        <v>0</v>
      </c>
      <c r="CS83" s="316">
        <f t="shared" si="2402"/>
        <v>0</v>
      </c>
      <c r="CT83" s="316">
        <f t="shared" si="2402"/>
        <v>0</v>
      </c>
      <c r="CU83" s="317">
        <f t="shared" si="2402"/>
        <v>0</v>
      </c>
      <c r="CV83" s="445">
        <f t="shared" si="2403"/>
        <v>178</v>
      </c>
      <c r="CW83" s="439">
        <f t="shared" si="2403"/>
        <v>0</v>
      </c>
      <c r="CX83" s="440">
        <f t="shared" si="2403"/>
        <v>176814</v>
      </c>
      <c r="CY83" s="439">
        <f t="shared" si="2403"/>
        <v>0</v>
      </c>
      <c r="CZ83" s="439">
        <f t="shared" si="2403"/>
        <v>0</v>
      </c>
      <c r="DA83" s="440">
        <f t="shared" si="2403"/>
        <v>0</v>
      </c>
      <c r="DB83" s="535">
        <f t="shared" si="2404"/>
        <v>178</v>
      </c>
      <c r="DC83" s="280">
        <f t="shared" si="2404"/>
        <v>0</v>
      </c>
      <c r="DD83" s="40">
        <f t="shared" si="2404"/>
        <v>176814</v>
      </c>
    </row>
    <row r="84" ht="25.5">
      <c r="B84" s="447"/>
      <c r="C84" s="552" t="s">
        <v>247</v>
      </c>
      <c r="D84" s="315"/>
      <c r="E84" s="316"/>
      <c r="F84" s="317"/>
      <c r="G84" s="317"/>
      <c r="H84" s="317"/>
      <c r="I84" s="317"/>
      <c r="J84" s="315"/>
      <c r="K84" s="316"/>
      <c r="L84" s="317"/>
      <c r="M84" s="316"/>
      <c r="N84" s="316"/>
      <c r="O84" s="319"/>
      <c r="P84" s="316"/>
      <c r="Q84" s="316"/>
      <c r="R84" s="317"/>
      <c r="S84" s="316"/>
      <c r="T84" s="316"/>
      <c r="U84" s="317"/>
      <c r="V84" s="320">
        <f t="shared" si="2397"/>
        <v>0</v>
      </c>
      <c r="W84" s="321">
        <f t="shared" si="2397"/>
        <v>0</v>
      </c>
      <c r="X84" s="317">
        <f t="shared" si="2397"/>
        <v>0</v>
      </c>
      <c r="Y84" s="322">
        <f t="shared" si="2397"/>
        <v>0</v>
      </c>
      <c r="Z84" s="322">
        <f t="shared" si="2397"/>
        <v>0</v>
      </c>
      <c r="AA84" s="319">
        <f t="shared" si="2397"/>
        <v>0</v>
      </c>
      <c r="AB84" s="322"/>
      <c r="AC84" s="322"/>
      <c r="AD84" s="752"/>
      <c r="AE84" s="322"/>
      <c r="AF84" s="322"/>
      <c r="AG84" s="317"/>
      <c r="AH84" s="323"/>
      <c r="AI84" s="322"/>
      <c r="AJ84" s="752"/>
      <c r="AK84" s="322"/>
      <c r="AL84" s="322"/>
      <c r="AM84" s="319"/>
      <c r="AN84" s="323"/>
      <c r="AO84" s="322"/>
      <c r="AP84" s="752"/>
      <c r="AQ84" s="322"/>
      <c r="AR84" s="322"/>
      <c r="AS84" s="319"/>
      <c r="AT84" s="443">
        <f t="shared" si="2398"/>
        <v>0</v>
      </c>
      <c r="AU84" s="442"/>
      <c r="AV84" s="442">
        <f t="shared" si="2399"/>
        <v>0</v>
      </c>
      <c r="AW84" s="442">
        <f t="shared" si="2399"/>
        <v>0</v>
      </c>
      <c r="AX84" s="442"/>
      <c r="AY84" s="279">
        <f t="shared" si="2400"/>
        <v>0</v>
      </c>
      <c r="AZ84" s="323"/>
      <c r="BA84" s="322"/>
      <c r="BB84" s="752"/>
      <c r="BC84" s="322"/>
      <c r="BD84" s="322"/>
      <c r="BE84" s="319"/>
      <c r="BF84" s="323"/>
      <c r="BG84" s="322"/>
      <c r="BH84" s="752"/>
      <c r="BI84" s="322"/>
      <c r="BJ84" s="322"/>
      <c r="BK84" s="319"/>
      <c r="BL84" s="323"/>
      <c r="BM84" s="322"/>
      <c r="BN84" s="752"/>
      <c r="BO84" s="322"/>
      <c r="BP84" s="322"/>
      <c r="BQ84" s="319"/>
      <c r="BR84" s="323">
        <f t="shared" si="2401"/>
        <v>0</v>
      </c>
      <c r="BS84" s="322">
        <f t="shared" si="2401"/>
        <v>0</v>
      </c>
      <c r="BT84" s="322">
        <f t="shared" si="2401"/>
        <v>0</v>
      </c>
      <c r="BU84" s="322">
        <f t="shared" si="2401"/>
        <v>0</v>
      </c>
      <c r="BV84" s="322">
        <f t="shared" si="2401"/>
        <v>0</v>
      </c>
      <c r="BW84" s="326">
        <f t="shared" si="2401"/>
        <v>0</v>
      </c>
      <c r="BX84" s="323"/>
      <c r="BY84" s="322"/>
      <c r="BZ84" s="752"/>
      <c r="CA84" s="322"/>
      <c r="CB84" s="322"/>
      <c r="CC84" s="319"/>
      <c r="CD84" s="323"/>
      <c r="CE84" s="322"/>
      <c r="CF84" s="752"/>
      <c r="CG84" s="322"/>
      <c r="CH84" s="322"/>
      <c r="CI84" s="319"/>
      <c r="CJ84" s="323"/>
      <c r="CK84" s="322"/>
      <c r="CL84" s="752"/>
      <c r="CM84" s="322"/>
      <c r="CN84" s="322"/>
      <c r="CO84" s="319"/>
      <c r="CP84" s="315">
        <f t="shared" si="2402"/>
        <v>0</v>
      </c>
      <c r="CQ84" s="316">
        <f t="shared" si="2402"/>
        <v>0</v>
      </c>
      <c r="CR84" s="317">
        <f t="shared" si="2402"/>
        <v>0</v>
      </c>
      <c r="CS84" s="316">
        <f t="shared" si="2402"/>
        <v>0</v>
      </c>
      <c r="CT84" s="316">
        <f t="shared" si="2402"/>
        <v>0</v>
      </c>
      <c r="CU84" s="317">
        <f t="shared" si="2402"/>
        <v>0</v>
      </c>
      <c r="CV84" s="445">
        <f t="shared" si="2403"/>
        <v>0</v>
      </c>
      <c r="CW84" s="439">
        <f t="shared" si="2403"/>
        <v>0</v>
      </c>
      <c r="CX84" s="440">
        <f t="shared" si="2403"/>
        <v>0</v>
      </c>
      <c r="CY84" s="439">
        <f t="shared" si="2403"/>
        <v>0</v>
      </c>
      <c r="CZ84" s="439">
        <f t="shared" si="2403"/>
        <v>0</v>
      </c>
      <c r="DA84" s="440">
        <f t="shared" si="2403"/>
        <v>0</v>
      </c>
      <c r="DB84" s="535">
        <f t="shared" si="2404"/>
        <v>0</v>
      </c>
      <c r="DC84" s="280">
        <f t="shared" si="2404"/>
        <v>0</v>
      </c>
      <c r="DD84" s="40">
        <f t="shared" si="2404"/>
        <v>0</v>
      </c>
    </row>
    <row r="85" ht="51">
      <c r="B85" s="447"/>
      <c r="C85" s="552" t="s">
        <v>248</v>
      </c>
      <c r="D85" s="315">
        <f>126+30</f>
        <v>156</v>
      </c>
      <c r="E85" s="316"/>
      <c r="F85" s="317">
        <f>94878+33240</f>
        <v>128118</v>
      </c>
      <c r="G85" s="317"/>
      <c r="H85" s="317"/>
      <c r="I85" s="317"/>
      <c r="J85" s="315"/>
      <c r="K85" s="316"/>
      <c r="L85" s="317"/>
      <c r="M85" s="316"/>
      <c r="N85" s="316"/>
      <c r="O85" s="319"/>
      <c r="P85" s="316"/>
      <c r="Q85" s="316"/>
      <c r="R85" s="317"/>
      <c r="S85" s="316"/>
      <c r="T85" s="316"/>
      <c r="U85" s="317"/>
      <c r="V85" s="320">
        <f t="shared" si="2397"/>
        <v>156</v>
      </c>
      <c r="W85" s="321">
        <f t="shared" si="2397"/>
        <v>0</v>
      </c>
      <c r="X85" s="317">
        <f t="shared" si="2397"/>
        <v>128118</v>
      </c>
      <c r="Y85" s="322">
        <f t="shared" si="2397"/>
        <v>0</v>
      </c>
      <c r="Z85" s="322">
        <f t="shared" si="2397"/>
        <v>0</v>
      </c>
      <c r="AA85" s="319">
        <f t="shared" si="2397"/>
        <v>0</v>
      </c>
      <c r="AB85" s="322"/>
      <c r="AC85" s="322"/>
      <c r="AD85" s="752"/>
      <c r="AE85" s="322"/>
      <c r="AF85" s="322"/>
      <c r="AG85" s="317"/>
      <c r="AH85" s="323"/>
      <c r="AI85" s="322"/>
      <c r="AJ85" s="752"/>
      <c r="AK85" s="322"/>
      <c r="AL85" s="322"/>
      <c r="AM85" s="319"/>
      <c r="AN85" s="323"/>
      <c r="AO85" s="322"/>
      <c r="AP85" s="752"/>
      <c r="AQ85" s="322"/>
      <c r="AR85" s="322"/>
      <c r="AS85" s="319"/>
      <c r="AT85" s="443">
        <f t="shared" si="2398"/>
        <v>156</v>
      </c>
      <c r="AU85" s="442"/>
      <c r="AV85" s="442">
        <f t="shared" si="2399"/>
        <v>128118</v>
      </c>
      <c r="AW85" s="442">
        <f t="shared" si="2399"/>
        <v>0</v>
      </c>
      <c r="AX85" s="442"/>
      <c r="AY85" s="279">
        <f t="shared" si="2400"/>
        <v>0</v>
      </c>
      <c r="AZ85" s="323"/>
      <c r="BA85" s="322"/>
      <c r="BB85" s="752"/>
      <c r="BC85" s="322"/>
      <c r="BD85" s="322"/>
      <c r="BE85" s="319"/>
      <c r="BF85" s="323"/>
      <c r="BG85" s="322"/>
      <c r="BH85" s="752"/>
      <c r="BI85" s="322"/>
      <c r="BJ85" s="322"/>
      <c r="BK85" s="319"/>
      <c r="BL85" s="323"/>
      <c r="BM85" s="322"/>
      <c r="BN85" s="752"/>
      <c r="BO85" s="322"/>
      <c r="BP85" s="322"/>
      <c r="BQ85" s="319"/>
      <c r="BR85" s="323">
        <f t="shared" si="2401"/>
        <v>0</v>
      </c>
      <c r="BS85" s="322">
        <f t="shared" si="2401"/>
        <v>0</v>
      </c>
      <c r="BT85" s="322">
        <f t="shared" si="2401"/>
        <v>0</v>
      </c>
      <c r="BU85" s="322">
        <f t="shared" si="2401"/>
        <v>0</v>
      </c>
      <c r="BV85" s="322">
        <f t="shared" si="2401"/>
        <v>0</v>
      </c>
      <c r="BW85" s="326">
        <f t="shared" si="2401"/>
        <v>0</v>
      </c>
      <c r="BX85" s="323"/>
      <c r="BY85" s="322"/>
      <c r="BZ85" s="752"/>
      <c r="CA85" s="322"/>
      <c r="CB85" s="322"/>
      <c r="CC85" s="319"/>
      <c r="CD85" s="323"/>
      <c r="CE85" s="322"/>
      <c r="CF85" s="752"/>
      <c r="CG85" s="322"/>
      <c r="CH85" s="322"/>
      <c r="CI85" s="319"/>
      <c r="CJ85" s="323"/>
      <c r="CK85" s="322"/>
      <c r="CL85" s="752"/>
      <c r="CM85" s="322"/>
      <c r="CN85" s="322"/>
      <c r="CO85" s="319"/>
      <c r="CP85" s="315">
        <f t="shared" si="2402"/>
        <v>0</v>
      </c>
      <c r="CQ85" s="316">
        <f t="shared" si="2402"/>
        <v>0</v>
      </c>
      <c r="CR85" s="317">
        <f t="shared" si="2402"/>
        <v>0</v>
      </c>
      <c r="CS85" s="316">
        <f t="shared" si="2402"/>
        <v>0</v>
      </c>
      <c r="CT85" s="316">
        <f t="shared" si="2402"/>
        <v>0</v>
      </c>
      <c r="CU85" s="317">
        <f t="shared" si="2402"/>
        <v>0</v>
      </c>
      <c r="CV85" s="445">
        <f t="shared" si="2403"/>
        <v>156</v>
      </c>
      <c r="CW85" s="439">
        <f t="shared" si="2403"/>
        <v>0</v>
      </c>
      <c r="CX85" s="440">
        <f t="shared" si="2403"/>
        <v>128118</v>
      </c>
      <c r="CY85" s="439">
        <f t="shared" si="2403"/>
        <v>0</v>
      </c>
      <c r="CZ85" s="439">
        <f t="shared" si="2403"/>
        <v>0</v>
      </c>
      <c r="DA85" s="440">
        <f t="shared" si="2403"/>
        <v>0</v>
      </c>
      <c r="DB85" s="535">
        <f t="shared" si="2404"/>
        <v>156</v>
      </c>
      <c r="DC85" s="280">
        <f t="shared" si="2404"/>
        <v>0</v>
      </c>
      <c r="DD85" s="40">
        <f t="shared" si="2404"/>
        <v>128118</v>
      </c>
    </row>
    <row r="86" ht="51">
      <c r="B86" s="437"/>
      <c r="C86" s="334" t="s">
        <v>249</v>
      </c>
      <c r="D86" s="307"/>
      <c r="E86" s="439"/>
      <c r="F86" s="440"/>
      <c r="G86" s="440"/>
      <c r="H86" s="440"/>
      <c r="I86" s="440"/>
      <c r="J86" s="307"/>
      <c r="K86" s="439"/>
      <c r="L86" s="440"/>
      <c r="M86" s="439"/>
      <c r="N86" s="439"/>
      <c r="O86" s="276"/>
      <c r="P86" s="439"/>
      <c r="Q86" s="439"/>
      <c r="R86" s="440"/>
      <c r="S86" s="439"/>
      <c r="T86" s="439"/>
      <c r="U86" s="440"/>
      <c r="V86" s="312">
        <f t="shared" si="2397"/>
        <v>0</v>
      </c>
      <c r="W86" s="441">
        <f t="shared" si="2397"/>
        <v>0</v>
      </c>
      <c r="X86" s="440">
        <f t="shared" si="2397"/>
        <v>0</v>
      </c>
      <c r="Y86" s="442">
        <f t="shared" si="2397"/>
        <v>0</v>
      </c>
      <c r="Z86" s="442">
        <f t="shared" si="2397"/>
        <v>0</v>
      </c>
      <c r="AA86" s="276">
        <f t="shared" si="2397"/>
        <v>0</v>
      </c>
      <c r="AB86" s="442"/>
      <c r="AC86" s="442"/>
      <c r="AD86" s="752"/>
      <c r="AE86" s="442"/>
      <c r="AF86" s="442"/>
      <c r="AG86" s="440"/>
      <c r="AH86" s="443"/>
      <c r="AI86" s="442"/>
      <c r="AJ86" s="752"/>
      <c r="AK86" s="442"/>
      <c r="AL86" s="442"/>
      <c r="AM86" s="276"/>
      <c r="AN86" s="443"/>
      <c r="AO86" s="442"/>
      <c r="AP86" s="752"/>
      <c r="AQ86" s="442"/>
      <c r="AR86" s="442"/>
      <c r="AS86" s="276"/>
      <c r="AT86" s="443">
        <f t="shared" si="2398"/>
        <v>0</v>
      </c>
      <c r="AU86" s="442"/>
      <c r="AV86" s="442">
        <f t="shared" si="2399"/>
        <v>0</v>
      </c>
      <c r="AW86" s="442">
        <f t="shared" si="2399"/>
        <v>0</v>
      </c>
      <c r="AX86" s="442"/>
      <c r="AY86" s="279">
        <f t="shared" si="2400"/>
        <v>0</v>
      </c>
      <c r="AZ86" s="443"/>
      <c r="BA86" s="442"/>
      <c r="BB86" s="752"/>
      <c r="BC86" s="442"/>
      <c r="BD86" s="442"/>
      <c r="BE86" s="276"/>
      <c r="BF86" s="443"/>
      <c r="BG86" s="442"/>
      <c r="BH86" s="752"/>
      <c r="BI86" s="442"/>
      <c r="BJ86" s="442"/>
      <c r="BK86" s="276"/>
      <c r="BL86" s="443"/>
      <c r="BM86" s="442"/>
      <c r="BN86" s="752"/>
      <c r="BO86" s="442"/>
      <c r="BP86" s="442"/>
      <c r="BQ86" s="276"/>
      <c r="BR86" s="323">
        <f t="shared" si="2401"/>
        <v>0</v>
      </c>
      <c r="BS86" s="322">
        <f t="shared" si="2401"/>
        <v>0</v>
      </c>
      <c r="BT86" s="322">
        <f t="shared" si="2401"/>
        <v>0</v>
      </c>
      <c r="BU86" s="322">
        <f t="shared" si="2401"/>
        <v>0</v>
      </c>
      <c r="BV86" s="322">
        <f t="shared" si="2401"/>
        <v>0</v>
      </c>
      <c r="BW86" s="326">
        <f t="shared" si="2401"/>
        <v>0</v>
      </c>
      <c r="BX86" s="443"/>
      <c r="BY86" s="442"/>
      <c r="BZ86" s="752"/>
      <c r="CA86" s="442"/>
      <c r="CB86" s="442"/>
      <c r="CC86" s="276"/>
      <c r="CD86" s="443"/>
      <c r="CE86" s="442"/>
      <c r="CF86" s="752"/>
      <c r="CG86" s="442"/>
      <c r="CH86" s="442"/>
      <c r="CI86" s="276"/>
      <c r="CJ86" s="443"/>
      <c r="CK86" s="442"/>
      <c r="CL86" s="752"/>
      <c r="CM86" s="442"/>
      <c r="CN86" s="442"/>
      <c r="CO86" s="276"/>
      <c r="CP86" s="307">
        <f t="shared" si="2402"/>
        <v>0</v>
      </c>
      <c r="CQ86" s="439">
        <f t="shared" si="2402"/>
        <v>0</v>
      </c>
      <c r="CR86" s="440">
        <f t="shared" si="2402"/>
        <v>0</v>
      </c>
      <c r="CS86" s="439">
        <f t="shared" si="2402"/>
        <v>0</v>
      </c>
      <c r="CT86" s="439">
        <f t="shared" si="2402"/>
        <v>0</v>
      </c>
      <c r="CU86" s="276">
        <f t="shared" si="2402"/>
        <v>0</v>
      </c>
      <c r="CV86" s="445">
        <f t="shared" si="2403"/>
        <v>0</v>
      </c>
      <c r="CW86" s="439">
        <f t="shared" si="2403"/>
        <v>0</v>
      </c>
      <c r="CX86" s="440">
        <f t="shared" si="2403"/>
        <v>0</v>
      </c>
      <c r="CY86" s="439">
        <f t="shared" si="2403"/>
        <v>0</v>
      </c>
      <c r="CZ86" s="439">
        <f t="shared" si="2403"/>
        <v>0</v>
      </c>
      <c r="DA86" s="440">
        <f t="shared" si="2403"/>
        <v>0</v>
      </c>
      <c r="DB86" s="535">
        <f t="shared" si="2404"/>
        <v>0</v>
      </c>
      <c r="DC86" s="280">
        <f t="shared" si="2404"/>
        <v>0</v>
      </c>
      <c r="DD86" s="40">
        <f t="shared" si="2404"/>
        <v>0</v>
      </c>
    </row>
    <row r="87">
      <c r="B87" s="759"/>
      <c r="C87" s="759"/>
      <c r="D87" s="280"/>
      <c r="E87" s="280"/>
      <c r="J87" s="470"/>
      <c r="O87" s="38"/>
      <c r="V87" s="356"/>
      <c r="W87" s="357"/>
      <c r="Y87" s="281"/>
      <c r="Z87" s="281"/>
      <c r="AA87" s="38"/>
      <c r="AB87" s="281"/>
      <c r="AC87" s="281"/>
      <c r="AE87" s="281"/>
      <c r="AF87" s="281"/>
      <c r="AH87" s="282"/>
      <c r="AI87" s="281"/>
      <c r="AK87" s="281"/>
      <c r="AL87" s="281"/>
      <c r="AM87" s="38"/>
      <c r="AN87" s="282"/>
      <c r="AO87" s="281"/>
      <c r="AQ87" s="281"/>
      <c r="AR87" s="281"/>
      <c r="AS87" s="38"/>
      <c r="AT87" s="282"/>
      <c r="AU87" s="281"/>
      <c r="AW87" s="281"/>
      <c r="AX87" s="281"/>
      <c r="AY87" s="38"/>
      <c r="AZ87" s="282"/>
      <c r="BA87" s="281"/>
      <c r="BC87" s="281"/>
      <c r="BD87" s="281"/>
      <c r="BE87" s="38"/>
      <c r="BF87" s="282"/>
      <c r="BG87" s="281"/>
      <c r="BI87" s="281"/>
      <c r="BJ87" s="281"/>
      <c r="BK87" s="38"/>
      <c r="BL87" s="443"/>
      <c r="BM87" s="281"/>
      <c r="BO87" s="281"/>
      <c r="BP87" s="281"/>
      <c r="BQ87" s="38"/>
      <c r="BR87" s="323"/>
      <c r="BS87" s="322"/>
      <c r="BT87" s="317"/>
      <c r="BU87" s="322"/>
      <c r="BV87" s="322"/>
      <c r="BW87" s="319"/>
      <c r="BX87" s="282"/>
      <c r="BY87" s="281"/>
      <c r="CA87" s="281"/>
      <c r="CB87" s="281"/>
      <c r="CC87" s="38"/>
      <c r="CD87" s="282"/>
      <c r="CE87" s="281"/>
      <c r="CG87" s="281"/>
      <c r="CH87" s="281"/>
      <c r="CI87" s="38"/>
      <c r="CJ87" s="282"/>
      <c r="CK87" s="281"/>
      <c r="CM87" s="281"/>
      <c r="CN87" s="281"/>
      <c r="CO87" s="38"/>
      <c r="CP87" s="37"/>
      <c r="CV87" s="445"/>
      <c r="CW87" s="439"/>
      <c r="CX87" s="440"/>
      <c r="CY87" s="439"/>
      <c r="CZ87" s="439"/>
      <c r="DA87" s="440"/>
      <c r="DB87" s="445"/>
      <c r="DC87" s="439"/>
      <c r="DD87" s="446"/>
    </row>
    <row r="88">
      <c r="B88" s="283" t="s">
        <v>228</v>
      </c>
      <c r="C88" s="414" t="s">
        <v>252</v>
      </c>
      <c r="D88" s="307">
        <v>5</v>
      </c>
      <c r="E88" s="439"/>
      <c r="F88" s="440">
        <v>4727</v>
      </c>
      <c r="G88" s="440"/>
      <c r="H88" s="440"/>
      <c r="I88" s="440"/>
      <c r="J88" s="307"/>
      <c r="K88" s="439"/>
      <c r="L88" s="440"/>
      <c r="M88" s="439"/>
      <c r="N88" s="439"/>
      <c r="O88" s="276"/>
      <c r="P88" s="439"/>
      <c r="Q88" s="439"/>
      <c r="R88" s="440"/>
      <c r="S88" s="439"/>
      <c r="T88" s="439"/>
      <c r="U88" s="440"/>
      <c r="V88" s="312">
        <f>D88+J88+P95</f>
        <v>5</v>
      </c>
      <c r="W88" s="441">
        <f t="shared" ref="W88:AA92" si="2405">E88+K88+Q88</f>
        <v>0</v>
      </c>
      <c r="X88" s="440">
        <f t="shared" si="2405"/>
        <v>4727</v>
      </c>
      <c r="Y88" s="442">
        <f t="shared" si="2405"/>
        <v>0</v>
      </c>
      <c r="Z88" s="442">
        <f t="shared" si="2405"/>
        <v>0</v>
      </c>
      <c r="AA88" s="276">
        <f t="shared" si="2405"/>
        <v>0</v>
      </c>
      <c r="AB88" s="442"/>
      <c r="AC88" s="442"/>
      <c r="AD88" s="440"/>
      <c r="AE88" s="442"/>
      <c r="AF88" s="442"/>
      <c r="AG88" s="440"/>
      <c r="AH88" s="443"/>
      <c r="AI88" s="442"/>
      <c r="AJ88" s="440"/>
      <c r="AK88" s="442"/>
      <c r="AL88" s="442"/>
      <c r="AM88" s="276"/>
      <c r="AN88" s="443"/>
      <c r="AO88" s="442"/>
      <c r="AP88" s="440"/>
      <c r="AQ88" s="442"/>
      <c r="AR88" s="442"/>
      <c r="AS88" s="276"/>
      <c r="AT88" s="443">
        <f t="shared" si="2398"/>
        <v>5</v>
      </c>
      <c r="AU88" s="442"/>
      <c r="AV88" s="442">
        <f t="shared" si="2399"/>
        <v>4727</v>
      </c>
      <c r="AW88" s="442">
        <f t="shared" ref="AW88:AW91" si="2406">Y88+AE88+AK88+AQ88</f>
        <v>0</v>
      </c>
      <c r="AX88" s="442"/>
      <c r="AY88" s="279">
        <f t="shared" si="2400"/>
        <v>0</v>
      </c>
      <c r="AZ88" s="443"/>
      <c r="BA88" s="442"/>
      <c r="BB88" s="440"/>
      <c r="BC88" s="442"/>
      <c r="BD88" s="442"/>
      <c r="BE88" s="276"/>
      <c r="BF88" s="443"/>
      <c r="BG88" s="442"/>
      <c r="BH88" s="440"/>
      <c r="BI88" s="442"/>
      <c r="BJ88" s="442"/>
      <c r="BK88" s="276"/>
      <c r="BL88" s="4"/>
      <c r="BM88" s="442"/>
      <c r="BN88" s="440"/>
      <c r="BO88" s="442"/>
      <c r="BP88" s="442"/>
      <c r="BQ88" s="276"/>
      <c r="BR88" s="323">
        <f>AZ88+BF88+BL95</f>
        <v>0</v>
      </c>
      <c r="BS88" s="322">
        <f t="shared" ref="BR88:BW92" si="2407">BA88+BG88+BM88</f>
        <v>0</v>
      </c>
      <c r="BT88" s="322">
        <f t="shared" si="2407"/>
        <v>0</v>
      </c>
      <c r="BU88" s="322">
        <f t="shared" si="2407"/>
        <v>0</v>
      </c>
      <c r="BV88" s="322">
        <f t="shared" si="2407"/>
        <v>0</v>
      </c>
      <c r="BW88" s="326">
        <f t="shared" si="2407"/>
        <v>0</v>
      </c>
      <c r="BX88" s="443"/>
      <c r="BY88" s="442"/>
      <c r="BZ88" s="440"/>
      <c r="CA88" s="442"/>
      <c r="CB88" s="442"/>
      <c r="CC88" s="276"/>
      <c r="CD88" s="443"/>
      <c r="CE88" s="442"/>
      <c r="CF88" s="440"/>
      <c r="CG88" s="442"/>
      <c r="CH88" s="442"/>
      <c r="CI88" s="276"/>
      <c r="CJ88" s="443"/>
      <c r="CK88" s="442"/>
      <c r="CL88" s="440"/>
      <c r="CM88" s="442"/>
      <c r="CN88" s="442"/>
      <c r="CO88" s="276"/>
      <c r="CP88" s="315">
        <f t="shared" si="2402"/>
        <v>0</v>
      </c>
      <c r="CQ88" s="316">
        <f t="shared" si="2402"/>
        <v>0</v>
      </c>
      <c r="CR88" s="317">
        <f t="shared" si="2402"/>
        <v>0</v>
      </c>
      <c r="CS88" s="316">
        <f t="shared" si="2402"/>
        <v>0</v>
      </c>
      <c r="CT88" s="316">
        <f t="shared" si="2402"/>
        <v>0</v>
      </c>
      <c r="CU88" s="317">
        <f t="shared" si="2402"/>
        <v>0</v>
      </c>
      <c r="CV88" s="445">
        <f t="shared" si="2403"/>
        <v>5</v>
      </c>
      <c r="CW88" s="439">
        <f t="shared" si="2403"/>
        <v>0</v>
      </c>
      <c r="CX88" s="440">
        <f t="shared" si="2403"/>
        <v>4727</v>
      </c>
      <c r="CY88" s="439">
        <f t="shared" si="2403"/>
        <v>0</v>
      </c>
      <c r="CZ88" s="439">
        <f t="shared" si="2403"/>
        <v>0</v>
      </c>
      <c r="DA88" s="440">
        <f t="shared" si="2403"/>
        <v>0</v>
      </c>
      <c r="DB88" s="445">
        <f t="shared" si="2404"/>
        <v>5</v>
      </c>
      <c r="DC88" s="439">
        <f t="shared" si="2404"/>
        <v>0</v>
      </c>
      <c r="DD88" s="446">
        <f t="shared" si="2404"/>
        <v>4727</v>
      </c>
    </row>
    <row r="89">
      <c r="B89" s="437"/>
      <c r="C89" s="768" t="s">
        <v>253</v>
      </c>
      <c r="D89" s="307">
        <v>648</v>
      </c>
      <c r="E89" s="440">
        <v>1119.53</v>
      </c>
      <c r="F89" s="440">
        <v>275269.40000000002</v>
      </c>
      <c r="G89" s="440"/>
      <c r="H89" s="440"/>
      <c r="I89" s="440"/>
      <c r="J89" s="307"/>
      <c r="K89" s="440"/>
      <c r="L89" s="440"/>
      <c r="M89" s="439"/>
      <c r="N89" s="439"/>
      <c r="O89" s="276"/>
      <c r="P89" s="439"/>
      <c r="Q89" s="439"/>
      <c r="R89" s="440"/>
      <c r="S89" s="439"/>
      <c r="T89" s="439"/>
      <c r="U89" s="440"/>
      <c r="V89" s="312">
        <f t="shared" ref="V89:V92" si="2408">D89+J89+P89</f>
        <v>648</v>
      </c>
      <c r="W89" s="772">
        <f t="shared" si="2405"/>
        <v>1119.53</v>
      </c>
      <c r="X89" s="440">
        <f t="shared" si="2405"/>
        <v>275269.40000000002</v>
      </c>
      <c r="Y89" s="442">
        <f t="shared" si="2405"/>
        <v>0</v>
      </c>
      <c r="Z89" s="442">
        <f t="shared" si="2405"/>
        <v>0</v>
      </c>
      <c r="AA89" s="276">
        <f t="shared" si="2405"/>
        <v>0</v>
      </c>
      <c r="AB89" s="442"/>
      <c r="AC89" s="752"/>
      <c r="AD89" s="440"/>
      <c r="AE89" s="442"/>
      <c r="AF89" s="442"/>
      <c r="AG89" s="440"/>
      <c r="AH89" s="443"/>
      <c r="AI89" s="752"/>
      <c r="AJ89" s="440"/>
      <c r="AK89" s="442"/>
      <c r="AL89" s="442"/>
      <c r="AM89" s="276"/>
      <c r="AN89" s="443"/>
      <c r="AO89" s="752"/>
      <c r="AP89" s="440"/>
      <c r="AQ89" s="442"/>
      <c r="AR89" s="442"/>
      <c r="AS89" s="276"/>
      <c r="AT89" s="443">
        <f t="shared" si="2398"/>
        <v>648</v>
      </c>
      <c r="AU89" s="442">
        <f>W89+AC89+AI89+AO89</f>
        <v>1119.53</v>
      </c>
      <c r="AV89" s="442">
        <f t="shared" si="2399"/>
        <v>275269.40000000002</v>
      </c>
      <c r="AW89" s="442">
        <f t="shared" si="2406"/>
        <v>0</v>
      </c>
      <c r="AX89" s="442"/>
      <c r="AY89" s="279">
        <f t="shared" si="2400"/>
        <v>0</v>
      </c>
      <c r="AZ89" s="443"/>
      <c r="BA89" s="752"/>
      <c r="BB89" s="440"/>
      <c r="BC89" s="442"/>
      <c r="BD89" s="442"/>
      <c r="BE89" s="276"/>
      <c r="BF89" s="443"/>
      <c r="BG89" s="752"/>
      <c r="BH89" s="440"/>
      <c r="BI89" s="442"/>
      <c r="BJ89" s="442"/>
      <c r="BK89" s="276"/>
      <c r="BL89" s="443"/>
      <c r="BM89" s="752"/>
      <c r="BN89" s="440"/>
      <c r="BO89" s="442"/>
      <c r="BP89" s="442"/>
      <c r="BQ89" s="276"/>
      <c r="BR89" s="323">
        <f t="shared" si="2407"/>
        <v>0</v>
      </c>
      <c r="BS89" s="322">
        <f t="shared" si="2407"/>
        <v>0</v>
      </c>
      <c r="BT89" s="322">
        <f t="shared" si="2407"/>
        <v>0</v>
      </c>
      <c r="BU89" s="322">
        <f t="shared" si="2407"/>
        <v>0</v>
      </c>
      <c r="BV89" s="322">
        <f t="shared" si="2407"/>
        <v>0</v>
      </c>
      <c r="BW89" s="326">
        <f t="shared" si="2407"/>
        <v>0</v>
      </c>
      <c r="BX89" s="443"/>
      <c r="BY89" s="752"/>
      <c r="BZ89" s="440"/>
      <c r="CA89" s="442"/>
      <c r="CB89" s="442"/>
      <c r="CC89" s="276"/>
      <c r="CD89" s="443"/>
      <c r="CE89" s="752"/>
      <c r="CF89" s="440"/>
      <c r="CG89" s="442"/>
      <c r="CH89" s="442"/>
      <c r="CI89" s="276"/>
      <c r="CJ89" s="443"/>
      <c r="CK89" s="442"/>
      <c r="CL89" s="440"/>
      <c r="CM89" s="442"/>
      <c r="CN89" s="442"/>
      <c r="CO89" s="276"/>
      <c r="CP89" s="307">
        <f t="shared" si="2402"/>
        <v>0</v>
      </c>
      <c r="CQ89" s="439">
        <f t="shared" si="2402"/>
        <v>0</v>
      </c>
      <c r="CR89" s="440">
        <f t="shared" si="2402"/>
        <v>0</v>
      </c>
      <c r="CS89" s="439">
        <f t="shared" si="2402"/>
        <v>0</v>
      </c>
      <c r="CT89" s="439">
        <f t="shared" si="2402"/>
        <v>0</v>
      </c>
      <c r="CU89" s="446">
        <f t="shared" si="2402"/>
        <v>0</v>
      </c>
      <c r="CV89" s="445">
        <f t="shared" si="2403"/>
        <v>648</v>
      </c>
      <c r="CW89" s="440">
        <f t="shared" si="2403"/>
        <v>1119.53</v>
      </c>
      <c r="CX89" s="440">
        <f t="shared" si="2403"/>
        <v>275269.40000000002</v>
      </c>
      <c r="CY89" s="439">
        <f t="shared" si="2403"/>
        <v>0</v>
      </c>
      <c r="CZ89" s="439">
        <f t="shared" si="2403"/>
        <v>0</v>
      </c>
      <c r="DA89" s="440">
        <f t="shared" si="2403"/>
        <v>0</v>
      </c>
      <c r="DB89" s="445">
        <f t="shared" si="2404"/>
        <v>648</v>
      </c>
      <c r="DC89" s="439">
        <f t="shared" si="2404"/>
        <v>1119.53</v>
      </c>
      <c r="DD89" s="446">
        <f t="shared" si="2404"/>
        <v>275269.40000000002</v>
      </c>
    </row>
    <row r="90">
      <c r="B90" s="247"/>
      <c r="C90" s="247"/>
      <c r="D90" s="280"/>
      <c r="E90" s="280"/>
      <c r="J90" s="470"/>
      <c r="O90" s="38"/>
      <c r="V90" s="356">
        <f t="shared" si="2408"/>
        <v>0</v>
      </c>
      <c r="W90" s="357">
        <f t="shared" si="2405"/>
        <v>0</v>
      </c>
      <c r="X90" s="1">
        <f t="shared" si="2405"/>
        <v>0</v>
      </c>
      <c r="Y90" s="281">
        <f t="shared" si="2405"/>
        <v>0</v>
      </c>
      <c r="Z90" s="281">
        <f t="shared" si="2405"/>
        <v>0</v>
      </c>
      <c r="AA90" s="38">
        <f t="shared" si="2405"/>
        <v>0</v>
      </c>
      <c r="AB90" s="281"/>
      <c r="AC90" s="281"/>
      <c r="AE90" s="281"/>
      <c r="AF90" s="281"/>
      <c r="AH90" s="282"/>
      <c r="AI90" s="281"/>
      <c r="AK90" s="281"/>
      <c r="AL90" s="281"/>
      <c r="AM90" s="38"/>
      <c r="AN90" s="282"/>
      <c r="AO90" s="281"/>
      <c r="AQ90" s="281"/>
      <c r="AR90" s="281"/>
      <c r="AS90" s="38"/>
      <c r="AT90" s="323"/>
      <c r="AU90" s="322"/>
      <c r="AV90" s="322"/>
      <c r="AW90" s="281"/>
      <c r="AX90" s="281"/>
      <c r="AY90" s="38"/>
      <c r="AZ90" s="282"/>
      <c r="BA90" s="281"/>
      <c r="BC90" s="281"/>
      <c r="BD90" s="281"/>
      <c r="BE90" s="38"/>
      <c r="BF90" s="282"/>
      <c r="BG90" s="281"/>
      <c r="BI90" s="281"/>
      <c r="BJ90" s="281"/>
      <c r="BK90" s="38"/>
      <c r="BL90" s="282"/>
      <c r="BM90" s="281"/>
      <c r="BO90" s="281"/>
      <c r="BP90" s="281"/>
      <c r="BQ90" s="38"/>
      <c r="BR90" s="323">
        <f t="shared" si="2407"/>
        <v>0</v>
      </c>
      <c r="BS90" s="322">
        <f t="shared" si="2407"/>
        <v>0</v>
      </c>
      <c r="BT90" s="322">
        <f t="shared" si="2407"/>
        <v>0</v>
      </c>
      <c r="BU90" s="322">
        <f t="shared" si="2407"/>
        <v>0</v>
      </c>
      <c r="BV90" s="322">
        <f t="shared" si="2407"/>
        <v>0</v>
      </c>
      <c r="BW90" s="326">
        <f t="shared" si="2407"/>
        <v>0</v>
      </c>
      <c r="BX90" s="282"/>
      <c r="BY90" s="281"/>
      <c r="CA90" s="281"/>
      <c r="CB90" s="281"/>
      <c r="CC90" s="38"/>
      <c r="CD90" s="282"/>
      <c r="CE90" s="281"/>
      <c r="CG90" s="281"/>
      <c r="CH90" s="281"/>
      <c r="CI90" s="38"/>
      <c r="CJ90" s="282"/>
      <c r="CK90" s="281"/>
      <c r="CM90" s="281"/>
      <c r="CN90" s="281"/>
      <c r="CO90" s="38"/>
      <c r="CP90" s="315"/>
      <c r="CQ90" s="316"/>
      <c r="CR90" s="317"/>
      <c r="CS90" s="316"/>
      <c r="CT90" s="316"/>
      <c r="CU90" s="328"/>
      <c r="CV90" s="327"/>
      <c r="CW90" s="316"/>
      <c r="CX90" s="317"/>
      <c r="CY90" s="316"/>
      <c r="CZ90" s="316"/>
      <c r="DA90" s="317"/>
      <c r="DB90" s="327"/>
      <c r="DC90" s="316"/>
      <c r="DD90" s="328"/>
    </row>
    <row r="91">
      <c r="B91" s="283" t="s">
        <v>257</v>
      </c>
      <c r="C91" s="283"/>
      <c r="D91" s="315">
        <v>5</v>
      </c>
      <c r="E91" s="316"/>
      <c r="F91" s="317">
        <v>5804</v>
      </c>
      <c r="G91" s="317"/>
      <c r="H91" s="317"/>
      <c r="I91" s="317"/>
      <c r="J91" s="315"/>
      <c r="K91" s="316"/>
      <c r="L91" s="317"/>
      <c r="M91" s="316"/>
      <c r="N91" s="316"/>
      <c r="O91" s="319"/>
      <c r="P91" s="316"/>
      <c r="Q91" s="316"/>
      <c r="R91" s="317"/>
      <c r="S91" s="316"/>
      <c r="T91" s="316"/>
      <c r="U91" s="317"/>
      <c r="V91" s="320">
        <f t="shared" si="2408"/>
        <v>5</v>
      </c>
      <c r="W91" s="321">
        <f t="shared" si="2405"/>
        <v>0</v>
      </c>
      <c r="X91" s="317">
        <f t="shared" si="2405"/>
        <v>5804</v>
      </c>
      <c r="Y91" s="322">
        <f t="shared" si="2405"/>
        <v>0</v>
      </c>
      <c r="Z91" s="322">
        <f t="shared" si="2405"/>
        <v>0</v>
      </c>
      <c r="AA91" s="319">
        <f t="shared" si="2405"/>
        <v>0</v>
      </c>
      <c r="AB91" s="322"/>
      <c r="AC91" s="322"/>
      <c r="AD91" s="317"/>
      <c r="AE91" s="322"/>
      <c r="AF91" s="322"/>
      <c r="AG91" s="317"/>
      <c r="AH91" s="323"/>
      <c r="AI91" s="322"/>
      <c r="AJ91" s="317"/>
      <c r="AK91" s="322"/>
      <c r="AL91" s="322"/>
      <c r="AM91" s="319"/>
      <c r="AN91" s="323"/>
      <c r="AO91" s="322"/>
      <c r="AP91" s="317"/>
      <c r="AQ91" s="322"/>
      <c r="AR91" s="322"/>
      <c r="AS91" s="319"/>
      <c r="AT91" s="443">
        <f t="shared" si="2398"/>
        <v>5</v>
      </c>
      <c r="AU91" s="442"/>
      <c r="AV91" s="442">
        <f t="shared" si="2399"/>
        <v>5804</v>
      </c>
      <c r="AW91" s="442">
        <f t="shared" si="2406"/>
        <v>0</v>
      </c>
      <c r="AX91" s="442"/>
      <c r="AY91" s="442">
        <f t="shared" si="2400"/>
        <v>0</v>
      </c>
      <c r="AZ91" s="323"/>
      <c r="BA91" s="322"/>
      <c r="BB91" s="317"/>
      <c r="BC91" s="322"/>
      <c r="BD91" s="322"/>
      <c r="BE91" s="319"/>
      <c r="BF91" s="323"/>
      <c r="BG91" s="322"/>
      <c r="BH91" s="317"/>
      <c r="BI91" s="322"/>
      <c r="BJ91" s="322"/>
      <c r="BK91" s="319"/>
      <c r="BL91" s="323"/>
      <c r="BM91" s="322"/>
      <c r="BN91" s="317"/>
      <c r="BO91" s="322"/>
      <c r="BP91" s="322"/>
      <c r="BQ91" s="319"/>
      <c r="BR91" s="323">
        <f t="shared" si="2407"/>
        <v>0</v>
      </c>
      <c r="BS91" s="322">
        <f t="shared" si="2407"/>
        <v>0</v>
      </c>
      <c r="BT91" s="322">
        <f t="shared" si="2407"/>
        <v>0</v>
      </c>
      <c r="BU91" s="322">
        <f t="shared" si="2407"/>
        <v>0</v>
      </c>
      <c r="BV91" s="322">
        <f t="shared" si="2407"/>
        <v>0</v>
      </c>
      <c r="BW91" s="326">
        <f t="shared" si="2407"/>
        <v>0</v>
      </c>
      <c r="BX91" s="323"/>
      <c r="BY91" s="322"/>
      <c r="BZ91" s="317"/>
      <c r="CA91" s="322"/>
      <c r="CB91" s="322"/>
      <c r="CC91" s="319"/>
      <c r="CD91" s="323"/>
      <c r="CE91" s="322"/>
      <c r="CF91" s="317"/>
      <c r="CG91" s="322"/>
      <c r="CH91" s="322"/>
      <c r="CI91" s="319"/>
      <c r="CJ91" s="323"/>
      <c r="CK91" s="322"/>
      <c r="CL91" s="317"/>
      <c r="CM91" s="322"/>
      <c r="CN91" s="322"/>
      <c r="CO91" s="319"/>
      <c r="CP91" s="307">
        <f t="shared" si="2402"/>
        <v>0</v>
      </c>
      <c r="CQ91" s="439">
        <f t="shared" si="2402"/>
        <v>0</v>
      </c>
      <c r="CR91" s="440">
        <f t="shared" si="2402"/>
        <v>0</v>
      </c>
      <c r="CS91" s="439">
        <f t="shared" si="2402"/>
        <v>0</v>
      </c>
      <c r="CT91" s="439">
        <f t="shared" si="2402"/>
        <v>0</v>
      </c>
      <c r="CU91" s="446">
        <f t="shared" si="2402"/>
        <v>0</v>
      </c>
      <c r="CV91" s="445">
        <f t="shared" si="2403"/>
        <v>5</v>
      </c>
      <c r="CW91" s="439">
        <f t="shared" si="2403"/>
        <v>0</v>
      </c>
      <c r="CX91" s="440">
        <f t="shared" si="2403"/>
        <v>5804</v>
      </c>
      <c r="CY91" s="439">
        <f t="shared" si="2403"/>
        <v>0</v>
      </c>
      <c r="CZ91" s="439">
        <f t="shared" si="2403"/>
        <v>0</v>
      </c>
      <c r="DA91" s="440">
        <f t="shared" si="2403"/>
        <v>0</v>
      </c>
      <c r="DB91" s="445">
        <f t="shared" si="2404"/>
        <v>5</v>
      </c>
      <c r="DC91" s="439">
        <f>CW91+CZ91</f>
        <v>0</v>
      </c>
      <c r="DD91" s="446">
        <f>CX91+DA91</f>
        <v>5804</v>
      </c>
    </row>
    <row r="92">
      <c r="B92" s="437"/>
      <c r="C92" s="437"/>
      <c r="D92" s="342"/>
      <c r="E92" s="343"/>
      <c r="F92" s="344"/>
      <c r="G92" s="344"/>
      <c r="H92" s="344"/>
      <c r="I92" s="344"/>
      <c r="J92" s="342"/>
      <c r="K92" s="343"/>
      <c r="L92" s="344"/>
      <c r="M92" s="343"/>
      <c r="N92" s="343"/>
      <c r="O92" s="347"/>
      <c r="P92" s="343"/>
      <c r="Q92" s="343"/>
      <c r="R92" s="344"/>
      <c r="S92" s="343"/>
      <c r="T92" s="343"/>
      <c r="U92" s="344"/>
      <c r="V92" s="348">
        <f t="shared" si="2408"/>
        <v>0</v>
      </c>
      <c r="W92" s="349">
        <f t="shared" si="2405"/>
        <v>0</v>
      </c>
      <c r="X92" s="344">
        <f t="shared" si="2405"/>
        <v>0</v>
      </c>
      <c r="Y92" s="350">
        <f t="shared" si="2405"/>
        <v>0</v>
      </c>
      <c r="Z92" s="350">
        <f t="shared" si="2405"/>
        <v>0</v>
      </c>
      <c r="AA92" s="347">
        <f t="shared" si="2405"/>
        <v>0</v>
      </c>
      <c r="AB92" s="350"/>
      <c r="AC92" s="350"/>
      <c r="AD92" s="344"/>
      <c r="AE92" s="350"/>
      <c r="AF92" s="350"/>
      <c r="AG92" s="344"/>
      <c r="AH92" s="351"/>
      <c r="AI92" s="350"/>
      <c r="AJ92" s="344"/>
      <c r="AK92" s="350"/>
      <c r="AL92" s="350"/>
      <c r="AM92" s="347"/>
      <c r="AN92" s="351"/>
      <c r="AO92" s="350"/>
      <c r="AP92" s="344"/>
      <c r="AQ92" s="350"/>
      <c r="AR92" s="350"/>
      <c r="AS92" s="347"/>
      <c r="AT92" s="443"/>
      <c r="AU92" s="442"/>
      <c r="AV92" s="442"/>
      <c r="AW92" s="350"/>
      <c r="AX92" s="350"/>
      <c r="AY92" s="347"/>
      <c r="AZ92" s="351"/>
      <c r="BA92" s="350"/>
      <c r="BB92" s="344"/>
      <c r="BC92" s="350"/>
      <c r="BD92" s="350"/>
      <c r="BE92" s="347"/>
      <c r="BF92" s="351"/>
      <c r="BG92" s="350"/>
      <c r="BH92" s="344"/>
      <c r="BI92" s="350"/>
      <c r="BJ92" s="350"/>
      <c r="BK92" s="347"/>
      <c r="BL92" s="351"/>
      <c r="BM92" s="350"/>
      <c r="BN92" s="344"/>
      <c r="BO92" s="350"/>
      <c r="BP92" s="350"/>
      <c r="BQ92" s="347"/>
      <c r="BR92" s="443">
        <f t="shared" si="2407"/>
        <v>0</v>
      </c>
      <c r="BS92" s="442">
        <f t="shared" si="2407"/>
        <v>0</v>
      </c>
      <c r="BT92" s="442">
        <f t="shared" si="2407"/>
        <v>0</v>
      </c>
      <c r="BU92" s="442">
        <f t="shared" si="2407"/>
        <v>0</v>
      </c>
      <c r="BV92" s="442">
        <f t="shared" si="2407"/>
        <v>0</v>
      </c>
      <c r="BW92" s="279">
        <f t="shared" si="2407"/>
        <v>0</v>
      </c>
      <c r="BX92" s="351"/>
      <c r="BY92" s="350"/>
      <c r="BZ92" s="344"/>
      <c r="CA92" s="350"/>
      <c r="CB92" s="350"/>
      <c r="CC92" s="347"/>
      <c r="CD92" s="351"/>
      <c r="CE92" s="350"/>
      <c r="CF92" s="344"/>
      <c r="CG92" s="350"/>
      <c r="CH92" s="350"/>
      <c r="CI92" s="347"/>
      <c r="CJ92" s="351"/>
      <c r="CK92" s="350"/>
      <c r="CL92" s="344"/>
      <c r="CM92" s="350"/>
      <c r="CN92" s="350"/>
      <c r="CO92" s="347"/>
      <c r="CP92" s="307"/>
      <c r="CQ92" s="439"/>
      <c r="CR92" s="440"/>
      <c r="CS92" s="439"/>
      <c r="CT92" s="439"/>
      <c r="CU92" s="446"/>
      <c r="CV92" s="445"/>
      <c r="CW92" s="439"/>
      <c r="CX92" s="440"/>
      <c r="CY92" s="439"/>
      <c r="CZ92" s="439"/>
      <c r="DA92" s="440"/>
      <c r="DB92" s="445"/>
      <c r="DC92" s="439"/>
      <c r="DD92" s="446"/>
    </row>
    <row r="93">
      <c r="B93" s="786" t="s">
        <v>260</v>
      </c>
      <c r="C93" s="786"/>
      <c r="D93" s="787">
        <f t="shared" ref="D93:BO93" si="2409">D77+D88+D89+D91</f>
        <v>2813</v>
      </c>
      <c r="E93" s="788">
        <f t="shared" si="2409"/>
        <v>1119.53</v>
      </c>
      <c r="F93" s="789">
        <f t="shared" si="2409"/>
        <v>3225900.3999999999</v>
      </c>
      <c r="G93" s="789">
        <f t="shared" si="2409"/>
        <v>0</v>
      </c>
      <c r="H93" s="789">
        <f t="shared" si="2409"/>
        <v>0</v>
      </c>
      <c r="I93" s="789">
        <f t="shared" si="2409"/>
        <v>0</v>
      </c>
      <c r="J93" s="787">
        <f t="shared" si="2409"/>
        <v>0</v>
      </c>
      <c r="K93" s="788">
        <f t="shared" si="2409"/>
        <v>0</v>
      </c>
      <c r="L93" s="789">
        <f t="shared" si="2409"/>
        <v>0</v>
      </c>
      <c r="M93" s="788">
        <f t="shared" si="2409"/>
        <v>0</v>
      </c>
      <c r="N93" s="788">
        <f t="shared" si="2409"/>
        <v>0</v>
      </c>
      <c r="O93" s="789">
        <f t="shared" si="2409"/>
        <v>0</v>
      </c>
      <c r="P93" s="787">
        <f t="shared" si="2409"/>
        <v>0</v>
      </c>
      <c r="Q93" s="788">
        <f t="shared" si="2409"/>
        <v>0</v>
      </c>
      <c r="R93" s="789">
        <f t="shared" si="2409"/>
        <v>0</v>
      </c>
      <c r="S93" s="788">
        <f t="shared" si="2409"/>
        <v>0</v>
      </c>
      <c r="T93" s="788">
        <f t="shared" si="2409"/>
        <v>0</v>
      </c>
      <c r="U93" s="789">
        <f t="shared" si="2409"/>
        <v>0</v>
      </c>
      <c r="V93" s="790">
        <f t="shared" si="2409"/>
        <v>2813</v>
      </c>
      <c r="W93" s="791">
        <f t="shared" si="2409"/>
        <v>1119.53</v>
      </c>
      <c r="X93" s="792">
        <f t="shared" si="2409"/>
        <v>3225900.3999999999</v>
      </c>
      <c r="Y93" s="791">
        <f t="shared" si="2409"/>
        <v>0</v>
      </c>
      <c r="Z93" s="791">
        <f t="shared" si="2409"/>
        <v>0</v>
      </c>
      <c r="AA93" s="793">
        <f t="shared" si="2409"/>
        <v>0</v>
      </c>
      <c r="AB93" s="790">
        <f t="shared" si="2409"/>
        <v>0</v>
      </c>
      <c r="AC93" s="791">
        <f t="shared" si="2409"/>
        <v>0</v>
      </c>
      <c r="AD93" s="792">
        <f t="shared" si="2409"/>
        <v>0</v>
      </c>
      <c r="AE93" s="791">
        <f t="shared" si="2409"/>
        <v>0</v>
      </c>
      <c r="AF93" s="791">
        <f t="shared" si="2409"/>
        <v>0</v>
      </c>
      <c r="AG93" s="793">
        <f t="shared" si="2409"/>
        <v>0</v>
      </c>
      <c r="AH93" s="790">
        <f t="shared" si="2409"/>
        <v>0</v>
      </c>
      <c r="AI93" s="791">
        <f t="shared" si="2409"/>
        <v>0</v>
      </c>
      <c r="AJ93" s="792">
        <f t="shared" si="2409"/>
        <v>0</v>
      </c>
      <c r="AK93" s="791">
        <f t="shared" si="2409"/>
        <v>0</v>
      </c>
      <c r="AL93" s="791">
        <f t="shared" si="2409"/>
        <v>0</v>
      </c>
      <c r="AM93" s="793">
        <f t="shared" si="2409"/>
        <v>0</v>
      </c>
      <c r="AN93" s="790">
        <f t="shared" si="2409"/>
        <v>0</v>
      </c>
      <c r="AO93" s="791">
        <f t="shared" si="2409"/>
        <v>0</v>
      </c>
      <c r="AP93" s="792">
        <f t="shared" si="2409"/>
        <v>0</v>
      </c>
      <c r="AQ93" s="791">
        <f t="shared" si="2409"/>
        <v>0</v>
      </c>
      <c r="AR93" s="791">
        <f t="shared" si="2409"/>
        <v>0</v>
      </c>
      <c r="AS93" s="793">
        <f t="shared" si="2409"/>
        <v>0</v>
      </c>
      <c r="AT93" s="790">
        <f t="shared" si="2409"/>
        <v>2813</v>
      </c>
      <c r="AU93" s="791">
        <f t="shared" si="2409"/>
        <v>1119.53</v>
      </c>
      <c r="AV93" s="792">
        <f t="shared" si="2409"/>
        <v>3225900.3999999999</v>
      </c>
      <c r="AW93" s="791">
        <f t="shared" si="2409"/>
        <v>0</v>
      </c>
      <c r="AX93" s="791">
        <f t="shared" si="2409"/>
        <v>0</v>
      </c>
      <c r="AY93" s="793">
        <f t="shared" si="2409"/>
        <v>0</v>
      </c>
      <c r="AZ93" s="790">
        <f t="shared" si="2409"/>
        <v>0</v>
      </c>
      <c r="BA93" s="791">
        <f t="shared" si="2409"/>
        <v>0</v>
      </c>
      <c r="BB93" s="792">
        <f t="shared" si="2409"/>
        <v>0</v>
      </c>
      <c r="BC93" s="791">
        <f t="shared" si="2409"/>
        <v>0</v>
      </c>
      <c r="BD93" s="791">
        <f t="shared" si="2409"/>
        <v>0</v>
      </c>
      <c r="BE93" s="793">
        <f t="shared" si="2409"/>
        <v>0</v>
      </c>
      <c r="BF93" s="790">
        <f t="shared" si="2409"/>
        <v>0</v>
      </c>
      <c r="BG93" s="791">
        <f t="shared" si="2409"/>
        <v>0</v>
      </c>
      <c r="BH93" s="792">
        <f t="shared" si="2409"/>
        <v>0</v>
      </c>
      <c r="BI93" s="791">
        <f t="shared" si="2409"/>
        <v>0</v>
      </c>
      <c r="BJ93" s="791">
        <f t="shared" si="2409"/>
        <v>0</v>
      </c>
      <c r="BK93" s="793">
        <f t="shared" si="2409"/>
        <v>0</v>
      </c>
      <c r="BL93" s="790">
        <f>BL77+BL95+BL89+BL91</f>
        <v>0</v>
      </c>
      <c r="BM93" s="791">
        <f t="shared" si="2409"/>
        <v>0</v>
      </c>
      <c r="BN93" s="792">
        <f t="shared" si="2409"/>
        <v>0</v>
      </c>
      <c r="BO93" s="791">
        <f t="shared" si="2409"/>
        <v>0</v>
      </c>
      <c r="BP93" s="791">
        <f t="shared" ref="BP93:DD93" si="2410">BP77+BP88+BP89+BP91</f>
        <v>0</v>
      </c>
      <c r="BQ93" s="793">
        <f t="shared" si="2410"/>
        <v>0</v>
      </c>
      <c r="BR93" s="790">
        <f t="shared" si="2410"/>
        <v>0</v>
      </c>
      <c r="BS93" s="791">
        <f t="shared" si="2410"/>
        <v>0</v>
      </c>
      <c r="BT93" s="792">
        <f t="shared" si="2410"/>
        <v>0</v>
      </c>
      <c r="BU93" s="791">
        <f t="shared" si="2410"/>
        <v>0</v>
      </c>
      <c r="BV93" s="791">
        <f t="shared" si="2410"/>
        <v>0</v>
      </c>
      <c r="BW93" s="793">
        <f t="shared" si="2410"/>
        <v>0</v>
      </c>
      <c r="BX93" s="790">
        <f t="shared" si="2410"/>
        <v>0</v>
      </c>
      <c r="BY93" s="792">
        <f t="shared" si="2410"/>
        <v>0</v>
      </c>
      <c r="BZ93" s="792">
        <f t="shared" si="2410"/>
        <v>0</v>
      </c>
      <c r="CA93" s="791">
        <f t="shared" si="2410"/>
        <v>0</v>
      </c>
      <c r="CB93" s="791">
        <f t="shared" si="2410"/>
        <v>0</v>
      </c>
      <c r="CC93" s="793">
        <f t="shared" si="2410"/>
        <v>0</v>
      </c>
      <c r="CD93" s="790">
        <f t="shared" si="2410"/>
        <v>0</v>
      </c>
      <c r="CE93" s="791">
        <f t="shared" si="2410"/>
        <v>0</v>
      </c>
      <c r="CF93" s="792">
        <f t="shared" si="2410"/>
        <v>0</v>
      </c>
      <c r="CG93" s="791">
        <f t="shared" si="2410"/>
        <v>0</v>
      </c>
      <c r="CH93" s="791">
        <f t="shared" si="2410"/>
        <v>0</v>
      </c>
      <c r="CI93" s="793">
        <f t="shared" si="2410"/>
        <v>0</v>
      </c>
      <c r="CJ93" s="790">
        <f t="shared" si="2410"/>
        <v>0</v>
      </c>
      <c r="CK93" s="791">
        <f t="shared" si="2410"/>
        <v>0</v>
      </c>
      <c r="CL93" s="792">
        <f t="shared" si="2410"/>
        <v>0</v>
      </c>
      <c r="CM93" s="791">
        <f t="shared" si="2410"/>
        <v>0</v>
      </c>
      <c r="CN93" s="791">
        <f t="shared" si="2410"/>
        <v>0</v>
      </c>
      <c r="CO93" s="793">
        <f t="shared" si="2410"/>
        <v>0</v>
      </c>
      <c r="CP93" s="790">
        <f t="shared" si="2410"/>
        <v>0</v>
      </c>
      <c r="CQ93" s="791">
        <f t="shared" si="2410"/>
        <v>0</v>
      </c>
      <c r="CR93" s="792">
        <f t="shared" si="2410"/>
        <v>0</v>
      </c>
      <c r="CS93" s="791">
        <f t="shared" si="2410"/>
        <v>0</v>
      </c>
      <c r="CT93" s="791">
        <f t="shared" si="2410"/>
        <v>0</v>
      </c>
      <c r="CU93" s="793">
        <f t="shared" si="2410"/>
        <v>0</v>
      </c>
      <c r="CV93" s="790">
        <f t="shared" si="2410"/>
        <v>2813</v>
      </c>
      <c r="CW93" s="791">
        <f t="shared" si="2410"/>
        <v>1119.53</v>
      </c>
      <c r="CX93" s="792">
        <f t="shared" si="2410"/>
        <v>3225900.3999999999</v>
      </c>
      <c r="CY93" s="791">
        <f t="shared" si="2410"/>
        <v>0</v>
      </c>
      <c r="CZ93" s="791">
        <f t="shared" si="2410"/>
        <v>0</v>
      </c>
      <c r="DA93" s="792">
        <f t="shared" si="2410"/>
        <v>0</v>
      </c>
      <c r="DB93" s="2355">
        <f t="shared" si="2410"/>
        <v>2813</v>
      </c>
      <c r="DC93" s="791">
        <f t="shared" si="2410"/>
        <v>1119.53</v>
      </c>
      <c r="DD93" s="2356">
        <f t="shared" si="2410"/>
        <v>3225900.3999999999</v>
      </c>
    </row>
    <row r="94">
      <c r="B94" s="800"/>
      <c r="C94" s="794"/>
      <c r="D94" s="280"/>
      <c r="E94" s="280"/>
      <c r="J94" s="470"/>
      <c r="O94" s="38"/>
      <c r="V94" s="356"/>
      <c r="W94" s="357"/>
      <c r="Y94" s="281"/>
      <c r="Z94" s="281"/>
      <c r="AA94" s="38"/>
      <c r="AB94" s="281"/>
      <c r="AC94" s="281"/>
      <c r="AE94" s="281"/>
      <c r="AF94" s="281"/>
      <c r="AH94" s="282"/>
      <c r="AI94" s="281"/>
      <c r="AK94" s="281"/>
      <c r="AL94" s="281"/>
      <c r="AM94" s="38"/>
      <c r="AN94" s="282"/>
      <c r="AO94" s="281"/>
      <c r="AQ94" s="281"/>
      <c r="AR94" s="281"/>
      <c r="AS94" s="38"/>
      <c r="AT94" s="282"/>
      <c r="AU94" s="281"/>
      <c r="AW94" s="281"/>
      <c r="AX94" s="281"/>
      <c r="AY94" s="38"/>
      <c r="AZ94" s="282"/>
      <c r="BA94" s="281"/>
      <c r="BC94" s="281"/>
      <c r="BD94" s="281"/>
      <c r="BE94" s="38"/>
      <c r="BF94" s="282"/>
      <c r="BG94" s="281"/>
      <c r="BI94" s="281"/>
      <c r="BJ94" s="281"/>
      <c r="BK94" s="38"/>
      <c r="BL94" s="282"/>
      <c r="BM94" s="281"/>
      <c r="BO94" s="281"/>
      <c r="BP94" s="281"/>
      <c r="BQ94" s="38"/>
      <c r="BR94" s="282"/>
      <c r="BS94" s="281"/>
      <c r="BU94" s="281"/>
      <c r="BV94" s="281"/>
      <c r="BW94" s="38"/>
      <c r="BX94" s="282"/>
      <c r="BY94" s="281"/>
      <c r="CA94" s="281"/>
      <c r="CB94" s="281"/>
      <c r="CC94" s="38"/>
      <c r="CD94" s="282"/>
      <c r="CE94" s="281"/>
      <c r="CG94" s="281"/>
      <c r="CH94" s="281"/>
      <c r="CI94" s="38"/>
      <c r="CJ94" s="282"/>
      <c r="CK94" s="281"/>
      <c r="CM94" s="281"/>
      <c r="CN94" s="281"/>
      <c r="CO94" s="38"/>
      <c r="CP94" s="37"/>
      <c r="CV94" s="535"/>
      <c r="CW94" s="280"/>
      <c r="CY94" s="280"/>
      <c r="CZ94" s="280"/>
      <c r="DB94" s="535"/>
      <c r="DC94" s="280"/>
      <c r="DD94" s="40"/>
    </row>
    <row r="95">
      <c r="B95" s="247"/>
      <c r="C95" s="414" t="s">
        <v>252</v>
      </c>
      <c r="D95" s="315">
        <f>11602+2120+1000+752</f>
        <v>15474</v>
      </c>
      <c r="E95" s="316"/>
      <c r="F95" s="317">
        <f>9458729.8+1618257.17+835081.28+710692.42</f>
        <v>12622760.67</v>
      </c>
      <c r="G95" s="317"/>
      <c r="H95" s="317"/>
      <c r="I95" s="317"/>
      <c r="J95" s="315"/>
      <c r="K95" s="316"/>
      <c r="L95" s="317"/>
      <c r="M95" s="316"/>
      <c r="N95" s="316"/>
      <c r="O95" s="319"/>
      <c r="P95" s="316"/>
      <c r="Q95" s="316"/>
      <c r="R95" s="317"/>
      <c r="S95" s="316"/>
      <c r="T95" s="316"/>
      <c r="U95" s="317"/>
      <c r="V95" s="320">
        <f t="shared" ref="V95:AA98" si="2411">D95+J95+P95</f>
        <v>15474</v>
      </c>
      <c r="W95" s="321">
        <f t="shared" si="2411"/>
        <v>0</v>
      </c>
      <c r="X95" s="317">
        <f t="shared" si="2411"/>
        <v>12622760.67</v>
      </c>
      <c r="Y95" s="322">
        <f t="shared" si="2411"/>
        <v>0</v>
      </c>
      <c r="Z95" s="322">
        <f t="shared" si="2411"/>
        <v>0</v>
      </c>
      <c r="AA95" s="319">
        <f t="shared" si="2411"/>
        <v>0</v>
      </c>
      <c r="AB95" s="322"/>
      <c r="AC95" s="322"/>
      <c r="AD95" s="317"/>
      <c r="AE95" s="322"/>
      <c r="AF95" s="322"/>
      <c r="AG95" s="317"/>
      <c r="AH95" s="323"/>
      <c r="AI95" s="322"/>
      <c r="AJ95" s="317"/>
      <c r="AK95" s="322"/>
      <c r="AL95" s="322"/>
      <c r="AM95" s="319"/>
      <c r="AN95" s="323"/>
      <c r="AO95" s="322"/>
      <c r="AP95" s="317"/>
      <c r="AQ95" s="322"/>
      <c r="AR95" s="322"/>
      <c r="AS95" s="319"/>
      <c r="AT95" s="443">
        <f t="shared" ref="AT95:AW98" si="2412">V95+AB95+AH95+AN95</f>
        <v>15474</v>
      </c>
      <c r="AU95" s="442">
        <f t="shared" si="2412"/>
        <v>0</v>
      </c>
      <c r="AV95" s="442">
        <f t="shared" si="2412"/>
        <v>12622760.67</v>
      </c>
      <c r="AW95" s="442">
        <f t="shared" si="2412"/>
        <v>0</v>
      </c>
      <c r="AX95" s="442"/>
      <c r="AY95" s="279">
        <f t="shared" ref="AY95:AY98" si="2413">AA95+AG95+AM95+AS95</f>
        <v>0</v>
      </c>
      <c r="AZ95" s="323"/>
      <c r="BA95" s="322"/>
      <c r="BB95" s="317"/>
      <c r="BC95" s="322"/>
      <c r="BD95" s="322"/>
      <c r="BE95" s="319"/>
      <c r="BF95" s="323"/>
      <c r="BG95" s="322"/>
      <c r="BH95" s="317"/>
      <c r="BI95" s="322"/>
      <c r="BJ95" s="322"/>
      <c r="BK95" s="319"/>
      <c r="BL95" s="443"/>
      <c r="BM95" s="322"/>
      <c r="BN95" s="317"/>
      <c r="BO95" s="322"/>
      <c r="BP95" s="322"/>
      <c r="BQ95" s="319"/>
      <c r="BR95" s="323">
        <f>AZ95+BF95+BL95</f>
        <v>0</v>
      </c>
      <c r="BS95" s="322">
        <f t="shared" ref="BR95:BW98" si="2414">BA95+BG95+BM95</f>
        <v>0</v>
      </c>
      <c r="BT95" s="322">
        <f t="shared" si="2414"/>
        <v>0</v>
      </c>
      <c r="BU95" s="322">
        <f t="shared" si="2414"/>
        <v>0</v>
      </c>
      <c r="BV95" s="322">
        <f t="shared" si="2414"/>
        <v>0</v>
      </c>
      <c r="BW95" s="326">
        <f t="shared" si="2414"/>
        <v>0</v>
      </c>
      <c r="BX95" s="317"/>
      <c r="BY95" s="322"/>
      <c r="BZ95" s="317"/>
      <c r="CA95" s="322"/>
      <c r="CB95" s="322"/>
      <c r="CC95" s="319"/>
      <c r="CD95" s="323"/>
      <c r="CE95" s="322"/>
      <c r="CF95" s="317"/>
      <c r="CG95" s="322"/>
      <c r="CH95" s="322"/>
      <c r="CI95" s="319"/>
      <c r="CJ95" s="323"/>
      <c r="CK95" s="322"/>
      <c r="CL95" s="317"/>
      <c r="CM95" s="322"/>
      <c r="CN95" s="322"/>
      <c r="CO95" s="319"/>
      <c r="CP95" s="315">
        <f t="shared" ref="CP95:CU98" si="2415">BR95+BX95+CD95+CJ95</f>
        <v>0</v>
      </c>
      <c r="CQ95" s="316">
        <f t="shared" si="2415"/>
        <v>0</v>
      </c>
      <c r="CR95" s="317">
        <f t="shared" si="2415"/>
        <v>0</v>
      </c>
      <c r="CS95" s="316">
        <f t="shared" si="2415"/>
        <v>0</v>
      </c>
      <c r="CT95" s="316">
        <f t="shared" si="2415"/>
        <v>0</v>
      </c>
      <c r="CU95" s="317">
        <f t="shared" si="2415"/>
        <v>0</v>
      </c>
      <c r="CV95" s="327">
        <f t="shared" ref="CV95:DA98" si="2416">AT95+CP95</f>
        <v>15474</v>
      </c>
      <c r="CW95" s="316">
        <f t="shared" si="2416"/>
        <v>0</v>
      </c>
      <c r="CX95" s="317">
        <f t="shared" si="2416"/>
        <v>12622760.67</v>
      </c>
      <c r="CY95" s="316">
        <f t="shared" si="2416"/>
        <v>0</v>
      </c>
      <c r="CZ95" s="316">
        <f t="shared" si="2416"/>
        <v>0</v>
      </c>
      <c r="DA95" s="317">
        <f t="shared" si="2416"/>
        <v>0</v>
      </c>
      <c r="DB95" s="327">
        <f t="shared" ref="DB95:DD98" si="2417">CV95+CY95</f>
        <v>15474</v>
      </c>
      <c r="DC95" s="316">
        <f t="shared" si="2417"/>
        <v>0</v>
      </c>
      <c r="DD95" s="328">
        <f t="shared" si="2417"/>
        <v>12622760.67</v>
      </c>
    </row>
    <row r="96">
      <c r="B96" s="247" t="s">
        <v>235</v>
      </c>
      <c r="C96" s="414" t="s">
        <v>262</v>
      </c>
      <c r="D96" s="315">
        <f>10+8+0+0</f>
        <v>18</v>
      </c>
      <c r="E96" s="316"/>
      <c r="F96" s="317">
        <f>177005.36+151206.8</f>
        <v>328212.15999999997</v>
      </c>
      <c r="G96" s="317"/>
      <c r="H96" s="317"/>
      <c r="I96" s="317"/>
      <c r="J96" s="315"/>
      <c r="K96" s="316"/>
      <c r="L96" s="317"/>
      <c r="M96" s="316"/>
      <c r="N96" s="316"/>
      <c r="O96" s="319"/>
      <c r="P96" s="316"/>
      <c r="Q96" s="316"/>
      <c r="R96" s="317"/>
      <c r="S96" s="316"/>
      <c r="T96" s="316"/>
      <c r="U96" s="317"/>
      <c r="V96" s="320">
        <f t="shared" si="2411"/>
        <v>18</v>
      </c>
      <c r="W96" s="321">
        <f t="shared" si="2411"/>
        <v>0</v>
      </c>
      <c r="X96" s="317">
        <f t="shared" si="2411"/>
        <v>328212.15999999997</v>
      </c>
      <c r="Y96" s="322">
        <f t="shared" si="2411"/>
        <v>0</v>
      </c>
      <c r="Z96" s="322">
        <f t="shared" si="2411"/>
        <v>0</v>
      </c>
      <c r="AA96" s="319">
        <f t="shared" si="2411"/>
        <v>0</v>
      </c>
      <c r="AB96" s="322"/>
      <c r="AC96" s="322"/>
      <c r="AD96" s="317"/>
      <c r="AE96" s="322"/>
      <c r="AF96" s="322"/>
      <c r="AG96" s="317"/>
      <c r="AH96" s="323"/>
      <c r="AI96" s="322"/>
      <c r="AJ96" s="317"/>
      <c r="AK96" s="322"/>
      <c r="AL96" s="322"/>
      <c r="AM96" s="319"/>
      <c r="AN96" s="323"/>
      <c r="AO96" s="322"/>
      <c r="AP96" s="317"/>
      <c r="AQ96" s="322"/>
      <c r="AR96" s="322"/>
      <c r="AS96" s="319"/>
      <c r="AT96" s="443">
        <f t="shared" si="2412"/>
        <v>18</v>
      </c>
      <c r="AU96" s="442">
        <f t="shared" si="2412"/>
        <v>0</v>
      </c>
      <c r="AV96" s="442">
        <f t="shared" si="2412"/>
        <v>328212.15999999997</v>
      </c>
      <c r="AW96" s="442">
        <f t="shared" si="2412"/>
        <v>0</v>
      </c>
      <c r="AX96" s="442"/>
      <c r="AY96" s="279">
        <f t="shared" si="2413"/>
        <v>0</v>
      </c>
      <c r="AZ96" s="323"/>
      <c r="BA96" s="322"/>
      <c r="BB96" s="322"/>
      <c r="BC96" s="322"/>
      <c r="BD96" s="322"/>
      <c r="BE96" s="319"/>
      <c r="BF96" s="323"/>
      <c r="BG96" s="322"/>
      <c r="BH96" s="317"/>
      <c r="BI96" s="322"/>
      <c r="BJ96" s="322"/>
      <c r="BK96" s="319"/>
      <c r="BL96" s="323"/>
      <c r="BM96" s="322"/>
      <c r="BN96" s="317"/>
      <c r="BO96" s="322"/>
      <c r="BP96" s="322"/>
      <c r="BQ96" s="319"/>
      <c r="BR96" s="323">
        <f t="shared" si="2414"/>
        <v>0</v>
      </c>
      <c r="BS96" s="322">
        <f t="shared" si="2414"/>
        <v>0</v>
      </c>
      <c r="BT96" s="322">
        <f t="shared" si="2414"/>
        <v>0</v>
      </c>
      <c r="BU96" s="322">
        <f t="shared" si="2414"/>
        <v>0</v>
      </c>
      <c r="BV96" s="322">
        <f t="shared" si="2414"/>
        <v>0</v>
      </c>
      <c r="BW96" s="326">
        <f t="shared" si="2414"/>
        <v>0</v>
      </c>
      <c r="BX96" s="323"/>
      <c r="BY96" s="322"/>
      <c r="BZ96" s="317"/>
      <c r="CA96" s="322"/>
      <c r="CB96" s="322"/>
      <c r="CC96" s="319"/>
      <c r="CD96" s="323"/>
      <c r="CE96" s="322"/>
      <c r="CF96" s="317"/>
      <c r="CG96" s="322"/>
      <c r="CH96" s="322"/>
      <c r="CI96" s="319"/>
      <c r="CJ96" s="323"/>
      <c r="CK96" s="322"/>
      <c r="CL96" s="317"/>
      <c r="CM96" s="322"/>
      <c r="CN96" s="322"/>
      <c r="CO96" s="319"/>
      <c r="CP96" s="315">
        <f t="shared" si="2415"/>
        <v>0</v>
      </c>
      <c r="CQ96" s="316">
        <f t="shared" si="2415"/>
        <v>0</v>
      </c>
      <c r="CR96" s="317">
        <f t="shared" si="2415"/>
        <v>0</v>
      </c>
      <c r="CS96" s="316">
        <f t="shared" si="2415"/>
        <v>0</v>
      </c>
      <c r="CT96" s="316">
        <f t="shared" si="2415"/>
        <v>0</v>
      </c>
      <c r="CU96" s="317">
        <f t="shared" si="2415"/>
        <v>0</v>
      </c>
      <c r="CV96" s="327">
        <f t="shared" si="2416"/>
        <v>18</v>
      </c>
      <c r="CW96" s="316">
        <f t="shared" si="2416"/>
        <v>0</v>
      </c>
      <c r="CX96" s="317">
        <f t="shared" si="2416"/>
        <v>328212.15999999997</v>
      </c>
      <c r="CY96" s="316">
        <f t="shared" si="2416"/>
        <v>0</v>
      </c>
      <c r="CZ96" s="316">
        <f t="shared" si="2416"/>
        <v>0</v>
      </c>
      <c r="DA96" s="317">
        <f t="shared" si="2416"/>
        <v>0</v>
      </c>
      <c r="DB96" s="327">
        <f t="shared" si="2417"/>
        <v>18</v>
      </c>
      <c r="DC96" s="316">
        <f t="shared" si="2417"/>
        <v>0</v>
      </c>
      <c r="DD96" s="328">
        <f t="shared" si="2417"/>
        <v>328212.15999999997</v>
      </c>
    </row>
    <row r="97">
      <c r="B97" s="247"/>
      <c r="C97" s="414" t="s">
        <v>253</v>
      </c>
      <c r="D97" s="315">
        <v>0</v>
      </c>
      <c r="E97" s="316"/>
      <c r="F97" s="317">
        <v>0</v>
      </c>
      <c r="G97" s="317"/>
      <c r="H97" s="317"/>
      <c r="I97" s="317"/>
      <c r="J97" s="315"/>
      <c r="K97" s="316"/>
      <c r="L97" s="317"/>
      <c r="M97" s="316"/>
      <c r="N97" s="316"/>
      <c r="O97" s="319"/>
      <c r="P97" s="316"/>
      <c r="Q97" s="316"/>
      <c r="R97" s="317"/>
      <c r="S97" s="316"/>
      <c r="T97" s="316"/>
      <c r="U97" s="317"/>
      <c r="V97" s="320">
        <f t="shared" si="2411"/>
        <v>0</v>
      </c>
      <c r="W97" s="623">
        <f t="shared" si="2411"/>
        <v>0</v>
      </c>
      <c r="X97" s="317">
        <f t="shared" si="2411"/>
        <v>0</v>
      </c>
      <c r="Y97" s="322">
        <f t="shared" si="2411"/>
        <v>0</v>
      </c>
      <c r="Z97" s="322">
        <f t="shared" si="2411"/>
        <v>0</v>
      </c>
      <c r="AA97" s="319">
        <f t="shared" si="2411"/>
        <v>0</v>
      </c>
      <c r="AB97" s="322"/>
      <c r="AC97" s="322"/>
      <c r="AD97" s="317"/>
      <c r="AE97" s="322"/>
      <c r="AF97" s="322"/>
      <c r="AG97" s="317"/>
      <c r="AH97" s="323"/>
      <c r="AI97" s="324"/>
      <c r="AJ97" s="317"/>
      <c r="AK97" s="322"/>
      <c r="AL97" s="322"/>
      <c r="AM97" s="319"/>
      <c r="AN97" s="323"/>
      <c r="AO97" s="324"/>
      <c r="AP97" s="317"/>
      <c r="AQ97" s="322"/>
      <c r="AR97" s="322"/>
      <c r="AS97" s="319"/>
      <c r="AT97" s="443">
        <f t="shared" si="2412"/>
        <v>0</v>
      </c>
      <c r="AU97" s="442">
        <f t="shared" si="2412"/>
        <v>0</v>
      </c>
      <c r="AV97" s="442">
        <f t="shared" si="2412"/>
        <v>0</v>
      </c>
      <c r="AW97" s="442">
        <f t="shared" si="2412"/>
        <v>0</v>
      </c>
      <c r="AX97" s="442"/>
      <c r="AY97" s="279">
        <f t="shared" si="2413"/>
        <v>0</v>
      </c>
      <c r="AZ97" s="443"/>
      <c r="BA97" s="322"/>
      <c r="BB97" s="440"/>
      <c r="BC97" s="442"/>
      <c r="BD97" s="442"/>
      <c r="BE97" s="276"/>
      <c r="BF97" s="323"/>
      <c r="BG97" s="322"/>
      <c r="BH97" s="317"/>
      <c r="BI97" s="322"/>
      <c r="BJ97" s="322"/>
      <c r="BK97" s="319"/>
      <c r="BL97" s="323"/>
      <c r="BM97" s="324"/>
      <c r="BN97" s="317"/>
      <c r="BO97" s="322"/>
      <c r="BP97" s="322"/>
      <c r="BQ97" s="319"/>
      <c r="BR97" s="323">
        <f t="shared" si="2414"/>
        <v>0</v>
      </c>
      <c r="BS97" s="322">
        <f>BB96+BG97+BM97</f>
        <v>0</v>
      </c>
      <c r="BT97" s="322">
        <f t="shared" si="2414"/>
        <v>0</v>
      </c>
      <c r="BU97" s="322">
        <f t="shared" si="2414"/>
        <v>0</v>
      </c>
      <c r="BV97" s="322">
        <f t="shared" si="2414"/>
        <v>0</v>
      </c>
      <c r="BW97" s="326">
        <f t="shared" si="2414"/>
        <v>0</v>
      </c>
      <c r="BX97" s="323"/>
      <c r="BY97" s="324"/>
      <c r="BZ97" s="317"/>
      <c r="CA97" s="322"/>
      <c r="CB97" s="322"/>
      <c r="CC97" s="319"/>
      <c r="CD97" s="323"/>
      <c r="CE97" s="322"/>
      <c r="CF97" s="317"/>
      <c r="CG97" s="322"/>
      <c r="CH97" s="322"/>
      <c r="CI97" s="319"/>
      <c r="CJ97" s="323"/>
      <c r="CK97" s="322"/>
      <c r="CL97" s="317"/>
      <c r="CM97" s="322"/>
      <c r="CN97" s="322"/>
      <c r="CO97" s="319"/>
      <c r="CP97" s="315">
        <f t="shared" si="2415"/>
        <v>0</v>
      </c>
      <c r="CQ97" s="316">
        <f t="shared" si="2415"/>
        <v>0</v>
      </c>
      <c r="CR97" s="317">
        <f t="shared" si="2415"/>
        <v>0</v>
      </c>
      <c r="CS97" s="316">
        <f t="shared" si="2415"/>
        <v>0</v>
      </c>
      <c r="CT97" s="316">
        <f t="shared" si="2415"/>
        <v>0</v>
      </c>
      <c r="CU97" s="317">
        <f t="shared" si="2415"/>
        <v>0</v>
      </c>
      <c r="CV97" s="327">
        <f t="shared" si="2416"/>
        <v>0</v>
      </c>
      <c r="CW97" s="316">
        <f t="shared" si="2416"/>
        <v>0</v>
      </c>
      <c r="CX97" s="317">
        <f t="shared" si="2416"/>
        <v>0</v>
      </c>
      <c r="CY97" s="316">
        <f t="shared" si="2416"/>
        <v>0</v>
      </c>
      <c r="CZ97" s="316">
        <f t="shared" si="2416"/>
        <v>0</v>
      </c>
      <c r="DA97" s="317">
        <f t="shared" si="2416"/>
        <v>0</v>
      </c>
      <c r="DB97" s="327">
        <f t="shared" si="2417"/>
        <v>0</v>
      </c>
      <c r="DC97" s="316">
        <f t="shared" si="2417"/>
        <v>0</v>
      </c>
      <c r="DD97" s="328">
        <f t="shared" si="2417"/>
        <v>0</v>
      </c>
    </row>
    <row r="98">
      <c r="B98" s="247"/>
      <c r="C98" s="414" t="s">
        <v>266</v>
      </c>
      <c r="D98" s="307">
        <v>561</v>
      </c>
      <c r="E98" s="439"/>
      <c r="F98" s="440">
        <v>4322899.75</v>
      </c>
      <c r="G98" s="440"/>
      <c r="H98" s="440"/>
      <c r="I98" s="440"/>
      <c r="J98" s="307"/>
      <c r="K98" s="439"/>
      <c r="L98" s="440"/>
      <c r="M98" s="439"/>
      <c r="N98" s="439"/>
      <c r="O98" s="276"/>
      <c r="P98" s="439"/>
      <c r="Q98" s="439"/>
      <c r="R98" s="440"/>
      <c r="S98" s="439"/>
      <c r="T98" s="439"/>
      <c r="U98" s="440"/>
      <c r="V98" s="312">
        <f t="shared" si="2411"/>
        <v>561</v>
      </c>
      <c r="W98" s="441">
        <f t="shared" si="2411"/>
        <v>0</v>
      </c>
      <c r="X98" s="440">
        <f t="shared" si="2411"/>
        <v>4322899.75</v>
      </c>
      <c r="Y98" s="442">
        <f t="shared" si="2411"/>
        <v>0</v>
      </c>
      <c r="Z98" s="442">
        <f t="shared" si="2411"/>
        <v>0</v>
      </c>
      <c r="AA98" s="276">
        <f t="shared" si="2411"/>
        <v>0</v>
      </c>
      <c r="AB98" s="442"/>
      <c r="AC98" s="442"/>
      <c r="AD98" s="440"/>
      <c r="AE98" s="442"/>
      <c r="AF98" s="442"/>
      <c r="AG98" s="440"/>
      <c r="AH98" s="443"/>
      <c r="AI98" s="442"/>
      <c r="AJ98" s="440"/>
      <c r="AK98" s="442"/>
      <c r="AL98" s="442"/>
      <c r="AM98" s="276"/>
      <c r="AN98" s="443"/>
      <c r="AO98" s="442"/>
      <c r="AP98" s="440"/>
      <c r="AQ98" s="442"/>
      <c r="AR98" s="442"/>
      <c r="AS98" s="276"/>
      <c r="AT98" s="443">
        <f t="shared" si="2412"/>
        <v>561</v>
      </c>
      <c r="AU98" s="442">
        <f t="shared" si="2412"/>
        <v>0</v>
      </c>
      <c r="AV98" s="442">
        <f t="shared" si="2412"/>
        <v>4322899.75</v>
      </c>
      <c r="AW98" s="442">
        <f t="shared" si="2412"/>
        <v>0</v>
      </c>
      <c r="AX98" s="442"/>
      <c r="AY98" s="279">
        <f t="shared" si="2413"/>
        <v>0</v>
      </c>
      <c r="AZ98" s="443"/>
      <c r="BA98" s="442"/>
      <c r="BB98" s="440"/>
      <c r="BC98" s="442"/>
      <c r="BD98" s="442"/>
      <c r="BE98" s="276"/>
      <c r="BF98" s="443"/>
      <c r="BG98" s="442"/>
      <c r="BH98" s="440"/>
      <c r="BI98" s="442"/>
      <c r="BJ98" s="442"/>
      <c r="BK98" s="276"/>
      <c r="BL98" s="443"/>
      <c r="BM98" s="442"/>
      <c r="BN98" s="440"/>
      <c r="BO98" s="442"/>
      <c r="BP98" s="442"/>
      <c r="BQ98" s="276"/>
      <c r="BR98" s="323">
        <f t="shared" si="2414"/>
        <v>0</v>
      </c>
      <c r="BS98" s="322">
        <f t="shared" si="2414"/>
        <v>0</v>
      </c>
      <c r="BT98" s="322">
        <f t="shared" si="2414"/>
        <v>0</v>
      </c>
      <c r="BU98" s="322">
        <f t="shared" si="2414"/>
        <v>0</v>
      </c>
      <c r="BV98" s="322">
        <f t="shared" si="2414"/>
        <v>0</v>
      </c>
      <c r="BW98" s="326">
        <f t="shared" si="2414"/>
        <v>0</v>
      </c>
      <c r="BX98" s="443"/>
      <c r="BY98" s="442"/>
      <c r="BZ98" s="440"/>
      <c r="CA98" s="442"/>
      <c r="CB98" s="442"/>
      <c r="CC98" s="276"/>
      <c r="CD98" s="443"/>
      <c r="CE98" s="442"/>
      <c r="CF98" s="440"/>
      <c r="CG98" s="442"/>
      <c r="CH98" s="442"/>
      <c r="CI98" s="276"/>
      <c r="CJ98" s="443"/>
      <c r="CK98" s="442"/>
      <c r="CL98" s="440"/>
      <c r="CM98" s="442"/>
      <c r="CN98" s="442"/>
      <c r="CO98" s="276"/>
      <c r="CP98" s="315">
        <f t="shared" si="2415"/>
        <v>0</v>
      </c>
      <c r="CQ98" s="316">
        <f t="shared" si="2415"/>
        <v>0</v>
      </c>
      <c r="CR98" s="317">
        <f t="shared" si="2415"/>
        <v>0</v>
      </c>
      <c r="CS98" s="316">
        <f t="shared" si="2415"/>
        <v>0</v>
      </c>
      <c r="CT98" s="316">
        <f t="shared" si="2415"/>
        <v>0</v>
      </c>
      <c r="CU98" s="317">
        <f t="shared" si="2415"/>
        <v>0</v>
      </c>
      <c r="CV98" s="327">
        <f t="shared" si="2416"/>
        <v>561</v>
      </c>
      <c r="CW98" s="316">
        <f t="shared" si="2416"/>
        <v>0</v>
      </c>
      <c r="CX98" s="317">
        <f t="shared" si="2416"/>
        <v>4322899.75</v>
      </c>
      <c r="CY98" s="316">
        <f t="shared" si="2416"/>
        <v>0</v>
      </c>
      <c r="CZ98" s="316">
        <f t="shared" si="2416"/>
        <v>0</v>
      </c>
      <c r="DA98" s="317">
        <f t="shared" si="2416"/>
        <v>0</v>
      </c>
      <c r="DB98" s="327">
        <f t="shared" si="2417"/>
        <v>561</v>
      </c>
      <c r="DC98" s="316">
        <f t="shared" si="2417"/>
        <v>0</v>
      </c>
      <c r="DD98" s="328">
        <f t="shared" si="2417"/>
        <v>4322899.75</v>
      </c>
    </row>
    <row r="99">
      <c r="B99" s="247"/>
      <c r="C99" s="816" t="s">
        <v>271</v>
      </c>
      <c r="D99" s="817">
        <f t="shared" ref="D99:BO99" si="2418">SUM(D95:D98)</f>
        <v>16053</v>
      </c>
      <c r="E99" s="818">
        <f t="shared" si="2418"/>
        <v>0</v>
      </c>
      <c r="F99" s="819">
        <f t="shared" si="2418"/>
        <v>17273872.579999998</v>
      </c>
      <c r="G99" s="819">
        <f t="shared" si="2418"/>
        <v>0</v>
      </c>
      <c r="H99" s="819">
        <f t="shared" si="2418"/>
        <v>0</v>
      </c>
      <c r="I99" s="819">
        <f t="shared" si="2418"/>
        <v>0</v>
      </c>
      <c r="J99" s="817">
        <f t="shared" si="2418"/>
        <v>0</v>
      </c>
      <c r="K99" s="818">
        <f t="shared" si="2418"/>
        <v>0</v>
      </c>
      <c r="L99" s="819">
        <f t="shared" si="2418"/>
        <v>0</v>
      </c>
      <c r="M99" s="818">
        <f t="shared" si="2418"/>
        <v>0</v>
      </c>
      <c r="N99" s="818">
        <f t="shared" si="2418"/>
        <v>0</v>
      </c>
      <c r="O99" s="819">
        <f t="shared" si="2418"/>
        <v>0</v>
      </c>
      <c r="P99" s="817">
        <f t="shared" si="2418"/>
        <v>0</v>
      </c>
      <c r="Q99" s="818">
        <f t="shared" si="2418"/>
        <v>0</v>
      </c>
      <c r="R99" s="819">
        <f t="shared" si="2418"/>
        <v>0</v>
      </c>
      <c r="S99" s="818">
        <f t="shared" si="2418"/>
        <v>0</v>
      </c>
      <c r="T99" s="818">
        <f t="shared" si="2418"/>
        <v>0</v>
      </c>
      <c r="U99" s="819">
        <f t="shared" si="2418"/>
        <v>0</v>
      </c>
      <c r="V99" s="820">
        <f t="shared" si="2418"/>
        <v>16053</v>
      </c>
      <c r="W99" s="821">
        <f t="shared" si="2418"/>
        <v>0</v>
      </c>
      <c r="X99" s="819">
        <f t="shared" si="2418"/>
        <v>17273872.579999998</v>
      </c>
      <c r="Y99" s="820">
        <f t="shared" si="2418"/>
        <v>0</v>
      </c>
      <c r="Z99" s="821">
        <f t="shared" si="2418"/>
        <v>0</v>
      </c>
      <c r="AA99" s="819">
        <f t="shared" si="2418"/>
        <v>0</v>
      </c>
      <c r="AB99" s="820">
        <f t="shared" si="2418"/>
        <v>0</v>
      </c>
      <c r="AC99" s="821">
        <f t="shared" si="2418"/>
        <v>0</v>
      </c>
      <c r="AD99" s="819">
        <f t="shared" si="2418"/>
        <v>0</v>
      </c>
      <c r="AE99" s="820">
        <f t="shared" si="2418"/>
        <v>0</v>
      </c>
      <c r="AF99" s="821">
        <f t="shared" si="2418"/>
        <v>0</v>
      </c>
      <c r="AG99" s="819">
        <f t="shared" si="2418"/>
        <v>0</v>
      </c>
      <c r="AH99" s="820">
        <f t="shared" si="2418"/>
        <v>0</v>
      </c>
      <c r="AI99" s="821">
        <f t="shared" si="2418"/>
        <v>0</v>
      </c>
      <c r="AJ99" s="819">
        <f t="shared" si="2418"/>
        <v>0</v>
      </c>
      <c r="AK99" s="820">
        <f t="shared" si="2418"/>
        <v>0</v>
      </c>
      <c r="AL99" s="821">
        <f t="shared" si="2418"/>
        <v>0</v>
      </c>
      <c r="AM99" s="819">
        <f t="shared" si="2418"/>
        <v>0</v>
      </c>
      <c r="AN99" s="820">
        <f t="shared" si="2418"/>
        <v>0</v>
      </c>
      <c r="AO99" s="821">
        <f t="shared" si="2418"/>
        <v>0</v>
      </c>
      <c r="AP99" s="819">
        <f>SUM(AP95:AP98)</f>
        <v>0</v>
      </c>
      <c r="AQ99" s="820">
        <f t="shared" si="2418"/>
        <v>0</v>
      </c>
      <c r="AR99" s="821">
        <f t="shared" si="2418"/>
        <v>0</v>
      </c>
      <c r="AS99" s="819">
        <f t="shared" si="2418"/>
        <v>0</v>
      </c>
      <c r="AT99" s="820">
        <f t="shared" si="2418"/>
        <v>16053</v>
      </c>
      <c r="AU99" s="821">
        <f t="shared" si="2418"/>
        <v>0</v>
      </c>
      <c r="AV99" s="819">
        <f t="shared" si="2418"/>
        <v>17273872.579999998</v>
      </c>
      <c r="AW99" s="820">
        <f t="shared" si="2418"/>
        <v>0</v>
      </c>
      <c r="AX99" s="821">
        <f t="shared" si="2418"/>
        <v>0</v>
      </c>
      <c r="AY99" s="819">
        <f t="shared" si="2418"/>
        <v>0</v>
      </c>
      <c r="AZ99" s="820">
        <f t="shared" si="2418"/>
        <v>0</v>
      </c>
      <c r="BA99" s="821">
        <f t="shared" si="2418"/>
        <v>0</v>
      </c>
      <c r="BB99" s="819">
        <f t="shared" si="2418"/>
        <v>0</v>
      </c>
      <c r="BC99" s="820">
        <f t="shared" si="2418"/>
        <v>0</v>
      </c>
      <c r="BD99" s="821">
        <f t="shared" si="2418"/>
        <v>0</v>
      </c>
      <c r="BE99" s="819">
        <f t="shared" si="2418"/>
        <v>0</v>
      </c>
      <c r="BF99" s="820">
        <f t="shared" si="2418"/>
        <v>0</v>
      </c>
      <c r="BG99" s="821">
        <f t="shared" si="2418"/>
        <v>0</v>
      </c>
      <c r="BH99" s="819">
        <f t="shared" si="2418"/>
        <v>0</v>
      </c>
      <c r="BI99" s="820">
        <f t="shared" si="2418"/>
        <v>0</v>
      </c>
      <c r="BJ99" s="821">
        <f t="shared" si="2418"/>
        <v>0</v>
      </c>
      <c r="BK99" s="819">
        <f t="shared" si="2418"/>
        <v>0</v>
      </c>
      <c r="BL99" s="820">
        <f>SUM(BL95:BL98)</f>
        <v>0</v>
      </c>
      <c r="BM99" s="821">
        <f t="shared" si="2418"/>
        <v>0</v>
      </c>
      <c r="BN99" s="819">
        <f t="shared" si="2418"/>
        <v>0</v>
      </c>
      <c r="BO99" s="820">
        <f t="shared" si="2418"/>
        <v>0</v>
      </c>
      <c r="BP99" s="821">
        <f t="shared" ref="BP99:DD99" si="2419">SUM(BP95:BP98)</f>
        <v>0</v>
      </c>
      <c r="BQ99" s="819">
        <f t="shared" si="2419"/>
        <v>0</v>
      </c>
      <c r="BR99" s="820">
        <f t="shared" si="2419"/>
        <v>0</v>
      </c>
      <c r="BS99" s="821">
        <f t="shared" si="2419"/>
        <v>0</v>
      </c>
      <c r="BT99" s="819">
        <f t="shared" si="2419"/>
        <v>0</v>
      </c>
      <c r="BU99" s="820">
        <f t="shared" si="2419"/>
        <v>0</v>
      </c>
      <c r="BV99" s="821">
        <f t="shared" si="2419"/>
        <v>0</v>
      </c>
      <c r="BW99" s="819">
        <f t="shared" si="2419"/>
        <v>0</v>
      </c>
      <c r="BX99" s="820">
        <f t="shared" si="2419"/>
        <v>0</v>
      </c>
      <c r="BY99" s="821">
        <f t="shared" si="2419"/>
        <v>0</v>
      </c>
      <c r="BZ99" s="819">
        <f t="shared" si="2419"/>
        <v>0</v>
      </c>
      <c r="CA99" s="820">
        <f t="shared" si="2419"/>
        <v>0</v>
      </c>
      <c r="CB99" s="821">
        <f t="shared" si="2419"/>
        <v>0</v>
      </c>
      <c r="CC99" s="819">
        <f t="shared" si="2419"/>
        <v>0</v>
      </c>
      <c r="CD99" s="820">
        <f t="shared" si="2419"/>
        <v>0</v>
      </c>
      <c r="CE99" s="821">
        <f t="shared" si="2419"/>
        <v>0</v>
      </c>
      <c r="CF99" s="819">
        <f t="shared" si="2419"/>
        <v>0</v>
      </c>
      <c r="CG99" s="820">
        <f t="shared" si="2419"/>
        <v>0</v>
      </c>
      <c r="CH99" s="821">
        <f t="shared" si="2419"/>
        <v>0</v>
      </c>
      <c r="CI99" s="819">
        <f t="shared" si="2419"/>
        <v>0</v>
      </c>
      <c r="CJ99" s="820">
        <f t="shared" si="2419"/>
        <v>0</v>
      </c>
      <c r="CK99" s="821">
        <f t="shared" si="2419"/>
        <v>0</v>
      </c>
      <c r="CL99" s="819">
        <f t="shared" si="2419"/>
        <v>0</v>
      </c>
      <c r="CM99" s="820">
        <f t="shared" si="2419"/>
        <v>0</v>
      </c>
      <c r="CN99" s="821">
        <f t="shared" si="2419"/>
        <v>0</v>
      </c>
      <c r="CO99" s="819">
        <f t="shared" si="2419"/>
        <v>0</v>
      </c>
      <c r="CP99" s="820">
        <f t="shared" si="2419"/>
        <v>0</v>
      </c>
      <c r="CQ99" s="821">
        <f t="shared" si="2419"/>
        <v>0</v>
      </c>
      <c r="CR99" s="819">
        <f t="shared" si="2419"/>
        <v>0</v>
      </c>
      <c r="CS99" s="820">
        <f t="shared" si="2419"/>
        <v>0</v>
      </c>
      <c r="CT99" s="821">
        <f t="shared" si="2419"/>
        <v>0</v>
      </c>
      <c r="CU99" s="819">
        <f t="shared" si="2419"/>
        <v>0</v>
      </c>
      <c r="CV99" s="820">
        <f t="shared" si="2419"/>
        <v>16053</v>
      </c>
      <c r="CW99" s="821">
        <f t="shared" si="2419"/>
        <v>0</v>
      </c>
      <c r="CX99" s="819">
        <f t="shared" si="2419"/>
        <v>17273872.579999998</v>
      </c>
      <c r="CY99" s="820">
        <f t="shared" si="2419"/>
        <v>0</v>
      </c>
      <c r="CZ99" s="821">
        <f t="shared" si="2419"/>
        <v>0</v>
      </c>
      <c r="DA99" s="819">
        <f t="shared" si="2419"/>
        <v>0</v>
      </c>
      <c r="DB99" s="2357">
        <f>SUM(DB95:DB98)</f>
        <v>16053</v>
      </c>
      <c r="DC99" s="821">
        <f t="shared" si="2419"/>
        <v>0</v>
      </c>
      <c r="DD99" s="2358">
        <f t="shared" si="2419"/>
        <v>17273872.579999998</v>
      </c>
    </row>
    <row r="100" ht="25.5">
      <c r="B100" s="247" t="s">
        <v>273</v>
      </c>
      <c r="C100" s="247"/>
      <c r="D100" s="280"/>
      <c r="E100" s="280"/>
      <c r="V100" s="356"/>
      <c r="W100" s="357"/>
      <c r="Y100" s="281"/>
      <c r="Z100" s="281"/>
      <c r="AA100" s="38"/>
      <c r="AB100" s="356"/>
      <c r="AC100" s="357"/>
      <c r="AE100" s="281"/>
      <c r="AF100" s="281"/>
      <c r="AG100" s="38"/>
      <c r="AH100" s="356"/>
      <c r="AI100" s="357"/>
      <c r="AK100" s="281"/>
      <c r="AL100" s="281"/>
      <c r="AM100" s="38"/>
      <c r="AN100" s="356"/>
      <c r="AO100" s="357"/>
      <c r="AQ100" s="281"/>
      <c r="AR100" s="281"/>
      <c r="AS100" s="38"/>
      <c r="AT100" s="356"/>
      <c r="AU100" s="357"/>
      <c r="AW100" s="281"/>
      <c r="AX100" s="281"/>
      <c r="AY100" s="38"/>
      <c r="AZ100" s="356"/>
      <c r="BA100" s="357"/>
      <c r="BC100" s="281"/>
      <c r="BD100" s="281"/>
      <c r="BE100" s="38"/>
      <c r="BF100" s="356"/>
      <c r="BG100" s="357"/>
      <c r="BI100" s="281"/>
      <c r="BJ100" s="281"/>
      <c r="BK100" s="38"/>
      <c r="BL100" s="356"/>
      <c r="BM100" s="357"/>
      <c r="BO100" s="281"/>
      <c r="BP100" s="281"/>
      <c r="BQ100" s="38"/>
      <c r="BR100" s="356"/>
      <c r="BS100" s="357"/>
      <c r="BU100" s="281"/>
      <c r="BV100" s="281"/>
      <c r="BW100" s="38"/>
      <c r="BX100" s="356"/>
      <c r="BY100" s="357"/>
      <c r="CA100" s="281"/>
      <c r="CB100" s="281"/>
      <c r="CC100" s="38"/>
      <c r="CD100" s="356"/>
      <c r="CE100" s="357"/>
      <c r="CG100" s="281"/>
      <c r="CH100" s="281"/>
      <c r="CI100" s="38"/>
      <c r="CJ100" s="356"/>
      <c r="CK100" s="357"/>
      <c r="CM100" s="281"/>
      <c r="CN100" s="281"/>
      <c r="CO100" s="38"/>
      <c r="CP100" s="356"/>
      <c r="CQ100" s="357"/>
      <c r="CS100" s="281"/>
      <c r="CT100" s="281"/>
      <c r="CU100" s="38"/>
      <c r="CV100" s="356"/>
      <c r="CW100" s="357"/>
      <c r="CY100" s="281"/>
      <c r="CZ100" s="281"/>
      <c r="DB100" s="2359"/>
      <c r="DC100" s="357"/>
      <c r="DD100" s="40"/>
    </row>
    <row r="101">
      <c r="B101" s="247"/>
      <c r="C101" s="247"/>
      <c r="D101" s="280"/>
      <c r="E101" s="280"/>
      <c r="V101" s="356"/>
      <c r="W101" s="357"/>
      <c r="Y101" s="281"/>
      <c r="Z101" s="281"/>
      <c r="AA101" s="38"/>
      <c r="AB101" s="356"/>
      <c r="AC101" s="357"/>
      <c r="AE101" s="281"/>
      <c r="AF101" s="281"/>
      <c r="AG101" s="38"/>
      <c r="AH101" s="356"/>
      <c r="AI101" s="357"/>
      <c r="AK101" s="281"/>
      <c r="AL101" s="281"/>
      <c r="AM101" s="38"/>
      <c r="AN101" s="356"/>
      <c r="AO101" s="357"/>
      <c r="AQ101" s="281"/>
      <c r="AR101" s="281"/>
      <c r="AS101" s="38"/>
      <c r="AT101" s="356"/>
      <c r="AU101" s="357"/>
      <c r="AW101" s="281"/>
      <c r="AX101" s="281"/>
      <c r="AY101" s="38"/>
      <c r="AZ101" s="356"/>
      <c r="BA101" s="357"/>
      <c r="BC101" s="281"/>
      <c r="BD101" s="281"/>
      <c r="BE101" s="38"/>
      <c r="BF101" s="356"/>
      <c r="BG101" s="357"/>
      <c r="BI101" s="281"/>
      <c r="BJ101" s="281"/>
      <c r="BK101" s="38"/>
      <c r="BL101" s="356"/>
      <c r="BM101" s="357"/>
      <c r="BO101" s="281"/>
      <c r="BP101" s="281"/>
      <c r="BQ101" s="38"/>
      <c r="BR101" s="356"/>
      <c r="BS101" s="357"/>
      <c r="BU101" s="281"/>
      <c r="BV101" s="281"/>
      <c r="BW101" s="38"/>
      <c r="BX101" s="356"/>
      <c r="BY101" s="357"/>
      <c r="CA101" s="281"/>
      <c r="CB101" s="281"/>
      <c r="CC101" s="38"/>
      <c r="CD101" s="356"/>
      <c r="CE101" s="357"/>
      <c r="CG101" s="281"/>
      <c r="CH101" s="281"/>
      <c r="CI101" s="38"/>
      <c r="CJ101" s="356"/>
      <c r="CK101" s="357"/>
      <c r="CM101" s="281"/>
      <c r="CN101" s="281"/>
      <c r="CO101" s="38"/>
      <c r="CP101" s="356"/>
      <c r="CQ101" s="357"/>
      <c r="CS101" s="281"/>
      <c r="CT101" s="281"/>
      <c r="CU101" s="38"/>
      <c r="CV101" s="356"/>
      <c r="CW101" s="357"/>
      <c r="CY101" s="281"/>
      <c r="CZ101" s="281"/>
      <c r="DB101" s="2359"/>
      <c r="DC101" s="357"/>
      <c r="DD101" s="40"/>
    </row>
    <row r="102">
      <c r="B102" s="832" t="s">
        <v>65</v>
      </c>
      <c r="C102" s="832"/>
      <c r="D102" s="833">
        <f t="shared" ref="D102:BO102" si="2420">D99+D93+D74</f>
        <v>22408</v>
      </c>
      <c r="E102" s="834">
        <f t="shared" si="2420"/>
        <v>21932.529999999999</v>
      </c>
      <c r="F102" s="835">
        <f t="shared" si="2420"/>
        <v>244712649.5</v>
      </c>
      <c r="G102" s="835">
        <f t="shared" si="2420"/>
        <v>0</v>
      </c>
      <c r="H102" s="835">
        <f t="shared" si="2420"/>
        <v>0</v>
      </c>
      <c r="I102" s="835">
        <f t="shared" si="2420"/>
        <v>0</v>
      </c>
      <c r="J102" s="833">
        <f t="shared" si="2420"/>
        <v>0</v>
      </c>
      <c r="K102" s="834">
        <f t="shared" si="2420"/>
        <v>0</v>
      </c>
      <c r="L102" s="835">
        <f t="shared" si="2420"/>
        <v>0</v>
      </c>
      <c r="M102" s="834">
        <f t="shared" si="2420"/>
        <v>0</v>
      </c>
      <c r="N102" s="834">
        <f t="shared" si="2420"/>
        <v>0</v>
      </c>
      <c r="O102" s="835">
        <f t="shared" si="2420"/>
        <v>0</v>
      </c>
      <c r="P102" s="833">
        <f t="shared" si="2420"/>
        <v>0</v>
      </c>
      <c r="Q102" s="834">
        <f t="shared" si="2420"/>
        <v>0</v>
      </c>
      <c r="R102" s="835">
        <f t="shared" si="2420"/>
        <v>0</v>
      </c>
      <c r="S102" s="834">
        <f t="shared" si="2420"/>
        <v>0</v>
      </c>
      <c r="T102" s="834">
        <f t="shared" si="2420"/>
        <v>0</v>
      </c>
      <c r="U102" s="835">
        <f t="shared" si="2420"/>
        <v>0</v>
      </c>
      <c r="V102" s="836">
        <f t="shared" si="2420"/>
        <v>22408</v>
      </c>
      <c r="W102" s="837">
        <f t="shared" si="2420"/>
        <v>21932.529999999999</v>
      </c>
      <c r="X102" s="838">
        <f t="shared" si="2420"/>
        <v>244712649.5</v>
      </c>
      <c r="Y102" s="837">
        <f t="shared" si="2420"/>
        <v>0</v>
      </c>
      <c r="Z102" s="837">
        <f t="shared" si="2420"/>
        <v>0</v>
      </c>
      <c r="AA102" s="839">
        <f t="shared" si="2420"/>
        <v>0</v>
      </c>
      <c r="AB102" s="836">
        <f t="shared" si="2420"/>
        <v>0</v>
      </c>
      <c r="AC102" s="837">
        <f t="shared" si="2420"/>
        <v>0</v>
      </c>
      <c r="AD102" s="838">
        <f t="shared" si="2420"/>
        <v>0</v>
      </c>
      <c r="AE102" s="837">
        <f t="shared" si="2420"/>
        <v>0</v>
      </c>
      <c r="AF102" s="837">
        <f t="shared" si="2420"/>
        <v>0</v>
      </c>
      <c r="AG102" s="839">
        <f t="shared" si="2420"/>
        <v>0</v>
      </c>
      <c r="AH102" s="836">
        <f t="shared" si="2420"/>
        <v>0</v>
      </c>
      <c r="AI102" s="837">
        <f t="shared" si="2420"/>
        <v>0</v>
      </c>
      <c r="AJ102" s="838">
        <f t="shared" si="2420"/>
        <v>0</v>
      </c>
      <c r="AK102" s="837">
        <f t="shared" si="2420"/>
        <v>0</v>
      </c>
      <c r="AL102" s="837">
        <f t="shared" si="2420"/>
        <v>0</v>
      </c>
      <c r="AM102" s="839">
        <f t="shared" si="2420"/>
        <v>0</v>
      </c>
      <c r="AN102" s="836">
        <f t="shared" si="2420"/>
        <v>0</v>
      </c>
      <c r="AO102" s="837">
        <f t="shared" si="2420"/>
        <v>0</v>
      </c>
      <c r="AP102" s="838">
        <f t="shared" si="2420"/>
        <v>0</v>
      </c>
      <c r="AQ102" s="837">
        <f t="shared" si="2420"/>
        <v>0</v>
      </c>
      <c r="AR102" s="837">
        <f t="shared" si="2420"/>
        <v>0</v>
      </c>
      <c r="AS102" s="839">
        <f t="shared" si="2420"/>
        <v>0</v>
      </c>
      <c r="AT102" s="836">
        <f t="shared" si="2420"/>
        <v>22408</v>
      </c>
      <c r="AU102" s="837">
        <f t="shared" si="2420"/>
        <v>21932.529999999999</v>
      </c>
      <c r="AV102" s="838">
        <f t="shared" si="2420"/>
        <v>244712649.5</v>
      </c>
      <c r="AW102" s="837">
        <f t="shared" si="2420"/>
        <v>0</v>
      </c>
      <c r="AX102" s="837">
        <f t="shared" si="2420"/>
        <v>0</v>
      </c>
      <c r="AY102" s="839">
        <f t="shared" si="2420"/>
        <v>0</v>
      </c>
      <c r="AZ102" s="836">
        <f t="shared" si="2420"/>
        <v>0</v>
      </c>
      <c r="BA102" s="837">
        <f t="shared" si="2420"/>
        <v>0</v>
      </c>
      <c r="BB102" s="838">
        <f t="shared" si="2420"/>
        <v>0</v>
      </c>
      <c r="BC102" s="837">
        <f t="shared" si="2420"/>
        <v>0</v>
      </c>
      <c r="BD102" s="837">
        <f t="shared" si="2420"/>
        <v>0</v>
      </c>
      <c r="BE102" s="839">
        <f t="shared" si="2420"/>
        <v>0</v>
      </c>
      <c r="BF102" s="836">
        <f t="shared" si="2420"/>
        <v>0</v>
      </c>
      <c r="BG102" s="837">
        <f t="shared" si="2420"/>
        <v>0</v>
      </c>
      <c r="BH102" s="838">
        <f t="shared" si="2420"/>
        <v>0</v>
      </c>
      <c r="BI102" s="837">
        <f t="shared" si="2420"/>
        <v>0</v>
      </c>
      <c r="BJ102" s="837">
        <f t="shared" si="2420"/>
        <v>0</v>
      </c>
      <c r="BK102" s="839">
        <f t="shared" si="2420"/>
        <v>0</v>
      </c>
      <c r="BL102" s="836">
        <f t="shared" si="2420"/>
        <v>0</v>
      </c>
      <c r="BM102" s="837">
        <f t="shared" si="2420"/>
        <v>0</v>
      </c>
      <c r="BN102" s="838">
        <f t="shared" si="2420"/>
        <v>0</v>
      </c>
      <c r="BO102" s="837">
        <f t="shared" si="2420"/>
        <v>0</v>
      </c>
      <c r="BP102" s="837">
        <f t="shared" ref="BP102:DD102" si="2421">BP99+BP93+BP74</f>
        <v>0</v>
      </c>
      <c r="BQ102" s="839">
        <f t="shared" si="2421"/>
        <v>0</v>
      </c>
      <c r="BR102" s="836">
        <f t="shared" si="2421"/>
        <v>0</v>
      </c>
      <c r="BS102" s="837">
        <f t="shared" si="2421"/>
        <v>0</v>
      </c>
      <c r="BT102" s="838">
        <f t="shared" si="2421"/>
        <v>0</v>
      </c>
      <c r="BU102" s="837">
        <f t="shared" si="2421"/>
        <v>0</v>
      </c>
      <c r="BV102" s="837">
        <f t="shared" si="2421"/>
        <v>0</v>
      </c>
      <c r="BW102" s="839">
        <f t="shared" si="2421"/>
        <v>0</v>
      </c>
      <c r="BX102" s="836">
        <f t="shared" si="2421"/>
        <v>0</v>
      </c>
      <c r="BY102" s="838">
        <f t="shared" si="2421"/>
        <v>0</v>
      </c>
      <c r="BZ102" s="838">
        <f>BZ99+BZ93+BZ74</f>
        <v>0</v>
      </c>
      <c r="CA102" s="837">
        <f t="shared" si="2421"/>
        <v>0</v>
      </c>
      <c r="CB102" s="837">
        <f t="shared" si="2421"/>
        <v>0</v>
      </c>
      <c r="CC102" s="839">
        <f t="shared" si="2421"/>
        <v>0</v>
      </c>
      <c r="CD102" s="836">
        <f t="shared" si="2421"/>
        <v>0</v>
      </c>
      <c r="CE102" s="837">
        <f t="shared" si="2421"/>
        <v>0</v>
      </c>
      <c r="CF102" s="838">
        <f t="shared" si="2421"/>
        <v>0</v>
      </c>
      <c r="CG102" s="837">
        <f t="shared" si="2421"/>
        <v>0</v>
      </c>
      <c r="CH102" s="837">
        <f t="shared" si="2421"/>
        <v>0</v>
      </c>
      <c r="CI102" s="839">
        <f t="shared" si="2421"/>
        <v>0</v>
      </c>
      <c r="CJ102" s="836">
        <f t="shared" si="2421"/>
        <v>0</v>
      </c>
      <c r="CK102" s="837">
        <f t="shared" si="2421"/>
        <v>0</v>
      </c>
      <c r="CL102" s="838">
        <f t="shared" si="2421"/>
        <v>0</v>
      </c>
      <c r="CM102" s="837">
        <f t="shared" si="2421"/>
        <v>0</v>
      </c>
      <c r="CN102" s="837">
        <f t="shared" si="2421"/>
        <v>0</v>
      </c>
      <c r="CO102" s="839">
        <f t="shared" si="2421"/>
        <v>0</v>
      </c>
      <c r="CP102" s="836">
        <f t="shared" si="2421"/>
        <v>0</v>
      </c>
      <c r="CQ102" s="837">
        <f t="shared" si="2421"/>
        <v>0</v>
      </c>
      <c r="CR102" s="838">
        <f t="shared" si="2421"/>
        <v>0</v>
      </c>
      <c r="CS102" s="837">
        <f t="shared" si="2421"/>
        <v>0</v>
      </c>
      <c r="CT102" s="837">
        <f t="shared" si="2421"/>
        <v>0</v>
      </c>
      <c r="CU102" s="839">
        <f t="shared" si="2421"/>
        <v>0</v>
      </c>
      <c r="CV102" s="836">
        <f t="shared" si="2421"/>
        <v>22408</v>
      </c>
      <c r="CW102" s="837">
        <f t="shared" si="2421"/>
        <v>21932.529999999999</v>
      </c>
      <c r="CX102" s="838">
        <f t="shared" si="2421"/>
        <v>244712649.5</v>
      </c>
      <c r="CY102" s="837">
        <f t="shared" si="2421"/>
        <v>0</v>
      </c>
      <c r="CZ102" s="837">
        <f t="shared" si="2421"/>
        <v>0</v>
      </c>
      <c r="DA102" s="838">
        <f t="shared" si="2421"/>
        <v>0</v>
      </c>
      <c r="DB102" s="2360">
        <f>DB99+DB93+DB74</f>
        <v>22408</v>
      </c>
      <c r="DC102" s="837">
        <f t="shared" si="2421"/>
        <v>21932.529999999999</v>
      </c>
      <c r="DD102" s="2361">
        <f t="shared" si="2421"/>
        <v>244712649.5</v>
      </c>
    </row>
    <row r="103">
      <c r="B103" s="552"/>
      <c r="C103" s="552"/>
      <c r="D103" s="845">
        <f>D102+G102</f>
        <v>22408</v>
      </c>
      <c r="E103" s="845">
        <f>E102+H102</f>
        <v>21932.529999999999</v>
      </c>
      <c r="F103" s="846">
        <f>F102+I102</f>
        <v>244712649.5</v>
      </c>
      <c r="J103" s="845">
        <f>J102+M102</f>
        <v>0</v>
      </c>
      <c r="K103" s="845">
        <f>K102+N102</f>
        <v>0</v>
      </c>
      <c r="L103" s="846">
        <f>L102+O102</f>
        <v>0</v>
      </c>
      <c r="P103" s="845">
        <f>P102+S102</f>
        <v>0</v>
      </c>
      <c r="Q103" s="845">
        <f>Q102+T102</f>
        <v>0</v>
      </c>
      <c r="R103" s="846">
        <f>R102+U102</f>
        <v>0</v>
      </c>
      <c r="V103" s="845">
        <f>V102+Y102</f>
        <v>22408</v>
      </c>
      <c r="W103" s="845">
        <f>W102+Z102</f>
        <v>21932.529999999999</v>
      </c>
      <c r="X103" s="846">
        <f>X102+AA102</f>
        <v>244712649.5</v>
      </c>
      <c r="Y103" s="281"/>
      <c r="Z103" s="281"/>
      <c r="AB103" s="845">
        <f>AB102+AE102</f>
        <v>0</v>
      </c>
      <c r="AC103" s="845">
        <f>AC102+AF102</f>
        <v>0</v>
      </c>
      <c r="AD103" s="846">
        <f>AD102+AG102</f>
        <v>0</v>
      </c>
      <c r="AE103" s="281"/>
      <c r="AF103" s="281"/>
      <c r="AH103" s="845">
        <f>AH102+AK102</f>
        <v>0</v>
      </c>
      <c r="AI103" s="845">
        <f>AI102+AL102</f>
        <v>0</v>
      </c>
      <c r="AJ103" s="846">
        <f>AJ102+AM102</f>
        <v>0</v>
      </c>
      <c r="AK103" s="281"/>
      <c r="AL103" s="281"/>
      <c r="AN103" s="845">
        <f>AN102+AQ102</f>
        <v>0</v>
      </c>
      <c r="AO103" s="845">
        <f>AO102+AR102</f>
        <v>0</v>
      </c>
      <c r="AP103" s="846">
        <f>AP102+AS102</f>
        <v>0</v>
      </c>
      <c r="AQ103" s="281"/>
      <c r="AR103" s="281"/>
      <c r="AT103" s="845">
        <f>AT102+AW102</f>
        <v>22408</v>
      </c>
      <c r="AU103" s="845">
        <f>AU102+AX102</f>
        <v>21932.529999999999</v>
      </c>
      <c r="AV103" s="846">
        <f>AV102+AY102</f>
        <v>244712649.5</v>
      </c>
      <c r="AW103" s="281"/>
      <c r="AX103" s="281"/>
      <c r="AZ103" s="845">
        <f>AZ102+BC102</f>
        <v>0</v>
      </c>
      <c r="BA103" s="845">
        <f>BA102+BD102</f>
        <v>0</v>
      </c>
      <c r="BB103" s="846">
        <f>BB102+BE102</f>
        <v>0</v>
      </c>
      <c r="BC103" s="281"/>
      <c r="BD103" s="281"/>
      <c r="BF103" s="845">
        <f>BF102+BI102</f>
        <v>0</v>
      </c>
      <c r="BG103" s="845">
        <f>BG102+BJ102</f>
        <v>0</v>
      </c>
      <c r="BH103" s="846">
        <f>BH102+BK102</f>
        <v>0</v>
      </c>
      <c r="BI103" s="281"/>
      <c r="BJ103" s="281"/>
      <c r="BL103" s="845">
        <f>BL102+BO102</f>
        <v>0</v>
      </c>
      <c r="BM103" s="845">
        <f>BM102+BP102</f>
        <v>0</v>
      </c>
      <c r="BN103" s="846">
        <f>BN102+BQ102</f>
        <v>0</v>
      </c>
      <c r="BO103" s="281"/>
      <c r="BP103" s="281"/>
      <c r="BR103" s="845">
        <f>BR102+BU102</f>
        <v>0</v>
      </c>
      <c r="BS103" s="845">
        <f>BS102+BV102</f>
        <v>0</v>
      </c>
      <c r="BT103" s="846">
        <f>BT102+BW102</f>
        <v>0</v>
      </c>
      <c r="BU103" s="281"/>
      <c r="BV103" s="281"/>
      <c r="BX103" s="845">
        <f>BX102+CA102</f>
        <v>0</v>
      </c>
      <c r="BY103" s="847">
        <f>BY102+CB102</f>
        <v>0</v>
      </c>
      <c r="BZ103" s="846">
        <f>BZ102+CC102</f>
        <v>0</v>
      </c>
      <c r="CA103" s="281"/>
      <c r="CB103" s="281"/>
      <c r="CD103" s="845">
        <f>CD102+CG102</f>
        <v>0</v>
      </c>
      <c r="CE103" s="845">
        <f>CE102+CH102</f>
        <v>0</v>
      </c>
      <c r="CF103" s="846">
        <f>CF102+CI102</f>
        <v>0</v>
      </c>
      <c r="CG103" s="281"/>
      <c r="CH103" s="281"/>
      <c r="CJ103" s="845">
        <f>CJ102+CM102</f>
        <v>0</v>
      </c>
      <c r="CK103" s="845">
        <f>CK102+CN102</f>
        <v>0</v>
      </c>
      <c r="CL103" s="846">
        <f>CL102+CO102</f>
        <v>0</v>
      </c>
      <c r="CM103" s="281"/>
      <c r="CN103" s="281"/>
      <c r="CP103" s="845">
        <f>CP102+CS102</f>
        <v>0</v>
      </c>
      <c r="CQ103" s="845">
        <f>CQ102+CT102</f>
        <v>0</v>
      </c>
      <c r="CR103" s="846">
        <f>CR102+CU102</f>
        <v>0</v>
      </c>
      <c r="CS103" s="281"/>
      <c r="CT103" s="281"/>
      <c r="CV103" s="845">
        <f>CV102+CY102</f>
        <v>22408</v>
      </c>
      <c r="CW103" s="845">
        <f>CW102+CZ102</f>
        <v>21932.529999999999</v>
      </c>
      <c r="CX103" s="846">
        <f>CX102+DA102</f>
        <v>244712649.5</v>
      </c>
      <c r="CY103" s="281"/>
      <c r="CZ103" s="281"/>
      <c r="DB103" s="845"/>
      <c r="DC103" s="845"/>
      <c r="DD103" s="846"/>
    </row>
    <row r="104">
      <c r="B104" s="2"/>
      <c r="C104" s="2"/>
      <c r="D104" s="280"/>
      <c r="E104" s="280"/>
      <c r="J104" s="470"/>
      <c r="O104" s="38"/>
      <c r="V104" s="356"/>
      <c r="W104" s="357"/>
      <c r="Y104" s="281"/>
      <c r="Z104" s="281"/>
      <c r="AA104" s="38"/>
      <c r="AB104" s="281"/>
      <c r="AC104" s="281"/>
      <c r="AE104" s="281"/>
      <c r="AF104" s="281"/>
      <c r="AH104" s="282"/>
      <c r="AI104" s="281"/>
      <c r="AK104" s="281"/>
      <c r="AL104" s="281"/>
      <c r="AM104" s="38"/>
      <c r="AT104" s="37"/>
      <c r="AY104" s="38"/>
      <c r="BF104" s="37"/>
      <c r="BK104" s="38"/>
      <c r="BR104" s="37"/>
      <c r="BW104" s="38"/>
      <c r="CD104" s="37"/>
      <c r="CI104" s="38"/>
      <c r="CP104" s="37"/>
      <c r="CV104" s="535"/>
      <c r="CW104" s="280"/>
      <c r="CY104" s="280"/>
      <c r="CZ104" s="280"/>
      <c r="DB104" s="535"/>
      <c r="DC104" s="280"/>
      <c r="DD104" s="40"/>
    </row>
    <row r="105" ht="38.25">
      <c r="B105" s="853" t="s">
        <v>274</v>
      </c>
      <c r="C105" s="854"/>
      <c r="D105" s="833"/>
      <c r="E105" s="834"/>
      <c r="F105" s="835"/>
      <c r="G105" s="835"/>
      <c r="H105" s="835"/>
      <c r="I105" s="835"/>
      <c r="J105" s="833"/>
      <c r="K105" s="834"/>
      <c r="L105" s="835"/>
      <c r="M105" s="834"/>
      <c r="N105" s="834"/>
      <c r="O105" s="870"/>
      <c r="P105" s="834"/>
      <c r="Q105" s="834"/>
      <c r="R105" s="835"/>
      <c r="S105" s="834"/>
      <c r="T105" s="834"/>
      <c r="U105" s="835"/>
      <c r="V105" s="836"/>
      <c r="W105" s="837"/>
      <c r="X105" s="835"/>
      <c r="Y105" s="871"/>
      <c r="Z105" s="871"/>
      <c r="AA105" s="870"/>
      <c r="AB105" s="871"/>
      <c r="AC105" s="871"/>
      <c r="AD105" s="835"/>
      <c r="AE105" s="871"/>
      <c r="AF105" s="871"/>
      <c r="AG105" s="835"/>
      <c r="AH105" s="872"/>
      <c r="AI105" s="871"/>
      <c r="AJ105" s="835"/>
      <c r="AK105" s="871"/>
      <c r="AL105" s="871"/>
      <c r="AM105" s="870"/>
      <c r="AN105" s="835"/>
      <c r="AO105" s="835"/>
      <c r="AP105" s="835"/>
      <c r="AQ105" s="835"/>
      <c r="AR105" s="835"/>
      <c r="AS105" s="835"/>
      <c r="AT105" s="869"/>
      <c r="AU105" s="835"/>
      <c r="AV105" s="835"/>
      <c r="AW105" s="835"/>
      <c r="AX105" s="835"/>
      <c r="AY105" s="870"/>
      <c r="AZ105" s="835"/>
      <c r="BA105" s="835"/>
      <c r="BB105" s="835"/>
      <c r="BC105" s="835"/>
      <c r="BD105" s="835"/>
      <c r="BE105" s="835"/>
      <c r="BF105" s="869"/>
      <c r="BG105" s="835"/>
      <c r="BH105" s="835"/>
      <c r="BI105" s="835"/>
      <c r="BJ105" s="835"/>
      <c r="BK105" s="870"/>
      <c r="BL105" s="835"/>
      <c r="BM105" s="835"/>
      <c r="BN105" s="835"/>
      <c r="BO105" s="835"/>
      <c r="BP105" s="835"/>
      <c r="BQ105" s="835"/>
      <c r="BR105" s="869"/>
      <c r="BS105" s="835"/>
      <c r="BT105" s="835"/>
      <c r="BU105" s="835"/>
      <c r="BV105" s="835"/>
      <c r="BW105" s="870"/>
      <c r="BX105" s="835"/>
      <c r="BY105" s="835"/>
      <c r="BZ105" s="835"/>
      <c r="CA105" s="835"/>
      <c r="CB105" s="835"/>
      <c r="CC105" s="835"/>
      <c r="CD105" s="869"/>
      <c r="CE105" s="835"/>
      <c r="CF105" s="835"/>
      <c r="CG105" s="835"/>
      <c r="CH105" s="835"/>
      <c r="CI105" s="870"/>
      <c r="CJ105" s="835"/>
      <c r="CK105" s="835"/>
      <c r="CL105" s="835"/>
      <c r="CM105" s="835"/>
      <c r="CN105" s="835"/>
      <c r="CO105" s="835"/>
      <c r="CP105" s="869"/>
      <c r="CQ105" s="835"/>
      <c r="CR105" s="835"/>
      <c r="CS105" s="835"/>
      <c r="CT105" s="835"/>
      <c r="CU105" s="835"/>
      <c r="CV105" s="873"/>
      <c r="CW105" s="874"/>
      <c r="CX105" s="875"/>
      <c r="CY105" s="874"/>
      <c r="CZ105" s="874"/>
      <c r="DA105" s="875"/>
      <c r="DB105" s="873"/>
      <c r="DC105" s="874"/>
      <c r="DD105" s="876"/>
    </row>
    <row r="106">
      <c r="B106" s="2"/>
      <c r="C106" s="2"/>
      <c r="V106" s="357"/>
      <c r="W106" s="357"/>
      <c r="Y106" s="281"/>
      <c r="Z106" s="281"/>
      <c r="AE106" s="281"/>
      <c r="AF106" s="281"/>
      <c r="CV106" s="280"/>
      <c r="CW106" s="280"/>
      <c r="DB106" s="280"/>
      <c r="DC106" s="280"/>
    </row>
    <row r="107">
      <c r="B107" s="2"/>
      <c r="C107" s="2"/>
      <c r="V107" s="357"/>
      <c r="W107" s="357"/>
    </row>
    <row r="108">
      <c r="B108" s="2"/>
      <c r="C108" s="2"/>
      <c r="V108" s="357"/>
      <c r="W108" s="357"/>
    </row>
    <row r="109">
      <c r="B109" s="2"/>
      <c r="C109" s="2"/>
      <c r="V109" s="357"/>
      <c r="W109" s="357"/>
    </row>
    <row r="110">
      <c r="B110" s="2"/>
      <c r="C110" s="2"/>
      <c r="V110" s="357"/>
      <c r="W110" s="357"/>
    </row>
    <row r="111">
      <c r="B111" s="2"/>
      <c r="C111" s="2"/>
      <c r="V111" s="357"/>
      <c r="W111" s="357"/>
    </row>
    <row r="112">
      <c r="B112" s="2"/>
      <c r="C112" s="2"/>
      <c r="V112" s="357"/>
      <c r="W112" s="357"/>
    </row>
    <row r="113">
      <c r="B113" s="552" t="s">
        <v>251</v>
      </c>
      <c r="C113" s="552"/>
      <c r="V113" s="357"/>
      <c r="W113" s="357"/>
    </row>
    <row r="114">
      <c r="B114" s="552" t="s">
        <v>80</v>
      </c>
      <c r="C114" s="552"/>
      <c r="V114" s="357"/>
      <c r="W114" s="357"/>
    </row>
    <row r="115">
      <c r="B115" s="552" t="s">
        <v>265</v>
      </c>
      <c r="C115" s="552"/>
      <c r="D115" s="892"/>
      <c r="E115" s="892"/>
      <c r="F115" s="892"/>
      <c r="G115" s="892"/>
      <c r="H115" s="892"/>
      <c r="I115" s="892"/>
      <c r="J115" s="2362"/>
      <c r="K115" s="2362"/>
      <c r="L115" s="892"/>
      <c r="M115" s="2362"/>
      <c r="N115" s="2362"/>
      <c r="O115" s="892"/>
      <c r="P115" s="2362"/>
      <c r="Q115" s="2362"/>
      <c r="R115" s="892"/>
      <c r="S115" s="2362"/>
      <c r="T115" s="2362"/>
      <c r="U115" s="892"/>
      <c r="V115" s="904"/>
      <c r="W115" s="904"/>
      <c r="X115" s="892"/>
      <c r="Y115" s="892"/>
      <c r="Z115" s="892"/>
      <c r="AA115" s="892"/>
      <c r="AB115" s="892"/>
      <c r="AC115" s="892"/>
      <c r="AD115" s="892"/>
      <c r="AE115" s="892"/>
      <c r="AF115" s="892"/>
      <c r="AG115" s="892"/>
      <c r="AH115" s="892"/>
      <c r="AI115" s="892"/>
      <c r="AJ115" s="892"/>
      <c r="AK115" s="892"/>
      <c r="AL115" s="892"/>
      <c r="AM115" s="892"/>
      <c r="AN115" s="892"/>
      <c r="AO115" s="892"/>
      <c r="AP115" s="892"/>
      <c r="AQ115" s="892"/>
      <c r="AR115" s="892"/>
      <c r="AS115" s="892"/>
      <c r="AT115" s="892"/>
      <c r="AU115" s="892"/>
      <c r="AV115" s="892"/>
      <c r="AW115" s="892"/>
      <c r="AX115" s="892"/>
      <c r="AY115" s="892"/>
      <c r="AZ115" s="892"/>
      <c r="BA115" s="892"/>
      <c r="BB115" s="16"/>
      <c r="BC115" s="892"/>
      <c r="BD115" s="892"/>
      <c r="BE115" s="892"/>
      <c r="BF115" s="892"/>
      <c r="BG115" s="892"/>
      <c r="BH115" s="892"/>
      <c r="BI115" s="892"/>
      <c r="BJ115" s="892"/>
      <c r="BK115" s="892"/>
      <c r="BL115" s="892"/>
      <c r="BM115" s="892"/>
      <c r="BN115" s="892"/>
      <c r="BO115" s="892"/>
      <c r="BP115" s="892"/>
      <c r="BQ115" s="892"/>
      <c r="BR115" s="892"/>
      <c r="BS115" s="892"/>
      <c r="BT115" s="892"/>
      <c r="BU115" s="892"/>
      <c r="BV115" s="892"/>
      <c r="BW115" s="892"/>
      <c r="BX115" s="892"/>
      <c r="BY115" s="892"/>
      <c r="BZ115" s="892"/>
      <c r="CA115" s="892"/>
      <c r="CB115" s="892"/>
      <c r="CC115" s="892"/>
      <c r="CD115" s="892"/>
      <c r="CE115" s="892"/>
      <c r="CF115" s="892"/>
      <c r="CG115" s="892"/>
      <c r="CH115" s="892"/>
      <c r="CI115" s="892"/>
      <c r="CJ115" s="892"/>
      <c r="CK115" s="892"/>
      <c r="CL115" s="892"/>
      <c r="CM115" s="892"/>
      <c r="CN115" s="892"/>
      <c r="CO115" s="892"/>
      <c r="CP115" s="892"/>
      <c r="CQ115" s="892"/>
      <c r="CR115" s="892"/>
      <c r="CS115" s="892"/>
      <c r="CT115" s="892"/>
      <c r="CU115" s="892"/>
      <c r="CV115" s="892"/>
      <c r="CW115" s="892"/>
      <c r="CX115" s="892"/>
      <c r="CY115" s="892"/>
      <c r="CZ115" s="892"/>
      <c r="DA115" s="892"/>
      <c r="DB115" s="892"/>
      <c r="DC115" s="892"/>
      <c r="DD115" s="892"/>
    </row>
    <row r="116">
      <c r="B116" s="552" t="s">
        <v>267</v>
      </c>
      <c r="C116" s="552"/>
      <c r="V116" s="357"/>
      <c r="W116" s="357"/>
    </row>
    <row r="117">
      <c r="B117" s="552" t="s">
        <v>270</v>
      </c>
      <c r="C117" s="552"/>
      <c r="V117" s="357"/>
      <c r="W117" s="357"/>
    </row>
    <row r="118">
      <c r="B118" s="552" t="s">
        <v>286</v>
      </c>
      <c r="C118" s="552"/>
      <c r="V118" s="357"/>
      <c r="W118" s="357"/>
      <c r="BC118" s="344"/>
      <c r="BD118" s="344"/>
      <c r="BE118" s="344"/>
      <c r="BF118" s="344"/>
      <c r="BG118" s="344"/>
      <c r="BH118" s="344"/>
      <c r="BI118" s="344"/>
      <c r="BJ118" s="344"/>
      <c r="BK118" s="344"/>
      <c r="BL118" s="344"/>
      <c r="BM118" s="344"/>
      <c r="BN118" s="344"/>
      <c r="BO118" s="344"/>
      <c r="BP118" s="344"/>
      <c r="BQ118" s="344"/>
      <c r="BR118" s="344"/>
      <c r="BS118" s="344"/>
      <c r="BT118" s="344"/>
      <c r="BU118" s="344"/>
      <c r="BV118" s="344"/>
      <c r="BW118" s="344"/>
      <c r="BX118" s="344"/>
      <c r="BY118" s="344"/>
      <c r="BZ118" s="344"/>
      <c r="CA118" s="344"/>
      <c r="CB118" s="344"/>
      <c r="CC118" s="344"/>
      <c r="CD118" s="344"/>
      <c r="CE118" s="344"/>
      <c r="CF118" s="344"/>
      <c r="CG118" s="344"/>
      <c r="CH118" s="344"/>
      <c r="CI118" s="344"/>
      <c r="CJ118" s="344"/>
      <c r="CK118" s="344"/>
      <c r="CL118" s="344"/>
      <c r="CM118" s="344"/>
      <c r="CN118" s="344"/>
      <c r="CO118" s="344"/>
      <c r="CP118" s="344"/>
      <c r="CQ118" s="344"/>
      <c r="CR118" s="344"/>
      <c r="CS118" s="344"/>
      <c r="CT118" s="344"/>
      <c r="CU118" s="344"/>
      <c r="CV118" s="344"/>
      <c r="CW118" s="344"/>
      <c r="CX118" s="344"/>
      <c r="CY118" s="344"/>
      <c r="CZ118" s="344"/>
      <c r="DA118" s="344"/>
      <c r="DB118" s="344"/>
      <c r="DC118" s="344"/>
      <c r="DD118" s="344"/>
    </row>
    <row r="119">
      <c r="B119" s="247"/>
      <c r="C119" s="247"/>
      <c r="V119" s="357"/>
      <c r="W119" s="357"/>
    </row>
    <row r="120">
      <c r="B120" s="552"/>
      <c r="C120" s="552"/>
      <c r="V120" s="357"/>
      <c r="W120" s="357"/>
    </row>
    <row r="121">
      <c r="B121" s="552"/>
      <c r="C121" s="552"/>
      <c r="V121" s="357"/>
      <c r="W121" s="357"/>
    </row>
    <row r="122">
      <c r="B122" s="552"/>
      <c r="C122" s="552"/>
      <c r="V122" s="357"/>
      <c r="W122" s="357"/>
    </row>
    <row r="123">
      <c r="B123" s="552"/>
      <c r="C123" s="552"/>
      <c r="V123" s="357"/>
      <c r="W123" s="357"/>
    </row>
    <row r="124">
      <c r="B124" s="552"/>
      <c r="C124" s="552"/>
    </row>
    <row r="125">
      <c r="B125" s="552" t="s">
        <v>275</v>
      </c>
      <c r="C125" s="552"/>
    </row>
    <row r="126" ht="25.5">
      <c r="B126" s="914" t="s">
        <v>276</v>
      </c>
      <c r="C126" s="914"/>
      <c r="D126" s="905"/>
      <c r="E126" s="905"/>
      <c r="F126" s="905"/>
      <c r="G126" s="905"/>
      <c r="H126" s="905"/>
      <c r="I126" s="905"/>
      <c r="J126" s="2363"/>
      <c r="K126" s="2363"/>
      <c r="L126" s="905"/>
      <c r="M126" s="2363"/>
      <c r="N126" s="2363"/>
      <c r="O126" s="905"/>
      <c r="P126" s="2363"/>
      <c r="Q126" s="2363"/>
      <c r="R126" s="905"/>
      <c r="S126" s="2363"/>
      <c r="T126" s="2363"/>
      <c r="U126" s="905"/>
      <c r="V126" s="905"/>
      <c r="W126" s="905"/>
      <c r="X126" s="905"/>
      <c r="Y126" s="905"/>
      <c r="Z126" s="905"/>
      <c r="AA126" s="905"/>
      <c r="AB126" s="905"/>
      <c r="AC126" s="905"/>
      <c r="AD126" s="905"/>
      <c r="AE126" s="905"/>
      <c r="AF126" s="905"/>
      <c r="AG126" s="905"/>
      <c r="AH126" s="905"/>
      <c r="AI126" s="905"/>
      <c r="AJ126" s="905"/>
      <c r="AK126" s="905"/>
      <c r="AL126" s="905"/>
      <c r="AM126" s="905"/>
      <c r="AN126" s="905"/>
      <c r="AO126" s="905"/>
      <c r="AP126" s="905"/>
      <c r="AQ126" s="905"/>
      <c r="AR126" s="905"/>
      <c r="AS126" s="905"/>
      <c r="AT126" s="905"/>
      <c r="AU126" s="905"/>
      <c r="AV126" s="905"/>
      <c r="AW126" s="905"/>
      <c r="AX126" s="905"/>
      <c r="AY126" s="905"/>
      <c r="AZ126" s="905"/>
      <c r="BA126" s="905"/>
      <c r="BC126" s="905"/>
      <c r="BD126" s="905"/>
      <c r="BE126" s="905"/>
      <c r="BF126" s="905"/>
      <c r="BG126" s="905"/>
      <c r="BH126" s="905"/>
      <c r="BI126" s="905"/>
      <c r="BJ126" s="905"/>
      <c r="BK126" s="905"/>
      <c r="BL126" s="905"/>
      <c r="BM126" s="905"/>
      <c r="BN126" s="905"/>
      <c r="BO126" s="905"/>
      <c r="BP126" s="905"/>
      <c r="BQ126" s="905"/>
      <c r="BR126" s="905"/>
      <c r="BS126" s="905"/>
      <c r="BT126" s="905"/>
      <c r="BU126" s="905"/>
      <c r="BV126" s="905"/>
      <c r="BW126" s="905"/>
      <c r="BX126" s="905"/>
      <c r="BY126" s="905"/>
      <c r="BZ126" s="905"/>
      <c r="CA126" s="905"/>
      <c r="CB126" s="905"/>
      <c r="CC126" s="905"/>
      <c r="CD126" s="905"/>
      <c r="CE126" s="905"/>
      <c r="CF126" s="905"/>
      <c r="CG126" s="905"/>
      <c r="CH126" s="905"/>
      <c r="CI126" s="905"/>
      <c r="CJ126" s="905"/>
      <c r="CK126" s="905"/>
      <c r="CL126" s="905"/>
      <c r="CM126" s="905"/>
      <c r="CN126" s="905"/>
      <c r="CO126" s="905"/>
      <c r="CP126" s="905"/>
      <c r="CQ126" s="905"/>
      <c r="CR126" s="905"/>
      <c r="CS126" s="905"/>
      <c r="CT126" s="905"/>
      <c r="CU126" s="905"/>
      <c r="CV126" s="905"/>
      <c r="CW126" s="905"/>
      <c r="CX126" s="905"/>
      <c r="CY126" s="905"/>
      <c r="CZ126" s="905"/>
      <c r="DA126" s="905"/>
      <c r="DB126" s="905"/>
      <c r="DC126" s="905"/>
      <c r="DD126" s="905"/>
    </row>
    <row r="127">
      <c r="B127" s="552" t="s">
        <v>78</v>
      </c>
      <c r="C127" s="552"/>
    </row>
    <row r="128">
      <c r="B128" s="552" t="s">
        <v>277</v>
      </c>
      <c r="C128" s="552"/>
    </row>
    <row r="129" ht="13.5">
      <c r="B129" s="920" t="s">
        <v>278</v>
      </c>
      <c r="C129" s="920"/>
    </row>
    <row r="130">
      <c r="B130" s="552" t="s">
        <v>279</v>
      </c>
      <c r="C130" s="552"/>
    </row>
    <row r="131">
      <c r="B131" s="759" t="s">
        <v>281</v>
      </c>
      <c r="C131" s="759"/>
    </row>
    <row r="132">
      <c r="B132" s="552"/>
      <c r="C132" s="552"/>
    </row>
    <row r="133" ht="13.5">
      <c r="B133" s="922" t="s">
        <v>84</v>
      </c>
      <c r="C133" s="922"/>
    </row>
    <row r="134">
      <c r="B134" s="923" t="s">
        <v>75</v>
      </c>
      <c r="C134" s="923"/>
    </row>
    <row r="135">
      <c r="B135" s="552" t="s">
        <v>285</v>
      </c>
      <c r="C135" s="552"/>
    </row>
    <row r="136">
      <c r="B136" s="552" t="s">
        <v>73</v>
      </c>
      <c r="C136" s="552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</row>
    <row r="137">
      <c r="B137" s="552" t="s">
        <v>289</v>
      </c>
      <c r="C137" s="552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</row>
    <row r="138">
      <c r="B138" s="552" t="s">
        <v>291</v>
      </c>
      <c r="C138" s="552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</row>
    <row r="139">
      <c r="B139" s="552" t="s">
        <v>292</v>
      </c>
      <c r="C139" s="552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</row>
    <row r="140">
      <c r="B140" s="552" t="s">
        <v>305</v>
      </c>
      <c r="C140" s="552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</row>
    <row r="141">
      <c r="B141" s="552" t="s">
        <v>294</v>
      </c>
      <c r="C141" s="552"/>
    </row>
    <row r="142">
      <c r="B142" s="552" t="s">
        <v>296</v>
      </c>
      <c r="C142" s="552"/>
    </row>
    <row r="143">
      <c r="B143" s="759" t="s">
        <v>68</v>
      </c>
      <c r="C143" s="759"/>
    </row>
    <row r="144">
      <c r="B144" s="552" t="s">
        <v>307</v>
      </c>
      <c r="C144" s="552"/>
    </row>
    <row r="145">
      <c r="B145" s="940" t="s">
        <v>308</v>
      </c>
      <c r="C145" s="940"/>
    </row>
    <row r="146">
      <c r="B146" s="552" t="s">
        <v>299</v>
      </c>
      <c r="C146" s="552"/>
    </row>
    <row r="147">
      <c r="B147" s="941" t="s">
        <v>309</v>
      </c>
      <c r="C147" s="941"/>
    </row>
    <row r="148">
      <c r="B148" s="552" t="s">
        <v>301</v>
      </c>
      <c r="C148" s="552"/>
    </row>
    <row r="149">
      <c r="B149" s="552" t="s">
        <v>302</v>
      </c>
      <c r="C149" s="552"/>
    </row>
    <row r="150">
      <c r="B150" s="552" t="s">
        <v>310</v>
      </c>
      <c r="C150" s="552"/>
    </row>
    <row r="151">
      <c r="B151" s="552" t="s">
        <v>312</v>
      </c>
      <c r="C151" s="552"/>
    </row>
    <row r="154" ht="15.75">
      <c r="B154" s="954"/>
      <c r="C154" s="954"/>
      <c r="D154" s="954"/>
      <c r="E154" s="954"/>
      <c r="F154" s="954"/>
      <c r="G154" s="954"/>
      <c r="H154" s="954"/>
      <c r="I154" s="954"/>
      <c r="J154" s="2364"/>
      <c r="K154" s="2364"/>
      <c r="L154" s="954"/>
      <c r="M154" s="2364"/>
      <c r="N154" s="2364"/>
      <c r="O154" s="954"/>
      <c r="P154" s="2364"/>
      <c r="Q154" s="2364"/>
      <c r="R154" s="954"/>
      <c r="S154" s="2364"/>
      <c r="T154" s="2364"/>
      <c r="U154" s="954"/>
      <c r="V154" s="954"/>
      <c r="W154" s="954"/>
      <c r="X154" s="954"/>
      <c r="Y154" s="954"/>
      <c r="Z154" s="954"/>
      <c r="AA154" s="954"/>
      <c r="AB154" s="954"/>
      <c r="AC154" s="954"/>
      <c r="AD154" s="954"/>
      <c r="AE154" s="954"/>
      <c r="AF154" s="954"/>
      <c r="AG154" s="954"/>
      <c r="AH154" s="954"/>
      <c r="AI154" s="954"/>
      <c r="AJ154" s="954"/>
      <c r="AK154" s="954"/>
      <c r="AL154" s="954"/>
      <c r="AM154" s="954"/>
      <c r="AN154" s="954"/>
      <c r="AO154" s="954"/>
      <c r="AP154" s="954"/>
      <c r="AQ154" s="954"/>
      <c r="AR154" s="954"/>
      <c r="AS154" s="954"/>
      <c r="AT154" s="954"/>
      <c r="AU154" s="954"/>
      <c r="AV154" s="954"/>
      <c r="AW154" s="954"/>
      <c r="AX154" s="954"/>
      <c r="AY154" s="954"/>
      <c r="AZ154" s="954"/>
      <c r="BA154" s="954"/>
      <c r="BB154" s="954"/>
      <c r="BC154" s="954"/>
      <c r="BD154" s="954"/>
      <c r="BE154" s="954"/>
      <c r="BF154" s="954"/>
      <c r="BG154" s="954"/>
      <c r="BH154" s="954"/>
      <c r="BI154" s="954"/>
      <c r="BJ154" s="954"/>
      <c r="BK154" s="954"/>
      <c r="BL154" s="954"/>
      <c r="BM154" s="954"/>
      <c r="BN154" s="954"/>
      <c r="BO154" s="954"/>
      <c r="BP154" s="954"/>
      <c r="BQ154" s="954"/>
      <c r="BR154" s="954"/>
      <c r="BS154" s="954"/>
      <c r="BT154" s="954"/>
      <c r="BU154" s="954"/>
      <c r="BV154" s="954"/>
      <c r="BW154" s="954"/>
      <c r="BX154" s="954"/>
      <c r="BY154" s="954"/>
      <c r="BZ154" s="954"/>
      <c r="CA154" s="954"/>
      <c r="CB154" s="954"/>
      <c r="CC154" s="954"/>
      <c r="CD154" s="954"/>
      <c r="CE154" s="954"/>
      <c r="CF154" s="954"/>
      <c r="CG154" s="954"/>
      <c r="CH154" s="954"/>
      <c r="CI154" s="954"/>
      <c r="CJ154" s="954"/>
      <c r="CK154" s="954"/>
      <c r="CL154" s="954"/>
      <c r="CM154" s="954"/>
      <c r="CN154" s="954"/>
      <c r="CO154" s="954"/>
      <c r="CP154" s="954"/>
      <c r="CQ154" s="954"/>
      <c r="CR154" s="954"/>
      <c r="CS154" s="954"/>
      <c r="CT154" s="954"/>
      <c r="CU154" s="954"/>
      <c r="CV154" s="954"/>
      <c r="CW154" s="954"/>
      <c r="CX154" s="954"/>
      <c r="CY154" s="954"/>
      <c r="CZ154" s="954"/>
      <c r="DA154" s="954"/>
      <c r="DB154" s="954"/>
      <c r="DC154" s="954"/>
      <c r="DD154" s="954"/>
    </row>
    <row r="155">
      <c r="B155" s="902"/>
      <c r="C155" s="902"/>
      <c r="D155" s="902"/>
      <c r="E155" s="902"/>
      <c r="F155" s="902"/>
      <c r="G155" s="902"/>
      <c r="H155" s="902"/>
      <c r="I155" s="902"/>
      <c r="J155" s="904"/>
      <c r="K155" s="904"/>
      <c r="L155" s="902"/>
      <c r="M155" s="904"/>
      <c r="N155" s="904"/>
      <c r="O155" s="902"/>
      <c r="P155" s="904"/>
      <c r="Q155" s="904"/>
      <c r="R155" s="902"/>
      <c r="S155" s="904"/>
      <c r="T155" s="904"/>
      <c r="U155" s="902"/>
      <c r="V155" s="902"/>
      <c r="W155" s="902"/>
      <c r="X155" s="902"/>
      <c r="Y155" s="902"/>
      <c r="Z155" s="902"/>
      <c r="AA155" s="902"/>
      <c r="AB155" s="902"/>
      <c r="AC155" s="902"/>
      <c r="AD155" s="902"/>
      <c r="AE155" s="902"/>
      <c r="AF155" s="902"/>
      <c r="AG155" s="902"/>
      <c r="AH155" s="902"/>
      <c r="AI155" s="902"/>
      <c r="AJ155" s="902"/>
      <c r="AK155" s="902"/>
      <c r="AL155" s="902"/>
      <c r="AM155" s="902"/>
      <c r="AN155" s="902"/>
      <c r="AO155" s="902"/>
      <c r="AP155" s="902"/>
      <c r="AQ155" s="902"/>
      <c r="AR155" s="902"/>
      <c r="AS155" s="902"/>
      <c r="AT155" s="902"/>
      <c r="AU155" s="902"/>
      <c r="AV155" s="902"/>
      <c r="AW155" s="902"/>
      <c r="AX155" s="902"/>
      <c r="AY155" s="902"/>
      <c r="AZ155" s="902"/>
      <c r="BA155" s="902"/>
      <c r="BB155" s="947"/>
      <c r="BC155" s="902"/>
      <c r="BD155" s="902"/>
      <c r="BE155" s="902"/>
      <c r="BF155" s="902"/>
      <c r="BG155" s="902"/>
      <c r="BH155" s="902"/>
      <c r="BI155" s="902"/>
      <c r="BJ155" s="902"/>
      <c r="BK155" s="902"/>
      <c r="BL155" s="902"/>
      <c r="BM155" s="902"/>
      <c r="BN155" s="902"/>
      <c r="BO155" s="902"/>
      <c r="BP155" s="902"/>
      <c r="BQ155" s="902"/>
      <c r="BR155" s="902"/>
      <c r="BS155" s="902"/>
      <c r="BT155" s="902"/>
      <c r="BU155" s="902"/>
      <c r="BV155" s="902"/>
      <c r="BW155" s="902"/>
      <c r="BX155" s="902"/>
      <c r="BY155" s="902"/>
      <c r="BZ155" s="902"/>
      <c r="CA155" s="902"/>
      <c r="CB155" s="902"/>
      <c r="CC155" s="902"/>
      <c r="CD155" s="902"/>
      <c r="CE155" s="902"/>
      <c r="CF155" s="902"/>
      <c r="CG155" s="902"/>
      <c r="CH155" s="902"/>
      <c r="CI155" s="902"/>
      <c r="CJ155" s="902"/>
      <c r="CK155" s="902"/>
      <c r="CL155" s="902"/>
      <c r="CM155" s="902"/>
      <c r="CN155" s="902"/>
      <c r="CO155" s="902"/>
      <c r="CP155" s="902"/>
      <c r="CQ155" s="902"/>
      <c r="CR155" s="902"/>
      <c r="CS155" s="902"/>
      <c r="CT155" s="902"/>
      <c r="CU155" s="902"/>
      <c r="CV155" s="902"/>
      <c r="CW155" s="902"/>
      <c r="CX155" s="902"/>
      <c r="CY155" s="902"/>
      <c r="CZ155" s="902"/>
      <c r="DA155" s="902"/>
      <c r="DB155" s="902"/>
      <c r="DC155" s="902"/>
      <c r="DD155" s="902"/>
    </row>
    <row r="169">
      <c r="B169" s="11"/>
      <c r="C169" s="11"/>
      <c r="D169" s="11"/>
      <c r="E169" s="11"/>
      <c r="F169" s="11"/>
      <c r="G169" s="11"/>
      <c r="H169" s="11"/>
      <c r="I169" s="11"/>
      <c r="J169" s="2365"/>
      <c r="K169" s="2365"/>
      <c r="L169" s="11"/>
      <c r="M169" s="2365"/>
      <c r="N169" s="2365"/>
      <c r="O169" s="11"/>
      <c r="P169" s="2365"/>
      <c r="Q169" s="2365"/>
      <c r="R169" s="11"/>
      <c r="S169" s="2365"/>
      <c r="T169" s="2365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</row>
  </sheetData>
  <mergeCells count="68">
    <mergeCell ref="B91:B92"/>
    <mergeCell ref="B93:B94"/>
    <mergeCell ref="B25:B26"/>
    <mergeCell ref="B31:B32"/>
    <mergeCell ref="B72:B73"/>
    <mergeCell ref="B77:B86"/>
    <mergeCell ref="B88:B89"/>
    <mergeCell ref="B15:B16"/>
    <mergeCell ref="B17:B18"/>
    <mergeCell ref="B19:B20"/>
    <mergeCell ref="B21:B22"/>
    <mergeCell ref="B23:B24"/>
    <mergeCell ref="CY5:DA6"/>
    <mergeCell ref="DB5:DD6"/>
    <mergeCell ref="B6:C7"/>
    <mergeCell ref="B11:B12"/>
    <mergeCell ref="B13:B14"/>
    <mergeCell ref="CJ5:CL6"/>
    <mergeCell ref="CM5:CO6"/>
    <mergeCell ref="CP5:CR6"/>
    <mergeCell ref="CS5:CU6"/>
    <mergeCell ref="CV5:CX6"/>
    <mergeCell ref="BU5:BW6"/>
    <mergeCell ref="BX5:BZ6"/>
    <mergeCell ref="CA5:CC6"/>
    <mergeCell ref="CD5:CF6"/>
    <mergeCell ref="CG5:CI6"/>
    <mergeCell ref="BF5:BH6"/>
    <mergeCell ref="BI5:BK6"/>
    <mergeCell ref="BL5:BN6"/>
    <mergeCell ref="BO5:BQ6"/>
    <mergeCell ref="BR5:BT6"/>
    <mergeCell ref="AQ5:AS6"/>
    <mergeCell ref="AT5:AV6"/>
    <mergeCell ref="AW5:AY6"/>
    <mergeCell ref="AZ5:BB6"/>
    <mergeCell ref="BC5:BE6"/>
    <mergeCell ref="CP2:CU2"/>
    <mergeCell ref="CV2:DA2"/>
    <mergeCell ref="DB2:DD2"/>
    <mergeCell ref="D5:F6"/>
    <mergeCell ref="G5:I6"/>
    <mergeCell ref="J5:L6"/>
    <mergeCell ref="M5:O6"/>
    <mergeCell ref="P5:R6"/>
    <mergeCell ref="S5:U6"/>
    <mergeCell ref="V5:X6"/>
    <mergeCell ref="Y5:AA6"/>
    <mergeCell ref="AB5:AD6"/>
    <mergeCell ref="AE5:AG6"/>
    <mergeCell ref="AH5:AJ6"/>
    <mergeCell ref="AK5:AM6"/>
    <mergeCell ref="AN5:AP6"/>
    <mergeCell ref="BL2:BQ2"/>
    <mergeCell ref="BR2:BW2"/>
    <mergeCell ref="BX2:CC2"/>
    <mergeCell ref="CD2:CI2"/>
    <mergeCell ref="CJ2:CO2"/>
    <mergeCell ref="AH2:AM2"/>
    <mergeCell ref="AN2:AS2"/>
    <mergeCell ref="AT2:AY2"/>
    <mergeCell ref="AZ2:BE2"/>
    <mergeCell ref="BF2:BK2"/>
    <mergeCell ref="D2:I2"/>
    <mergeCell ref="J2:O2"/>
    <mergeCell ref="P2:U2"/>
    <mergeCell ref="V2:AA2"/>
    <mergeCell ref="AB2:AG2"/>
  </mergeCells>
  <printOptions headings="0" gridLines="0"/>
  <pageMargins left="0.69999999999999996" right="0.69999999999999996" top="0.75" bottom="0.75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 codeName="Лист6">
    <outlinePr applyStyles="0" summaryBelow="1" summaryRight="1" showOutlineSymbols="1"/>
    <pageSetUpPr autoPageBreaks="1" fitToPage="1"/>
  </sheetPr>
  <sheetViews>
    <sheetView zoomScale="85" workbookViewId="0">
      <pane xSplit="6" ySplit="6" topLeftCell="G7" activePane="bottomRight" state="frozen"/>
      <selection activeCell="AD7" activeCellId="0" sqref="AD7"/>
    </sheetView>
  </sheetViews>
  <sheetFormatPr defaultRowHeight="15"/>
  <cols>
    <col customWidth="1" min="1" max="1" style="2" width="82.42578125"/>
    <col customWidth="1" min="2" max="2" style="2" width="20.85546875"/>
    <col customWidth="1" min="3" max="3" style="2366" width="6.5703125"/>
    <col customWidth="1" min="4" max="4" style="2367" width="16.7109375"/>
    <col customWidth="1" min="5" max="5" style="2367" width="20"/>
    <col customWidth="1" min="6" max="6" style="2367" width="6.5703125"/>
    <col customWidth="1" min="7" max="7" style="2368" width="6.5703125"/>
    <col customWidth="1" min="8" max="11" width="6.5703125"/>
    <col customWidth="1" min="12" max="12" style="2368" width="6.5703125"/>
    <col customWidth="1" min="13" max="13" style="2369" width="8"/>
    <col customWidth="1" min="14" max="14" width="6.42578125"/>
    <col customWidth="1" min="15" max="15" width="8"/>
    <col customWidth="1" min="16" max="16" width="7.28515625"/>
    <col customWidth="1" min="17" max="17" style="2370" width="6"/>
    <col customWidth="1" min="18" max="18" style="2369" width="18.28515625"/>
    <col customWidth="1" min="19" max="19" style="2369" width="18.42578125"/>
    <col customWidth="1" min="20" max="20" style="2369" width="22"/>
    <col customWidth="1" min="21" max="21" width="22.85546875"/>
    <col customWidth="1" min="22" max="22" width="27.28515625"/>
    <col customWidth="1" min="23" max="23" style="2371" width="8.85546875"/>
    <col customWidth="1" min="24" max="24" width="22"/>
    <col customWidth="1" min="25" max="25" width="27.5703125"/>
    <col customWidth="1" min="26" max="26" width="8.7109375"/>
    <col customWidth="1" min="27" max="27" width="12"/>
    <col customWidth="1" min="28" max="28" style="2372" width="9.140625"/>
    <col customWidth="1" min="29" max="29" style="2373" width="24.42578125"/>
    <col customWidth="1" min="30" max="30" style="2373" width="13.28515625"/>
    <col customWidth="1" min="31" max="31" style="2373" width="15.28515625"/>
    <col customWidth="1" min="32" max="32" style="2373" width="15.5703125"/>
    <col customWidth="1" min="33" max="33" style="2373" width="17.28515625"/>
    <col customWidth="1" min="34" max="36" style="2373" width="13.28515625"/>
    <col customWidth="1" min="37" max="37" style="2373" width="15.85546875"/>
    <col customWidth="1" min="38" max="42" style="2373" width="13.28515625"/>
    <col customWidth="1" min="43" max="43" style="2373" width="32.28515625"/>
    <col customWidth="1" min="44" max="46" style="2373" width="13.28515625"/>
    <col customWidth="1" min="47" max="47" style="2373" width="19.28515625"/>
    <col customWidth="1" min="48" max="56" style="2373" width="13.28515625"/>
    <col customWidth="1" min="57" max="57" style="2373" width="14.42578125"/>
    <col customWidth="1" min="58" max="62" style="2373" width="13.28515625"/>
    <col customWidth="1" min="63" max="63" style="2373" width="15.7109375"/>
    <col customWidth="1" min="64" max="70" style="2373" width="13.28515625"/>
    <col customWidth="1" min="71" max="71" style="2373" width="16.5703125"/>
    <col customWidth="1" min="72" max="72" style="2374" width="21.5703125"/>
    <col customWidth="1" min="73" max="73" style="2375" width="21.5703125"/>
    <col customWidth="1" min="74" max="74" width="24.42578125"/>
    <col customWidth="1" min="75" max="75" width="20.85546875"/>
    <col customWidth="1" min="76" max="76" width="5.85546875"/>
    <col customWidth="1" min="77" max="77" width="19.7109375"/>
    <col customWidth="1" min="78" max="78" style="2376" width="5.5703125"/>
    <col customWidth="1" min="79" max="79" width="15.28515625"/>
    <col customWidth="1" min="80" max="80" width="20"/>
    <col customWidth="1" min="81" max="81" width="9.7109375"/>
    <col customWidth="1" min="82" max="82" style="2377" width="22.42578125"/>
    <col customWidth="1" min="83" max="83" width="16.28515625"/>
    <col customWidth="1" min="84" max="84" width="17.140625"/>
    <col customWidth="1" min="85" max="85" width="21.85546875"/>
    <col customWidth="1" min="86" max="86" style="2378" width="18"/>
    <col customWidth="1" min="87" max="87" width="20.28515625"/>
    <col customWidth="1" min="88" max="88" width="22.7109375"/>
    <col customWidth="1" min="89" max="89" width="20.7109375"/>
  </cols>
  <sheetData>
    <row r="1" ht="12.75">
      <c r="S1" s="2379"/>
      <c r="AD1" s="2380">
        <f>V123+V139</f>
        <v>9952753.5</v>
      </c>
      <c r="AE1" s="2380"/>
      <c r="AF1" s="2380">
        <f>V138</f>
        <v>5279511.7100000009</v>
      </c>
      <c r="AG1" s="2380"/>
      <c r="AH1" s="2380">
        <f>V137</f>
        <v>10294582.289999999</v>
      </c>
      <c r="AI1" s="2380"/>
      <c r="AJ1" s="2380">
        <f>V135</f>
        <v>0</v>
      </c>
      <c r="AK1" s="2380"/>
      <c r="AL1" s="2380">
        <f>V133</f>
        <v>1351888.1699999999</v>
      </c>
      <c r="AM1" s="2380"/>
      <c r="AN1" s="2380">
        <f>V132+V134</f>
        <v>11001189.460000001</v>
      </c>
      <c r="AO1" s="2380"/>
      <c r="AP1" s="2381">
        <f>V131</f>
        <v>6381047.5</v>
      </c>
      <c r="AQ1" s="2380"/>
      <c r="AR1" s="2380">
        <f>V130</f>
        <v>4005402.4300000002</v>
      </c>
      <c r="AS1" s="2380"/>
      <c r="AT1" s="2380">
        <f>V129</f>
        <v>5353368.8300000001</v>
      </c>
      <c r="AU1" s="2380"/>
      <c r="AV1" s="2380">
        <f>V143</f>
        <v>6492566.2199999997</v>
      </c>
      <c r="AW1" s="2380"/>
      <c r="AX1" s="2380">
        <f>V144</f>
        <v>3518332.3900000001</v>
      </c>
      <c r="AY1" s="2380"/>
      <c r="AZ1" s="2380">
        <f>V122</f>
        <v>0</v>
      </c>
      <c r="BA1" s="2380"/>
      <c r="BB1" s="2380">
        <f>V124</f>
        <v>1569121.2</v>
      </c>
      <c r="BC1" s="2380"/>
      <c r="BD1" s="2380">
        <f>V108+V109</f>
        <v>22960889.819999997</v>
      </c>
      <c r="BE1" s="2380"/>
      <c r="BF1" s="2380">
        <f>V111</f>
        <v>8801123.3599999994</v>
      </c>
      <c r="BG1" s="2380"/>
      <c r="BH1" s="2380">
        <f>V112+V113</f>
        <v>9674371.3099999987</v>
      </c>
      <c r="BI1" s="2380"/>
      <c r="BJ1" s="2380">
        <f>V110</f>
        <v>11866981.109999999</v>
      </c>
      <c r="BK1" s="2380"/>
      <c r="BL1" s="2382"/>
      <c r="BM1" s="2382"/>
      <c r="BN1" s="2380">
        <f>V128</f>
        <v>8241614.3100000005</v>
      </c>
      <c r="BO1" s="2380"/>
      <c r="BP1" s="2380">
        <f>V140</f>
        <v>1001990.9199999999</v>
      </c>
      <c r="BQ1" s="2380"/>
      <c r="BR1" s="2380">
        <f>V120</f>
        <v>14330371.370000001</v>
      </c>
      <c r="BT1" s="2383">
        <f>AD1+AF1+AH1+AJ1+AL1+AN1+AP1+AR1+AT1+AV1+AX1+BB1+BD1+BF1+BH1+BJ1+BL1+BN1+BP1+BR1</f>
        <v>142077105.90000001</v>
      </c>
      <c r="BU1" s="2384"/>
      <c r="CB1" s="2385">
        <v>2</v>
      </c>
      <c r="CE1" s="2385">
        <v>3</v>
      </c>
      <c r="CF1" s="2386">
        <v>4</v>
      </c>
      <c r="CH1" s="2387"/>
    </row>
    <row r="2" ht="59.25" customHeight="1">
      <c r="A2" s="41" t="s">
        <v>24</v>
      </c>
      <c r="B2" s="2388"/>
      <c r="C2" s="2389" t="s">
        <v>865</v>
      </c>
      <c r="E2" s="2390" t="s">
        <v>866</v>
      </c>
      <c r="S2" s="2379"/>
      <c r="AD2" s="2391" t="s">
        <v>67</v>
      </c>
      <c r="AE2" s="2392" t="s">
        <v>867</v>
      </c>
      <c r="AF2" s="2393" t="s">
        <v>68</v>
      </c>
      <c r="AG2" s="22" t="s">
        <v>68</v>
      </c>
      <c r="AH2" s="2394" t="s">
        <v>69</v>
      </c>
      <c r="AI2" s="2395" t="s">
        <v>868</v>
      </c>
      <c r="AJ2" s="2396" t="s">
        <v>70</v>
      </c>
      <c r="AK2" s="2397" t="s">
        <v>70</v>
      </c>
      <c r="AL2" s="2394" t="s">
        <v>71</v>
      </c>
      <c r="AM2" s="2395" t="s">
        <v>71</v>
      </c>
      <c r="AN2" s="2393" t="s">
        <v>72</v>
      </c>
      <c r="AO2" s="2398" t="s">
        <v>869</v>
      </c>
      <c r="AP2" s="2399" t="s">
        <v>73</v>
      </c>
      <c r="AQ2" s="2395" t="s">
        <v>73</v>
      </c>
      <c r="AR2" s="2400" t="s">
        <v>74</v>
      </c>
      <c r="AS2" s="2401" t="s">
        <v>841</v>
      </c>
      <c r="AT2" s="2394" t="s">
        <v>75</v>
      </c>
      <c r="AU2" s="2395" t="s">
        <v>75</v>
      </c>
      <c r="AV2" s="2402" t="s">
        <v>76</v>
      </c>
      <c r="AW2" s="2403" t="s">
        <v>77</v>
      </c>
      <c r="AX2" s="2399" t="s">
        <v>77</v>
      </c>
      <c r="AY2" s="2395" t="s">
        <v>870</v>
      </c>
      <c r="AZ2" s="2404" t="s">
        <v>78</v>
      </c>
      <c r="BA2" s="2401" t="s">
        <v>78</v>
      </c>
      <c r="BB2" s="2399" t="s">
        <v>79</v>
      </c>
      <c r="BC2" s="2395" t="s">
        <v>871</v>
      </c>
      <c r="BD2" s="2398" t="s">
        <v>872</v>
      </c>
      <c r="BE2" s="2398" t="s">
        <v>872</v>
      </c>
      <c r="BF2" s="2405" t="s">
        <v>81</v>
      </c>
      <c r="BG2" s="2406" t="s">
        <v>397</v>
      </c>
      <c r="BH2" s="2407" t="s">
        <v>873</v>
      </c>
      <c r="BI2" s="2408" t="s">
        <v>874</v>
      </c>
      <c r="BJ2" s="2409" t="s">
        <v>875</v>
      </c>
      <c r="BK2" s="2409" t="s">
        <v>875</v>
      </c>
      <c r="BL2" s="2410" t="s">
        <v>876</v>
      </c>
      <c r="BM2" s="2410" t="s">
        <v>876</v>
      </c>
      <c r="BN2" s="2411" t="s">
        <v>877</v>
      </c>
      <c r="BO2" s="2412" t="s">
        <v>878</v>
      </c>
      <c r="BP2" s="2413"/>
      <c r="BQ2" s="2414" t="s">
        <v>53</v>
      </c>
      <c r="BR2" s="2415" t="s">
        <v>879</v>
      </c>
      <c r="BS2" s="2415" t="s">
        <v>879</v>
      </c>
      <c r="BT2" s="2416" t="s">
        <v>880</v>
      </c>
      <c r="BU2" s="2417" t="s">
        <v>881</v>
      </c>
      <c r="CE2" s="2418"/>
      <c r="CF2" s="2419" t="s">
        <v>882</v>
      </c>
      <c r="CG2" s="2419" t="s">
        <v>883</v>
      </c>
      <c r="CH2" s="2420" t="s">
        <v>884</v>
      </c>
    </row>
    <row r="3" ht="65.25" customHeight="1">
      <c r="A3" s="83"/>
      <c r="B3" s="2421"/>
      <c r="C3" s="2422"/>
      <c r="S3" s="2379"/>
      <c r="AC3" s="2423" t="s">
        <v>885</v>
      </c>
      <c r="AD3" s="2424"/>
      <c r="AE3" s="2425"/>
      <c r="AF3" s="163"/>
      <c r="AG3" s="167"/>
      <c r="AH3" s="2327"/>
      <c r="AI3" s="2328"/>
      <c r="AJ3" s="2426"/>
      <c r="AK3" s="2427"/>
      <c r="AL3" s="2327"/>
      <c r="AM3" s="2328"/>
      <c r="AN3" s="2428"/>
      <c r="AO3" s="2429"/>
      <c r="AP3" s="2327"/>
      <c r="AQ3" s="2328"/>
      <c r="AR3" s="2428"/>
      <c r="AS3" s="2429"/>
      <c r="AT3" s="2327"/>
      <c r="AU3" s="2328"/>
      <c r="AV3" s="2426"/>
      <c r="AW3" s="2427"/>
      <c r="AX3" s="2327"/>
      <c r="AY3" s="2328"/>
      <c r="AZ3" s="2428"/>
      <c r="BA3" s="2429"/>
      <c r="BB3" s="2327"/>
      <c r="BC3" s="2328"/>
      <c r="BD3" s="163"/>
      <c r="BE3" s="2430"/>
      <c r="BF3" s="2431"/>
      <c r="BG3" s="2432"/>
      <c r="BH3" s="2428"/>
      <c r="BI3" s="2429"/>
      <c r="BL3" s="167"/>
      <c r="BM3" s="167"/>
      <c r="BN3" s="2424"/>
      <c r="BO3" s="2425"/>
      <c r="BP3" s="163"/>
      <c r="BQ3" s="167"/>
      <c r="BR3" s="2431"/>
      <c r="BS3" s="2427"/>
      <c r="BT3" s="2433"/>
      <c r="BU3" s="2434"/>
      <c r="BV3" s="2419" t="s">
        <v>886</v>
      </c>
      <c r="BW3" s="2373" t="s">
        <v>887</v>
      </c>
      <c r="BX3" s="2373" t="s">
        <v>341</v>
      </c>
      <c r="BY3" s="2373" t="s">
        <v>888</v>
      </c>
      <c r="CB3" s="2435" t="s">
        <v>889</v>
      </c>
      <c r="CC3" s="2436"/>
      <c r="CD3" s="2437"/>
      <c r="CE3" s="2435" t="s">
        <v>890</v>
      </c>
      <c r="CF3" s="2435" t="s">
        <v>891</v>
      </c>
      <c r="CG3" s="2438" t="s">
        <v>892</v>
      </c>
      <c r="CH3" s="2439" t="s">
        <v>893</v>
      </c>
    </row>
    <row r="4" ht="15.75" customHeight="1">
      <c r="A4" s="83"/>
      <c r="B4" s="2421"/>
      <c r="C4" s="2422"/>
      <c r="AD4" s="2424" t="s">
        <v>108</v>
      </c>
      <c r="AE4" s="2425"/>
      <c r="AF4" s="163" t="s">
        <v>108</v>
      </c>
      <c r="AG4" s="167"/>
      <c r="AH4" s="2327" t="s">
        <v>108</v>
      </c>
      <c r="AI4" s="2328"/>
      <c r="AJ4" s="2426" t="s">
        <v>108</v>
      </c>
      <c r="AK4" s="2427"/>
      <c r="AL4" s="2327" t="s">
        <v>108</v>
      </c>
      <c r="AM4" s="2328"/>
      <c r="AN4" s="2428" t="s">
        <v>108</v>
      </c>
      <c r="AO4" s="2429"/>
      <c r="AP4" s="2327" t="s">
        <v>108</v>
      </c>
      <c r="AQ4" s="2328"/>
      <c r="AR4" s="2428" t="s">
        <v>108</v>
      </c>
      <c r="AS4" s="2429"/>
      <c r="AT4" s="2327" t="s">
        <v>108</v>
      </c>
      <c r="AU4" s="2328"/>
      <c r="AV4" s="2426" t="s">
        <v>108</v>
      </c>
      <c r="AW4" s="2427"/>
      <c r="AX4" s="2327" t="s">
        <v>108</v>
      </c>
      <c r="AY4" s="2328"/>
      <c r="AZ4" s="2428" t="s">
        <v>109</v>
      </c>
      <c r="BA4" s="2429"/>
      <c r="BB4" s="2327" t="s">
        <v>110</v>
      </c>
      <c r="BC4" s="2328"/>
      <c r="BD4" s="163" t="s">
        <v>108</v>
      </c>
      <c r="BE4" s="2430"/>
      <c r="BF4" s="2431" t="s">
        <v>108</v>
      </c>
      <c r="BG4" s="2432"/>
      <c r="BH4" s="2428" t="s">
        <v>108</v>
      </c>
      <c r="BI4" s="2429"/>
      <c r="BJ4" s="2327" t="s">
        <v>100</v>
      </c>
      <c r="BK4" s="2440"/>
      <c r="BL4" s="167" t="s">
        <v>108</v>
      </c>
      <c r="BM4" s="167"/>
      <c r="BN4" s="2424"/>
      <c r="BO4" s="2425"/>
      <c r="BP4" s="163" t="s">
        <v>108</v>
      </c>
      <c r="BQ4" s="167"/>
      <c r="BR4" s="2431"/>
      <c r="BS4" s="2427"/>
      <c r="BT4" s="2441" t="s">
        <v>113</v>
      </c>
      <c r="BU4" s="2441" t="s">
        <v>113</v>
      </c>
      <c r="BV4" s="2442"/>
      <c r="CH4" s="2443"/>
    </row>
    <row r="5" ht="23.25" customHeight="1">
      <c r="A5" s="155"/>
      <c r="B5" s="2444"/>
      <c r="C5" s="2445"/>
      <c r="D5" s="2446" t="s">
        <v>894</v>
      </c>
      <c r="E5" s="2447"/>
      <c r="F5" s="2447"/>
      <c r="G5" s="2447"/>
      <c r="H5" s="2447"/>
      <c r="I5" s="2447"/>
      <c r="J5" s="2447"/>
      <c r="K5" s="2447"/>
      <c r="L5" s="2447"/>
      <c r="M5" s="2447"/>
      <c r="N5" s="2447"/>
      <c r="O5" s="2447"/>
      <c r="P5" s="2447"/>
      <c r="Q5" s="2447"/>
      <c r="R5" s="2447"/>
      <c r="S5" s="2447"/>
      <c r="T5" s="2447"/>
      <c r="U5" s="2447"/>
      <c r="V5" s="2448"/>
      <c r="W5" s="2449"/>
      <c r="AD5" s="206" t="s">
        <v>139</v>
      </c>
      <c r="AE5" s="2450"/>
      <c r="AF5" s="207" t="s">
        <v>140</v>
      </c>
      <c r="AG5" s="216"/>
      <c r="AH5" s="2451" t="s">
        <v>141</v>
      </c>
      <c r="AI5" s="2452"/>
      <c r="AJ5" s="218" t="s">
        <v>142</v>
      </c>
      <c r="AK5" s="2453"/>
      <c r="AL5" s="2451" t="s">
        <v>143</v>
      </c>
      <c r="AM5" s="2452"/>
      <c r="AN5" s="237" t="s">
        <v>144</v>
      </c>
      <c r="AO5" s="235"/>
      <c r="AP5" s="2451" t="s">
        <v>145</v>
      </c>
      <c r="AQ5" s="2452"/>
      <c r="AR5" s="237" t="s">
        <v>146</v>
      </c>
      <c r="AS5" s="235"/>
      <c r="AT5" s="2451" t="s">
        <v>147</v>
      </c>
      <c r="AU5" s="2452"/>
      <c r="AV5" s="218" t="s">
        <v>148</v>
      </c>
      <c r="AW5" s="2453"/>
      <c r="AX5" s="2451" t="s">
        <v>149</v>
      </c>
      <c r="AY5" s="2452"/>
      <c r="AZ5" s="237" t="s">
        <v>150</v>
      </c>
      <c r="BA5" s="235"/>
      <c r="BB5" s="2451" t="s">
        <v>151</v>
      </c>
      <c r="BC5" s="2452"/>
      <c r="BD5" s="207" t="s">
        <v>152</v>
      </c>
      <c r="BE5" s="223"/>
      <c r="BF5" s="2454" t="s">
        <v>153</v>
      </c>
      <c r="BG5" s="2455"/>
      <c r="BH5" s="237" t="s">
        <v>154</v>
      </c>
      <c r="BI5" s="235"/>
      <c r="BJ5" s="2451" t="s">
        <v>155</v>
      </c>
      <c r="BK5" s="2456"/>
      <c r="BL5" s="216" t="s">
        <v>156</v>
      </c>
      <c r="BM5" s="216"/>
      <c r="BN5" s="206" t="s">
        <v>157</v>
      </c>
      <c r="BO5" s="2450"/>
      <c r="BP5" s="207" t="s">
        <v>158</v>
      </c>
      <c r="BQ5" s="216"/>
      <c r="BR5" s="2454" t="s">
        <v>159</v>
      </c>
      <c r="BS5" s="2453"/>
      <c r="BT5" s="2457" t="s">
        <v>160</v>
      </c>
      <c r="BU5" s="2458"/>
      <c r="BV5" s="222"/>
      <c r="CA5" s="2459" t="s">
        <v>895</v>
      </c>
      <c r="CB5" s="2460">
        <f>CB91</f>
        <v>138248155.79888546</v>
      </c>
      <c r="CE5" s="2461">
        <f>AC120</f>
        <v>147382513.18000004</v>
      </c>
      <c r="CH5" s="2462"/>
    </row>
    <row r="6" ht="15.75" customHeight="1">
      <c r="A6" s="206" t="s">
        <v>135</v>
      </c>
      <c r="B6" s="216"/>
      <c r="C6" s="2463"/>
      <c r="D6" s="2464" t="s">
        <v>6</v>
      </c>
      <c r="E6" s="1462" t="s">
        <v>7</v>
      </c>
      <c r="F6" s="1462" t="s">
        <v>8</v>
      </c>
      <c r="G6" s="2080" t="s">
        <v>9</v>
      </c>
      <c r="H6" s="2126" t="s">
        <v>10</v>
      </c>
      <c r="I6" s="1446" t="s">
        <v>11</v>
      </c>
      <c r="J6" s="1446" t="s">
        <v>12</v>
      </c>
      <c r="K6" s="2465" t="s">
        <v>174</v>
      </c>
      <c r="L6" s="2466" t="s">
        <v>175</v>
      </c>
      <c r="M6" s="2260" t="s">
        <v>14</v>
      </c>
      <c r="N6" s="1446" t="s">
        <v>15</v>
      </c>
      <c r="O6" s="1446" t="s">
        <v>16</v>
      </c>
      <c r="P6" s="1944" t="s">
        <v>17</v>
      </c>
      <c r="Q6" s="2466" t="s">
        <v>176</v>
      </c>
      <c r="R6" s="2126" t="s">
        <v>18</v>
      </c>
      <c r="S6" s="1446" t="s">
        <v>19</v>
      </c>
      <c r="T6" s="1446" t="s">
        <v>20</v>
      </c>
      <c r="U6" s="1944" t="s">
        <v>177</v>
      </c>
      <c r="V6" s="2467" t="s">
        <v>22</v>
      </c>
      <c r="W6" s="1415"/>
      <c r="AD6" s="2468"/>
      <c r="AE6" s="2469"/>
      <c r="AF6" s="2470"/>
      <c r="AG6" s="2471"/>
      <c r="AH6" s="2472"/>
      <c r="AI6" s="2473"/>
      <c r="AJ6" s="2474"/>
      <c r="AK6" s="2475"/>
      <c r="AL6" s="2472"/>
      <c r="AM6" s="2473"/>
      <c r="AN6" s="2476"/>
      <c r="AO6" s="2477"/>
      <c r="AP6" s="2472"/>
      <c r="AQ6" s="2473"/>
      <c r="AR6" s="2476"/>
      <c r="AS6" s="2477"/>
      <c r="AT6" s="2472"/>
      <c r="AU6" s="2473"/>
      <c r="AV6" s="2476"/>
      <c r="AW6" s="2477"/>
      <c r="AX6" s="2472"/>
      <c r="AY6" s="2473"/>
      <c r="AZ6" s="2476"/>
      <c r="BA6" s="2477"/>
      <c r="BB6" s="2472"/>
      <c r="BC6" s="2473"/>
      <c r="BD6" s="2470"/>
      <c r="BE6" s="2471"/>
      <c r="BF6" s="2478"/>
      <c r="BG6" s="2479"/>
      <c r="BH6" s="2476"/>
      <c r="BI6" s="2477"/>
      <c r="BJ6" s="2472"/>
      <c r="BK6" s="2473"/>
      <c r="BL6" s="2470"/>
      <c r="BM6" s="2480"/>
      <c r="BN6" s="2468"/>
      <c r="BO6" s="2469"/>
      <c r="BP6" s="2470"/>
      <c r="BQ6" s="2471"/>
      <c r="BR6" s="2478"/>
      <c r="BS6" s="2475"/>
      <c r="BT6" s="2481"/>
      <c r="BU6" s="2482"/>
      <c r="BV6" s="222"/>
      <c r="CD6" s="2377">
        <f t="shared" ref="CD6:CD23" si="2422">CB6*100/$CB$91</f>
        <v>0</v>
      </c>
      <c r="CH6" s="2443"/>
    </row>
    <row r="7" ht="15.75" customHeight="1">
      <c r="A7" s="247"/>
      <c r="B7" s="2483"/>
      <c r="C7" s="2484"/>
      <c r="G7" s="2485"/>
      <c r="H7" s="2486"/>
      <c r="I7" s="2487"/>
      <c r="J7" s="2486"/>
      <c r="K7" s="2488"/>
      <c r="L7" s="2489"/>
      <c r="P7" s="1507"/>
      <c r="Q7" s="2490"/>
      <c r="S7" s="2491"/>
      <c r="U7" s="1482"/>
      <c r="V7" s="2492"/>
      <c r="W7" s="2493"/>
      <c r="AC7" s="2388" t="s">
        <v>178</v>
      </c>
      <c r="AD7" s="2494">
        <f>АНАЛИЗ!G11</f>
        <v>1733.4689988858129</v>
      </c>
      <c r="AE7" s="2494">
        <f>АНАЛИЗ!H11</f>
        <v>0</v>
      </c>
      <c r="AF7" s="2494">
        <f>АНАЛИЗ!I11</f>
        <v>0</v>
      </c>
      <c r="AG7" s="2494"/>
      <c r="AH7" s="2494">
        <f>АНАЛИЗ!K11</f>
        <v>9595.3001914560609</v>
      </c>
      <c r="AI7" s="2494"/>
      <c r="AJ7" s="2494">
        <f>АНАЛИЗ!M11</f>
        <v>16111.356441230721</v>
      </c>
      <c r="AK7" s="2494"/>
      <c r="AL7" s="2494">
        <f>АНАЛИЗ!O11</f>
        <v>147.40360081418561</v>
      </c>
      <c r="AM7" s="2494"/>
      <c r="AN7" s="2494">
        <f>АНАЛИЗ!Q11</f>
        <v>134134.75613930711</v>
      </c>
      <c r="AO7" s="2494"/>
      <c r="AP7" s="2494">
        <f>АНАЛИЗ!S11</f>
        <v>139.50703374978804</v>
      </c>
      <c r="AQ7" s="2494"/>
      <c r="AR7" s="2494">
        <f>АНАЛИЗ!U11</f>
        <v>632.98305736188479</v>
      </c>
      <c r="AS7" s="2494"/>
      <c r="AT7" s="2494">
        <f>АНАЛИЗ!W11</f>
        <v>0</v>
      </c>
      <c r="AU7" s="2494"/>
      <c r="AV7" s="2494">
        <f>АНАЛИЗ!Y11</f>
        <v>662.97069409342578</v>
      </c>
      <c r="AW7" s="2494"/>
      <c r="AX7" s="2494">
        <f>АНАЛИЗ!AA11</f>
        <v>0</v>
      </c>
      <c r="AY7" s="2494"/>
      <c r="AZ7" s="2494">
        <f>АНАЛИЗ!AC11</f>
        <v>0</v>
      </c>
      <c r="BA7" s="2494"/>
      <c r="BB7" s="2494">
        <f>АНАЛИЗ!AE11</f>
        <v>0</v>
      </c>
      <c r="BC7" s="2494"/>
      <c r="BD7" s="2494">
        <f>АНАЛИЗ!AG11</f>
        <v>0</v>
      </c>
      <c r="BE7" s="2494"/>
      <c r="BF7" s="2494">
        <f>АНАЛИЗ!AI11</f>
        <v>0</v>
      </c>
      <c r="BG7" s="2494"/>
      <c r="BH7" s="2494">
        <f>АНАЛИЗ!AK11</f>
        <v>0</v>
      </c>
      <c r="BI7" s="2494"/>
      <c r="BJ7" s="2494">
        <f>АНАЛИЗ!AM11</f>
        <v>0</v>
      </c>
      <c r="BK7" s="2494"/>
      <c r="BL7" s="2494">
        <f>АНАЛИЗ!AO11</f>
        <v>0</v>
      </c>
      <c r="BM7" s="2494"/>
      <c r="BN7" s="2494">
        <f>АНАЛИЗ!AQ11</f>
        <v>627.46604445268315</v>
      </c>
      <c r="BO7" s="2494"/>
      <c r="BP7" s="2494">
        <f>АНАЛИЗ!AS11</f>
        <v>1628.8635863811028</v>
      </c>
      <c r="BQ7" s="2494"/>
      <c r="BR7" s="2494">
        <f>АНАЛИЗ!AU11</f>
        <v>40974.517432484739</v>
      </c>
      <c r="BS7" s="2495"/>
      <c r="BT7" s="2496"/>
      <c r="BU7" s="2497"/>
      <c r="BV7" s="222">
        <v>30</v>
      </c>
      <c r="BX7">
        <f t="shared" ref="BX7:BX23" si="2423">BV7*100/$BV$69</f>
        <v>2.9880478087649402</v>
      </c>
      <c r="BY7" s="2418">
        <f t="shared" ref="BY7:BY23" si="2424">$BY$70*BX7/100</f>
        <v>975055.19233198883</v>
      </c>
      <c r="CB7" s="2367">
        <f>AE8+AG8+AI8+AK8+AM8+AO8+AQ8+AS8+AU8+AW8+AY8+BC8+BE8+BG8+BI8+BK8+BM8+BO8+BQ8+BS8</f>
        <v>969911.22176776733</v>
      </c>
      <c r="CD7" s="2377">
        <f t="shared" si="2422"/>
        <v>0.7015726294235215</v>
      </c>
      <c r="CE7" s="2369">
        <f>CD7*$CE$5/100</f>
        <v>1033995.3730273944</v>
      </c>
      <c r="CF7" s="2418">
        <f t="shared" ref="CF7:CF22" si="2425">V8+CB7</f>
        <v>4314840.401767767</v>
      </c>
      <c r="CG7" s="2418">
        <f t="shared" ref="CG7:CG22" si="2426">V8+CB7+CE7</f>
        <v>5348835.7747951616</v>
      </c>
      <c r="CH7" s="2443">
        <f t="shared" ref="CH7:CH27" si="2427">CE7+CF7</f>
        <v>5348835.7747951616</v>
      </c>
    </row>
    <row r="8" ht="15.75">
      <c r="A8" s="283" t="s">
        <v>178</v>
      </c>
      <c r="B8" s="2388"/>
      <c r="C8" s="2498">
        <v>151</v>
      </c>
      <c r="D8" s="2499">
        <v>1737435.27</v>
      </c>
      <c r="E8" s="2499">
        <f>1607493.91</f>
        <v>1607493.9099999999</v>
      </c>
      <c r="F8" s="2499"/>
      <c r="G8" s="2500">
        <f t="shared" ref="G8:G9" si="2428">D8+E8+F8</f>
        <v>3344929.1799999997</v>
      </c>
      <c r="H8" s="2486"/>
      <c r="I8" s="2487"/>
      <c r="J8" s="2486"/>
      <c r="K8" s="2488">
        <f t="shared" ref="K8:K16" si="2429">H8+I8+J8</f>
        <v>0</v>
      </c>
      <c r="L8" s="2501">
        <f>G8+K8</f>
        <v>3344929.1799999997</v>
      </c>
      <c r="M8" s="2502"/>
      <c r="N8" s="2502"/>
      <c r="O8" s="2503"/>
      <c r="P8" s="2504">
        <f>M8+N8+O8</f>
        <v>0</v>
      </c>
      <c r="Q8" s="2505">
        <f t="shared" ref="Q8:Q70" si="2430">L8+P8</f>
        <v>3344929.1799999997</v>
      </c>
      <c r="R8" s="2502"/>
      <c r="S8" s="2506"/>
      <c r="T8" s="2502"/>
      <c r="U8" s="2507">
        <f t="shared" ref="U8:U71" si="2431">R8+S8+T8</f>
        <v>0</v>
      </c>
      <c r="V8" s="2508">
        <f t="shared" ref="V8:V71" si="2432">Q8+U8</f>
        <v>3344929.1799999997</v>
      </c>
      <c r="W8" s="2509"/>
      <c r="AC8" s="2510"/>
      <c r="AD8" s="2511">
        <f>AD7*100/AD$98</f>
        <v>0.028579539349531887</v>
      </c>
      <c r="AE8" s="2512">
        <f>$AD$1*AD8/100</f>
        <v>2844.4511028944121</v>
      </c>
      <c r="AF8" s="2513">
        <f>AF7*100/AF$98</f>
        <v>0</v>
      </c>
      <c r="AG8" s="2514">
        <f>$AF$1*AF8/100</f>
        <v>0</v>
      </c>
      <c r="AH8" s="2511">
        <f>AH7*100/AH$98</f>
        <v>1.6658012254647419</v>
      </c>
      <c r="AI8" s="2512">
        <f>$AH$1*AH8/100</f>
        <v>171487.27794329627</v>
      </c>
      <c r="AJ8" s="2513">
        <f>AJ7*100/AJ$98</f>
        <v>1.1409235191950649</v>
      </c>
      <c r="AK8" s="2514"/>
      <c r="AL8" s="2511">
        <f>AL7*100/AL$98</f>
        <v>0.053333333333333337</v>
      </c>
      <c r="AM8" s="2512">
        <f>$AL$1*AL8/100</f>
        <v>721.007024</v>
      </c>
      <c r="AN8" s="2513">
        <f>AN7*100/AN$98</f>
        <v>2.8169158199547746</v>
      </c>
      <c r="AO8" s="2514">
        <f>$AN$1*AN8/100</f>
        <v>309894.24628193723</v>
      </c>
      <c r="AP8" s="2511">
        <f>AP7*100/AP$98</f>
        <v>0.48672003427284605</v>
      </c>
      <c r="AQ8" s="2512">
        <f>$AP$1*AP8/100</f>
        <v>31057.836578966584</v>
      </c>
      <c r="AR8" s="2513">
        <f>AR7*100/AR$98</f>
        <v>0.20893895348837208</v>
      </c>
      <c r="AS8" s="2514">
        <f>$AR$1*AR8/100</f>
        <v>8368.8459202398262</v>
      </c>
      <c r="AT8" s="2511">
        <f>AT7*100/AT$98</f>
        <v>0</v>
      </c>
      <c r="AU8" s="2512">
        <f>$AT$1*AT8/100</f>
        <v>0</v>
      </c>
      <c r="AV8" s="2513">
        <f>AV7*100/AV$98</f>
        <v>0.9797566906329267</v>
      </c>
      <c r="AW8" s="2514">
        <f>$AV$1*AV8/100</f>
        <v>63611.351934223298</v>
      </c>
      <c r="AX8" s="2511">
        <f>AX7*100/AX$98</f>
        <v>0</v>
      </c>
      <c r="AY8" s="2512"/>
      <c r="AZ8" s="2513" t="e">
        <f>AZ7*100/AZ$98</f>
        <v>#DIV/0!</v>
      </c>
      <c r="BA8" s="2515" t="e">
        <f>$AZ$1*AZ8/100</f>
        <v>#DIV/0!</v>
      </c>
      <c r="BB8" s="2511">
        <f>BB7*100/BB$98</f>
        <v>0</v>
      </c>
      <c r="BC8" s="2512"/>
      <c r="BD8" s="2513">
        <f>BD7*100/BD$98</f>
        <v>0</v>
      </c>
      <c r="BE8" s="2514">
        <f>$BD$1*BD8/100</f>
        <v>0</v>
      </c>
      <c r="BF8" s="2511">
        <f>BF7*100/BF$98</f>
        <v>0</v>
      </c>
      <c r="BG8" s="2512"/>
      <c r="BH8" s="2513">
        <f>BH7*100/BH$98</f>
        <v>0</v>
      </c>
      <c r="BI8" s="2514"/>
      <c r="BJ8" s="2511">
        <f>BJ7*100/BJ$98</f>
        <v>0</v>
      </c>
      <c r="BK8" s="2512"/>
      <c r="BL8" s="2513">
        <f>BL7*100/BL$98</f>
        <v>0</v>
      </c>
      <c r="BM8" s="2516"/>
      <c r="BN8" s="2511">
        <f>BN7*100/BN$98</f>
        <v>0.18484288354898337</v>
      </c>
      <c r="BO8" s="2514">
        <f>$BN$1*BN8/100</f>
        <v>15234.037541589651</v>
      </c>
      <c r="BP8" s="2513">
        <f>BP7*100/BP$98</f>
        <v>1.0041731872717787</v>
      </c>
      <c r="BQ8" s="2514">
        <f>$BP$1*BP8/100</f>
        <v>10061.724157537818</v>
      </c>
      <c r="BR8" s="2511">
        <f>BR7*100/BR$98</f>
        <v>2.4886336444125394</v>
      </c>
      <c r="BS8" s="2514">
        <f>$BR$1*BR8/100</f>
        <v>356630.44328308216</v>
      </c>
      <c r="BT8" s="2517">
        <f>AE8+AG8+AI8+AK8+AM8+AO8+AQ8+AS8+AU8+AW8+AY8+BC8+BE8+BG8+BI8+BK8+BM8+BO8+BQ8+BS8</f>
        <v>969911.22176776733</v>
      </c>
      <c r="BU8" s="2518">
        <f>BT8-AE8-AG8-BE8-BG8-BI8-BK8</f>
        <v>967066.77066487295</v>
      </c>
      <c r="BV8" s="222"/>
      <c r="BX8">
        <f t="shared" si="2423"/>
        <v>0</v>
      </c>
      <c r="BY8" s="2418">
        <f t="shared" si="2424"/>
        <v>0</v>
      </c>
      <c r="CB8" s="2367">
        <f>AE9+AG9+AI9+AK9+AM9+AO9+AQ9+AS9+AU9+AW9+AY9+BA9+BC9+BE9+BG9+BI9+BK9+BM9+BO9+BQ9+BS9</f>
        <v>0</v>
      </c>
      <c r="CD8" s="2377">
        <f t="shared" si="2422"/>
        <v>0</v>
      </c>
      <c r="CE8" s="2369"/>
      <c r="CF8" s="2418">
        <f t="shared" si="2425"/>
        <v>0</v>
      </c>
      <c r="CG8" s="2418">
        <f t="shared" si="2426"/>
        <v>0</v>
      </c>
      <c r="CH8" s="2462">
        <f t="shared" si="2427"/>
        <v>0</v>
      </c>
      <c r="CK8" s="2371">
        <f>$AP$1*AP8</f>
        <v>3105783.6578966584</v>
      </c>
    </row>
    <row r="9" ht="15.75" customHeight="1">
      <c r="A9" s="329"/>
      <c r="B9" s="2510"/>
      <c r="C9" s="2519"/>
      <c r="D9" s="2520"/>
      <c r="E9" s="2520"/>
      <c r="F9" s="2520"/>
      <c r="G9" s="2521">
        <f t="shared" si="2428"/>
        <v>0</v>
      </c>
      <c r="H9" s="2522"/>
      <c r="I9" s="2523"/>
      <c r="J9" s="2522"/>
      <c r="K9" s="2524">
        <f t="shared" si="2429"/>
        <v>0</v>
      </c>
      <c r="L9" s="2501"/>
      <c r="M9" s="2525"/>
      <c r="N9" s="2525"/>
      <c r="O9" s="2526"/>
      <c r="P9" s="2527"/>
      <c r="Q9" s="2528">
        <f t="shared" si="2430"/>
        <v>0</v>
      </c>
      <c r="R9" s="2525"/>
      <c r="S9" s="2529"/>
      <c r="T9" s="2525"/>
      <c r="U9" s="2530">
        <f t="shared" si="2431"/>
        <v>0</v>
      </c>
      <c r="V9" s="2531">
        <f t="shared" si="2432"/>
        <v>0</v>
      </c>
      <c r="W9" s="2509"/>
      <c r="AC9" s="2388" t="s">
        <v>179</v>
      </c>
      <c r="AD9" s="2494">
        <f>АНАЛИЗ!G13</f>
        <v>0</v>
      </c>
      <c r="AE9" s="2532"/>
      <c r="AF9" s="2494">
        <f>АНАЛИЗ!I13</f>
        <v>0</v>
      </c>
      <c r="AG9" s="2532"/>
      <c r="AH9" s="2494">
        <f>АНАЛИЗ!K13</f>
        <v>48885.781274675144</v>
      </c>
      <c r="AI9" s="2532"/>
      <c r="AJ9" s="2494">
        <f>АНАЛИЗ!M13</f>
        <v>100347.10980325591</v>
      </c>
      <c r="AK9" s="2532"/>
      <c r="AL9" s="2494">
        <f>АНАЛИЗ!O13</f>
        <v>29988.443676752653</v>
      </c>
      <c r="AM9" s="2532"/>
      <c r="AN9" s="2494">
        <f>АНАЛИЗ!Q13</f>
        <v>265175.59400224441</v>
      </c>
      <c r="AO9" s="2532"/>
      <c r="AP9" s="2494">
        <f>АНАЛИЗ!S13</f>
        <v>377.63110859856414</v>
      </c>
      <c r="AQ9" s="2512"/>
      <c r="AR9" s="2494">
        <f>АНАЛИЗ!U13</f>
        <v>22429.617032605915</v>
      </c>
      <c r="AS9" s="2532"/>
      <c r="AT9" s="2494">
        <f>АНАЛИЗ!W13</f>
        <v>715.35612234610892</v>
      </c>
      <c r="AU9" s="2532"/>
      <c r="AV9" s="2494">
        <f>АНАЛИЗ!Y13</f>
        <v>2580.8954745204874</v>
      </c>
      <c r="AW9" s="2532"/>
      <c r="AX9" s="2494">
        <f>АНАЛИЗ!AA13</f>
        <v>0</v>
      </c>
      <c r="AY9" s="2532"/>
      <c r="AZ9" s="2494">
        <f>АНАЛИЗ!AC13</f>
        <v>0</v>
      </c>
      <c r="BA9" s="2532"/>
      <c r="BB9" s="2494">
        <f>АНАЛИЗ!AE13</f>
        <v>0</v>
      </c>
      <c r="BC9" s="2532"/>
      <c r="BD9" s="2494">
        <f>АНАЛИЗ!AG13</f>
        <v>356673.70482192497</v>
      </c>
      <c r="BE9" s="2532"/>
      <c r="BF9" s="2494">
        <f>АНАЛИЗ!AI13</f>
        <v>0</v>
      </c>
      <c r="BG9" s="2532"/>
      <c r="BH9" s="2494">
        <f>АНАЛИЗ!AK13</f>
        <v>0</v>
      </c>
      <c r="BI9" s="2532"/>
      <c r="BJ9" s="2494">
        <f>АНАЛИЗ!AM13</f>
        <v>0</v>
      </c>
      <c r="BK9" s="2532"/>
      <c r="BL9" s="2494">
        <f>АНАЛИЗ!AO13</f>
        <v>0</v>
      </c>
      <c r="BM9" s="2532"/>
      <c r="BN9" s="2494">
        <f>АНАЛИЗ!AQ13</f>
        <v>0</v>
      </c>
      <c r="BO9" s="2532"/>
      <c r="BP9" s="2494">
        <f>АНАЛИЗ!AS13</f>
        <v>3828.8871316231116</v>
      </c>
      <c r="BQ9" s="2532"/>
      <c r="BR9" s="2494">
        <f>АНАЛИЗ!AU13</f>
        <v>54764.018491494018</v>
      </c>
      <c r="BS9" s="865"/>
      <c r="BT9" s="2496"/>
      <c r="BU9" s="2497"/>
      <c r="BV9" s="222">
        <v>40</v>
      </c>
      <c r="BX9">
        <f t="shared" si="2423"/>
        <v>3.9840637450199203</v>
      </c>
      <c r="BY9" s="2418">
        <f t="shared" si="2424"/>
        <v>1300073.5897759851</v>
      </c>
      <c r="CB9" s="2367">
        <f>AE10+AG10+AI10+AK10+AM10+AO10+AQ10+AS10+AU10+AW10+AY10+BC10+BE10+BG10+BI10+BK10+BM10+BO10+BQ10+BS10</f>
        <v>3970821.0505249007</v>
      </c>
      <c r="CD9" s="2377">
        <f t="shared" si="2422"/>
        <v>2.8722416061024321</v>
      </c>
      <c r="CE9" s="2369">
        <f>CD9*$CE$5/100</f>
        <v>4233181.8636753615</v>
      </c>
      <c r="CF9" s="2418">
        <f t="shared" si="2425"/>
        <v>7408084.9405249003</v>
      </c>
      <c r="CG9" s="2418">
        <f t="shared" si="2426"/>
        <v>11641266.804200262</v>
      </c>
      <c r="CH9" s="2462">
        <f t="shared" si="2427"/>
        <v>11641266.804200262</v>
      </c>
    </row>
    <row r="10" ht="15.75" customHeight="1">
      <c r="A10" s="283" t="s">
        <v>179</v>
      </c>
      <c r="B10" s="2388"/>
      <c r="C10" s="2498">
        <v>111</v>
      </c>
      <c r="D10" s="2367">
        <v>1870396.5900000001</v>
      </c>
      <c r="E10" s="2367">
        <f>1566867.3</f>
        <v>1566867.3</v>
      </c>
      <c r="G10" s="2500">
        <f t="shared" ref="G10:G29" si="2433">D10+E10+F10</f>
        <v>3437263.8900000001</v>
      </c>
      <c r="H10" s="2486"/>
      <c r="I10" s="2487"/>
      <c r="J10" s="2486"/>
      <c r="K10" s="2533">
        <f>H10+I10+J10</f>
        <v>0</v>
      </c>
      <c r="L10" s="2501">
        <f>G10+K10</f>
        <v>3437263.8900000001</v>
      </c>
      <c r="N10" s="2369"/>
      <c r="O10" s="2534"/>
      <c r="P10" s="2535">
        <f t="shared" ref="P10:P73" si="2434">M10+N10+O10</f>
        <v>0</v>
      </c>
      <c r="Q10" s="2536">
        <f t="shared" si="2430"/>
        <v>3437263.8900000001</v>
      </c>
      <c r="S10" s="2537"/>
      <c r="U10" s="2538">
        <f t="shared" si="2431"/>
        <v>0</v>
      </c>
      <c r="V10" s="2539">
        <f>Q10+U10</f>
        <v>3437263.8900000001</v>
      </c>
      <c r="W10" s="2509"/>
      <c r="AC10" s="2510"/>
      <c r="AD10" s="2511">
        <f>AD9*100/AD$98</f>
        <v>0</v>
      </c>
      <c r="AE10" s="2512">
        <f>$AD$1*AD10/100</f>
        <v>0</v>
      </c>
      <c r="AF10" s="2513">
        <f t="shared" ref="AF10:BR10" si="2435">AF9*100/AF$98</f>
        <v>0</v>
      </c>
      <c r="AG10" s="2514">
        <f>$AF$1*AF10/100</f>
        <v>0</v>
      </c>
      <c r="AH10" s="2511">
        <f t="shared" si="2435"/>
        <v>8.4868626025547815</v>
      </c>
      <c r="AI10" s="2512">
        <f>$AH$1*AH10/100</f>
        <v>873687.05445923761</v>
      </c>
      <c r="AJ10" s="2513">
        <f t="shared" si="2435"/>
        <v>7.1060669581361919</v>
      </c>
      <c r="AK10" s="2514"/>
      <c r="AL10" s="2511">
        <f t="shared" si="2435"/>
        <v>10.850370370370372</v>
      </c>
      <c r="AM10" s="2512">
        <f>$AL$1*AL10/100</f>
        <v>146684.87343822225</v>
      </c>
      <c r="AN10" s="2513">
        <f t="shared" si="2435"/>
        <v>5.5688573738117899</v>
      </c>
      <c r="AO10" s="2514">
        <f>$AN$1*AN10/100</f>
        <v>612640.55045021547</v>
      </c>
      <c r="AP10" s="2511">
        <f t="shared" si="2435"/>
        <v>1.317500782428221</v>
      </c>
      <c r="AQ10" s="2512"/>
      <c r="AR10" s="2513">
        <f t="shared" si="2435"/>
        <v>7.4037063953488351</v>
      </c>
      <c r="AS10" s="2514">
        <f>$AR$1*AR10/100</f>
        <v>296548.23586936767</v>
      </c>
      <c r="AT10" s="2511">
        <f t="shared" si="2435"/>
        <v>5.3985018726591747</v>
      </c>
      <c r="AU10" s="2512">
        <f>$AT$1*AT10/100</f>
        <v>289001.71653790254</v>
      </c>
      <c r="AV10" s="2513">
        <f t="shared" si="2435"/>
        <v>3.8141197363836303</v>
      </c>
      <c r="AW10" s="2514">
        <f>$AV$1*AV10/100</f>
        <v>247634.24959479662</v>
      </c>
      <c r="AX10" s="2511">
        <f t="shared" si="2435"/>
        <v>0</v>
      </c>
      <c r="AY10" s="2512"/>
      <c r="AZ10" s="2513" t="e">
        <f t="shared" si="2435"/>
        <v>#DIV/0!</v>
      </c>
      <c r="BA10" s="2514" t="e">
        <f>$AZ$1*AZ10/100</f>
        <v>#DIV/0!</v>
      </c>
      <c r="BB10" s="2511">
        <f t="shared" si="2435"/>
        <v>0</v>
      </c>
      <c r="BC10" s="2512"/>
      <c r="BD10" s="2513">
        <f t="shared" si="2435"/>
        <v>4.3740573152337854</v>
      </c>
      <c r="BE10" s="2514">
        <f>$BD$1*BD10/100</f>
        <v>1004322.4808144794</v>
      </c>
      <c r="BF10" s="2511">
        <f t="shared" si="2435"/>
        <v>0</v>
      </c>
      <c r="BG10" s="2512"/>
      <c r="BH10" s="2513">
        <f t="shared" si="2435"/>
        <v>0</v>
      </c>
      <c r="BI10" s="2514"/>
      <c r="BJ10" s="2511">
        <f t="shared" si="2435"/>
        <v>0</v>
      </c>
      <c r="BK10" s="2512"/>
      <c r="BL10" s="2513">
        <f t="shared" si="2435"/>
        <v>0</v>
      </c>
      <c r="BM10" s="2516"/>
      <c r="BN10" s="2511">
        <f t="shared" si="2435"/>
        <v>0</v>
      </c>
      <c r="BO10" s="2514">
        <f>$BN$1*BN10/100</f>
        <v>0</v>
      </c>
      <c r="BP10" s="2513">
        <f t="shared" si="2435"/>
        <v>2.3604590505998955</v>
      </c>
      <c r="BQ10" s="2514">
        <f>$BP$1*BP10/100</f>
        <v>23651.585357329157</v>
      </c>
      <c r="BR10" s="2511">
        <f t="shared" si="2435"/>
        <v>3.3261545824359899</v>
      </c>
      <c r="BS10" s="2514">
        <f>$BR$1*BR10/100</f>
        <v>476650.3040033502</v>
      </c>
      <c r="BT10" s="2517">
        <f>AE10+AG10+AI10+AK10+AM10+AO10+AQ10+AS10+AU10+AW10+AY10+BC10+BE10+BG10+BI10+BK10+BM10+BO10+BQ10+BS10</f>
        <v>3970821.0505249007</v>
      </c>
      <c r="BU10" s="2518">
        <f>BT10-AE10-AG10-BE10-BG10-BI10-BK10</f>
        <v>2966498.5697104214</v>
      </c>
      <c r="BV10" s="222"/>
      <c r="BX10">
        <f t="shared" si="2423"/>
        <v>0</v>
      </c>
      <c r="BY10" s="2418">
        <f t="shared" si="2424"/>
        <v>0</v>
      </c>
      <c r="CB10" s="2367">
        <f>AE11+AG11+AI11+AK11+AM11+AO11+AQ11+AS11+AU11+AW11+AY11+BA11+BC11+BE11+BG11+BI11+BK11+BM11+BO11+BQ11+BS11</f>
        <v>0</v>
      </c>
      <c r="CD10" s="2377">
        <f t="shared" si="2422"/>
        <v>0</v>
      </c>
      <c r="CE10" s="2369"/>
      <c r="CF10" s="2418">
        <f t="shared" si="2425"/>
        <v>0</v>
      </c>
      <c r="CG10" s="2418">
        <f t="shared" si="2426"/>
        <v>0</v>
      </c>
      <c r="CH10" s="2462">
        <f t="shared" si="2427"/>
        <v>0</v>
      </c>
    </row>
    <row r="11" ht="15.75" customHeight="1">
      <c r="A11" s="329"/>
      <c r="B11" s="2510"/>
      <c r="C11" s="2519"/>
      <c r="G11" s="2521">
        <f t="shared" si="2433"/>
        <v>0</v>
      </c>
      <c r="H11" s="2522"/>
      <c r="I11" s="2523"/>
      <c r="J11" s="2522"/>
      <c r="K11" s="2533"/>
      <c r="L11" s="2501"/>
      <c r="N11" s="2369"/>
      <c r="O11" s="2370"/>
      <c r="P11" s="2535"/>
      <c r="Q11" s="2536">
        <f t="shared" si="2430"/>
        <v>0</v>
      </c>
      <c r="S11" s="2537"/>
      <c r="U11" s="2538">
        <f t="shared" si="2431"/>
        <v>0</v>
      </c>
      <c r="V11" s="2539">
        <f t="shared" si="2432"/>
        <v>0</v>
      </c>
      <c r="W11" s="2509"/>
      <c r="AC11" s="2388" t="s">
        <v>181</v>
      </c>
      <c r="AD11" s="2494">
        <f>АНАЛИЗ!G15</f>
        <v>0</v>
      </c>
      <c r="AE11" s="2532"/>
      <c r="AF11" s="2494">
        <f>АНАЛИЗ!I15</f>
        <v>5110149.0046696067</v>
      </c>
      <c r="AG11" s="2532"/>
      <c r="AH11" s="2494">
        <f>АНАЛИЗ!K15</f>
        <v>13005.101381686707</v>
      </c>
      <c r="AI11" s="2532"/>
      <c r="AJ11" s="2494">
        <f>АНАЛИЗ!M15</f>
        <v>35478.813790531691</v>
      </c>
      <c r="AK11" s="2532"/>
      <c r="AL11" s="2494">
        <f>АНАЛИЗ!O15</f>
        <v>2571.3739253141271</v>
      </c>
      <c r="AM11" s="2532"/>
      <c r="AN11" s="2494">
        <f>АНАЛИЗ!Q15</f>
        <v>291948.94979539711</v>
      </c>
      <c r="AO11" s="2532"/>
      <c r="AP11" s="2494">
        <f>АНАЛИЗ!S15</f>
        <v>1669.2738176267737</v>
      </c>
      <c r="AQ11" s="2532"/>
      <c r="AR11" s="2494">
        <f>АНАЛИЗ!U15</f>
        <v>8311.3427531864872</v>
      </c>
      <c r="AS11" s="2532"/>
      <c r="AT11" s="2494">
        <f>АНАЛИЗ!W15</f>
        <v>9.5288175031533875</v>
      </c>
      <c r="AU11" s="2532"/>
      <c r="AV11" s="2494">
        <f>АНАЛИЗ!Y15</f>
        <v>7879.5905057069494</v>
      </c>
      <c r="AW11" s="2532"/>
      <c r="AX11" s="2494">
        <f>АНАЛИЗ!AA15</f>
        <v>0</v>
      </c>
      <c r="AY11" s="2532"/>
      <c r="AZ11" s="2494">
        <f>АНАЛИЗ!AC15</f>
        <v>0</v>
      </c>
      <c r="BA11" s="2532"/>
      <c r="BB11" s="2494">
        <f>АНАЛИЗ!AE15</f>
        <v>0</v>
      </c>
      <c r="BC11" s="2532"/>
      <c r="BD11" s="2494">
        <f>АНАЛИЗ!AG15</f>
        <v>344374.61155220342</v>
      </c>
      <c r="BE11" s="2532"/>
      <c r="BF11" s="2494">
        <f>АНАЛИЗ!AI15</f>
        <v>0</v>
      </c>
      <c r="BG11" s="2532"/>
      <c r="BH11" s="2494">
        <f>АНАЛИЗ!AK15</f>
        <v>0</v>
      </c>
      <c r="BI11" s="2532"/>
      <c r="BJ11" s="2494">
        <f>АНАЛИЗ!AM15</f>
        <v>0</v>
      </c>
      <c r="BK11" s="2532"/>
      <c r="BL11" s="2494">
        <f>АНАЛИЗ!AO15</f>
        <v>0</v>
      </c>
      <c r="BM11" s="2532"/>
      <c r="BN11" s="2494">
        <f>АНАЛИЗ!AQ15</f>
        <v>0</v>
      </c>
      <c r="BO11" s="2532"/>
      <c r="BP11" s="2494">
        <f>АНАЛИЗ!AS15</f>
        <v>21.154072550403935</v>
      </c>
      <c r="BQ11" s="2532"/>
      <c r="BR11" s="2494">
        <f>АНАЛИЗ!AU15</f>
        <v>68947.505295046431</v>
      </c>
      <c r="BS11" s="865"/>
      <c r="BT11" s="2496"/>
      <c r="BU11" s="2497"/>
      <c r="BV11" s="222">
        <v>40</v>
      </c>
      <c r="BX11">
        <f t="shared" si="2423"/>
        <v>3.9840637450199203</v>
      </c>
      <c r="BY11" s="2418">
        <f t="shared" si="2424"/>
        <v>1300073.5897759851</v>
      </c>
      <c r="CB11" s="2367">
        <f>AE12+AG12+AI12+AK12+AM12+AO12+AQ12+AS12+AU12+AW12+AY12+BC12+BE12+BG12+BI12+BK12+BM12+BO12+BQ12+BS12</f>
        <v>4550687.6601353874</v>
      </c>
      <c r="CD11" s="2377">
        <f t="shared" si="2422"/>
        <v>3.2916805535948237</v>
      </c>
      <c r="CE11" s="2369">
        <f>CD11*$CE$5/100</f>
        <v>4851361.5257453891</v>
      </c>
      <c r="CF11" s="2418">
        <f t="shared" si="2425"/>
        <v>7853394.7701353878</v>
      </c>
      <c r="CG11" s="2418">
        <f t="shared" si="2426"/>
        <v>12704756.295880776</v>
      </c>
      <c r="CH11" s="2462">
        <f>CE11+CF11</f>
        <v>12704756.295880776</v>
      </c>
    </row>
    <row r="12" ht="15.75">
      <c r="A12" s="283" t="s">
        <v>181</v>
      </c>
      <c r="B12" s="2388"/>
      <c r="C12" s="2498">
        <v>113</v>
      </c>
      <c r="D12" s="2499">
        <v>1756253.3899999999</v>
      </c>
      <c r="E12" s="2499">
        <f>1546453.72</f>
        <v>1546453.72</v>
      </c>
      <c r="F12" s="2499"/>
      <c r="G12" s="2500">
        <f t="shared" si="2433"/>
        <v>3302707.1099999999</v>
      </c>
      <c r="H12" s="2486"/>
      <c r="I12" s="2487"/>
      <c r="J12" s="2486"/>
      <c r="K12" s="2488">
        <f>H12+I12+J12</f>
        <v>0</v>
      </c>
      <c r="L12" s="2489">
        <f t="shared" ref="L12:L75" si="2436">G12+K12</f>
        <v>3302707.1099999999</v>
      </c>
      <c r="M12" s="2502"/>
      <c r="N12" s="2502"/>
      <c r="O12" s="2503"/>
      <c r="P12" s="2504">
        <f t="shared" si="2434"/>
        <v>0</v>
      </c>
      <c r="Q12" s="2505">
        <f t="shared" si="2430"/>
        <v>3302707.1099999999</v>
      </c>
      <c r="R12" s="2502"/>
      <c r="S12" s="2506"/>
      <c r="T12" s="2502"/>
      <c r="U12" s="2507">
        <f t="shared" si="2431"/>
        <v>0</v>
      </c>
      <c r="V12" s="2508">
        <f t="shared" si="2432"/>
        <v>3302707.1099999999</v>
      </c>
      <c r="W12" s="2509"/>
      <c r="AC12" s="2510"/>
      <c r="AD12" s="2511">
        <f>AD11*100/AD$98</f>
        <v>0</v>
      </c>
      <c r="AE12" s="2512">
        <f>$AD$1*AD12/100</f>
        <v>0</v>
      </c>
      <c r="AF12" s="2513">
        <f t="shared" ref="AF12:BR12" si="2437">AF11*100/AF$98</f>
        <v>22.568220537113859</v>
      </c>
      <c r="AG12" s="2514">
        <f>$AF$1*AF12/100</f>
        <v>1191491.8459955514</v>
      </c>
      <c r="AH12" s="2511">
        <f t="shared" si="2437"/>
        <v>2.2577630075812651</v>
      </c>
      <c r="AI12" s="2512">
        <f>$AH$1*AH12/100</f>
        <v>232427.27072863225</v>
      </c>
      <c r="AJ12" s="2513">
        <f t="shared" si="2437"/>
        <v>2.5124273821644603</v>
      </c>
      <c r="AK12" s="2514"/>
      <c r="AL12" s="2511">
        <f t="shared" si="2437"/>
        <v>0.93037037037037051</v>
      </c>
      <c r="AM12" s="2512">
        <f>$AL$1*AL12/100</f>
        <v>12577.566974222222</v>
      </c>
      <c r="AN12" s="2513">
        <f t="shared" si="2437"/>
        <v>6.131114999334911</v>
      </c>
      <c r="AO12" s="2514">
        <f>$AN$1*AN12/100</f>
        <v>674495.57708731131</v>
      </c>
      <c r="AP12" s="2511">
        <f t="shared" si="2437"/>
        <v>5.8238569618164666</v>
      </c>
      <c r="AQ12" s="2512"/>
      <c r="AR12" s="2513">
        <f t="shared" si="2437"/>
        <v>2.7434593023255811</v>
      </c>
      <c r="AS12" s="2514">
        <f>$AR$1*AR12/100</f>
        <v>109886.58556140987</v>
      </c>
      <c r="AT12" s="2511">
        <f t="shared" si="2437"/>
        <v>0.071910112359550554</v>
      </c>
      <c r="AU12" s="2512">
        <f>$AT$1*AT12/100</f>
        <v>3849.6135406741569</v>
      </c>
      <c r="AV12" s="2513">
        <f t="shared" si="2437"/>
        <v>11.644679902436467</v>
      </c>
      <c r="AW12" s="2514">
        <f>$AV$1*AV12/100</f>
        <v>756038.55377271888</v>
      </c>
      <c r="AX12" s="2511">
        <f t="shared" si="2437"/>
        <v>0</v>
      </c>
      <c r="AY12" s="2512"/>
      <c r="AZ12" s="2513" t="e">
        <f t="shared" si="2437"/>
        <v>#DIV/0!</v>
      </c>
      <c r="BA12" s="2514" t="e">
        <f>$AZ$1*AZ12/100</f>
        <v>#DIV/0!</v>
      </c>
      <c r="BB12" s="2511">
        <f t="shared" si="2437"/>
        <v>0</v>
      </c>
      <c r="BC12" s="2512"/>
      <c r="BD12" s="2513">
        <f t="shared" si="2437"/>
        <v>4.2232277526395174</v>
      </c>
      <c r="BE12" s="2514">
        <f>$BD$1*BD12/100</f>
        <v>969690.67113122169</v>
      </c>
      <c r="BF12" s="2511">
        <f t="shared" si="2437"/>
        <v>0</v>
      </c>
      <c r="BG12" s="2512"/>
      <c r="BH12" s="2513">
        <f t="shared" si="2437"/>
        <v>0</v>
      </c>
      <c r="BI12" s="2514"/>
      <c r="BJ12" s="2511">
        <f t="shared" si="2437"/>
        <v>0</v>
      </c>
      <c r="BK12" s="2512"/>
      <c r="BL12" s="2513">
        <f t="shared" si="2437"/>
        <v>0</v>
      </c>
      <c r="BM12" s="2516"/>
      <c r="BN12" s="2511">
        <f t="shared" si="2437"/>
        <v>0</v>
      </c>
      <c r="BO12" s="2514">
        <f>$BN$1*BN12/100</f>
        <v>0</v>
      </c>
      <c r="BP12" s="2513">
        <f t="shared" si="2437"/>
        <v>0.013041210224308817</v>
      </c>
      <c r="BQ12" s="2514">
        <f>$BP$1*BP12/100</f>
        <v>130.67174230568597</v>
      </c>
      <c r="BR12" s="2511">
        <f t="shared" si="2437"/>
        <v>4.1876046901172534</v>
      </c>
      <c r="BS12" s="2514">
        <f>$BR$1*BR12/100</f>
        <v>600099.30360134016</v>
      </c>
      <c r="BT12" s="2517">
        <f>AE12+AG12+AI12+AK12+AM12+AO12+AQ12+AS12+AU12+AW12+AY12+BC12+BE12+BG12+BI12+BK12+BM12+BO12+BQ12+BS12</f>
        <v>4550687.6601353874</v>
      </c>
      <c r="BU12" s="2518">
        <f>BT12-AE12-AG12-BE12-BG12-BI12-BK12</f>
        <v>2389505.1430086144</v>
      </c>
      <c r="BV12" s="222"/>
      <c r="BX12">
        <f t="shared" si="2423"/>
        <v>0</v>
      </c>
      <c r="BY12" s="2418">
        <f t="shared" si="2424"/>
        <v>0</v>
      </c>
      <c r="CB12" s="2367">
        <f>AE13+AG13+AI13+AK13+AM13+AO13+AQ13+AS13+AU13+AW13+AY13+BA13+BC13+BE13+BG13+BI13+BK13+BM13+BO13+BQ13+BS13</f>
        <v>0</v>
      </c>
      <c r="CD12" s="2377">
        <f t="shared" si="2422"/>
        <v>0</v>
      </c>
      <c r="CE12" s="2369"/>
      <c r="CF12" s="2418">
        <f t="shared" si="2425"/>
        <v>0</v>
      </c>
      <c r="CG12" s="2418">
        <f t="shared" si="2426"/>
        <v>0</v>
      </c>
      <c r="CH12" s="2462">
        <f t="shared" si="2427"/>
        <v>0</v>
      </c>
    </row>
    <row r="13" ht="15.75">
      <c r="A13" s="329"/>
      <c r="B13" s="2510"/>
      <c r="C13" s="2519"/>
      <c r="D13" s="2520"/>
      <c r="E13" s="2520"/>
      <c r="F13" s="2520"/>
      <c r="G13" s="2521">
        <f t="shared" si="2433"/>
        <v>0</v>
      </c>
      <c r="H13" s="2522"/>
      <c r="I13" s="2523"/>
      <c r="J13" s="2522"/>
      <c r="K13" s="2524">
        <f t="shared" si="2429"/>
        <v>0</v>
      </c>
      <c r="L13" s="2540">
        <f t="shared" si="2436"/>
        <v>0</v>
      </c>
      <c r="M13" s="2525"/>
      <c r="N13" s="2525"/>
      <c r="O13" s="2526"/>
      <c r="P13" s="2527"/>
      <c r="Q13" s="2528">
        <f t="shared" si="2430"/>
        <v>0</v>
      </c>
      <c r="R13" s="2525"/>
      <c r="S13" s="2529"/>
      <c r="T13" s="2525"/>
      <c r="U13" s="2530">
        <f t="shared" si="2431"/>
        <v>0</v>
      </c>
      <c r="V13" s="2531">
        <f t="shared" si="2432"/>
        <v>0</v>
      </c>
      <c r="W13" s="2509"/>
      <c r="AC13" s="2388" t="s">
        <v>182</v>
      </c>
      <c r="AD13" s="2494">
        <f>АНАЛИЗ!G17</f>
        <v>0</v>
      </c>
      <c r="AE13" s="2532"/>
      <c r="AF13" s="2494">
        <f>АНАЛИЗ!I17</f>
        <v>0</v>
      </c>
      <c r="AG13" s="2532"/>
      <c r="AH13" s="2494">
        <f>АНАЛИЗ!K17</f>
        <v>13280.278319845671</v>
      </c>
      <c r="AI13" s="2532"/>
      <c r="AJ13" s="2494">
        <f>АНАЛИЗ!M17</f>
        <v>53789.095520329334</v>
      </c>
      <c r="AK13" s="2532"/>
      <c r="AL13" s="2494">
        <f>АНАЛИЗ!O17</f>
        <v>16541.959646925276</v>
      </c>
      <c r="AM13" s="2532"/>
      <c r="AN13" s="2494">
        <f>АНАЛИЗ!Q17</f>
        <v>101709.51814050258</v>
      </c>
      <c r="AO13" s="2532"/>
      <c r="AP13" s="2494">
        <f>АНАЛИЗ!S17</f>
        <v>331.93052857708187</v>
      </c>
      <c r="AQ13" s="2532"/>
      <c r="AR13" s="2494">
        <f>АНАЛИЗ!U17</f>
        <v>12824.787162201665</v>
      </c>
      <c r="AS13" s="2532"/>
      <c r="AT13" s="2494">
        <f>АНАЛИЗ!W17</f>
        <v>1360.2386985751459</v>
      </c>
      <c r="AU13" s="2532"/>
      <c r="AV13" s="2494">
        <f>АНАЛИЗ!Y17</f>
        <v>618.60363043516588</v>
      </c>
      <c r="AW13" s="2532"/>
      <c r="AX13" s="2494">
        <f>АНАЛИЗ!AA17</f>
        <v>0</v>
      </c>
      <c r="AY13" s="2532"/>
      <c r="AZ13" s="2494">
        <f>АНАЛИЗ!AC17</f>
        <v>0</v>
      </c>
      <c r="BA13" s="2532"/>
      <c r="BB13" s="2494">
        <f>АНАЛИЗ!AE17</f>
        <v>0</v>
      </c>
      <c r="BC13" s="2532"/>
      <c r="BD13" s="2494">
        <f>АНАЛИЗ!AG17</f>
        <v>344374.61155220342</v>
      </c>
      <c r="BE13" s="2532"/>
      <c r="BF13" s="2494">
        <f>АНАЛИЗ!AI17</f>
        <v>0</v>
      </c>
      <c r="BG13" s="2532"/>
      <c r="BH13" s="2494">
        <f>АНАЛИЗ!AK17</f>
        <v>0</v>
      </c>
      <c r="BI13" s="2532"/>
      <c r="BJ13" s="2494">
        <f>АНАЛИЗ!AM17</f>
        <v>0</v>
      </c>
      <c r="BK13" s="2532"/>
      <c r="BL13" s="2494">
        <f>АНАЛИЗ!AO17</f>
        <v>0</v>
      </c>
      <c r="BM13" s="2532"/>
      <c r="BN13" s="2494">
        <f>АНАЛИЗ!AQ17</f>
        <v>0</v>
      </c>
      <c r="BO13" s="2532"/>
      <c r="BP13" s="2494">
        <f>АНАЛИЗ!AS17</f>
        <v>21.154072550403935</v>
      </c>
      <c r="BQ13" s="2532"/>
      <c r="BR13" s="2494">
        <f>АНАЛИЗ!AU17</f>
        <v>42944.446155200349</v>
      </c>
      <c r="BS13" s="865"/>
      <c r="BT13" s="2496"/>
      <c r="BU13" s="2497"/>
      <c r="BV13" s="222">
        <v>40</v>
      </c>
      <c r="BX13">
        <f t="shared" si="2423"/>
        <v>3.9840637450199203</v>
      </c>
      <c r="BY13" s="2418">
        <f t="shared" si="2424"/>
        <v>1300073.5897759851</v>
      </c>
      <c r="CB13" s="2367">
        <f>AE14+AG14+AI14+AK14+AM14+AO14+AQ14+AS14+AU14+AW14+AY14+BC14+BE14+BG14+BI14+BK14+BM14+BO14+BQ14+BS14</f>
        <v>2675284.0943134776</v>
      </c>
      <c r="CD13" s="2377">
        <f t="shared" si="2422"/>
        <v>1.9351318495744052</v>
      </c>
      <c r="CE13" s="2369">
        <f>CD13*$CE$5/100</f>
        <v>2852045.9532493763</v>
      </c>
      <c r="CF13" s="2418">
        <f t="shared" si="2425"/>
        <v>6029984.3243134776</v>
      </c>
      <c r="CG13" s="2418">
        <f t="shared" si="2426"/>
        <v>8882030.2775628529</v>
      </c>
      <c r="CH13" s="2462">
        <f t="shared" si="2427"/>
        <v>8882030.2775628529</v>
      </c>
    </row>
    <row r="14" ht="15.75" customHeight="1">
      <c r="A14" s="283" t="s">
        <v>182</v>
      </c>
      <c r="B14" s="2388"/>
      <c r="C14" s="2498" t="s">
        <v>896</v>
      </c>
      <c r="D14" s="2367">
        <f>96555.56+1767016.24</f>
        <v>1863571.8</v>
      </c>
      <c r="E14" s="2367">
        <f>99549.54+1391578.89</f>
        <v>1491128.4299999999</v>
      </c>
      <c r="G14" s="2500">
        <f t="shared" si="2433"/>
        <v>3354700.23</v>
      </c>
      <c r="H14" s="2486"/>
      <c r="I14" s="2487"/>
      <c r="J14" s="2486"/>
      <c r="K14" s="2533">
        <f t="shared" si="2429"/>
        <v>0</v>
      </c>
      <c r="L14" s="2501">
        <f t="shared" si="2436"/>
        <v>3354700.23</v>
      </c>
      <c r="N14" s="2369"/>
      <c r="O14" s="2534"/>
      <c r="P14" s="2535">
        <f t="shared" si="2434"/>
        <v>0</v>
      </c>
      <c r="Q14" s="2536">
        <f t="shared" si="2430"/>
        <v>3354700.23</v>
      </c>
      <c r="S14" s="2537"/>
      <c r="U14" s="2538">
        <f t="shared" si="2431"/>
        <v>0</v>
      </c>
      <c r="V14" s="2539">
        <f t="shared" si="2432"/>
        <v>3354700.23</v>
      </c>
      <c r="W14" s="2509"/>
      <c r="Z14" s="2541" t="s">
        <v>341</v>
      </c>
      <c r="AA14" t="s">
        <v>897</v>
      </c>
      <c r="AC14" s="2510"/>
      <c r="AD14" s="2511">
        <f>AD13*100/AD$98</f>
        <v>0</v>
      </c>
      <c r="AE14" s="2512">
        <f>$AD$1*AD14/100</f>
        <v>0</v>
      </c>
      <c r="AF14" s="2513">
        <f t="shared" ref="AF14:BR14" si="2438">AF13*100/AF$98</f>
        <v>0</v>
      </c>
      <c r="AG14" s="2514">
        <f>$AF$1*AF14/100</f>
        <v>0</v>
      </c>
      <c r="AH14" s="2511">
        <f t="shared" si="2438"/>
        <v>2.3055353619275105</v>
      </c>
      <c r="AI14" s="2512">
        <f>$AH$1*AH14/100</f>
        <v>237345.23505867686</v>
      </c>
      <c r="AJ14" s="2513">
        <f t="shared" si="2438"/>
        <v>3.8090674971551772</v>
      </c>
      <c r="AK14" s="2514"/>
      <c r="AL14" s="2511">
        <f t="shared" si="2438"/>
        <v>5.9851851851851867</v>
      </c>
      <c r="AM14" s="2512">
        <f>$AL$1*AL14/100</f>
        <v>80913.01047111112</v>
      </c>
      <c r="AN14" s="2513">
        <f t="shared" si="2438"/>
        <v>2.1359650469144902</v>
      </c>
      <c r="AO14" s="2514">
        <f>$AN$1*AN14/100</f>
        <v>234981.56161044099</v>
      </c>
      <c r="AP14" s="2511">
        <f t="shared" si="2438"/>
        <v>1.1580580125802198</v>
      </c>
      <c r="AQ14" s="2512"/>
      <c r="AR14" s="2513">
        <f t="shared" si="2438"/>
        <v>4.2332848837209296</v>
      </c>
      <c r="AS14" s="2514">
        <f>$AR$1*AR14/100</f>
        <v>169560.0956013808</v>
      </c>
      <c r="AT14" s="2511">
        <f t="shared" si="2438"/>
        <v>10.265168539325842</v>
      </c>
      <c r="AU14" s="2512">
        <f>$AT$1*AT14/100</f>
        <v>549532.3329312359</v>
      </c>
      <c r="AV14" s="2513">
        <f t="shared" si="2438"/>
        <v>0.91418979929037891</v>
      </c>
      <c r="AW14" s="2514">
        <f>$AV$1*AV14/100</f>
        <v>59354.378095412932</v>
      </c>
      <c r="AX14" s="2511">
        <f t="shared" si="2438"/>
        <v>0</v>
      </c>
      <c r="AY14" s="2512"/>
      <c r="AZ14" s="2513" t="e">
        <f t="shared" si="2438"/>
        <v>#DIV/0!</v>
      </c>
      <c r="BA14" s="2514" t="e">
        <f>$AZ$1*AZ14/100</f>
        <v>#DIV/0!</v>
      </c>
      <c r="BB14" s="2511">
        <f t="shared" si="2438"/>
        <v>0</v>
      </c>
      <c r="BC14" s="2512"/>
      <c r="BD14" s="2513">
        <f t="shared" si="2438"/>
        <v>4.2232277526395174</v>
      </c>
      <c r="BE14" s="2514">
        <f>$BD$1*BD14/100</f>
        <v>969690.67113122169</v>
      </c>
      <c r="BF14" s="2511">
        <f t="shared" si="2438"/>
        <v>0</v>
      </c>
      <c r="BG14" s="2512"/>
      <c r="BH14" s="2513">
        <f t="shared" si="2438"/>
        <v>0</v>
      </c>
      <c r="BI14" s="2514"/>
      <c r="BJ14" s="2511">
        <f t="shared" si="2438"/>
        <v>0</v>
      </c>
      <c r="BK14" s="2512"/>
      <c r="BL14" s="2513">
        <f t="shared" si="2438"/>
        <v>0</v>
      </c>
      <c r="BM14" s="2516"/>
      <c r="BN14" s="2511">
        <f t="shared" si="2438"/>
        <v>0</v>
      </c>
      <c r="BO14" s="2514">
        <f>$BN$1*BN14/100</f>
        <v>0</v>
      </c>
      <c r="BP14" s="2513">
        <f t="shared" si="2438"/>
        <v>0.013041210224308817</v>
      </c>
      <c r="BQ14" s="2514">
        <f>$BP$1*BP14/100</f>
        <v>130.67174230568597</v>
      </c>
      <c r="BR14" s="2511">
        <f t="shared" si="2438"/>
        <v>2.6082794927016035</v>
      </c>
      <c r="BS14" s="2514">
        <f>$BR$1*BR14/100</f>
        <v>373776.13767169183</v>
      </c>
      <c r="BT14" s="2517">
        <f>AE14+AG14+AI14+AK14+AM14+AO14+AQ14+AS14+AU14+AW14+AY14+BC14+BE14+BG14+BI14+BK14+BM14+BO14+BQ14+BS14</f>
        <v>2675284.0943134776</v>
      </c>
      <c r="BU14" s="2518">
        <f>BT14-AE14-AG14-BE14-BG14-BI14-BK14</f>
        <v>1705593.4231822561</v>
      </c>
      <c r="BV14" s="222"/>
      <c r="BX14">
        <f t="shared" si="2423"/>
        <v>0</v>
      </c>
      <c r="BY14" s="2418">
        <f t="shared" si="2424"/>
        <v>0</v>
      </c>
      <c r="CB14" s="2367">
        <f>AE15+AG15+AI15+AK15+AM15+AO15+AQ15+AS15+AU15+AW15+AY15+BA15+BC15+BE15+BG15+BI15+BK15+BM15+BO15+BQ15+BS15</f>
        <v>0</v>
      </c>
      <c r="CD14" s="2377">
        <f t="shared" si="2422"/>
        <v>0</v>
      </c>
      <c r="CE14" s="2369"/>
      <c r="CF14" s="2418">
        <f t="shared" si="2425"/>
        <v>0</v>
      </c>
      <c r="CG14" s="2418">
        <f t="shared" si="2426"/>
        <v>0</v>
      </c>
      <c r="CH14" s="2462">
        <f t="shared" si="2427"/>
        <v>0</v>
      </c>
    </row>
    <row r="15" ht="15.75" customHeight="1">
      <c r="A15" s="329"/>
      <c r="B15" s="2510"/>
      <c r="C15" s="2519"/>
      <c r="G15" s="2521">
        <f t="shared" si="2433"/>
        <v>0</v>
      </c>
      <c r="H15" s="2522"/>
      <c r="I15" s="2523"/>
      <c r="J15" s="2522"/>
      <c r="K15" s="2533">
        <f t="shared" si="2429"/>
        <v>0</v>
      </c>
      <c r="L15" s="2501">
        <f t="shared" si="2436"/>
        <v>0</v>
      </c>
      <c r="N15" s="2369"/>
      <c r="O15" s="2370"/>
      <c r="P15" s="2535"/>
      <c r="Q15" s="2536">
        <f t="shared" si="2430"/>
        <v>0</v>
      </c>
      <c r="S15" s="2537"/>
      <c r="U15" s="2538">
        <f t="shared" si="2431"/>
        <v>0</v>
      </c>
      <c r="V15" s="2539">
        <f t="shared" si="2432"/>
        <v>0</v>
      </c>
      <c r="W15" s="2509"/>
      <c r="AC15" s="2388" t="s">
        <v>183</v>
      </c>
      <c r="AD15" s="2494">
        <f>АНАЛИЗ!G19</f>
        <v>33899.13738667369</v>
      </c>
      <c r="AE15" s="2532"/>
      <c r="AF15" s="2494">
        <f>АНАЛИЗ!I19</f>
        <v>545.2841867915605</v>
      </c>
      <c r="AG15" s="2532"/>
      <c r="AH15" s="2494">
        <f>АНАЛИЗ!K19</f>
        <v>7776.7395566663836</v>
      </c>
      <c r="AI15" s="2532"/>
      <c r="AJ15" s="2494">
        <f>АНАЛИЗ!M19</f>
        <v>25372.214868079875</v>
      </c>
      <c r="AK15" s="2532"/>
      <c r="AL15" s="2494">
        <f>АНАЛИЗ!O19</f>
        <v>11694.018997925392</v>
      </c>
      <c r="AM15" s="2532"/>
      <c r="AN15" s="2494">
        <f>АНАЛИЗ!Q19</f>
        <v>142295.87915177859</v>
      </c>
      <c r="AO15" s="2532"/>
      <c r="AP15" s="2494">
        <f>АНАЛИЗ!S19</f>
        <v>335.54198565899475</v>
      </c>
      <c r="AQ15" s="2532"/>
      <c r="AR15" s="2494">
        <f>АНАЛИЗ!U19</f>
        <v>1238.4451122297746</v>
      </c>
      <c r="AS15" s="2532"/>
      <c r="AT15" s="2494">
        <f>АНАЛИЗ!W19</f>
        <v>19.454669068938163</v>
      </c>
      <c r="AU15" s="2532"/>
      <c r="AV15" s="2494">
        <f>АНАЛИЗ!Y19</f>
        <v>1040.7245503837526</v>
      </c>
      <c r="AW15" s="2532"/>
      <c r="AX15" s="2494">
        <f>АНАЛИЗ!AA19</f>
        <v>0</v>
      </c>
      <c r="AY15" s="2532"/>
      <c r="AZ15" s="2494">
        <f>АНАЛИЗ!AC19</f>
        <v>0</v>
      </c>
      <c r="BA15" s="2532"/>
      <c r="BB15" s="2494">
        <f>АНАЛИЗ!AE19</f>
        <v>0</v>
      </c>
      <c r="BC15" s="2532"/>
      <c r="BD15" s="2494">
        <f>АНАЛИЗ!AG19</f>
        <v>24598.186539443101</v>
      </c>
      <c r="BE15" s="2532"/>
      <c r="BF15" s="2494">
        <f>АНАЛИЗ!AI19</f>
        <v>0</v>
      </c>
      <c r="BG15" s="2532"/>
      <c r="BH15" s="2494">
        <f>АНАЛИЗ!AK19</f>
        <v>0</v>
      </c>
      <c r="BI15" s="2532"/>
      <c r="BJ15" s="2494">
        <f>АНАЛИЗ!AM19</f>
        <v>0</v>
      </c>
      <c r="BK15" s="2532"/>
      <c r="BL15" s="2494">
        <f>АНАЛИЗ!AO19</f>
        <v>0</v>
      </c>
      <c r="BM15" s="2532"/>
      <c r="BN15" s="2494">
        <f>АНАЛИЗ!AQ19</f>
        <v>0</v>
      </c>
      <c r="BO15" s="2532"/>
      <c r="BP15" s="2494">
        <f>АНАЛИЗ!AS19</f>
        <v>0</v>
      </c>
      <c r="BQ15" s="2532"/>
      <c r="BR15" s="2494">
        <f>АНАЛИЗ!AU19</f>
        <v>37034.659987053514</v>
      </c>
      <c r="BS15" s="865"/>
      <c r="BT15" s="2496"/>
      <c r="BU15" s="2497"/>
      <c r="BV15" s="222">
        <v>35</v>
      </c>
      <c r="BX15">
        <f t="shared" si="2423"/>
        <v>3.4860557768924303</v>
      </c>
      <c r="BY15" s="2418">
        <f t="shared" si="2424"/>
        <v>1137564.3910539867</v>
      </c>
      <c r="CB15" s="2367">
        <f>AE16+AG16+AI16+AK16+AM16+AO16+AQ16+AS16+AU16+AW16+AY16+BC16+BE16+BG16+BI16+BK16+BM16+BO16+BQ16+BS16</f>
        <v>1096379.7368719142</v>
      </c>
      <c r="CD15" s="2377">
        <f t="shared" si="2422"/>
        <v>0.79305197999664967</v>
      </c>
      <c r="CE15" s="2369">
        <f>CD15*$CE$5/100</f>
        <v>1168819.9389428133</v>
      </c>
      <c r="CF15" s="2418">
        <f t="shared" si="2425"/>
        <v>3883831.3068719143</v>
      </c>
      <c r="CG15" s="2418">
        <f t="shared" si="2426"/>
        <v>5052651.2458147276</v>
      </c>
      <c r="CH15" s="2462">
        <f>CE15+CF15</f>
        <v>5052651.2458147276</v>
      </c>
    </row>
    <row r="16" ht="15.75" customHeight="1">
      <c r="A16" s="283" t="s">
        <v>183</v>
      </c>
      <c r="B16" s="2388"/>
      <c r="C16" s="2498">
        <v>74</v>
      </c>
      <c r="D16" s="2499">
        <v>1500455.73</v>
      </c>
      <c r="E16" s="2499">
        <f>1286995.84</f>
        <v>1286995.8400000001</v>
      </c>
      <c r="F16" s="2499"/>
      <c r="G16" s="2500">
        <f t="shared" si="2433"/>
        <v>2787451.5700000003</v>
      </c>
      <c r="H16" s="2486"/>
      <c r="I16" s="2487"/>
      <c r="J16" s="2486"/>
      <c r="K16" s="2506">
        <f t="shared" si="2429"/>
        <v>0</v>
      </c>
      <c r="L16" s="2542">
        <f t="shared" si="2436"/>
        <v>2787451.5700000003</v>
      </c>
      <c r="M16" s="1691"/>
      <c r="N16" s="2502"/>
      <c r="O16" s="2543"/>
      <c r="P16" s="2504">
        <f t="shared" si="2434"/>
        <v>0</v>
      </c>
      <c r="Q16" s="2505">
        <f t="shared" si="2430"/>
        <v>2787451.5700000003</v>
      </c>
      <c r="R16" s="2502"/>
      <c r="S16" s="2506"/>
      <c r="T16" s="2503"/>
      <c r="U16" s="2507">
        <f t="shared" si="2431"/>
        <v>0</v>
      </c>
      <c r="V16" s="2544">
        <f>Q16+U16</f>
        <v>2787451.5700000003</v>
      </c>
      <c r="W16" s="2509"/>
      <c r="X16" s="2418">
        <f>AA16*X28/AA28</f>
        <v>1426411.0498866416</v>
      </c>
      <c r="Z16" s="1507"/>
      <c r="AA16" s="2545">
        <v>9841</v>
      </c>
      <c r="AC16" s="2546"/>
      <c r="AD16" s="2547">
        <f>AD15*100/AD$98</f>
        <v>0.55889187027880993</v>
      </c>
      <c r="AE16" s="2548">
        <f>$AD$1*AD16/100</f>
        <v>55625.130180389715</v>
      </c>
      <c r="AF16" s="2549">
        <f t="shared" ref="AF16:BR16" si="2439">AF15*100/AF$98</f>
        <v>0.0024081673101249163</v>
      </c>
      <c r="AG16" s="2550">
        <f>$AF$1*AF16/100</f>
        <v>127.13947513443699</v>
      </c>
      <c r="AH16" s="2547">
        <f t="shared" si="2439"/>
        <v>1.3500882750025962</v>
      </c>
      <c r="AI16" s="2548">
        <f>$AH$1*AH16/100</f>
        <v>138985.94845778376</v>
      </c>
      <c r="AJ16" s="2549">
        <f t="shared" si="2439"/>
        <v>1.7967299514882913</v>
      </c>
      <c r="AK16" s="2550"/>
      <c r="AL16" s="2547">
        <f t="shared" si="2439"/>
        <v>4.2311111111111117</v>
      </c>
      <c r="AM16" s="2548">
        <f>$AL$1*AL16/100</f>
        <v>57199.89057066667</v>
      </c>
      <c r="AN16" s="2549">
        <f t="shared" si="2439"/>
        <v>2.9883046321024045</v>
      </c>
      <c r="AO16" s="2550">
        <f>$AN$1*AN16/100</f>
        <v>328749.05421954149</v>
      </c>
      <c r="AP16" s="2547">
        <f t="shared" si="2439"/>
        <v>1.1706578684257407</v>
      </c>
      <c r="AQ16" s="2548"/>
      <c r="AR16" s="2549">
        <f t="shared" si="2439"/>
        <v>0.40879360465116277</v>
      </c>
      <c r="AS16" s="2550">
        <f>$AR$1*AR16/100</f>
        <v>16373.828974382268</v>
      </c>
      <c r="AT16" s="2547">
        <f t="shared" si="2439"/>
        <v>0.14681647940074902</v>
      </c>
      <c r="AU16" s="2548">
        <f>$AT$1*AT16/100</f>
        <v>7859.6276455430689</v>
      </c>
      <c r="AV16" s="2549">
        <f t="shared" si="2439"/>
        <v>1.538011936920904</v>
      </c>
      <c r="AW16" s="2550">
        <f>$AV$1*AV16/100</f>
        <v>99856.443476094326</v>
      </c>
      <c r="AX16" s="2547">
        <f t="shared" si="2439"/>
        <v>0</v>
      </c>
      <c r="AY16" s="2548"/>
      <c r="AZ16" s="2549" t="e">
        <f t="shared" si="2439"/>
        <v>#DIV/0!</v>
      </c>
      <c r="BA16" s="2550" t="e">
        <f>$AZ$1*AZ16/100</f>
        <v>#DIV/0!</v>
      </c>
      <c r="BB16" s="2547">
        <f t="shared" si="2439"/>
        <v>0</v>
      </c>
      <c r="BC16" s="2548"/>
      <c r="BD16" s="2549">
        <f t="shared" si="2439"/>
        <v>0.30165912518853699</v>
      </c>
      <c r="BE16" s="2550">
        <f>$BD$1*BD16/100</f>
        <v>69263.619366515835</v>
      </c>
      <c r="BF16" s="2547">
        <f t="shared" si="2439"/>
        <v>0</v>
      </c>
      <c r="BG16" s="2548"/>
      <c r="BH16" s="2549">
        <f t="shared" si="2439"/>
        <v>0</v>
      </c>
      <c r="BI16" s="2550"/>
      <c r="BJ16" s="2547">
        <f t="shared" si="2439"/>
        <v>0</v>
      </c>
      <c r="BK16" s="2548"/>
      <c r="BL16" s="2549">
        <f t="shared" si="2439"/>
        <v>0</v>
      </c>
      <c r="BM16" s="2551"/>
      <c r="BN16" s="2547">
        <f t="shared" si="2439"/>
        <v>0</v>
      </c>
      <c r="BO16" s="2550">
        <f>$BN$1*BN16/100</f>
        <v>0</v>
      </c>
      <c r="BP16" s="2549">
        <f t="shared" si="2439"/>
        <v>0</v>
      </c>
      <c r="BQ16" s="2550">
        <f>$BP$1*BP16/100</f>
        <v>0</v>
      </c>
      <c r="BR16" s="2547">
        <f t="shared" si="2439"/>
        <v>2.2493419478344103</v>
      </c>
      <c r="BS16" s="2550">
        <f>$BR$1*BR16/100</f>
        <v>322339.0545058627</v>
      </c>
      <c r="BT16" s="2517">
        <f>AE16+AG16+AI16+AK16+AM16+AO16+AQ16+AS16+AU16+AW16+AY16+BC16+BE16+BG16+BI16+BK16+BM16+BO16+BQ16+BS16</f>
        <v>1096379.7368719142</v>
      </c>
      <c r="BU16" s="2518">
        <f>BT16-AE16-AG16-BE16-BG16-BI16-BK16</f>
        <v>971363.84784987429</v>
      </c>
      <c r="BV16" s="222"/>
      <c r="BX16">
        <f t="shared" si="2423"/>
        <v>0</v>
      </c>
      <c r="BY16" s="2418">
        <f t="shared" si="2424"/>
        <v>0</v>
      </c>
      <c r="CB16" s="2367">
        <f>AE17+AG17+AI17+AK17+AM17+AO17+AQ17+AS17+AU17+AW17+AY17+BA17+BC17+BE17+BG17+BI17+BK17+BM17+BO17+BQ17+BS17</f>
        <v>0</v>
      </c>
      <c r="CD16" s="2377">
        <f t="shared" si="2422"/>
        <v>0</v>
      </c>
      <c r="CE16" s="2369"/>
      <c r="CF16" s="2418">
        <f t="shared" si="2425"/>
        <v>0</v>
      </c>
      <c r="CG16" s="2418">
        <f t="shared" si="2426"/>
        <v>0</v>
      </c>
      <c r="CH16" s="2462"/>
    </row>
    <row r="17" ht="15.75">
      <c r="A17" s="329"/>
      <c r="B17" s="2510"/>
      <c r="C17" s="2519"/>
      <c r="D17" s="2520"/>
      <c r="E17" s="2520"/>
      <c r="F17" s="2520"/>
      <c r="G17" s="2521">
        <f t="shared" si="2433"/>
        <v>0</v>
      </c>
      <c r="H17" s="2522"/>
      <c r="I17" s="2523"/>
      <c r="J17" s="2522"/>
      <c r="K17" s="2552"/>
      <c r="L17" s="2370"/>
      <c r="M17" s="2553"/>
      <c r="N17" s="2525"/>
      <c r="O17" s="2554"/>
      <c r="P17" s="2527"/>
      <c r="Q17" s="2528">
        <f t="shared" si="2430"/>
        <v>0</v>
      </c>
      <c r="R17" s="2525"/>
      <c r="S17" s="2529"/>
      <c r="T17" s="2525"/>
      <c r="U17" s="2530">
        <f t="shared" si="2431"/>
        <v>0</v>
      </c>
      <c r="V17" s="2531">
        <f t="shared" si="2432"/>
        <v>0</v>
      </c>
      <c r="W17" s="2509"/>
      <c r="Z17" s="2555"/>
      <c r="AA17" s="2556"/>
      <c r="AC17" s="2557" t="s">
        <v>186</v>
      </c>
      <c r="AD17" s="2558">
        <f>АНАЛИЗ!G21</f>
        <v>0</v>
      </c>
      <c r="AE17" s="2559"/>
      <c r="AF17" s="2558">
        <f>АНАЛИЗ!I21</f>
        <v>0</v>
      </c>
      <c r="AG17" s="2559"/>
      <c r="AH17" s="2558">
        <f>АНАЛИЗ!K21</f>
        <v>0</v>
      </c>
      <c r="AI17" s="2559"/>
      <c r="AJ17" s="2558">
        <f>АНАЛИЗ!M21</f>
        <v>0</v>
      </c>
      <c r="AK17" s="2559"/>
      <c r="AL17" s="2558">
        <f>АНАЛИЗ!O21</f>
        <v>212.91631228715701</v>
      </c>
      <c r="AM17" s="2559"/>
      <c r="AN17" s="2558">
        <f>АНАЛИЗ!Q21</f>
        <v>4141.4654093138779</v>
      </c>
      <c r="AO17" s="2559"/>
      <c r="AP17" s="2558">
        <f>АНАЛИЗ!S21</f>
        <v>0</v>
      </c>
      <c r="AQ17" s="2559"/>
      <c r="AR17" s="2558">
        <f>АНАЛИЗ!U21</f>
        <v>0</v>
      </c>
      <c r="AS17" s="2559"/>
      <c r="AT17" s="2558">
        <f>АНАЛИЗ!W21</f>
        <v>0</v>
      </c>
      <c r="AU17" s="2559"/>
      <c r="AV17" s="2558">
        <f>АНАЛИЗ!Y21</f>
        <v>0</v>
      </c>
      <c r="AW17" s="2559"/>
      <c r="AX17" s="2558">
        <f>АНАЛИЗ!AA21</f>
        <v>0</v>
      </c>
      <c r="AY17" s="2559"/>
      <c r="AZ17" s="2558">
        <f>АНАЛИЗ!AC21</f>
        <v>0</v>
      </c>
      <c r="BA17" s="2559"/>
      <c r="BB17" s="2558">
        <f>АНАЛИЗ!AE21</f>
        <v>0</v>
      </c>
      <c r="BC17" s="2559"/>
      <c r="BD17" s="2558">
        <f>АНАЛИЗ!AG21</f>
        <v>0</v>
      </c>
      <c r="BE17" s="2559"/>
      <c r="BF17" s="2558">
        <f>АНАЛИЗ!AI21</f>
        <v>0</v>
      </c>
      <c r="BG17" s="2559"/>
      <c r="BH17" s="2558">
        <f>АНАЛИЗ!AK21</f>
        <v>0</v>
      </c>
      <c r="BI17" s="2559"/>
      <c r="BJ17" s="2558">
        <f>АНАЛИЗ!AM21</f>
        <v>0</v>
      </c>
      <c r="BK17" s="2559"/>
      <c r="BL17" s="2558">
        <f>АНАЛИЗ!AO21</f>
        <v>0</v>
      </c>
      <c r="BM17" s="2559"/>
      <c r="BN17" s="2558">
        <f>АНАЛИЗ!AQ21</f>
        <v>0</v>
      </c>
      <c r="BO17" s="2559"/>
      <c r="BP17" s="2558">
        <f>АНАЛИЗ!AS21</f>
        <v>4505.8174532360381</v>
      </c>
      <c r="BQ17" s="2559"/>
      <c r="BR17" s="2558">
        <f>АНАЛИЗ!AU21</f>
        <v>0</v>
      </c>
      <c r="BS17" s="2560"/>
      <c r="BT17" s="2496"/>
      <c r="BU17" s="2497"/>
      <c r="BV17" s="222"/>
      <c r="BX17">
        <f t="shared" si="2423"/>
        <v>0</v>
      </c>
      <c r="BY17" s="2418">
        <f t="shared" si="2424"/>
        <v>0</v>
      </c>
      <c r="CB17" s="2367">
        <f>AE18+AG18+AI18+AK18+AM18+AO18+AQ18+AS18+AU18+AW18+AY18+BC18+BE18+BG18+BI18+BK18+BM18+BO18+BQ18+BS18</f>
        <v>38442.647192057877</v>
      </c>
      <c r="CC17" s="2369">
        <f t="shared" ref="CC17:CC18" si="2440">$CB$17*Z22/100</f>
        <v>24218.867730996466</v>
      </c>
      <c r="CD17" s="2377">
        <f t="shared" si="2422"/>
        <v>0.027806987348158028</v>
      </c>
      <c r="CE17" s="2369">
        <f>CD17*$CE$5/100</f>
        <v>40982.636793359954</v>
      </c>
      <c r="CF17" s="2418">
        <f t="shared" si="2425"/>
        <v>2349009.1971920575</v>
      </c>
      <c r="CG17" s="2418">
        <f t="shared" si="2426"/>
        <v>2389991.8339854176</v>
      </c>
      <c r="CH17" s="2462">
        <f t="shared" ref="CH17:CH18" si="2441">CE17+CF17</f>
        <v>2389991.8339854176</v>
      </c>
    </row>
    <row r="18" ht="15.75" customHeight="1">
      <c r="A18" s="283" t="s">
        <v>186</v>
      </c>
      <c r="B18" s="985" t="s">
        <v>190</v>
      </c>
      <c r="C18" s="2498"/>
      <c r="D18" s="2367">
        <v>1293561</v>
      </c>
      <c r="E18" s="2367">
        <f>1017005.55</f>
        <v>1017005.55</v>
      </c>
      <c r="G18" s="2500">
        <f t="shared" si="2433"/>
        <v>2310566.5499999998</v>
      </c>
      <c r="H18" s="2486"/>
      <c r="I18" s="2487"/>
      <c r="J18" s="2486"/>
      <c r="K18" s="2488">
        <f t="shared" ref="K18:K81" si="2442">H18+I18+J18</f>
        <v>0</v>
      </c>
      <c r="L18" s="2489">
        <f t="shared" si="2436"/>
        <v>2310566.5499999998</v>
      </c>
      <c r="N18" s="2369"/>
      <c r="O18" s="2534"/>
      <c r="P18" s="2535">
        <f t="shared" si="2434"/>
        <v>0</v>
      </c>
      <c r="Q18" s="2536">
        <f t="shared" si="2430"/>
        <v>2310566.5499999998</v>
      </c>
      <c r="R18" s="2561"/>
      <c r="S18" s="2562"/>
      <c r="U18" s="2538">
        <f t="shared" si="2431"/>
        <v>0</v>
      </c>
      <c r="V18" s="2539">
        <f t="shared" si="2432"/>
        <v>2310566.5499999998</v>
      </c>
      <c r="W18" s="2509"/>
      <c r="Z18" s="2555"/>
      <c r="AA18" s="2556"/>
      <c r="AC18" s="2563"/>
      <c r="AD18" s="2564">
        <f>АНАЛИЗ!G22</f>
        <v>0</v>
      </c>
      <c r="AE18" s="2565">
        <f>$AD$1*AD18/100</f>
        <v>0</v>
      </c>
      <c r="AF18" s="2566">
        <f>AF17*100/AF$98</f>
        <v>0</v>
      </c>
      <c r="AG18" s="2567">
        <f>$AF$1*AF18/100</f>
        <v>0</v>
      </c>
      <c r="AH18" s="2568">
        <f t="shared" ref="AH18:BR18" si="2443">AH17*100/AH$98</f>
        <v>0</v>
      </c>
      <c r="AI18" s="2565">
        <f>$AH$1*AH18/100</f>
        <v>0</v>
      </c>
      <c r="AJ18" s="2566">
        <f t="shared" si="2443"/>
        <v>0</v>
      </c>
      <c r="AK18" s="2567"/>
      <c r="AL18" s="2568">
        <f t="shared" si="2443"/>
        <v>0.077037037037037057</v>
      </c>
      <c r="AM18" s="2565">
        <f>$AL$1*AL18/100</f>
        <v>1041.4545902222226</v>
      </c>
      <c r="AN18" s="2566">
        <f t="shared" si="2443"/>
        <v>0.086973427059991226</v>
      </c>
      <c r="AO18" s="2567">
        <f>$AN$1*AN18/100</f>
        <v>9568.1114907245428</v>
      </c>
      <c r="AP18" s="2568">
        <f t="shared" si="2443"/>
        <v>0</v>
      </c>
      <c r="AQ18" s="2565"/>
      <c r="AR18" s="2566">
        <f t="shared" si="2443"/>
        <v>0</v>
      </c>
      <c r="AS18" s="2567">
        <f>$AR$1*AR18/100</f>
        <v>0</v>
      </c>
      <c r="AT18" s="2568">
        <f t="shared" si="2443"/>
        <v>0</v>
      </c>
      <c r="AU18" s="2565">
        <f>$AT$1*AT18/100</f>
        <v>0</v>
      </c>
      <c r="AV18" s="2566">
        <f t="shared" si="2443"/>
        <v>0</v>
      </c>
      <c r="AW18" s="2567">
        <f>$AV$1*AV18/100</f>
        <v>0</v>
      </c>
      <c r="AX18" s="2568">
        <f t="shared" si="2443"/>
        <v>0</v>
      </c>
      <c r="AY18" s="2565"/>
      <c r="AZ18" s="2566" t="e">
        <f t="shared" si="2443"/>
        <v>#DIV/0!</v>
      </c>
      <c r="BA18" s="2567" t="e">
        <f>$AZ$1*AZ18/100</f>
        <v>#DIV/0!</v>
      </c>
      <c r="BB18" s="2568">
        <f t="shared" si="2443"/>
        <v>0</v>
      </c>
      <c r="BC18" s="2565"/>
      <c r="BD18" s="2566">
        <f t="shared" si="2443"/>
        <v>0</v>
      </c>
      <c r="BE18" s="2567">
        <f>$BD$1*BD18/100</f>
        <v>0</v>
      </c>
      <c r="BF18" s="2568">
        <f t="shared" si="2443"/>
        <v>0</v>
      </c>
      <c r="BG18" s="2565"/>
      <c r="BH18" s="2566">
        <f t="shared" si="2443"/>
        <v>0</v>
      </c>
      <c r="BI18" s="2567"/>
      <c r="BJ18" s="2568">
        <f t="shared" si="2443"/>
        <v>0</v>
      </c>
      <c r="BK18" s="2565"/>
      <c r="BL18" s="2566">
        <f t="shared" si="2443"/>
        <v>0</v>
      </c>
      <c r="BM18" s="2569"/>
      <c r="BN18" s="2568">
        <f t="shared" si="2443"/>
        <v>0</v>
      </c>
      <c r="BO18" s="2567">
        <f>$BN$1*BN18/100</f>
        <v>0</v>
      </c>
      <c r="BP18" s="2566">
        <f t="shared" si="2443"/>
        <v>2.7777777777777777</v>
      </c>
      <c r="BQ18" s="2567">
        <f>$BP$1*BP18/100</f>
        <v>27833.081111111111</v>
      </c>
      <c r="BR18" s="2568">
        <f t="shared" si="2443"/>
        <v>0</v>
      </c>
      <c r="BS18" s="2567">
        <f>$BR$1*BR18/100</f>
        <v>0</v>
      </c>
      <c r="BT18" s="2517">
        <f>AE18+AG18+AI18+AK18+AM18+AO18+AQ18+AS18+AU18+AW18+AY18+BC18+BE18+BG18+BI18+BK18+BM18+BO18+BQ18+BS18</f>
        <v>38442.647192057877</v>
      </c>
      <c r="BU18" s="2518">
        <f>BT18-AE18-AG18-BE18-BG18-BI18-BK18</f>
        <v>38442.647192057877</v>
      </c>
      <c r="BV18" s="222"/>
      <c r="BX18">
        <f t="shared" si="2423"/>
        <v>0</v>
      </c>
      <c r="BY18" s="2418">
        <f t="shared" si="2424"/>
        <v>0</v>
      </c>
      <c r="CB18" s="2367">
        <f>AE19+AG19+AI19+AK19+AM19+AO19+AQ19+AS19+AU19+AW19+AY19+BA19+BC19+BE19+BG19+BI19+BK19+BM19+BO19+BQ19+BS19</f>
        <v>0</v>
      </c>
      <c r="CC18" s="2369">
        <f t="shared" si="2440"/>
        <v>14223.779461061415</v>
      </c>
      <c r="CD18" s="2377">
        <f t="shared" si="2422"/>
        <v>0</v>
      </c>
      <c r="CE18" s="2369"/>
      <c r="CF18" s="2418">
        <f t="shared" si="2425"/>
        <v>0</v>
      </c>
      <c r="CG18" s="2418">
        <f t="shared" si="2426"/>
        <v>0</v>
      </c>
      <c r="CH18" s="2462">
        <f t="shared" si="2441"/>
        <v>0</v>
      </c>
    </row>
    <row r="19" ht="15.75" customHeight="1">
      <c r="A19" s="437"/>
      <c r="B19" s="2570" t="s">
        <v>193</v>
      </c>
      <c r="C19" s="2519"/>
      <c r="G19" s="2521">
        <f t="shared" si="2433"/>
        <v>0</v>
      </c>
      <c r="H19" s="2522"/>
      <c r="I19" s="2523"/>
      <c r="J19" s="2522"/>
      <c r="K19" s="2524">
        <f t="shared" si="2442"/>
        <v>0</v>
      </c>
      <c r="L19" s="2540">
        <f t="shared" si="2436"/>
        <v>0</v>
      </c>
      <c r="N19" s="2369"/>
      <c r="O19" s="2370"/>
      <c r="P19" s="2535"/>
      <c r="Q19" s="2536">
        <f t="shared" si="2430"/>
        <v>0</v>
      </c>
      <c r="S19" s="2537"/>
      <c r="U19" s="2538">
        <f t="shared" si="2431"/>
        <v>0</v>
      </c>
      <c r="V19" s="2539">
        <f t="shared" si="2432"/>
        <v>0</v>
      </c>
      <c r="W19" s="2509"/>
      <c r="Z19" s="2555"/>
      <c r="AA19" s="2556"/>
      <c r="AC19" s="2571" t="s">
        <v>184</v>
      </c>
      <c r="AD19" s="2572">
        <f>АНАЛИЗ!G23</f>
        <v>0</v>
      </c>
      <c r="AE19" s="2573"/>
      <c r="AF19" s="2572">
        <f>АНАЛИЗ!I23</f>
        <v>0</v>
      </c>
      <c r="AG19" s="2573"/>
      <c r="AH19" s="2572">
        <f>АНАЛИЗ!K23</f>
        <v>30113.928406352752</v>
      </c>
      <c r="AI19" s="2573"/>
      <c r="AJ19" s="2572">
        <f>АНАЛИЗ!M23</f>
        <v>33956.480898446898</v>
      </c>
      <c r="AK19" s="2573"/>
      <c r="AL19" s="2572">
        <f>АНАЛИЗ!O23</f>
        <v>2030.8940556621128</v>
      </c>
      <c r="AM19" s="2573"/>
      <c r="AN19" s="2572">
        <f>АНАЛИЗ!Q23</f>
        <v>41244.123164519966</v>
      </c>
      <c r="AO19" s="2573"/>
      <c r="AP19" s="2572">
        <f>АНАЛИЗ!S23</f>
        <v>163.55997060319976</v>
      </c>
      <c r="AQ19" s="2573"/>
      <c r="AR19" s="2572">
        <f>АНАЛИЗ!U23</f>
        <v>2958.5077681044613</v>
      </c>
      <c r="AS19" s="2573"/>
      <c r="AT19" s="2572">
        <f>АНАЛИЗ!W23</f>
        <v>1990.5302730024796</v>
      </c>
      <c r="AU19" s="2573"/>
      <c r="AV19" s="2572">
        <f>АНАЛИЗ!Y23</f>
        <v>780.86032038537337</v>
      </c>
      <c r="AW19" s="2573"/>
      <c r="AX19" s="2572">
        <f>АНАЛИЗ!AA23</f>
        <v>0</v>
      </c>
      <c r="AY19" s="2573"/>
      <c r="AZ19" s="2572">
        <f>АНАЛИЗ!AC23</f>
        <v>0</v>
      </c>
      <c r="BA19" s="2573"/>
      <c r="BB19" s="2572">
        <f>АНАЛИЗ!AE23</f>
        <v>0</v>
      </c>
      <c r="BC19" s="2573"/>
      <c r="BD19" s="2572">
        <f>АНАЛИЗ!AG23</f>
        <v>282879.14520359563</v>
      </c>
      <c r="BE19" s="2573"/>
      <c r="BF19" s="2572">
        <f>АНАЛИЗ!AI23</f>
        <v>0</v>
      </c>
      <c r="BG19" s="2573"/>
      <c r="BH19" s="2572">
        <f>АНАЛИЗ!AK23</f>
        <v>0</v>
      </c>
      <c r="BI19" s="2573"/>
      <c r="BJ19" s="2572">
        <f>АНАЛИЗ!AM23</f>
        <v>0</v>
      </c>
      <c r="BK19" s="2573"/>
      <c r="BL19" s="2572">
        <f>АНАЛИЗ!AO23</f>
        <v>0</v>
      </c>
      <c r="BM19" s="2573"/>
      <c r="BN19" s="2572">
        <f>АНАЛИЗ!AQ23</f>
        <v>313.73302222634157</v>
      </c>
      <c r="BO19" s="2573"/>
      <c r="BP19" s="2572">
        <f>АНАЛИЗ!AS23</f>
        <v>232.69479805444328</v>
      </c>
      <c r="BQ19" s="2573"/>
      <c r="BR19" s="2572">
        <f>АНАЛИЗ!AU23</f>
        <v>49248.21806789031</v>
      </c>
      <c r="BS19" s="2574"/>
      <c r="BT19" s="2496"/>
      <c r="BU19" s="2497"/>
      <c r="BV19" s="222">
        <v>45</v>
      </c>
      <c r="BX19">
        <f t="shared" si="2423"/>
        <v>4.4820717131474099</v>
      </c>
      <c r="BY19" s="2418">
        <f t="shared" si="2424"/>
        <v>1462582.788497983</v>
      </c>
      <c r="CB19" s="2367">
        <f>AE20+AG20+AI20+AK20+AM20+AO20+AQ20+AS20+AU20+AW20+AY20+BC20+BE20+BG20+BI20+BK20+BM20+BO20+BQ20+BS20</f>
        <v>2795851.9823597833</v>
      </c>
      <c r="CD19" s="2377">
        <f t="shared" si="2422"/>
        <v>2.0223430585410549</v>
      </c>
      <c r="CE19" s="2369">
        <f>CD19*$CE$5/100</f>
        <v>2980580.0247990857</v>
      </c>
      <c r="CF19" s="2418">
        <f t="shared" si="2425"/>
        <v>5599538.2923597833</v>
      </c>
      <c r="CG19" s="2418">
        <f t="shared" si="2426"/>
        <v>8580118.3171588685</v>
      </c>
      <c r="CH19" s="2462">
        <f t="shared" si="2427"/>
        <v>8580118.3171588685</v>
      </c>
    </row>
    <row r="20" ht="15.75" customHeight="1">
      <c r="A20" s="283" t="s">
        <v>184</v>
      </c>
      <c r="B20" s="2388"/>
      <c r="C20" s="2498">
        <v>109</v>
      </c>
      <c r="D20" s="2499">
        <v>1479281.98</v>
      </c>
      <c r="E20" s="2499">
        <f>1324404.33</f>
        <v>1324404.3300000001</v>
      </c>
      <c r="F20" s="2499"/>
      <c r="G20" s="2500">
        <f t="shared" si="2433"/>
        <v>2803686.3100000001</v>
      </c>
      <c r="H20" s="2486"/>
      <c r="I20" s="2487"/>
      <c r="J20" s="2486"/>
      <c r="K20" s="2488">
        <f t="shared" si="2442"/>
        <v>0</v>
      </c>
      <c r="L20" s="2489">
        <f t="shared" si="2436"/>
        <v>2803686.3100000001</v>
      </c>
      <c r="M20" s="2502"/>
      <c r="N20" s="2502"/>
      <c r="O20" s="2503"/>
      <c r="P20" s="2504">
        <f t="shared" si="2434"/>
        <v>0</v>
      </c>
      <c r="Q20" s="2505">
        <f t="shared" si="2430"/>
        <v>2803686.3100000001</v>
      </c>
      <c r="R20" s="2502"/>
      <c r="S20" s="2506"/>
      <c r="T20" s="2502"/>
      <c r="U20" s="2507">
        <f>R20+S20+T20</f>
        <v>0</v>
      </c>
      <c r="V20" s="2508">
        <f t="shared" si="2432"/>
        <v>2803686.3100000001</v>
      </c>
      <c r="W20" s="2509"/>
      <c r="Z20" s="2555"/>
      <c r="AA20" s="2556"/>
      <c r="AC20" s="2510"/>
      <c r="AD20" s="2511">
        <f>AD19*100/AD$98</f>
        <v>0</v>
      </c>
      <c r="AE20" s="2512">
        <f>$AD$1*AD20/100</f>
        <v>0</v>
      </c>
      <c r="AF20" s="2513">
        <f t="shared" ref="AF20:BR20" si="2444">AF19*100/AF$98</f>
        <v>0</v>
      </c>
      <c r="AG20" s="2514">
        <f>$AF$1*AF20/100</f>
        <v>0</v>
      </c>
      <c r="AH20" s="2511">
        <f t="shared" si="2444"/>
        <v>5.2279572125869773</v>
      </c>
      <c r="AI20" s="2512">
        <f>$AH$1*AH20/100</f>
        <v>538196.35733575653</v>
      </c>
      <c r="AJ20" s="2513">
        <f t="shared" si="2444"/>
        <v>2.4046235850751629</v>
      </c>
      <c r="AK20" s="2514"/>
      <c r="AL20" s="2511">
        <f t="shared" si="2444"/>
        <v>0.73481481481481481</v>
      </c>
      <c r="AM20" s="2512">
        <f>$AL$1*AL20/100</f>
        <v>9933.8745528888885</v>
      </c>
      <c r="AN20" s="2513">
        <f t="shared" si="2444"/>
        <v>0.86615301183861837</v>
      </c>
      <c r="AO20" s="2514">
        <f>$AN$1*AN20/100</f>
        <v>95287.133845862656</v>
      </c>
      <c r="AP20" s="2511">
        <f t="shared" si="2444"/>
        <v>0.5706372815612677</v>
      </c>
      <c r="AQ20" s="2512"/>
      <c r="AR20" s="2513">
        <f t="shared" si="2444"/>
        <v>0.97656249999999978</v>
      </c>
      <c r="AS20" s="2514">
        <f>$AR$1*AR20/100</f>
        <v>39115.25810546874</v>
      </c>
      <c r="AT20" s="2511">
        <f t="shared" si="2444"/>
        <v>15.021722846441946</v>
      </c>
      <c r="AU20" s="2512">
        <f>$AT$1*AT20/100</f>
        <v>804168.22859041195</v>
      </c>
      <c r="AV20" s="2513">
        <f t="shared" si="2444"/>
        <v>1.153977287628839</v>
      </c>
      <c r="AW20" s="2514">
        <f>$AV$1*AV20/100</f>
        <v>74922.739563062234</v>
      </c>
      <c r="AX20" s="2511">
        <f t="shared" si="2444"/>
        <v>0</v>
      </c>
      <c r="AY20" s="2512"/>
      <c r="AZ20" s="2513" t="e">
        <f t="shared" si="2444"/>
        <v>#DIV/0!</v>
      </c>
      <c r="BA20" s="2514" t="e">
        <f>$AZ$1*AZ20/100</f>
        <v>#DIV/0!</v>
      </c>
      <c r="BB20" s="2511">
        <f t="shared" si="2444"/>
        <v>0</v>
      </c>
      <c r="BC20" s="2512"/>
      <c r="BD20" s="2513">
        <f t="shared" si="2444"/>
        <v>3.4690799396681751</v>
      </c>
      <c r="BE20" s="2514">
        <f>$BD$1*BD20/100</f>
        <v>796531.62271493196</v>
      </c>
      <c r="BF20" s="2511">
        <f t="shared" si="2444"/>
        <v>0</v>
      </c>
      <c r="BG20" s="2512"/>
      <c r="BH20" s="2513">
        <f t="shared" si="2444"/>
        <v>0</v>
      </c>
      <c r="BI20" s="2514"/>
      <c r="BJ20" s="2511">
        <f t="shared" si="2444"/>
        <v>0</v>
      </c>
      <c r="BK20" s="2512"/>
      <c r="BL20" s="2513">
        <f t="shared" si="2444"/>
        <v>0</v>
      </c>
      <c r="BM20" s="2516"/>
      <c r="BN20" s="2511">
        <f t="shared" si="2444"/>
        <v>0.092421441774491686</v>
      </c>
      <c r="BO20" s="2514">
        <f>$BN$1*BN20/100</f>
        <v>7617.0187707948253</v>
      </c>
      <c r="BP20" s="2513">
        <f t="shared" si="2444"/>
        <v>0.14345331246739698</v>
      </c>
      <c r="BQ20" s="2514">
        <f>$BP$1*BP20/100</f>
        <v>1437.3891653625458</v>
      </c>
      <c r="BR20" s="2511">
        <f t="shared" si="2444"/>
        <v>2.9911462072266097</v>
      </c>
      <c r="BS20" s="2514">
        <f>$BR$1*BR20/100</f>
        <v>428642.35971524299</v>
      </c>
      <c r="BT20" s="2517">
        <f>AE20+AG20+AI20+AK20+AM20+AO20+AQ20+AS20+AU20+AW20+AY20+BC20+BE20+BG20+BI20+BK20+BM20+BO20+BQ20+BS20</f>
        <v>2795851.9823597833</v>
      </c>
      <c r="BU20" s="2518">
        <f>BT20-AE20-AG20-BE20-BG20-BI20-BK20</f>
        <v>1999320.3596448512</v>
      </c>
      <c r="BV20" s="222"/>
      <c r="BX20">
        <f t="shared" si="2423"/>
        <v>0</v>
      </c>
      <c r="BY20" s="2418">
        <f t="shared" si="2424"/>
        <v>0</v>
      </c>
      <c r="CB20" s="2367">
        <f>AE21+AG21+AI21+AK21+AM21+AO21+AQ21+AS21+AU21+AW21+AY21+BA21+BC21+BE21+BG21+BI21+BK21+BM21+BO21+BQ21+BS21</f>
        <v>0</v>
      </c>
      <c r="CC20" s="2575"/>
      <c r="CD20" s="2377">
        <f t="shared" si="2422"/>
        <v>0</v>
      </c>
      <c r="CE20" s="2369"/>
      <c r="CF20" s="2418">
        <f t="shared" si="2425"/>
        <v>0</v>
      </c>
      <c r="CG20" s="2418">
        <f t="shared" si="2426"/>
        <v>0</v>
      </c>
      <c r="CH20" s="2462">
        <f t="shared" si="2427"/>
        <v>0</v>
      </c>
    </row>
    <row r="21" ht="15.75" customHeight="1">
      <c r="A21" s="329"/>
      <c r="B21" s="2510"/>
      <c r="C21" s="2519"/>
      <c r="D21" s="2520"/>
      <c r="E21" s="2520"/>
      <c r="F21" s="2520"/>
      <c r="G21" s="2521">
        <f t="shared" si="2433"/>
        <v>0</v>
      </c>
      <c r="H21" s="2522"/>
      <c r="I21" s="2523"/>
      <c r="J21" s="2522"/>
      <c r="K21" s="2524">
        <f t="shared" si="2442"/>
        <v>0</v>
      </c>
      <c r="L21" s="2540">
        <f t="shared" si="2436"/>
        <v>0</v>
      </c>
      <c r="M21" s="2525"/>
      <c r="N21" s="2525"/>
      <c r="O21" s="2526"/>
      <c r="P21" s="2527"/>
      <c r="Q21" s="2528"/>
      <c r="R21" s="2525"/>
      <c r="S21" s="2529"/>
      <c r="T21" s="2525"/>
      <c r="U21" s="2530"/>
      <c r="V21" s="2531"/>
      <c r="W21" s="2509"/>
      <c r="Z21" s="2555"/>
      <c r="AA21" s="2556"/>
      <c r="AC21" s="2388" t="s">
        <v>185</v>
      </c>
      <c r="AD21" s="2494">
        <f>АНАЛИЗ!G25</f>
        <v>0</v>
      </c>
      <c r="AE21" s="2532"/>
      <c r="AF21" s="2494">
        <f>АНАЛИЗ!I25</f>
        <v>0</v>
      </c>
      <c r="AG21" s="2532"/>
      <c r="AH21" s="2494">
        <f>АНАЛИЗ!K25</f>
        <v>12047.964205481614</v>
      </c>
      <c r="AI21" s="2532"/>
      <c r="AJ21" s="2494">
        <f>АНАЛИЗ!M25</f>
        <v>20847.50321660563</v>
      </c>
      <c r="AK21" s="2532"/>
      <c r="AL21" s="2494">
        <f>АНАЛИЗ!O25</f>
        <v>245.6726680236427</v>
      </c>
      <c r="AM21" s="2532"/>
      <c r="AN21" s="2494">
        <f>АНАЛИЗ!Q25</f>
        <v>33960.016356373795</v>
      </c>
      <c r="AO21" s="2532"/>
      <c r="AP21" s="2494">
        <f>АНАЛИЗ!S25</f>
        <v>79.374691616258701</v>
      </c>
      <c r="AQ21" s="2532"/>
      <c r="AR21" s="2494">
        <f>АНАЛИЗ!U25</f>
        <v>701.78556359687229</v>
      </c>
      <c r="AS21" s="2532"/>
      <c r="AT21" s="2494">
        <f>АНАЛИЗ!W25</f>
        <v>908.41393530062294</v>
      </c>
      <c r="AU21" s="2532"/>
      <c r="AV21" s="2494">
        <f>АНАЛИЗ!Y25</f>
        <v>574.2365667769061</v>
      </c>
      <c r="AW21" s="2532"/>
      <c r="AX21" s="2494">
        <f>АНАЛИЗ!AA25</f>
        <v>0</v>
      </c>
      <c r="AY21" s="2532"/>
      <c r="AZ21" s="2494">
        <f>АНАЛИЗ!AC25</f>
        <v>0</v>
      </c>
      <c r="BA21" s="2532"/>
      <c r="BB21" s="2494">
        <f>АНАЛИЗ!AE25</f>
        <v>0</v>
      </c>
      <c r="BC21" s="2532"/>
      <c r="BD21" s="2494">
        <f>АНАЛИЗ!AG25</f>
        <v>36897.279809164647</v>
      </c>
      <c r="BE21" s="2532"/>
      <c r="BF21" s="2494">
        <f>АНАЛИЗ!AI25</f>
        <v>0</v>
      </c>
      <c r="BG21" s="2532"/>
      <c r="BH21" s="2494">
        <f>АНАЛИЗ!AK25</f>
        <v>0</v>
      </c>
      <c r="BI21" s="2532"/>
      <c r="BJ21" s="2494">
        <f>АНАЛИЗ!AM25</f>
        <v>0</v>
      </c>
      <c r="BK21" s="2532"/>
      <c r="BL21" s="2494">
        <f>АНАЛИЗ!AO25</f>
        <v>0</v>
      </c>
      <c r="BM21" s="2532"/>
      <c r="BN21" s="2494">
        <f>АНАЛИЗ!AQ25</f>
        <v>0</v>
      </c>
      <c r="BO21" s="2532"/>
      <c r="BP21" s="2494">
        <f>АНАЛИЗ!AS25</f>
        <v>0</v>
      </c>
      <c r="BQ21" s="2532"/>
      <c r="BR21" s="2494">
        <f>АНАЛИЗ!AU25</f>
        <v>32700.816797079166</v>
      </c>
      <c r="BS21" s="865"/>
      <c r="BT21" s="2496"/>
      <c r="BU21" s="2497"/>
      <c r="BV21" s="222">
        <v>30</v>
      </c>
      <c r="BX21">
        <f t="shared" si="2423"/>
        <v>2.9880478087649402</v>
      </c>
      <c r="BY21" s="2418">
        <f t="shared" si="2424"/>
        <v>975055.19233198883</v>
      </c>
      <c r="CB21" s="2367">
        <f>AE22+AG22+AI22+AK22+AM22+AO22+AQ22+AS22+AU22+AW22+AY22+BC22+BE22+BG22+BI22+BK22+BM22+BO22+BQ22+BS22</f>
        <v>1114867.8545591789</v>
      </c>
      <c r="CD21" s="2377">
        <f t="shared" si="2422"/>
        <v>0.80642511874155998</v>
      </c>
      <c r="CE21" s="2369">
        <f>CD21*$CE$5/100</f>
        <v>1188529.6069161105</v>
      </c>
      <c r="CF21" s="2418">
        <f t="shared" si="2425"/>
        <v>2990926.7145591788</v>
      </c>
      <c r="CG21" s="2418">
        <f t="shared" si="2426"/>
        <v>4179456.3214752893</v>
      </c>
      <c r="CH21" s="2462">
        <f>CE21+CF21</f>
        <v>4179456.3214752893</v>
      </c>
    </row>
    <row r="22" ht="15.75">
      <c r="A22" s="2576" t="s">
        <v>185</v>
      </c>
      <c r="C22" s="2498">
        <v>147</v>
      </c>
      <c r="D22" s="2367">
        <v>889101.33999999997</v>
      </c>
      <c r="E22" s="2367">
        <f>986957.52</f>
        <v>986957.52000000002</v>
      </c>
      <c r="G22" s="2500">
        <f t="shared" si="2433"/>
        <v>1876058.8599999999</v>
      </c>
      <c r="H22" s="2486"/>
      <c r="I22" s="2487"/>
      <c r="J22" s="2486"/>
      <c r="K22" s="2488">
        <f t="shared" si="2442"/>
        <v>0</v>
      </c>
      <c r="L22" s="2489">
        <f t="shared" si="2436"/>
        <v>1876058.8599999999</v>
      </c>
      <c r="N22" s="2369"/>
      <c r="O22" s="2534"/>
      <c r="P22" s="2535">
        <f t="shared" si="2434"/>
        <v>0</v>
      </c>
      <c r="Q22" s="2536">
        <f t="shared" si="2430"/>
        <v>1876058.8599999999</v>
      </c>
      <c r="S22" s="2537"/>
      <c r="U22" s="2538">
        <f t="shared" si="2431"/>
        <v>0</v>
      </c>
      <c r="V22" s="2539">
        <f t="shared" si="2432"/>
        <v>1876058.8599999999</v>
      </c>
      <c r="W22" s="2509"/>
      <c r="X22" s="2418">
        <f>X26*AA22/AA26</f>
        <v>857455.52767141594</v>
      </c>
      <c r="Z22" s="2555">
        <v>63</v>
      </c>
      <c r="AA22" s="2577">
        <f>Z22*AA26/Z26</f>
        <v>5915.6999999999998</v>
      </c>
      <c r="AC22" s="2510"/>
      <c r="AD22" s="2511">
        <f>AD21*100/AD$98</f>
        <v>0</v>
      </c>
      <c r="AE22" s="2512">
        <f>$AD$1*AD22/100</f>
        <v>0</v>
      </c>
      <c r="AF22" s="2513">
        <f t="shared" ref="AF22:BR22" si="2445">AF21*100/AF$98</f>
        <v>0</v>
      </c>
      <c r="AG22" s="2514">
        <f>$AF$1*AF22/100</f>
        <v>0</v>
      </c>
      <c r="AH22" s="2511">
        <f t="shared" si="2445"/>
        <v>2.0915982968117151</v>
      </c>
      <c r="AI22" s="2512">
        <f>$AH$1*AH22/100</f>
        <v>215321.30784152041</v>
      </c>
      <c r="AJ22" s="2513">
        <f t="shared" si="2445"/>
        <v>1.4763131101395457</v>
      </c>
      <c r="AK22" s="2514"/>
      <c r="AL22" s="2511">
        <f t="shared" si="2445"/>
        <v>0.088888888888888892</v>
      </c>
      <c r="AM22" s="2512">
        <f>$AL$1*AL22/100</f>
        <v>1201.6783733333332</v>
      </c>
      <c r="AN22" s="2513">
        <f t="shared" si="2445"/>
        <v>0.71318210189192799</v>
      </c>
      <c r="AO22" s="2514">
        <f>$AN$1*AN22/100</f>
        <v>78458.514223941253</v>
      </c>
      <c r="AP22" s="2511">
        <f t="shared" si="2445"/>
        <v>0.27692691605179165</v>
      </c>
      <c r="AQ22" s="2512"/>
      <c r="AR22" s="2513">
        <f t="shared" si="2445"/>
        <v>0.23164970930232556</v>
      </c>
      <c r="AS22" s="2514">
        <f>$AR$1*AR22/100</f>
        <v>9278.5030854832839</v>
      </c>
      <c r="AT22" s="2511">
        <f t="shared" si="2445"/>
        <v>6.8554307116104862</v>
      </c>
      <c r="AU22" s="2512">
        <f>$AT$1*AT22/100</f>
        <v>366996.49087760301</v>
      </c>
      <c r="AV22" s="2513">
        <f t="shared" si="2445"/>
        <v>0.84862290794783135</v>
      </c>
      <c r="AW22" s="2514">
        <f>$AV$1*AV22/100</f>
        <v>55097.404256602589</v>
      </c>
      <c r="AX22" s="2511">
        <f t="shared" si="2445"/>
        <v>0</v>
      </c>
      <c r="AY22" s="2512"/>
      <c r="AZ22" s="2513" t="e">
        <f t="shared" si="2445"/>
        <v>#DIV/0!</v>
      </c>
      <c r="BA22" s="2514" t="e">
        <f>$AZ$1*AZ22/100</f>
        <v>#DIV/0!</v>
      </c>
      <c r="BB22" s="2511">
        <f t="shared" si="2445"/>
        <v>0</v>
      </c>
      <c r="BC22" s="2512"/>
      <c r="BD22" s="2513">
        <f t="shared" si="2445"/>
        <v>0.45248868778280538</v>
      </c>
      <c r="BE22" s="2514">
        <f>$BD$1*BD22/100</f>
        <v>103895.42904977372</v>
      </c>
      <c r="BF22" s="2511">
        <f t="shared" si="2445"/>
        <v>0</v>
      </c>
      <c r="BG22" s="2512"/>
      <c r="BH22" s="2513">
        <f t="shared" si="2445"/>
        <v>0</v>
      </c>
      <c r="BI22" s="2514"/>
      <c r="BJ22" s="2511">
        <f t="shared" si="2445"/>
        <v>0</v>
      </c>
      <c r="BK22" s="2512"/>
      <c r="BL22" s="2513">
        <f t="shared" si="2445"/>
        <v>0</v>
      </c>
      <c r="BM22" s="2516"/>
      <c r="BN22" s="2511">
        <f t="shared" si="2445"/>
        <v>0</v>
      </c>
      <c r="BO22" s="2514">
        <f>$BN$1*BN22/100</f>
        <v>0</v>
      </c>
      <c r="BP22" s="2513">
        <f t="shared" si="2445"/>
        <v>0</v>
      </c>
      <c r="BQ22" s="2514">
        <f>$BP$1*BP22/100</f>
        <v>0</v>
      </c>
      <c r="BR22" s="2511">
        <f t="shared" si="2445"/>
        <v>1.9861210815984687</v>
      </c>
      <c r="BS22" s="2514">
        <f>$BR$1*BR22/100</f>
        <v>284618.52685092133</v>
      </c>
      <c r="BT22" s="2517">
        <f>AE22+AG22+AI22+AK22+AM22+AO22+AQ22+AS22+AU22+AW22+AY22+BC22+BE22+BG22+BI22+BK22+BM22+BO22+BQ22+BS22</f>
        <v>1114867.8545591789</v>
      </c>
      <c r="BU22" s="2518">
        <f>BT22-AE22-AG22-BE22-BG22-BI22-BK22</f>
        <v>1010972.4255094052</v>
      </c>
      <c r="BV22" s="222"/>
      <c r="BX22">
        <f t="shared" si="2423"/>
        <v>0</v>
      </c>
      <c r="BY22" s="2418">
        <f t="shared" si="2424"/>
        <v>0</v>
      </c>
      <c r="CB22" s="2367">
        <f>AE23+AG23+AI23+AK23+AM23+AO23+AQ23+AS23+AU23+AW23+AY23+BA23+BC23+BE23+BG23+BI23+BK23+BM23+BO23+BQ23+BS23</f>
        <v>0</v>
      </c>
      <c r="CD22" s="2377">
        <f t="shared" si="2422"/>
        <v>0</v>
      </c>
      <c r="CE22" s="2369"/>
      <c r="CF22" s="2418">
        <f t="shared" si="2425"/>
        <v>0</v>
      </c>
      <c r="CG22" s="2418">
        <f t="shared" si="2426"/>
        <v>0</v>
      </c>
      <c r="CH22" s="2462">
        <f t="shared" si="2427"/>
        <v>0</v>
      </c>
    </row>
    <row r="23" ht="15.75" customHeight="1">
      <c r="A23" s="471"/>
      <c r="C23" s="2578"/>
      <c r="G23" s="2521">
        <f t="shared" si="2433"/>
        <v>0</v>
      </c>
      <c r="H23" s="2522"/>
      <c r="I23" s="2523"/>
      <c r="J23" s="2522"/>
      <c r="K23" s="2524">
        <f t="shared" si="2442"/>
        <v>0</v>
      </c>
      <c r="L23" s="2540">
        <f t="shared" si="2436"/>
        <v>0</v>
      </c>
      <c r="N23" s="2369"/>
      <c r="O23" s="2370"/>
      <c r="P23" s="2535"/>
      <c r="Q23" s="2536">
        <f t="shared" si="2430"/>
        <v>0</v>
      </c>
      <c r="S23" s="2537"/>
      <c r="U23" s="2538">
        <f t="shared" si="2431"/>
        <v>0</v>
      </c>
      <c r="V23" s="2539">
        <f t="shared" si="2432"/>
        <v>0</v>
      </c>
      <c r="W23" s="2509"/>
      <c r="X23" s="2418">
        <f>X26*AA23/AA26</f>
        <v>503584.99244194274</v>
      </c>
      <c r="Z23" s="1466">
        <v>37</v>
      </c>
      <c r="AA23" s="2579">
        <f>Z23*AA26/Z26</f>
        <v>3474.3000000000002</v>
      </c>
      <c r="AC23" s="2388" t="s">
        <v>187</v>
      </c>
      <c r="AD23" s="2494">
        <f>АНАЛИЗ!G29</f>
        <v>10117.652680259047</v>
      </c>
      <c r="AE23" s="2532"/>
      <c r="AF23" s="2494">
        <f>АНАЛИЗ!I29</f>
        <v>15457835.656062566</v>
      </c>
      <c r="AG23" s="2532"/>
      <c r="AH23" s="2494">
        <f>АНАЛИЗ!K29</f>
        <v>25615.383678188813</v>
      </c>
      <c r="AI23" s="2532"/>
      <c r="AJ23" s="2494">
        <f>АНАЛИЗ!M29</f>
        <v>85250.641956748383</v>
      </c>
      <c r="AK23" s="2532"/>
      <c r="AL23" s="2494">
        <f>АНАЛИЗ!O29</f>
        <v>4897.0751826046107</v>
      </c>
      <c r="AM23" s="2532"/>
      <c r="AN23" s="2494">
        <f>АНАЛИЗ!Q29</f>
        <v>770531.82018346246</v>
      </c>
      <c r="AO23" s="2532"/>
      <c r="AP23" s="2494">
        <f>АНАЛИЗ!S29</f>
        <v>6006.0183322969087</v>
      </c>
      <c r="AQ23" s="2532"/>
      <c r="AR23" s="2494">
        <f>АНАЛИЗ!U29</f>
        <v>3632.7723292073388</v>
      </c>
      <c r="AS23" s="2532"/>
      <c r="AT23" s="2494">
        <f>АНАЛИЗ!W29</f>
        <v>613.21910973418358</v>
      </c>
      <c r="AU23" s="2532"/>
      <c r="AV23" s="2494">
        <f>АНАЛИЗ!Y29</f>
        <v>5912.2281400606844</v>
      </c>
      <c r="AW23" s="2532"/>
      <c r="AX23" s="2494">
        <f>АНАЛИЗ!AA29</f>
        <v>0</v>
      </c>
      <c r="AY23" s="2532"/>
      <c r="AZ23" s="2494">
        <f>АНАЛИЗ!AC29</f>
        <v>0</v>
      </c>
      <c r="BA23" s="2532"/>
      <c r="BB23" s="2494">
        <f>АНАЛИЗ!AE29</f>
        <v>0</v>
      </c>
      <c r="BC23" s="2532"/>
      <c r="BD23" s="2494">
        <f>АНАЛИЗ!AG29</f>
        <v>0</v>
      </c>
      <c r="BE23" s="2532"/>
      <c r="BF23" s="2494">
        <f>АНАЛИЗ!AI29</f>
        <v>0</v>
      </c>
      <c r="BG23" s="2532"/>
      <c r="BH23" s="2494">
        <f>АНАЛИЗ!AK29</f>
        <v>0</v>
      </c>
      <c r="BI23" s="2532"/>
      <c r="BJ23" s="2494">
        <f>АНАЛИЗ!AM29</f>
        <v>0</v>
      </c>
      <c r="BK23" s="2532"/>
      <c r="BL23" s="2494">
        <f>АНАЛИЗ!AO29</f>
        <v>0</v>
      </c>
      <c r="BM23" s="2532"/>
      <c r="BN23" s="2494">
        <f>АНАЛИЗ!AQ29</f>
        <v>209.15534815089438</v>
      </c>
      <c r="BO23" s="2532"/>
      <c r="BP23" s="2494">
        <f>АНАЛИЗ!AS29</f>
        <v>2094.2531824899893</v>
      </c>
      <c r="BQ23" s="2532"/>
      <c r="BR23" s="2494">
        <f>АНАЛИЗ!AU29</f>
        <v>108346.07974935869</v>
      </c>
      <c r="BS23" s="865"/>
      <c r="BT23" s="2496"/>
      <c r="BU23" s="2497"/>
      <c r="BV23" s="222">
        <v>55</v>
      </c>
      <c r="BX23">
        <f t="shared" si="2423"/>
        <v>5.47808764940239</v>
      </c>
      <c r="BY23" s="2418">
        <f t="shared" si="2424"/>
        <v>1787601.1859419793</v>
      </c>
      <c r="CB23" s="2367" t="e">
        <f>#REF!+#REF!+#REF!+#REF!+#REF!+#REF!+#REF!+#REF!+#REF!+#REF!+#REF!+#REF!+#REF!+#REF!+#REF!+#REF!+#REF!+#REF!+#REF!+#REF!</f>
        <v>#REF!</v>
      </c>
      <c r="CD23" s="2377" t="e">
        <f t="shared" si="2422"/>
        <v>#REF!</v>
      </c>
      <c r="CE23" s="2369" t="e">
        <f>CD23*$CE$5/100</f>
        <v>#REF!</v>
      </c>
      <c r="CF23" s="2418" t="e">
        <f t="shared" ref="CF23:CF24" si="2446">V26+CB23</f>
        <v>#REF!</v>
      </c>
      <c r="CG23" s="2418" t="e">
        <f t="shared" ref="CG23:CG24" si="2447">V26+CB23+CE23</f>
        <v>#REF!</v>
      </c>
      <c r="CH23" s="2462" t="e">
        <f t="shared" si="2427"/>
        <v>#REF!</v>
      </c>
    </row>
    <row r="24" ht="15.75" customHeight="1">
      <c r="A24" s="482" t="s">
        <v>198</v>
      </c>
      <c r="B24" s="2580" t="s">
        <v>898</v>
      </c>
      <c r="C24" s="2581"/>
      <c r="D24" s="2499">
        <f>909178.37-16781.36+125094.4</f>
        <v>1017491.41</v>
      </c>
      <c r="E24" s="2499">
        <f>872299.36+149372</f>
        <v>1021671.36</v>
      </c>
      <c r="F24" s="2499"/>
      <c r="G24" s="2500">
        <f t="shared" si="2433"/>
        <v>2039162.77</v>
      </c>
      <c r="H24" s="2486"/>
      <c r="I24" s="2487"/>
      <c r="J24" s="2486"/>
      <c r="K24" s="2488">
        <f t="shared" si="2442"/>
        <v>0</v>
      </c>
      <c r="L24" s="2489">
        <f t="shared" si="2436"/>
        <v>2039162.77</v>
      </c>
      <c r="M24" s="2502"/>
      <c r="N24" s="2502"/>
      <c r="O24" s="2503"/>
      <c r="P24" s="2535">
        <f t="shared" si="2434"/>
        <v>0</v>
      </c>
      <c r="Q24" s="2536">
        <f t="shared" si="2430"/>
        <v>2039162.77</v>
      </c>
      <c r="R24" s="2502"/>
      <c r="S24" s="2582"/>
      <c r="T24" s="2583"/>
      <c r="U24" s="2538">
        <f t="shared" si="2431"/>
        <v>0</v>
      </c>
      <c r="V24" s="2539">
        <f t="shared" si="2432"/>
        <v>2039162.77</v>
      </c>
      <c r="W24" s="2509"/>
      <c r="X24" s="2418"/>
      <c r="Z24" s="2555"/>
      <c r="AA24" s="2577"/>
      <c r="AC24" s="2571"/>
      <c r="AD24" s="2511">
        <f>AD23*100/AD$98</f>
        <v>0.16680878232389296</v>
      </c>
      <c r="AE24" s="2512">
        <f>$AD$1*AD24/100</f>
        <v>16602.066921048638</v>
      </c>
      <c r="AF24" s="2513">
        <f>AF23*100/AF$98</f>
        <v>68.267254789185372</v>
      </c>
      <c r="AG24" s="2514">
        <f>$AF$1*AF24/100</f>
        <v>3604177.7106905784</v>
      </c>
      <c r="AH24" s="2511">
        <f>AH23*100/AH$98</f>
        <v>4.4469830719700907</v>
      </c>
      <c r="AI24" s="2512">
        <f>$AH$1*AH24/100</f>
        <v>457798.33176633087</v>
      </c>
      <c r="AJ24" s="2513">
        <f>AJ23*100/AJ$98</f>
        <v>6.0370126370006583</v>
      </c>
      <c r="AK24" s="2514"/>
      <c r="AL24" s="2511">
        <f>AL23*100/AL$98</f>
        <v>1.7718518518518518</v>
      </c>
      <c r="AM24" s="2512">
        <f>$AL$1*AL24/100</f>
        <v>23953.455575111107</v>
      </c>
      <c r="AN24" s="2513">
        <f>AN23*100/AN$98</f>
        <v>16.181661908708602</v>
      </c>
      <c r="AO24" s="2514">
        <f>$AN$1*AN24/100</f>
        <v>1780175.2843536856</v>
      </c>
      <c r="AP24" s="2511">
        <f>AP23*100/AP$98</f>
        <v>20.954136647918904</v>
      </c>
      <c r="AQ24" s="2512"/>
      <c r="AR24" s="2513">
        <f>AR23*100/AR$98</f>
        <v>1.199127906976744</v>
      </c>
      <c r="AS24" s="2514">
        <f>$AR$1*AR24/100</f>
        <v>48029.898324854643</v>
      </c>
      <c r="AT24" s="2511">
        <f>AT23*100/AT$98</f>
        <v>4.6277153558052424</v>
      </c>
      <c r="AU24" s="2512">
        <f>$AT$1*AT24/100</f>
        <v>247738.67139880144</v>
      </c>
      <c r="AV24" s="2513">
        <f>AV23*100/AV$98</f>
        <v>8.7372566063326378</v>
      </c>
      <c r="AW24" s="2514">
        <f>$AV$1*AV24/100</f>
        <v>567272.17097747116</v>
      </c>
      <c r="AX24" s="2511">
        <f>AX23*100/AX$98</f>
        <v>0</v>
      </c>
      <c r="AY24" s="2512"/>
      <c r="AZ24" s="2513" t="e">
        <f>AZ23*100/AZ$98</f>
        <v>#DIV/0!</v>
      </c>
      <c r="BA24" s="2514" t="e">
        <f>$AZ$1*AZ24/100</f>
        <v>#DIV/0!</v>
      </c>
      <c r="BB24" s="2511">
        <f>BB23*100/BB$98</f>
        <v>0</v>
      </c>
      <c r="BC24" s="2512"/>
      <c r="BD24" s="2513">
        <f>BD23*100/BD$98</f>
        <v>0</v>
      </c>
      <c r="BE24" s="2514">
        <f>$BD$1*BD24/100</f>
        <v>0</v>
      </c>
      <c r="BF24" s="2511">
        <f>BF23*100/BF$98</f>
        <v>0</v>
      </c>
      <c r="BG24" s="2512"/>
      <c r="BH24" s="2513">
        <f>BH23*100/BH$98</f>
        <v>0</v>
      </c>
      <c r="BI24" s="2514"/>
      <c r="BJ24" s="2511">
        <f>BJ23*100/BJ$98</f>
        <v>0</v>
      </c>
      <c r="BK24" s="2514">
        <f>$BJ$1*BJ24/100</f>
        <v>0</v>
      </c>
      <c r="BL24" s="2513">
        <f>BL23*100/BL$98</f>
        <v>0</v>
      </c>
      <c r="BM24" s="2516"/>
      <c r="BN24" s="2511">
        <f>BN23*100/BN$98</f>
        <v>0.0616142945163278</v>
      </c>
      <c r="BO24" s="2514">
        <f>$BN$1*BN24/100</f>
        <v>5078.0125138632175</v>
      </c>
      <c r="BP24" s="2513">
        <f>BP23*100/BP$98</f>
        <v>1.2910798122065728</v>
      </c>
      <c r="BQ24" s="2514">
        <f>$BP$1*BP24/100</f>
        <v>12936.50248826291</v>
      </c>
      <c r="BR24" s="2511">
        <f>BR23*100/BR$98</f>
        <v>6.5805216558985418</v>
      </c>
      <c r="BS24" s="2514">
        <f>$BR$1*BR24/100</f>
        <v>943013.19137353462</v>
      </c>
      <c r="BT24" s="2517">
        <f>AE24+AG24+AI24+AK24+AM24+AO24+AQ24+AS24+AU24+AW24+AY24+BC24+BE24+BG24+BI24+BK24+BM24+BO24+BQ24+BS24</f>
        <v>7706775.2963835429</v>
      </c>
      <c r="BU24" s="2518">
        <f>BT24-AE24-AG24-BE24-BG24-BI24-BK24</f>
        <v>4085995.5187719157</v>
      </c>
      <c r="BV24" s="222"/>
      <c r="BX24">
        <f>BV24*100/$BV$69</f>
        <v>0</v>
      </c>
      <c r="BY24" s="2418">
        <f>$BY$70*BX24/100</f>
        <v>0</v>
      </c>
      <c r="CB24" s="2367">
        <f>AE27+AG27+AI27+AK27+AM27+AO27+AQ27+AS27+AU27+AW27+AY27+BA27+BC27+BE27+BG27+BI27+BK27+BM27+BO27+BQ27+BS27</f>
        <v>0</v>
      </c>
      <c r="CD24" s="2377">
        <f>CB24*100/$CB$91</f>
        <v>0</v>
      </c>
      <c r="CE24" s="2369"/>
      <c r="CF24" s="2418">
        <f t="shared" si="2446"/>
        <v>0</v>
      </c>
      <c r="CG24" s="2418">
        <f t="shared" si="2447"/>
        <v>0</v>
      </c>
      <c r="CH24" s="2462">
        <f>CE24+CF24</f>
        <v>0</v>
      </c>
    </row>
    <row r="25" ht="15.75" customHeight="1">
      <c r="A25" s="2576"/>
      <c r="B25" s="2584" t="s">
        <v>899</v>
      </c>
      <c r="C25" s="2519"/>
      <c r="D25" s="2520">
        <f>1425875.35-6168.07</f>
        <v>1419707.28</v>
      </c>
      <c r="E25" s="2520">
        <v>1736991</v>
      </c>
      <c r="F25" s="2520"/>
      <c r="G25" s="2521">
        <f t="shared" si="2433"/>
        <v>3156698.2800000003</v>
      </c>
      <c r="H25" s="2522"/>
      <c r="I25" s="2523"/>
      <c r="J25" s="2522"/>
      <c r="K25" s="2524">
        <f t="shared" si="2442"/>
        <v>0</v>
      </c>
      <c r="L25" s="2540">
        <f t="shared" si="2436"/>
        <v>3156698.2800000003</v>
      </c>
      <c r="M25" s="2525"/>
      <c r="N25" s="2525"/>
      <c r="O25" s="2526"/>
      <c r="P25" s="2535"/>
      <c r="Q25" s="2536">
        <f t="shared" si="2430"/>
        <v>3156698.2800000003</v>
      </c>
      <c r="R25" s="2525"/>
      <c r="S25" s="2585"/>
      <c r="T25" s="2586"/>
      <c r="U25" s="2538">
        <f t="shared" si="2431"/>
        <v>0</v>
      </c>
      <c r="V25" s="2539">
        <f t="shared" si="2432"/>
        <v>3156698.2800000003</v>
      </c>
      <c r="W25" s="2509"/>
      <c r="X25" s="2418"/>
      <c r="Z25" s="2555"/>
      <c r="AA25" s="2577"/>
      <c r="AC25" s="482" t="s">
        <v>198</v>
      </c>
      <c r="AD25" s="2494">
        <f>АНАЛИЗ!G27</f>
        <v>0</v>
      </c>
      <c r="AE25" s="2532"/>
      <c r="AF25" s="2494">
        <f>АНАЛИЗ!I27</f>
        <v>0</v>
      </c>
      <c r="AG25" s="2532"/>
      <c r="AH25" s="2494">
        <f>АНАЛИЗ!K27</f>
        <v>2356.9502964050425</v>
      </c>
      <c r="AI25" s="2532"/>
      <c r="AJ25" s="2494">
        <f>АНАЛИЗ!M27</f>
        <v>1987.490164666257</v>
      </c>
      <c r="AK25" s="2532"/>
      <c r="AL25" s="2494">
        <f>АНАЛИЗ!O27</f>
        <v>0</v>
      </c>
      <c r="AM25" s="2532"/>
      <c r="AN25" s="2494">
        <f>АНАЛИЗ!Q27</f>
        <v>40050.406664188318</v>
      </c>
      <c r="AO25" s="2532"/>
      <c r="AP25" s="2494">
        <f>АНАЛИЗ!S27</f>
        <v>209.26055062468203</v>
      </c>
      <c r="AQ25" s="2532"/>
      <c r="AR25" s="2494">
        <f>АНАЛИЗ!U27</f>
        <v>0</v>
      </c>
      <c r="AS25" s="2532"/>
      <c r="AT25" s="2494">
        <f>АНАЛИЗ!W27</f>
        <v>0</v>
      </c>
      <c r="AU25" s="2532"/>
      <c r="AV25" s="2494">
        <f>АНАЛИЗ!Y27</f>
        <v>0</v>
      </c>
      <c r="AW25" s="2532"/>
      <c r="AX25" s="2494">
        <f>АНАЛИЗ!AA27</f>
        <v>0</v>
      </c>
      <c r="AY25" s="2532"/>
      <c r="AZ25" s="2494">
        <f>АНАЛИЗ!AC27</f>
        <v>0</v>
      </c>
      <c r="BA25" s="2532"/>
      <c r="BB25" s="2494">
        <f>АНАЛИЗ!AE27</f>
        <v>0</v>
      </c>
      <c r="BC25" s="2532"/>
      <c r="BD25" s="2494">
        <f>АНАЛИЗ!AG27</f>
        <v>0</v>
      </c>
      <c r="BE25" s="2532"/>
      <c r="BF25" s="2494">
        <f>АНАЛИЗ!AI27</f>
        <v>0</v>
      </c>
      <c r="BG25" s="2532"/>
      <c r="BH25" s="2494">
        <f>АНАЛИЗ!AK27</f>
        <v>0</v>
      </c>
      <c r="BI25" s="2532"/>
      <c r="BJ25" s="2494">
        <f>АНАЛИЗ!AM27</f>
        <v>0</v>
      </c>
      <c r="BK25" s="2532"/>
      <c r="BL25" s="2494">
        <f>АНАЛИЗ!AO27</f>
        <v>0</v>
      </c>
      <c r="BM25" s="2532"/>
      <c r="BN25" s="2494">
        <f>АНАЛИЗ!AQ27</f>
        <v>0</v>
      </c>
      <c r="BO25" s="2532"/>
      <c r="BP25" s="2494">
        <f>АНАЛИЗ!AS27</f>
        <v>0</v>
      </c>
      <c r="BQ25" s="2532"/>
      <c r="BR25" s="2494">
        <f>АНАЛИЗ!AU27</f>
        <v>10243.629358121185</v>
      </c>
      <c r="BS25" s="2514"/>
      <c r="BT25" s="2496"/>
      <c r="BU25" s="2497"/>
      <c r="BV25" s="222"/>
      <c r="BY25" s="2418"/>
      <c r="CB25" s="2367">
        <f>AE24+AG24+AI24+AK24+AM24+AO24+AQ24+AS24+AU24+AW24+AY24+BC24+BE24+BG24+BI24+BK24+BM24+BO24+BQ24+BS24</f>
        <v>7706775.2963835429</v>
      </c>
      <c r="CE25" s="2369"/>
      <c r="CF25" s="2418"/>
      <c r="CG25" s="2418"/>
      <c r="CH25" s="2462"/>
    </row>
    <row r="26" ht="15.75">
      <c r="A26" s="283" t="s">
        <v>187</v>
      </c>
      <c r="B26" s="2388"/>
      <c r="C26" s="2498">
        <v>181</v>
      </c>
      <c r="D26" s="2587">
        <f>2642151.23+531902.52+2194237.08</f>
        <v>5368290.8300000001</v>
      </c>
      <c r="E26" s="2499">
        <f>2009783.55+277787.1+1478162.88</f>
        <v>3765733.5299999998</v>
      </c>
      <c r="F26" s="2499"/>
      <c r="G26" s="2500">
        <f t="shared" si="2433"/>
        <v>9134024.3599999994</v>
      </c>
      <c r="H26" s="2486"/>
      <c r="I26" s="2487"/>
      <c r="J26" s="2486"/>
      <c r="K26" s="2488">
        <f t="shared" si="2442"/>
        <v>0</v>
      </c>
      <c r="L26" s="2489">
        <f t="shared" si="2436"/>
        <v>9134024.3599999994</v>
      </c>
      <c r="M26" s="2502"/>
      <c r="N26" s="2502"/>
      <c r="O26" s="2503"/>
      <c r="P26" s="2504">
        <f t="shared" si="2434"/>
        <v>0</v>
      </c>
      <c r="Q26" s="2505">
        <f t="shared" si="2430"/>
        <v>9134024.3599999994</v>
      </c>
      <c r="R26" s="2502"/>
      <c r="S26" s="2506"/>
      <c r="T26" s="2502"/>
      <c r="U26" s="2507">
        <f t="shared" si="2431"/>
        <v>0</v>
      </c>
      <c r="V26" s="2508">
        <f t="shared" si="2432"/>
        <v>9134024.3599999994</v>
      </c>
      <c r="W26" s="2588"/>
      <c r="X26" s="2589">
        <f>AA26*X28/AA28</f>
        <v>1361040.5201133587</v>
      </c>
      <c r="Z26" s="2555">
        <v>100</v>
      </c>
      <c r="AA26" s="2556">
        <v>9390</v>
      </c>
      <c r="AC26" s="2590"/>
      <c r="AD26" s="2591">
        <f>AD25*100/AD$98</f>
        <v>0</v>
      </c>
      <c r="AE26" s="2534">
        <f>$AD$1*AD26/100</f>
        <v>0</v>
      </c>
      <c r="AF26" s="2591">
        <f>AF25*100/AF$98</f>
        <v>0</v>
      </c>
      <c r="AG26" s="2591">
        <f>$AF$1*AF26/100</f>
        <v>0</v>
      </c>
      <c r="AH26" s="2591">
        <f>AH25*100/AH$98</f>
        <v>0.40918060027001768</v>
      </c>
      <c r="AI26" s="2534">
        <f>$AH$1*AH26/100</f>
        <v>42123.433609512933</v>
      </c>
      <c r="AJ26" s="2591">
        <f>AJ25*100/AJ$98</f>
        <v>0.14074384619991614</v>
      </c>
      <c r="AK26" s="2591"/>
      <c r="AL26" s="2591">
        <f>AL25*100/AL$98</f>
        <v>0</v>
      </c>
      <c r="AM26" s="2591">
        <f>$AL$1*AL26/100</f>
        <v>0</v>
      </c>
      <c r="AN26" s="2591">
        <f>AN25*100/AN$98</f>
        <v>0.84108420050956212</v>
      </c>
      <c r="AO26" s="2534">
        <f>$AN$1*AN26/100</f>
        <v>92529.266416183222</v>
      </c>
      <c r="AP26" s="2591">
        <f>AP25*100/AP$98</f>
        <v>0.7300800514092689</v>
      </c>
      <c r="AQ26" s="2591"/>
      <c r="AR26" s="2591">
        <f>AR25*100/AR$98</f>
        <v>0</v>
      </c>
      <c r="AS26" s="2591">
        <f>$AR$1*AR26/100</f>
        <v>0</v>
      </c>
      <c r="AT26" s="2591">
        <f>AT25*100/AT$98</f>
        <v>0</v>
      </c>
      <c r="AU26" s="2591">
        <f>$AT$1*AT26/100</f>
        <v>0</v>
      </c>
      <c r="AV26" s="2591">
        <f>AV25*100/AV$98</f>
        <v>0</v>
      </c>
      <c r="AW26" s="2591">
        <f>$AV$1*AV26/100</f>
        <v>0</v>
      </c>
      <c r="AX26" s="2591">
        <f>AX25*100/AX$98</f>
        <v>0</v>
      </c>
      <c r="AY26" s="2591"/>
      <c r="AZ26" s="2591" t="e">
        <f>AZ25*100/AZ$98</f>
        <v>#DIV/0!</v>
      </c>
      <c r="BA26" s="2591" t="e">
        <f>$AZ$1*AZ26/100</f>
        <v>#DIV/0!</v>
      </c>
      <c r="BB26" s="2591">
        <f>BB25*100/BB$98</f>
        <v>0</v>
      </c>
      <c r="BC26" s="2591"/>
      <c r="BD26" s="2591">
        <f>BD25*100/BD$98</f>
        <v>0</v>
      </c>
      <c r="BE26" s="2591">
        <f>$BD$1*BD26/100</f>
        <v>0</v>
      </c>
      <c r="BF26" s="2591">
        <f>BF25*100/BF$98</f>
        <v>0</v>
      </c>
      <c r="BG26" s="2591"/>
      <c r="BH26" s="2591">
        <f>BH25*100/BH$98</f>
        <v>0</v>
      </c>
      <c r="BI26" s="2591"/>
      <c r="BJ26" s="2591">
        <f>BJ25*100/BJ$98</f>
        <v>0</v>
      </c>
      <c r="BK26" s="2591">
        <f>$BJ$1*BJ26/100</f>
        <v>0</v>
      </c>
      <c r="BL26" s="2591">
        <f>BL25*100/BL$98</f>
        <v>0</v>
      </c>
      <c r="BM26" s="2591"/>
      <c r="BN26" s="2591">
        <f>BN25*100/BN$98</f>
        <v>0</v>
      </c>
      <c r="BO26" s="2591">
        <f>$BN$1*BN26/100</f>
        <v>0</v>
      </c>
      <c r="BP26" s="2591">
        <f>BP25*100/BP$98</f>
        <v>0</v>
      </c>
      <c r="BQ26" s="2534">
        <f>$BP$1*BP26/100</f>
        <v>0</v>
      </c>
      <c r="BR26" s="2591">
        <f>BR25*100/BR$98</f>
        <v>0.62215841110313486</v>
      </c>
      <c r="BS26" s="2514">
        <f>$BR$1*BR26/100</f>
        <v>89157.61082077054</v>
      </c>
      <c r="BT26" s="2517">
        <f>AE26+AG26+AI26+AK26+AM26+AO26+AQ26+AS26+AU26+AW26+AY26+BC26+BE26+BG26+BI26+BK26+BM26+BO26+BQ26+BS26</f>
        <v>223810.31084646669</v>
      </c>
      <c r="BU26" s="2518">
        <f>BT26-AE26-AG26-BE26-BG26-BI26-BK26</f>
        <v>223810.31084646669</v>
      </c>
    </row>
    <row r="27" ht="15.75">
      <c r="A27" s="437"/>
      <c r="B27" s="2592"/>
      <c r="C27" s="2519"/>
      <c r="D27" s="2520"/>
      <c r="E27" s="2520"/>
      <c r="F27" s="2520"/>
      <c r="G27" s="2521">
        <f t="shared" si="2433"/>
        <v>0</v>
      </c>
      <c r="H27" s="2522"/>
      <c r="I27" s="2523"/>
      <c r="J27" s="2522"/>
      <c r="K27" s="2524">
        <f t="shared" si="2442"/>
        <v>0</v>
      </c>
      <c r="L27" s="2540">
        <f t="shared" si="2436"/>
        <v>0</v>
      </c>
      <c r="M27" s="2525"/>
      <c r="N27" s="2525"/>
      <c r="O27" s="2526"/>
      <c r="P27" s="2527"/>
      <c r="Q27" s="2528">
        <f t="shared" si="2430"/>
        <v>0</v>
      </c>
      <c r="R27" s="2525"/>
      <c r="S27" s="2529"/>
      <c r="T27" s="2525"/>
      <c r="U27" s="2530">
        <f t="shared" si="2431"/>
        <v>0</v>
      </c>
      <c r="V27" s="2531">
        <f t="shared" si="2432"/>
        <v>0</v>
      </c>
      <c r="W27" s="2509"/>
      <c r="Z27" s="2555"/>
      <c r="AA27" s="2556"/>
      <c r="AC27" s="2593" t="s">
        <v>188</v>
      </c>
      <c r="AD27" s="2494">
        <f>АНАЛИЗ!G31</f>
        <v>72872.0536012636</v>
      </c>
      <c r="AE27" s="2532"/>
      <c r="AF27" s="2494">
        <f>АНАЛИЗ!I31</f>
        <v>743207.78160344856</v>
      </c>
      <c r="AG27" s="2532"/>
      <c r="AH27" s="2494">
        <f>АНАЛИЗ!K31</f>
        <v>48490.96218949055</v>
      </c>
      <c r="AI27" s="2532"/>
      <c r="AJ27" s="2494">
        <f>АНАЛИЗ!M31</f>
        <v>57848.64989922211</v>
      </c>
      <c r="AK27" s="2532"/>
      <c r="AL27" s="2494">
        <f>АНАЛИЗ!O31</f>
        <v>8287.3580013308801</v>
      </c>
      <c r="AM27" s="2532"/>
      <c r="AN27" s="2494">
        <f>АНАЛИЗ!Q31</f>
        <v>241106.37150576143</v>
      </c>
      <c r="AO27" s="2532"/>
      <c r="AP27" s="2494">
        <f>АНАЛИЗ!S31</f>
        <v>5253.1614087851212</v>
      </c>
      <c r="AQ27" s="2532"/>
      <c r="AR27" s="2494">
        <f>АНАЛИЗ!U31</f>
        <v>34841.589157397655</v>
      </c>
      <c r="AS27" s="2532"/>
      <c r="AT27" s="2494">
        <f>АНАЛИЗ!W31</f>
        <v>0</v>
      </c>
      <c r="AU27" s="2532"/>
      <c r="AV27" s="2494">
        <f>АНАЛИЗ!Y31</f>
        <v>8235.794645363263</v>
      </c>
      <c r="AW27" s="2532"/>
      <c r="AX27" s="2494">
        <f>АНАЛИЗ!AA31</f>
        <v>0</v>
      </c>
      <c r="AY27" s="2532"/>
      <c r="AZ27" s="2494">
        <f>АНАЛИЗ!AC31</f>
        <v>0</v>
      </c>
      <c r="BA27" s="2532"/>
      <c r="BB27" s="2494">
        <f>АНАЛИЗ!AE31</f>
        <v>0</v>
      </c>
      <c r="BC27" s="2532"/>
      <c r="BD27" s="2494">
        <f>АНАЛИЗ!AG31</f>
        <v>0</v>
      </c>
      <c r="BE27" s="2532"/>
      <c r="BF27" s="2494">
        <f>АНАЛИЗ!AI31</f>
        <v>0</v>
      </c>
      <c r="BG27" s="2532"/>
      <c r="BH27" s="2494">
        <f>АНАЛИЗ!AK31</f>
        <v>0</v>
      </c>
      <c r="BI27" s="2532"/>
      <c r="BJ27" s="2494">
        <f>АНАЛИЗ!AM31</f>
        <v>1945635.7313555088</v>
      </c>
      <c r="BK27" s="2532"/>
      <c r="BL27" s="2494">
        <f>АНАЛИЗ!AO31</f>
        <v>0</v>
      </c>
      <c r="BM27" s="2532"/>
      <c r="BN27" s="2494">
        <f>АНАЛИЗ!AQ31</f>
        <v>0</v>
      </c>
      <c r="BO27" s="2532"/>
      <c r="BP27" s="2494">
        <f>АНАЛИЗ!AS31</f>
        <v>2178.8694726916051</v>
      </c>
      <c r="BQ27" s="2532"/>
      <c r="BR27" s="2494">
        <f>АНАЛИЗ!AU31</f>
        <v>56339.961469666516</v>
      </c>
      <c r="BS27" s="865"/>
      <c r="BT27" s="2496"/>
      <c r="BU27" s="2497"/>
      <c r="BV27" s="222">
        <v>60</v>
      </c>
      <c r="BX27">
        <f t="shared" ref="BX27:BX64" si="2448">BV27*100/$BV$69</f>
        <v>5.9760956175298805</v>
      </c>
      <c r="BY27" s="2418">
        <f t="shared" ref="BY27:BY64" si="2449">$BY$70*BX27/100</f>
        <v>1950110.3846639777</v>
      </c>
      <c r="CB27" s="2367">
        <f t="shared" ref="CB27:CB28" si="2450">AE28+AG28+AI28+AK28+AM28+AO28+AQ28+AS28+AU28+AW28+AY28+BC28+BE28+BG28+BI28+BK28+BM28+BO28+BQ28+BS28</f>
        <v>15378737.45742158</v>
      </c>
      <c r="CD27" s="2377">
        <f>CB27*100/$CB$91</f>
        <v>11.124009118641393</v>
      </c>
      <c r="CE27" s="2369">
        <f>CD27*$CE$5/100</f>
        <v>16394844.205426056</v>
      </c>
      <c r="CF27" s="2418">
        <f t="shared" ref="CF27:CF28" si="2451">V28+CB27</f>
        <v>26915506.447421581</v>
      </c>
      <c r="CG27" s="2418">
        <f t="shared" ref="CG27:CG28" si="2452">V28+CB27+CE27</f>
        <v>43310350.652847633</v>
      </c>
      <c r="CH27" s="2462">
        <f t="shared" si="2427"/>
        <v>43310350.652847633</v>
      </c>
    </row>
    <row r="28" ht="25.5">
      <c r="A28" s="482" t="s">
        <v>188</v>
      </c>
      <c r="B28" s="2593"/>
      <c r="C28" s="2498" t="s">
        <v>900</v>
      </c>
      <c r="D28" s="2367">
        <f>4921298.65+86568.8+1319334.7+12064.9</f>
        <v>6339267.0500000007</v>
      </c>
      <c r="E28" s="2367">
        <f>3875667.42+86568.8+1235265.72</f>
        <v>5197501.9399999995</v>
      </c>
      <c r="G28" s="2500">
        <f t="shared" si="2433"/>
        <v>11536768.99</v>
      </c>
      <c r="H28" s="2486"/>
      <c r="I28" s="2487"/>
      <c r="J28" s="2486"/>
      <c r="K28" s="2533">
        <f t="shared" si="2442"/>
        <v>0</v>
      </c>
      <c r="L28" s="2501">
        <f t="shared" si="2436"/>
        <v>11536768.99</v>
      </c>
      <c r="N28" s="2369"/>
      <c r="O28" s="2534"/>
      <c r="P28" s="2535">
        <f t="shared" si="2434"/>
        <v>0</v>
      </c>
      <c r="Q28" s="2536">
        <f t="shared" si="2430"/>
        <v>11536768.99</v>
      </c>
      <c r="S28" s="2537"/>
      <c r="U28" s="2538">
        <f t="shared" si="2431"/>
        <v>0</v>
      </c>
      <c r="V28" s="2539">
        <f t="shared" si="2432"/>
        <v>11536768.99</v>
      </c>
      <c r="W28" s="2509"/>
      <c r="X28" s="2594">
        <f>V16</f>
        <v>2787451.5700000003</v>
      </c>
      <c r="Z28" s="1466"/>
      <c r="AA28" s="2595">
        <f>AA16+AA26</f>
        <v>19231</v>
      </c>
      <c r="AC28" s="2590"/>
      <c r="AD28" s="2511">
        <f>AD27*100/AD$98</f>
        <v>1.2014346519707784</v>
      </c>
      <c r="AE28" s="2512">
        <f>$AD$1*AD28/100</f>
        <v>119575.82937423447</v>
      </c>
      <c r="AF28" s="2513">
        <f t="shared" ref="AF28:BR28" si="2453">AF27*100/AF$98</f>
        <v>3.2822677195515979</v>
      </c>
      <c r="AG28" s="2514">
        <f>$AF$1*AF28/100</f>
        <v>173287.70860727661</v>
      </c>
      <c r="AH28" s="2511">
        <f t="shared" si="2453"/>
        <v>8.4183196593623446</v>
      </c>
      <c r="AI28" s="2512">
        <f>$AH$1*AH28/100</f>
        <v>866630.84476830426</v>
      </c>
      <c r="AJ28" s="2513">
        <f>AJ27*100/AJ$98</f>
        <v>4.0965442893933028</v>
      </c>
      <c r="AK28" s="2514"/>
      <c r="AL28" s="2511">
        <f t="shared" si="2453"/>
        <v>2.998518518518519</v>
      </c>
      <c r="AM28" s="2512">
        <f>$AL$1*AL28/100</f>
        <v>40536.617127111116</v>
      </c>
      <c r="AN28" s="2513">
        <f t="shared" si="2453"/>
        <v>5.0633882800749008</v>
      </c>
      <c r="AO28" s="2514">
        <f>$AN$1*AN28/100</f>
        <v>557032.93778647529</v>
      </c>
      <c r="AP28" s="2511">
        <f t="shared" si="2453"/>
        <v>18.327526807791305</v>
      </c>
      <c r="AQ28" s="2512"/>
      <c r="AR28" s="2513">
        <f t="shared" si="2453"/>
        <v>11.500726744186045</v>
      </c>
      <c r="AS28" s="2514">
        <f>$AR$1*AR28/100</f>
        <v>460650.38847928768</v>
      </c>
      <c r="AT28" s="2511">
        <f t="shared" si="2453"/>
        <v>0</v>
      </c>
      <c r="AU28" s="2512">
        <f>$AT$1*AT28/100</f>
        <v>0</v>
      </c>
      <c r="AV28" s="2513">
        <f t="shared" si="2453"/>
        <v>12.171088372929491</v>
      </c>
      <c r="AW28" s="2514">
        <f>$AV$1*AV28/100</f>
        <v>790215.9723071676</v>
      </c>
      <c r="AX28" s="2511">
        <f t="shared" si="2453"/>
        <v>0</v>
      </c>
      <c r="AY28" s="2512"/>
      <c r="AZ28" s="2513" t="e">
        <f t="shared" si="2453"/>
        <v>#DIV/0!</v>
      </c>
      <c r="BA28" s="2514" t="e">
        <f>$AZ$1*AZ28/100</f>
        <v>#DIV/0!</v>
      </c>
      <c r="BB28" s="2511">
        <f t="shared" si="2453"/>
        <v>0</v>
      </c>
      <c r="BC28" s="2512"/>
      <c r="BD28" s="2513">
        <f t="shared" si="2453"/>
        <v>0</v>
      </c>
      <c r="BE28" s="2514">
        <f>$BD$1*BD28/100</f>
        <v>0</v>
      </c>
      <c r="BF28" s="2511">
        <f t="shared" si="2453"/>
        <v>0</v>
      </c>
      <c r="BG28" s="2512"/>
      <c r="BH28" s="2513">
        <f t="shared" si="2453"/>
        <v>0</v>
      </c>
      <c r="BI28" s="2514"/>
      <c r="BJ28" s="2511">
        <f t="shared" si="2453"/>
        <v>100</v>
      </c>
      <c r="BK28" s="2514">
        <f>$BJ$1*BJ28/100</f>
        <v>11866981.109999999</v>
      </c>
      <c r="BL28" s="2513">
        <f t="shared" si="2453"/>
        <v>0</v>
      </c>
      <c r="BM28" s="2516"/>
      <c r="BN28" s="2511">
        <f t="shared" si="2453"/>
        <v>0</v>
      </c>
      <c r="BO28" s="2514">
        <f>$BN$1*BN28/100</f>
        <v>0</v>
      </c>
      <c r="BP28" s="2513">
        <f t="shared" si="2453"/>
        <v>1.343244653103808</v>
      </c>
      <c r="BQ28" s="2514">
        <f>$BP$1*BP28/100</f>
        <v>13459.189457485652</v>
      </c>
      <c r="BR28" s="2511">
        <f t="shared" si="2453"/>
        <v>3.4218712610672419</v>
      </c>
      <c r="BS28" s="2514">
        <f>$BR$1*BR28/100</f>
        <v>490366.85951423802</v>
      </c>
      <c r="BT28" s="2517">
        <f t="shared" ref="BT28:BT68" si="2454">AE28+AG28+AI28+AK28+AM28+AO28+AQ28+AS28+AU28+AW28+AY28+BC28+BE28+BG28+BI28+BK28+BM28+BO28+BQ28+BS28</f>
        <v>15378737.45742158</v>
      </c>
      <c r="BU28" s="2518">
        <f t="shared" ref="BU28:BU91" si="2455">BT28-AE28-AG28-BE28-BG28-BI28-BK28</f>
        <v>3218892.8094400689</v>
      </c>
      <c r="BV28" s="222"/>
      <c r="BX28">
        <f t="shared" si="2448"/>
        <v>0</v>
      </c>
      <c r="BY28" s="2418">
        <f t="shared" si="2449"/>
        <v>0</v>
      </c>
      <c r="CB28" s="2367">
        <f t="shared" si="2450"/>
        <v>40490511.475797087</v>
      </c>
      <c r="CC28" s="2367"/>
      <c r="CE28" s="2367"/>
      <c r="CF28" s="2418">
        <f t="shared" si="2451"/>
        <v>40490511.475797087</v>
      </c>
      <c r="CG28" s="2418">
        <f t="shared" si="2452"/>
        <v>40490511.475797087</v>
      </c>
      <c r="CH28" s="2443"/>
    </row>
    <row r="29" ht="15.75">
      <c r="A29" s="437"/>
      <c r="B29" s="2592"/>
      <c r="C29" s="2519"/>
      <c r="G29" s="2521">
        <f t="shared" si="2433"/>
        <v>0</v>
      </c>
      <c r="H29" s="2522"/>
      <c r="I29" s="2523"/>
      <c r="J29" s="2522"/>
      <c r="K29" s="2533">
        <f t="shared" si="2442"/>
        <v>0</v>
      </c>
      <c r="L29" s="2501">
        <f t="shared" si="2436"/>
        <v>0</v>
      </c>
      <c r="N29" s="2369"/>
      <c r="O29" s="2370"/>
      <c r="P29" s="2535"/>
      <c r="Q29" s="2536">
        <f t="shared" si="2430"/>
        <v>0</v>
      </c>
      <c r="S29" s="2537"/>
      <c r="U29" s="2538">
        <f t="shared" si="2431"/>
        <v>0</v>
      </c>
      <c r="V29" s="2539">
        <f t="shared" si="2432"/>
        <v>0</v>
      </c>
      <c r="W29" s="2509"/>
      <c r="AC29" s="2596" t="s">
        <v>22</v>
      </c>
      <c r="AD29" s="2597">
        <f>AD7+AD9+AD11+AD13+AD15+AD17+AD19+AD21+AD23+AD27+AD25</f>
        <v>118622.31266708215</v>
      </c>
      <c r="AE29" s="2598">
        <f>SUM(AE8:AE28)</f>
        <v>194647.47757856722</v>
      </c>
      <c r="AF29" s="2597">
        <f>AF7+AF9+AF11+AF13+AF15+AF17+AF19+AF21+AF23+AF27+AF25</f>
        <v>21311737.726522412</v>
      </c>
      <c r="AG29" s="2598">
        <f>SUM(AG8:AG28)</f>
        <v>4969084.4047685415</v>
      </c>
      <c r="AH29" s="2597">
        <f>AH7+AH9+AH11+AH13+AH15+AH17+AH19+AH21+AH23+AH27+AH25</f>
        <v>211168.38950024874</v>
      </c>
      <c r="AI29" s="2598">
        <f>SUM(AI8:AI28)</f>
        <v>3774003.0619690525</v>
      </c>
      <c r="AJ29" s="2597">
        <f>AJ7+AJ9+AJ11+AJ13+AJ15+AJ17+AJ19+AJ21+AJ23+AJ27+AJ25</f>
        <v>430989.3565591168</v>
      </c>
      <c r="AK29" s="2598">
        <f>SUM(AK8:AK28)</f>
        <v>0</v>
      </c>
      <c r="AL29" s="2597">
        <f>AL7+AL9+AL11+AL13+AL15+AL17+AL19+AL21+AL23+AL27+AL25</f>
        <v>76617.116067640032</v>
      </c>
      <c r="AM29" s="2598">
        <f>SUM(AM8:AM28)</f>
        <v>374763.42869688896</v>
      </c>
      <c r="AN29" s="2597">
        <f>AN7+AN9+AN11+AN13+AN15+AN17+AN19+AN21+AN23+AN27+AN25</f>
        <v>2066298.9005128497</v>
      </c>
      <c r="AO29" s="2598">
        <f>SUM(AO8:AO28)</f>
        <v>4773812.237766318</v>
      </c>
      <c r="AP29" s="2597">
        <f>AP7+AP9+AP11+AP13+AP15+AP17+AP19+AP21+AP23+AP27+AP25</f>
        <v>14565.259428137373</v>
      </c>
      <c r="AQ29" s="2598"/>
      <c r="AR29" s="2597">
        <f>AR7+AR9+AR11+AR13+AR15+AR17+AR19+AR21+AR23+AR27+AR25</f>
        <v>87571.829935892063</v>
      </c>
      <c r="AS29" s="2598">
        <f>SUM(AS8:AS28)</f>
        <v>1157811.6399218747</v>
      </c>
      <c r="AT29" s="2597">
        <f>AT7+AT9+AT11+AT13+AT15+AT17+AT19+AT21+AT23+AT27+AT25</f>
        <v>5616.7416255306325</v>
      </c>
      <c r="AU29" s="2598">
        <f>SUM(AU8:AU28)</f>
        <v>2269146.6815221719</v>
      </c>
      <c r="AV29" s="2597">
        <f>AV7+AV9+AV11+AV13+AV15+AV17+AV19+AV21+AV23+AV27+AV25</f>
        <v>28285.904527726008</v>
      </c>
      <c r="AW29" s="2598">
        <f>SUM(AW8:AW28)</f>
        <v>2714003.2639775495</v>
      </c>
      <c r="AX29" s="2597">
        <f>AX7+AX9+AX11+AX13+AX15+AX17+AX19+AX21+AX23+AX27+AX25</f>
        <v>0</v>
      </c>
      <c r="AY29" s="2598">
        <f>SUM(AY8:AY28)</f>
        <v>0</v>
      </c>
      <c r="AZ29" s="2597">
        <f>AZ7+AZ9+AZ11+AZ13+AZ15+AZ17+AZ19+AZ21+AZ23+AZ27+AZ25</f>
        <v>0</v>
      </c>
      <c r="BA29" s="2598" t="e">
        <f>SUM(BA8:BA28)</f>
        <v>#DIV/0!</v>
      </c>
      <c r="BB29" s="2597">
        <f>BB7+BB9+BB11+BB13+BB15+BB17+BB19+BB21+BB23+BB27+BB25</f>
        <v>0</v>
      </c>
      <c r="BC29" s="2598">
        <f>SUM(BC8:BC28)</f>
        <v>0</v>
      </c>
      <c r="BD29" s="2597">
        <f>BD7+BD9+BD11+BD13+BD15+BD17+BD19+BD21+BD23+BD27+BD25</f>
        <v>1389797.5394785351</v>
      </c>
      <c r="BE29" s="2598">
        <f>SUM(BE8:BE28)</f>
        <v>3913394.4942081445</v>
      </c>
      <c r="BF29" s="2597">
        <f>BF7+BF9+BF11+BF13+BF15+BF17+BF19+BF21+BF23+BF27+BF25</f>
        <v>0</v>
      </c>
      <c r="BG29" s="2598">
        <f>SUM(BG8:BG28)</f>
        <v>0</v>
      </c>
      <c r="BH29" s="2597">
        <f>BH7+BH9+BH11+BH13+BH15+BH17+BH19+BH21+BH23+BH27+BH25</f>
        <v>0</v>
      </c>
      <c r="BI29" s="2598">
        <f>SUM(BI8:BI28)</f>
        <v>0</v>
      </c>
      <c r="BJ29" s="2597">
        <f>BJ7+BJ9+BJ11+BJ13+BJ15+BJ17+BJ19+BJ21+BJ23+BJ27+BJ25</f>
        <v>1945635.7313555088</v>
      </c>
      <c r="BK29" s="2598">
        <f>SUM(BK8:BK28)</f>
        <v>11866981.109999999</v>
      </c>
      <c r="BL29" s="2597">
        <f>BL7+BL9+BL11+BL13+BL15+BL17+BL19+BL21+BL23+BL27+BL25</f>
        <v>0</v>
      </c>
      <c r="BM29" s="2598">
        <f>SUM(BM8:BM28)</f>
        <v>0</v>
      </c>
      <c r="BN29" s="2597">
        <f>BN7+BN9+BN11+BN13+BN15+BN17+BN19+BN21+BN23+BN27+BN25</f>
        <v>1150.3544148299193</v>
      </c>
      <c r="BO29" s="2598">
        <f>SUM(BO8:BO28)</f>
        <v>27929.068826247694</v>
      </c>
      <c r="BP29" s="2597">
        <f>BP7+BP9+BP11+BP13+BP15+BP17+BP19+BP21+BP23+BP27+BP25</f>
        <v>14511.693769577096</v>
      </c>
      <c r="BQ29" s="2598">
        <f>SUM(BQ8:BQ28)</f>
        <v>89640.81522170057</v>
      </c>
      <c r="BR29" s="2597">
        <f>BR7+BR9+BR11+BR13+BR15+BR17+BR19+BR21+BR23+BR27+BR25</f>
        <v>501543.8528033949</v>
      </c>
      <c r="BS29" s="2599">
        <f>SUM(BS8:BS28)</f>
        <v>4365293.7913400345</v>
      </c>
      <c r="BT29" s="2600">
        <f t="shared" si="2454"/>
        <v>40490511.475797087</v>
      </c>
      <c r="BU29" s="2601">
        <f t="shared" si="2455"/>
        <v>19546403.989241835</v>
      </c>
      <c r="BV29" s="222"/>
      <c r="BX29">
        <f t="shared" si="2448"/>
        <v>0</v>
      </c>
      <c r="BY29" s="2418">
        <f t="shared" si="2449"/>
        <v>0</v>
      </c>
      <c r="CA29" s="2602"/>
      <c r="CB29" s="2603" t="e">
        <f>AE29+AG29+AI29+AK29+AM29+AO29+AQ29+AS29+AU29+AW29+AY29+BA29+BC29+BE29+BG29+BI29+BK29+BM29+BO29+BQ29+BS29</f>
        <v>#DIV/0!</v>
      </c>
      <c r="CC29" s="2602"/>
      <c r="CD29" s="2604" t="e">
        <f>SUM(CD6:CD28)</f>
        <v>#REF!</v>
      </c>
      <c r="CE29" s="2605" t="e">
        <f>SUM(CE7:CE28)</f>
        <v>#REF!</v>
      </c>
      <c r="CF29" s="2606" t="e">
        <f>SUM(CF7:CF28)</f>
        <v>#REF!</v>
      </c>
      <c r="CG29" s="2606" t="e">
        <f>SUM(CG7:CG28)</f>
        <v>#REF!</v>
      </c>
      <c r="CH29" s="2607" t="e">
        <f>SUM(CH7:CH28)</f>
        <v>#REF!</v>
      </c>
      <c r="CI29" s="2602"/>
      <c r="CJ29" s="2602"/>
      <c r="CK29" s="2602"/>
      <c r="CL29" s="2602"/>
      <c r="CM29" s="2602"/>
      <c r="CN29" s="2602"/>
      <c r="CO29" s="2602"/>
      <c r="CP29" s="2602"/>
    </row>
    <row r="30" ht="15.75">
      <c r="A30" s="778" t="s">
        <v>22</v>
      </c>
      <c r="B30" s="2608"/>
      <c r="C30" s="2498"/>
      <c r="D30" s="2609">
        <f t="shared" ref="D30:J30" si="2456">SUM(D8:D29)</f>
        <v>26534813.669999998</v>
      </c>
      <c r="E30" s="2609">
        <f t="shared" si="2456"/>
        <v>22549204.43</v>
      </c>
      <c r="F30" s="2609">
        <f t="shared" si="2456"/>
        <v>0</v>
      </c>
      <c r="G30" s="2610">
        <f t="shared" si="2456"/>
        <v>49084018.100000001</v>
      </c>
      <c r="H30" s="2611">
        <f t="shared" si="2456"/>
        <v>0</v>
      </c>
      <c r="I30" s="2612">
        <f t="shared" si="2456"/>
        <v>0</v>
      </c>
      <c r="J30" s="2611">
        <f t="shared" si="2456"/>
        <v>0</v>
      </c>
      <c r="K30" s="2613">
        <f t="shared" si="2442"/>
        <v>0</v>
      </c>
      <c r="L30" s="2614">
        <f t="shared" si="2436"/>
        <v>49084018.100000001</v>
      </c>
      <c r="M30" s="2611">
        <f>SUM(M8:M29)</f>
        <v>0</v>
      </c>
      <c r="N30" s="2611">
        <f>SUM(N8:N29)</f>
        <v>0</v>
      </c>
      <c r="O30" s="2611">
        <f>SUM(O8:O29)</f>
        <v>0</v>
      </c>
      <c r="P30" s="2504">
        <f t="shared" si="2434"/>
        <v>0</v>
      </c>
      <c r="Q30" s="2505">
        <f>L30+P30</f>
        <v>49084018.100000001</v>
      </c>
      <c r="R30" s="2611">
        <f>SUM(R8:R29)</f>
        <v>0</v>
      </c>
      <c r="S30" s="2611">
        <f>SUM(S8:S29)</f>
        <v>0</v>
      </c>
      <c r="T30" s="2611">
        <f>SUM(T8:T29)</f>
        <v>0</v>
      </c>
      <c r="U30" s="2507">
        <f t="shared" si="2431"/>
        <v>0</v>
      </c>
      <c r="V30" s="2615">
        <f t="shared" si="2432"/>
        <v>49084018.100000001</v>
      </c>
      <c r="W30" s="2509"/>
      <c r="AC30" s="2616"/>
      <c r="AD30" s="2617">
        <f>AD29*100/$AD$98</f>
        <v>1.9557148439230132</v>
      </c>
      <c r="AE30" s="2618"/>
      <c r="AF30" s="2619">
        <f>AF29*100/$AD$98</f>
        <v>351.36460320521246</v>
      </c>
      <c r="AG30" s="2620"/>
      <c r="AH30" s="2617">
        <f>AH29*100/$AD$98</f>
        <v>3.481513255200233</v>
      </c>
      <c r="AI30" s="2512"/>
      <c r="AJ30" s="2619">
        <f>AJ29*100/$AD$98</f>
        <v>7.1056807378313458</v>
      </c>
      <c r="AK30" s="2620"/>
      <c r="AL30" s="2617">
        <f>AL29*100/$AD$98</f>
        <v>1.2631791424653041</v>
      </c>
      <c r="AM30" s="2618"/>
      <c r="AN30" s="2619">
        <f>AN29*100/$AD$98</f>
        <v>34.066874442553249</v>
      </c>
      <c r="AO30" s="2620"/>
      <c r="AP30" s="2617">
        <f>AP29*100/$AD$98</f>
        <v>0.24013605390702047</v>
      </c>
      <c r="AQ30" s="2618"/>
      <c r="AR30" s="2619">
        <f>AR29*100/$AD$98</f>
        <v>1.4437884733860209</v>
      </c>
      <c r="AS30" s="2620"/>
      <c r="AT30" s="2617">
        <f>AT29*100/$AD$98</f>
        <v>0.092602687677820109</v>
      </c>
      <c r="AU30" s="2618"/>
      <c r="AV30" s="2619">
        <f>AV29*100/$AD$98</f>
        <v>0.46634703130361466</v>
      </c>
      <c r="AW30" s="2620"/>
      <c r="AX30" s="2617">
        <f>AX29*100/$AD$98</f>
        <v>0</v>
      </c>
      <c r="AY30" s="2618"/>
      <c r="AZ30" s="2619">
        <f>AZ29*100/$AD$98</f>
        <v>0</v>
      </c>
      <c r="BA30" s="2620"/>
      <c r="BB30" s="2617">
        <f>BB29*100/$AD$98</f>
        <v>0</v>
      </c>
      <c r="BC30" s="2618"/>
      <c r="BD30" s="2619">
        <f>BD29*100/$AD$98</f>
        <v>22.91346051930509</v>
      </c>
      <c r="BE30" s="2620"/>
      <c r="BF30" s="2617">
        <f>BF29*100/$AD$98</f>
        <v>0</v>
      </c>
      <c r="BG30" s="2618"/>
      <c r="BH30" s="2619">
        <f>BH29*100/$AD$98</f>
        <v>0</v>
      </c>
      <c r="BI30" s="2620"/>
      <c r="BJ30" s="2617">
        <f>BJ29*100/$AD$98</f>
        <v>32.077512190797975</v>
      </c>
      <c r="BK30" s="2618"/>
      <c r="BL30" s="2619">
        <f>BL29*100/$AD$98</f>
        <v>0</v>
      </c>
      <c r="BM30" s="2621"/>
      <c r="BN30" s="2617">
        <f>BN29*100/$AD$98</f>
        <v>0.018965784381301795</v>
      </c>
      <c r="BO30" s="2618"/>
      <c r="BP30" s="2619"/>
      <c r="BQ30" s="2620"/>
      <c r="BR30" s="2511">
        <f>BR29*100/BR$98</f>
        <v>30.46183297439579</v>
      </c>
      <c r="BS30" s="2514">
        <f>$BR$1*BR30/100</f>
        <v>4365293.7913400345</v>
      </c>
      <c r="BT30" s="2622"/>
      <c r="BU30" s="2623"/>
      <c r="BV30" s="222"/>
      <c r="BX30">
        <f t="shared" si="2448"/>
        <v>0</v>
      </c>
      <c r="BY30" s="2418">
        <f t="shared" si="2449"/>
        <v>0</v>
      </c>
      <c r="CA30" s="2602"/>
      <c r="CB30" s="2603">
        <f>AE27+AG27+AI27+AK27+AM27+AO27+AQ27+AS27+AU27+AW27+AY27+BA27+BC27+BE27+BG27+BI27+BK27+BM27+BO27+BQ27+BS27</f>
        <v>0</v>
      </c>
      <c r="CC30" s="2602"/>
      <c r="CD30" s="2604"/>
      <c r="CE30" s="2602"/>
      <c r="CF30" s="2602"/>
      <c r="CG30" s="2602"/>
      <c r="CH30" s="2624"/>
      <c r="CI30" s="2602"/>
      <c r="CJ30" s="2602"/>
      <c r="CK30" s="2602"/>
      <c r="CL30" s="2602"/>
      <c r="CM30" s="2602"/>
      <c r="CN30" s="2602"/>
      <c r="CO30" s="2602"/>
      <c r="CP30" s="2602"/>
    </row>
    <row r="31" ht="15.75">
      <c r="A31" s="437"/>
      <c r="B31" s="2592"/>
      <c r="C31" s="2519"/>
      <c r="D31" s="2520"/>
      <c r="E31" s="2520"/>
      <c r="F31" s="2520"/>
      <c r="G31" s="2625">
        <f>D27+E27+F27</f>
        <v>0</v>
      </c>
      <c r="H31" s="2626"/>
      <c r="I31" s="2523"/>
      <c r="J31" s="2627"/>
      <c r="K31" s="2524">
        <f>H27+I27+J27</f>
        <v>0</v>
      </c>
      <c r="L31" s="2540">
        <f>G27+K27</f>
        <v>0</v>
      </c>
      <c r="M31" s="2525"/>
      <c r="N31" s="2628"/>
      <c r="O31" s="2526"/>
      <c r="P31" s="2530">
        <f>M27+N27+O27</f>
        <v>0</v>
      </c>
      <c r="Q31" s="2528">
        <f>L27+P27</f>
        <v>0</v>
      </c>
      <c r="R31" s="2525"/>
      <c r="S31" s="2529"/>
      <c r="T31" s="2525"/>
      <c r="U31" s="2530">
        <f>R27+S27+T27</f>
        <v>0</v>
      </c>
      <c r="V31" s="2531">
        <f>Q27+U27</f>
        <v>0</v>
      </c>
      <c r="W31" s="2509"/>
      <c r="AC31" s="2388" t="s">
        <v>194</v>
      </c>
      <c r="AD31" s="2494"/>
      <c r="AE31" s="2532"/>
      <c r="AF31" s="2629"/>
      <c r="AG31" s="865"/>
      <c r="AH31" s="2630"/>
      <c r="AI31" s="2631"/>
      <c r="AJ31" s="2632"/>
      <c r="AK31" s="2633"/>
      <c r="AL31" s="2630"/>
      <c r="AM31" s="2631"/>
      <c r="AN31" s="2634"/>
      <c r="AO31" s="2635"/>
      <c r="AP31" s="2630"/>
      <c r="AQ31" s="2631"/>
      <c r="AR31" s="2636"/>
      <c r="AS31" s="2635"/>
      <c r="AT31" s="2630"/>
      <c r="AU31" s="2631"/>
      <c r="AV31" s="2636"/>
      <c r="AW31" s="2635"/>
      <c r="AX31" s="2630"/>
      <c r="AY31" s="2631"/>
      <c r="AZ31" s="2636"/>
      <c r="BA31" s="2635"/>
      <c r="BB31" s="2630"/>
      <c r="BC31" s="2631"/>
      <c r="BD31" s="2629"/>
      <c r="BE31" s="865"/>
      <c r="BF31" s="2637"/>
      <c r="BG31" s="2638"/>
      <c r="BH31" s="2636"/>
      <c r="BI31" s="2635"/>
      <c r="BJ31" s="2630"/>
      <c r="BK31" s="2631"/>
      <c r="BL31" s="2629"/>
      <c r="BM31" s="2639"/>
      <c r="BN31" s="2494"/>
      <c r="BO31" s="2532"/>
      <c r="BP31" s="2629"/>
      <c r="BQ31" s="865"/>
      <c r="BR31" s="2637"/>
      <c r="BS31" s="2633"/>
      <c r="BT31" s="2496"/>
      <c r="BU31" s="2497"/>
      <c r="BV31" s="222"/>
      <c r="BX31">
        <f>BV27*100/$BV$69</f>
        <v>5.9760956175298805</v>
      </c>
      <c r="BY31" s="2418">
        <f>$BY$70*BX27/100</f>
        <v>1950110.3846639777</v>
      </c>
      <c r="CB31" s="2367">
        <f t="shared" ref="CB31:CB32" si="2457">AE32+AG32+AI32+AK32+AM32+AO32+AQ32+AS32+AU32+AW32+AY32+BA32+BC32+BE32+BG32+BI32+BK32+BM32+BO32+BQ32+BS32</f>
        <v>0</v>
      </c>
      <c r="CH31" s="2443"/>
    </row>
    <row r="32" ht="15.75">
      <c r="A32" s="283" t="s">
        <v>194</v>
      </c>
      <c r="B32" s="2388"/>
      <c r="C32" s="2498"/>
      <c r="G32" s="2640">
        <f t="shared" ref="G32:G57" si="2458">D32+E32+F32</f>
        <v>0</v>
      </c>
      <c r="H32" s="2641"/>
      <c r="I32" s="2642"/>
      <c r="J32" s="2641"/>
      <c r="K32" s="2533">
        <f t="shared" si="2442"/>
        <v>0</v>
      </c>
      <c r="L32" s="2501">
        <f t="shared" si="2436"/>
        <v>0</v>
      </c>
      <c r="O32" s="2370"/>
      <c r="P32" s="2535">
        <f t="shared" si="2434"/>
        <v>0</v>
      </c>
      <c r="Q32" s="2536">
        <f t="shared" si="2430"/>
        <v>0</v>
      </c>
      <c r="S32" s="2537"/>
      <c r="U32" s="2538">
        <f t="shared" si="2431"/>
        <v>0</v>
      </c>
      <c r="V32" s="2539">
        <f t="shared" si="2432"/>
        <v>0</v>
      </c>
      <c r="W32" s="2509"/>
      <c r="AC32" s="2590"/>
      <c r="AD32" s="2511"/>
      <c r="AE32" s="2512"/>
      <c r="AF32" s="2513"/>
      <c r="AG32" s="2514"/>
      <c r="AH32" s="2643"/>
      <c r="AI32" s="2644"/>
      <c r="AJ32" s="2645"/>
      <c r="AK32" s="2646"/>
      <c r="AL32" s="2643"/>
      <c r="AM32" s="2644"/>
      <c r="AN32" s="2647"/>
      <c r="AO32" s="2648"/>
      <c r="AP32" s="2643"/>
      <c r="AQ32" s="2644"/>
      <c r="AR32" s="2647"/>
      <c r="AS32" s="2648"/>
      <c r="AT32" s="2643"/>
      <c r="AU32" s="2644"/>
      <c r="AV32" s="2647"/>
      <c r="AW32" s="2648"/>
      <c r="AX32" s="2643"/>
      <c r="AY32" s="2644"/>
      <c r="AZ32" s="2647"/>
      <c r="BA32" s="2648"/>
      <c r="BB32" s="2630"/>
      <c r="BC32" s="2631"/>
      <c r="BD32" s="2513"/>
      <c r="BE32" s="2514"/>
      <c r="BF32" s="2637"/>
      <c r="BG32" s="2638"/>
      <c r="BH32" s="2636"/>
      <c r="BI32" s="2635"/>
      <c r="BJ32" s="2630"/>
      <c r="BK32" s="2631"/>
      <c r="BL32" s="2513"/>
      <c r="BM32" s="2516"/>
      <c r="BN32" s="2511"/>
      <c r="BO32" s="2512"/>
      <c r="BP32" s="2513"/>
      <c r="BQ32" s="2514"/>
      <c r="BR32" s="2649"/>
      <c r="BS32" s="2646"/>
      <c r="BT32" s="2517"/>
      <c r="BU32" s="2518"/>
      <c r="BV32" s="222"/>
      <c r="BX32">
        <f t="shared" si="2448"/>
        <v>0</v>
      </c>
      <c r="BY32" s="2418">
        <f t="shared" si="2449"/>
        <v>0</v>
      </c>
      <c r="CB32" s="2367">
        <f t="shared" si="2457"/>
        <v>0</v>
      </c>
      <c r="CH32" s="2443"/>
    </row>
    <row r="33" ht="15.75">
      <c r="A33" s="437"/>
      <c r="B33" s="2592"/>
      <c r="C33" s="2519"/>
      <c r="G33" s="2640">
        <f t="shared" si="2458"/>
        <v>0</v>
      </c>
      <c r="H33" s="2641"/>
      <c r="I33" s="2642"/>
      <c r="J33" s="2650"/>
      <c r="K33" s="2533">
        <f t="shared" si="2442"/>
        <v>0</v>
      </c>
      <c r="L33" s="2501">
        <f t="shared" si="2436"/>
        <v>0</v>
      </c>
      <c r="O33" s="2370"/>
      <c r="P33" s="2535">
        <f t="shared" si="2434"/>
        <v>0</v>
      </c>
      <c r="Q33" s="2536">
        <f t="shared" si="2430"/>
        <v>0</v>
      </c>
      <c r="S33" s="2537"/>
      <c r="U33" s="2538">
        <f t="shared" si="2431"/>
        <v>0</v>
      </c>
      <c r="V33" s="2539">
        <f t="shared" si="2432"/>
        <v>0</v>
      </c>
      <c r="W33" s="2509"/>
      <c r="AC33" s="2388" t="s">
        <v>195</v>
      </c>
      <c r="AD33" s="2494">
        <f>АНАЛИЗ!G37</f>
        <v>2954379.7288426273</v>
      </c>
      <c r="AE33" s="2651"/>
      <c r="AF33" s="2494">
        <f>АНАЛИЗ!I37</f>
        <v>53834.79330743543</v>
      </c>
      <c r="AG33" s="2651"/>
      <c r="AH33" s="2494">
        <f>АНАЛИЗ!K37</f>
        <v>23090.93437594788</v>
      </c>
      <c r="AI33" s="2651"/>
      <c r="AJ33" s="2494">
        <f>АНАЛИЗ!M37</f>
        <v>23300.150653853354</v>
      </c>
      <c r="AK33" s="2651"/>
      <c r="AL33" s="2494">
        <f>АНАЛИЗ!O37</f>
        <v>11137.160950405136</v>
      </c>
      <c r="AM33" s="2651"/>
      <c r="AN33" s="2494">
        <f>АНАЛИЗ!Q37</f>
        <v>217305.12618282228</v>
      </c>
      <c r="AO33" s="2651"/>
      <c r="AP33" s="2494">
        <f>АНАЛИЗ!S37</f>
        <v>190.01820114195266</v>
      </c>
      <c r="AQ33" s="2651"/>
      <c r="AR33" s="2494">
        <f>АНАЛИЗ!U37</f>
        <v>38488.121987851999</v>
      </c>
      <c r="AS33" s="2651"/>
      <c r="AT33" s="2494">
        <f>АНАЛИЗ!W37</f>
        <v>217.17763225937097</v>
      </c>
      <c r="AU33" s="2651"/>
      <c r="AV33" s="2494">
        <f>АНАЛИЗ!Y37</f>
        <v>681.98514994696575</v>
      </c>
      <c r="AW33" s="2651"/>
      <c r="AX33" s="2494">
        <f>АНАЛИЗ!AA37</f>
        <v>0</v>
      </c>
      <c r="AY33" s="2651"/>
      <c r="AZ33" s="2494">
        <f>АНАЛИЗ!AC37</f>
        <v>0</v>
      </c>
      <c r="BA33" s="2651"/>
      <c r="BB33" s="2494">
        <f>АНАЛИЗ!AE37</f>
        <v>0</v>
      </c>
      <c r="BC33" s="2651"/>
      <c r="BD33" s="2494">
        <f>АНАЛИЗ!AG37</f>
        <v>2263033.1616287651</v>
      </c>
      <c r="BE33" s="2651"/>
      <c r="BF33" s="2494">
        <f>АНАЛИЗ!AI37</f>
        <v>0</v>
      </c>
      <c r="BG33" s="2651"/>
      <c r="BH33" s="2494">
        <f>АНАЛИЗ!AK37</f>
        <v>0</v>
      </c>
      <c r="BI33" s="2651"/>
      <c r="BJ33" s="2494">
        <f>АНАЛИЗ!AM37</f>
        <v>0</v>
      </c>
      <c r="BK33" s="2651"/>
      <c r="BL33" s="2494">
        <f>АНАЛИЗ!AO37</f>
        <v>2322.0589799999998</v>
      </c>
      <c r="BM33" s="2651"/>
      <c r="BN33" s="2494">
        <f>АНАЛИЗ!AQ37</f>
        <v>53230.036104402621</v>
      </c>
      <c r="BO33" s="2651"/>
      <c r="BP33" s="2494">
        <f>АНАЛИЗ!AS37</f>
        <v>12650.135385141552</v>
      </c>
      <c r="BQ33" s="2651"/>
      <c r="BR33" s="2494">
        <f>АНАЛИЗ!AU37</f>
        <v>78009.177419538246</v>
      </c>
      <c r="BT33" s="2517"/>
      <c r="BU33" s="2518"/>
      <c r="BV33" s="222">
        <v>56</v>
      </c>
      <c r="BX33">
        <f t="shared" si="2448"/>
        <v>5.5776892430278888</v>
      </c>
      <c r="BY33" s="2418">
        <f t="shared" si="2449"/>
        <v>1820103.0256863791</v>
      </c>
      <c r="CB33" s="2367">
        <f t="shared" ref="CB33:CB57" si="2459">AE34+AG34+AI34+AK34+AM34+AO34+AQ34+AS34+AU34+AW34+AY34+BC34+BE34+BG34+BI34+BK34+BM34+BO34+BQ34+BS34</f>
        <v>14913354.365374798</v>
      </c>
      <c r="CD33" s="2377">
        <f t="shared" ref="CD33:CD55" si="2460">CB33*100/$CB$91</f>
        <v>10.787380330099873</v>
      </c>
      <c r="CE33" s="2369">
        <f t="shared" ref="CE33:CE55" si="2461">CD33*$CE$5/100</f>
        <v>15898712.236786177</v>
      </c>
      <c r="CF33" s="2418">
        <f t="shared" ref="CF33:CF56" si="2462">V34+CB33</f>
        <v>22412585.945374798</v>
      </c>
      <c r="CG33" s="2418">
        <f t="shared" ref="CG33:CG56" si="2463">V34+CB33+CE33</f>
        <v>38311298.182160974</v>
      </c>
      <c r="CH33" s="2462">
        <f t="shared" ref="CH33:CH55" si="2464">CE33+CF33</f>
        <v>38311298.182160974</v>
      </c>
    </row>
    <row r="34" ht="15.75">
      <c r="A34" s="283" t="s">
        <v>195</v>
      </c>
      <c r="B34" s="2388"/>
      <c r="C34" s="2498">
        <v>101</v>
      </c>
      <c r="D34" s="2499">
        <v>4126546.54</v>
      </c>
      <c r="E34" s="2499">
        <f>3372685.04</f>
        <v>3372685.04</v>
      </c>
      <c r="F34" s="2499"/>
      <c r="G34" s="2652">
        <f t="shared" si="2458"/>
        <v>7499231.5800000001</v>
      </c>
      <c r="H34" s="2486"/>
      <c r="I34" s="2487"/>
      <c r="J34" s="2486"/>
      <c r="K34" s="2488">
        <f t="shared" si="2442"/>
        <v>0</v>
      </c>
      <c r="L34" s="2489">
        <f t="shared" si="2436"/>
        <v>7499231.5800000001</v>
      </c>
      <c r="M34" s="2502"/>
      <c r="N34" s="2503"/>
      <c r="O34" s="2503"/>
      <c r="P34" s="2504">
        <f t="shared" si="2434"/>
        <v>0</v>
      </c>
      <c r="Q34" s="2505">
        <f t="shared" ref="Q34:Q35" si="2465">L34+P34</f>
        <v>7499231.5800000001</v>
      </c>
      <c r="R34" s="2502"/>
      <c r="S34" s="2506"/>
      <c r="T34" s="2502"/>
      <c r="U34" s="2507">
        <f t="shared" si="2431"/>
        <v>0</v>
      </c>
      <c r="V34" s="2508">
        <f t="shared" si="2432"/>
        <v>7499231.5800000001</v>
      </c>
      <c r="W34" s="2509"/>
      <c r="AC34" s="2590"/>
      <c r="AD34" s="2511">
        <f>AD33*100/AD$98</f>
        <v>48.708579021711778</v>
      </c>
      <c r="AE34" s="2532">
        <f>AD34*$AD$1/100</f>
        <v>4847844.8033836847</v>
      </c>
      <c r="AF34" s="2513">
        <f t="shared" ref="AF34:BR34" si="2466">AF33*100/AF$98</f>
        <v>0.23775343670447358</v>
      </c>
      <c r="AG34" s="2514">
        <f>AF34*$AF$1/100</f>
        <v>12552.220531740124</v>
      </c>
      <c r="AH34" s="2511">
        <f t="shared" si="2466"/>
        <v>4.008723647315402</v>
      </c>
      <c r="AI34" s="2512">
        <f>$AH$1*AH34/100</f>
        <v>412681.35465157335</v>
      </c>
      <c r="AJ34" s="2513">
        <f t="shared" si="2466"/>
        <v>1.649997005450081</v>
      </c>
      <c r="AK34" s="2514"/>
      <c r="AL34" s="2511">
        <f t="shared" si="2466"/>
        <v>4.0296296296296301</v>
      </c>
      <c r="AM34" s="2512">
        <f t="shared" ref="AM34:AM56" si="2467">$AL$1*AL34/100</f>
        <v>54476.086257777781</v>
      </c>
      <c r="AN34" s="2513">
        <f t="shared" si="2466"/>
        <v>4.5635468786771867</v>
      </c>
      <c r="AO34" s="2514">
        <f>$AN$1*AN34/100</f>
        <v>502044.43821919366</v>
      </c>
      <c r="AP34" s="2511">
        <f t="shared" si="2466"/>
        <v>0.66294625357853165</v>
      </c>
      <c r="AQ34" s="2512"/>
      <c r="AR34" s="2513">
        <f t="shared" si="2466"/>
        <v>12.704396802325581</v>
      </c>
      <c r="AS34" s="2514">
        <f t="shared" ref="AS34:AS56" si="2468">$AR$1*AR34/100</f>
        <v>508862.21823719115</v>
      </c>
      <c r="AT34" s="2511">
        <f t="shared" si="2466"/>
        <v>1.6389513108614231</v>
      </c>
      <c r="AU34" s="2512">
        <f t="shared" ref="AU34:AU56" si="2469">$AT$1*AT34/100</f>
        <v>87739.108614531826</v>
      </c>
      <c r="AV34" s="2513">
        <f t="shared" si="2466"/>
        <v>1.0078567869225898</v>
      </c>
      <c r="AW34" s="2514">
        <f>$AV$1*AV34/100</f>
        <v>65435.769293713442</v>
      </c>
      <c r="AX34" s="2511">
        <f t="shared" si="2466"/>
        <v>0</v>
      </c>
      <c r="AY34" s="2512"/>
      <c r="AZ34" s="2513" t="e">
        <f t="shared" si="2466"/>
        <v>#DIV/0!</v>
      </c>
      <c r="BA34" s="2514" t="e">
        <f>$AZ$1*AZ34/100</f>
        <v>#DIV/0!</v>
      </c>
      <c r="BB34" s="2511">
        <f t="shared" si="2466"/>
        <v>0</v>
      </c>
      <c r="BC34" s="2512"/>
      <c r="BD34" s="2513">
        <f t="shared" si="2466"/>
        <v>27.752639517345401</v>
      </c>
      <c r="BE34" s="2514">
        <f t="shared" ref="BE34:BE56" si="2470">$BD$1*BD34/100</f>
        <v>6372252.9817194557</v>
      </c>
      <c r="BF34" s="2511">
        <f t="shared" si="2466"/>
        <v>0</v>
      </c>
      <c r="BG34" s="2512"/>
      <c r="BH34" s="2513">
        <f t="shared" si="2466"/>
        <v>0</v>
      </c>
      <c r="BI34" s="2514"/>
      <c r="BJ34" s="2511">
        <f t="shared" si="2466"/>
        <v>0</v>
      </c>
      <c r="BK34" s="2512"/>
      <c r="BL34" s="2513">
        <f t="shared" si="2466"/>
        <v>3.5294117647058827</v>
      </c>
      <c r="BM34" s="2516"/>
      <c r="BN34" s="2511">
        <f t="shared" si="2466"/>
        <v>15.680837954405423</v>
      </c>
      <c r="BO34" s="2514">
        <f t="shared" ref="BO34:BO56" si="2471">$BN$1*BN34/100</f>
        <v>1292354.1847781886</v>
      </c>
      <c r="BP34" s="2513">
        <f t="shared" si="2466"/>
        <v>7.7986437141366718</v>
      </c>
      <c r="BQ34" s="2514">
        <f t="shared" ref="BQ34:BQ56" si="2472">$BP$1*BP34/100</f>
        <v>78141.701898800195</v>
      </c>
      <c r="BR34" s="2511">
        <f t="shared" si="2466"/>
        <v>4.7379755922469498</v>
      </c>
      <c r="BS34" s="2514">
        <f t="shared" ref="BS34:BS56" si="2473">$BR$1*BR34/100</f>
        <v>678969.49778894486</v>
      </c>
      <c r="BT34" s="2517">
        <f t="shared" si="2454"/>
        <v>14913354.365374798</v>
      </c>
      <c r="BU34" s="2518">
        <f t="shared" si="2455"/>
        <v>3680704.3597399192</v>
      </c>
      <c r="BV34" s="222"/>
      <c r="BX34">
        <f t="shared" si="2448"/>
        <v>0</v>
      </c>
      <c r="BY34" s="2418">
        <f t="shared" si="2449"/>
        <v>0</v>
      </c>
      <c r="CB34" s="2367">
        <f t="shared" si="2459"/>
        <v>0</v>
      </c>
      <c r="CD34" s="2377">
        <f t="shared" si="2460"/>
        <v>0</v>
      </c>
      <c r="CF34" s="2418">
        <f t="shared" si="2462"/>
        <v>0</v>
      </c>
      <c r="CG34" s="2418">
        <f t="shared" si="2463"/>
        <v>0</v>
      </c>
      <c r="CH34" s="2462">
        <f t="shared" si="2464"/>
        <v>0</v>
      </c>
    </row>
    <row r="35" ht="15.75">
      <c r="A35" s="437"/>
      <c r="B35" s="2592"/>
      <c r="C35" s="2519"/>
      <c r="D35" s="2520"/>
      <c r="E35" s="2520"/>
      <c r="F35" s="2520"/>
      <c r="G35" s="2625">
        <f t="shared" si="2458"/>
        <v>0</v>
      </c>
      <c r="H35" s="2626"/>
      <c r="I35" s="2523"/>
      <c r="J35" s="2522"/>
      <c r="K35" s="2524">
        <f t="shared" si="2442"/>
        <v>0</v>
      </c>
      <c r="L35" s="2540">
        <f t="shared" si="2436"/>
        <v>0</v>
      </c>
      <c r="M35" s="2525"/>
      <c r="N35" s="2526"/>
      <c r="O35" s="2526"/>
      <c r="P35" s="2527">
        <f t="shared" si="2434"/>
        <v>0</v>
      </c>
      <c r="Q35" s="2528">
        <f t="shared" si="2465"/>
        <v>0</v>
      </c>
      <c r="R35" s="2525"/>
      <c r="S35" s="2529"/>
      <c r="T35" s="2525"/>
      <c r="U35" s="2530">
        <f t="shared" si="2431"/>
        <v>0</v>
      </c>
      <c r="V35" s="2531">
        <f t="shared" si="2432"/>
        <v>0</v>
      </c>
      <c r="W35" s="2509"/>
      <c r="X35" s="2418"/>
      <c r="AC35" s="2388" t="s">
        <v>196</v>
      </c>
      <c r="AD35" s="2494">
        <f>АНАЛИЗ!G39</f>
        <v>408873.78320176527</v>
      </c>
      <c r="AE35" s="2651"/>
      <c r="AF35" s="2494">
        <f>АНАЛИЗ!I39</f>
        <v>0</v>
      </c>
      <c r="AG35" s="2651"/>
      <c r="AH35" s="2494">
        <f>АНАЛИЗ!K39</f>
        <v>19011.137162373667</v>
      </c>
      <c r="AI35" s="2651"/>
      <c r="AJ35" s="2494">
        <f>АНАЛИЗ!M39</f>
        <v>29093.473048731586</v>
      </c>
      <c r="AK35" s="2651"/>
      <c r="AL35" s="2494">
        <f>АНАЛИЗ!O39</f>
        <v>2014.5158777938702</v>
      </c>
      <c r="AM35" s="2651"/>
      <c r="AN35" s="2494">
        <f>АНАЛИЗ!Q39</f>
        <v>121905.25240121555</v>
      </c>
      <c r="AO35" s="2651"/>
      <c r="AP35" s="2494">
        <f>АНАЛИЗ!S39</f>
        <v>197.23408219797619</v>
      </c>
      <c r="AQ35" s="2651"/>
      <c r="AR35" s="2494">
        <f>АНАЛИЗ!U39</f>
        <v>784.34857107885728</v>
      </c>
      <c r="AS35" s="2651"/>
      <c r="AT35" s="2494">
        <f>АНАЛИЗ!W39</f>
        <v>617.58648442312892</v>
      </c>
      <c r="AU35" s="2651"/>
      <c r="AV35" s="2494">
        <f>АНАЛИЗ!Y39</f>
        <v>1183.9667844804198</v>
      </c>
      <c r="AW35" s="2651"/>
      <c r="AX35" s="2494">
        <f>АНАЛИЗ!AA39</f>
        <v>0</v>
      </c>
      <c r="AY35" s="2651"/>
      <c r="AZ35" s="2494">
        <f>АНАЛИЗ!AC39</f>
        <v>0</v>
      </c>
      <c r="BA35" s="2651"/>
      <c r="BB35" s="2494">
        <f>АНАЛИЗ!AE39</f>
        <v>0</v>
      </c>
      <c r="BC35" s="2651"/>
      <c r="BD35" s="2494">
        <f>АНАЛИЗ!AG39</f>
        <v>701048.31637412845</v>
      </c>
      <c r="BE35" s="2651"/>
      <c r="BF35" s="2494">
        <f>АНАЛИЗ!AI39</f>
        <v>0</v>
      </c>
      <c r="BG35" s="2651"/>
      <c r="BH35" s="2494">
        <f>АНАЛИЗ!AK39</f>
        <v>0</v>
      </c>
      <c r="BI35" s="2651"/>
      <c r="BJ35" s="2494">
        <f>АНАЛИЗ!AM39</f>
        <v>0</v>
      </c>
      <c r="BK35" s="2651"/>
      <c r="BL35" s="2494">
        <f>АНАЛИЗ!AO39</f>
        <v>3096.0786400000002</v>
      </c>
      <c r="BM35" s="2651"/>
      <c r="BN35" s="2494">
        <f>АНАЛИЗ!AQ39</f>
        <v>2091.5534815089441</v>
      </c>
      <c r="BO35" s="2651"/>
      <c r="BP35" s="2494">
        <f>АНАЛИЗ!AS39</f>
        <v>1459.6310059778714</v>
      </c>
      <c r="BQ35" s="2651"/>
      <c r="BR35" s="2494">
        <f>АНАЛИЗ!AU39</f>
        <v>80767.077631340115</v>
      </c>
      <c r="BT35" s="2517"/>
      <c r="BU35" s="2518"/>
      <c r="BV35" s="222">
        <v>56</v>
      </c>
      <c r="BX35">
        <f t="shared" si="2448"/>
        <v>5.5776892430278888</v>
      </c>
      <c r="BY35" s="2418">
        <f t="shared" si="2449"/>
        <v>1820103.0256863791</v>
      </c>
      <c r="CB35" s="2367">
        <f t="shared" si="2459"/>
        <v>4412439.2012541676</v>
      </c>
      <c r="CD35" s="2377">
        <f t="shared" si="2460"/>
        <v>3.1916803343641709</v>
      </c>
      <c r="CE35" s="2369">
        <f t="shared" si="2461"/>
        <v>4703978.6894577434</v>
      </c>
      <c r="CF35" s="2418">
        <f t="shared" si="2462"/>
        <v>11154084.231254168</v>
      </c>
      <c r="CG35" s="2418">
        <f t="shared" si="2463"/>
        <v>15858062.920711912</v>
      </c>
      <c r="CH35" s="2462">
        <f t="shared" si="2464"/>
        <v>15858062.920711912</v>
      </c>
    </row>
    <row r="36" ht="51">
      <c r="A36" s="283" t="s">
        <v>196</v>
      </c>
      <c r="B36" s="2388"/>
      <c r="C36" s="2498" t="s">
        <v>901</v>
      </c>
      <c r="D36" s="2367">
        <f>3593056.63+14053.44</f>
        <v>3607110.0699999998</v>
      </c>
      <c r="E36" s="2367">
        <f>3122823.76+11711.2</f>
        <v>3134534.96</v>
      </c>
      <c r="G36" s="2652">
        <f t="shared" si="2458"/>
        <v>6741645.0299999993</v>
      </c>
      <c r="H36" s="2650"/>
      <c r="I36" s="2642"/>
      <c r="J36" s="2650"/>
      <c r="K36" s="2533">
        <f t="shared" si="2442"/>
        <v>0</v>
      </c>
      <c r="L36" s="2501">
        <f t="shared" si="2436"/>
        <v>6741645.0299999993</v>
      </c>
      <c r="N36" s="2534"/>
      <c r="O36" s="2534"/>
      <c r="P36" s="2535">
        <f t="shared" si="2434"/>
        <v>0</v>
      </c>
      <c r="Q36" s="2536">
        <f t="shared" si="2430"/>
        <v>6741645.0299999993</v>
      </c>
      <c r="R36" s="2653"/>
      <c r="S36" s="2654"/>
      <c r="T36" s="2653"/>
      <c r="U36" s="2538">
        <f t="shared" si="2431"/>
        <v>0</v>
      </c>
      <c r="V36" s="2539">
        <f t="shared" si="2432"/>
        <v>6741645.0299999993</v>
      </c>
      <c r="W36" s="2509"/>
      <c r="AC36" s="2590"/>
      <c r="AD36" s="2511">
        <f>AD35*100/AD$98</f>
        <v>6.7410633726461953</v>
      </c>
      <c r="AE36" s="2532">
        <f>AD36*$AD$1/100</f>
        <v>670921.42075826228</v>
      </c>
      <c r="AF36" s="2513">
        <f t="shared" ref="AF36:BR36" si="2474">AF35*100/AF$98</f>
        <v>0</v>
      </c>
      <c r="AG36" s="2514">
        <f>AF36*$AF$1/100</f>
        <v>0</v>
      </c>
      <c r="AH36" s="2511">
        <f t="shared" si="2474"/>
        <v>3.3004465676601931</v>
      </c>
      <c r="AI36" s="2512">
        <f>$AH$1*AH36/100</f>
        <v>339767.18784525909</v>
      </c>
      <c r="AJ36" s="2513">
        <f t="shared" si="2474"/>
        <v>2.0602503443732405</v>
      </c>
      <c r="AK36" s="2514"/>
      <c r="AL36" s="2511">
        <f t="shared" si="2474"/>
        <v>0.72888888888888903</v>
      </c>
      <c r="AM36" s="2512">
        <f t="shared" si="2467"/>
        <v>9853.7626613333341</v>
      </c>
      <c r="AN36" s="2513">
        <f t="shared" si="2474"/>
        <v>2.5600884059305651</v>
      </c>
      <c r="AO36" s="2514">
        <f>$AN$1*AN36/100</f>
        <v>281640.17587991536</v>
      </c>
      <c r="AP36" s="2511">
        <f t="shared" si="2474"/>
        <v>0.68812142776505825</v>
      </c>
      <c r="AQ36" s="2512"/>
      <c r="AR36" s="2513">
        <f t="shared" si="2474"/>
        <v>0.2589026162790698</v>
      </c>
      <c r="AS36" s="2514">
        <f t="shared" si="2468"/>
        <v>10370.091683775438</v>
      </c>
      <c r="AT36" s="2511">
        <f t="shared" si="2474"/>
        <v>4.6606741573033705</v>
      </c>
      <c r="AU36" s="2512">
        <f t="shared" si="2469"/>
        <v>249503.0776049438</v>
      </c>
      <c r="AV36" s="2513">
        <f t="shared" si="2474"/>
        <v>1.7496993289697005</v>
      </c>
      <c r="AW36" s="2514">
        <f>$AV$1*AV36/100</f>
        <v>113600.38758425343</v>
      </c>
      <c r="AX36" s="2511">
        <f t="shared" si="2474"/>
        <v>0</v>
      </c>
      <c r="AY36" s="2512"/>
      <c r="AZ36" s="2513" t="e">
        <f t="shared" si="2474"/>
        <v>#DIV/0!</v>
      </c>
      <c r="BA36" s="2514" t="e">
        <f>$AZ$1*AZ36/100</f>
        <v>#DIV/0!</v>
      </c>
      <c r="BB36" s="2511">
        <f t="shared" si="2474"/>
        <v>0</v>
      </c>
      <c r="BC36" s="2512"/>
      <c r="BD36" s="2513">
        <f t="shared" si="2474"/>
        <v>8.5972850678733046</v>
      </c>
      <c r="BE36" s="2514">
        <f t="shared" si="2470"/>
        <v>1974013.1519457016</v>
      </c>
      <c r="BF36" s="2511">
        <f t="shared" si="2474"/>
        <v>0</v>
      </c>
      <c r="BG36" s="2512"/>
      <c r="BH36" s="2513">
        <f t="shared" si="2474"/>
        <v>0</v>
      </c>
      <c r="BI36" s="2514"/>
      <c r="BJ36" s="2511">
        <f t="shared" si="2474"/>
        <v>0</v>
      </c>
      <c r="BK36" s="2512"/>
      <c r="BL36" s="2513">
        <f t="shared" si="2474"/>
        <v>4.7058823529411766</v>
      </c>
      <c r="BM36" s="2516"/>
      <c r="BN36" s="2511">
        <f t="shared" si="2474"/>
        <v>0.61614294516327794</v>
      </c>
      <c r="BO36" s="2514">
        <f t="shared" si="2471"/>
        <v>50780.125138632167</v>
      </c>
      <c r="BP36" s="2513">
        <f t="shared" si="2474"/>
        <v>0.89984350547730818</v>
      </c>
      <c r="BQ36" s="2514">
        <f t="shared" si="2472"/>
        <v>9016.35021909233</v>
      </c>
      <c r="BR36" s="2511">
        <f t="shared" si="2474"/>
        <v>4.9054797798516399</v>
      </c>
      <c r="BS36" s="2514">
        <f t="shared" si="2473"/>
        <v>702973.46993299841</v>
      </c>
      <c r="BT36" s="2517">
        <f t="shared" si="2454"/>
        <v>4412439.2012541676</v>
      </c>
      <c r="BU36" s="2518">
        <f t="shared" si="2455"/>
        <v>1767504.6285502037</v>
      </c>
      <c r="BV36" s="222"/>
      <c r="BX36">
        <f t="shared" si="2448"/>
        <v>0</v>
      </c>
      <c r="BY36" s="2418">
        <f t="shared" si="2449"/>
        <v>0</v>
      </c>
      <c r="CB36" s="2367">
        <f t="shared" si="2459"/>
        <v>0</v>
      </c>
      <c r="CD36" s="2377">
        <f t="shared" si="2460"/>
        <v>0</v>
      </c>
      <c r="CF36" s="2418">
        <f t="shared" si="2462"/>
        <v>0</v>
      </c>
      <c r="CG36" s="2418">
        <f t="shared" si="2463"/>
        <v>0</v>
      </c>
      <c r="CH36" s="2462">
        <f t="shared" si="2464"/>
        <v>0</v>
      </c>
    </row>
    <row r="37" ht="15.75">
      <c r="A37" s="437"/>
      <c r="B37" s="2592"/>
      <c r="C37" s="2519"/>
      <c r="G37" s="2625">
        <f t="shared" si="2458"/>
        <v>0</v>
      </c>
      <c r="H37" s="2641"/>
      <c r="I37" s="2642"/>
      <c r="J37" s="2650"/>
      <c r="K37" s="2533">
        <f t="shared" si="2442"/>
        <v>0</v>
      </c>
      <c r="L37" s="2501">
        <f t="shared" si="2436"/>
        <v>0</v>
      </c>
      <c r="N37" s="2370"/>
      <c r="O37" s="2370"/>
      <c r="P37" s="2535">
        <f t="shared" si="2434"/>
        <v>0</v>
      </c>
      <c r="Q37" s="2536">
        <f t="shared" si="2430"/>
        <v>0</v>
      </c>
      <c r="S37" s="2654"/>
      <c r="U37" s="2538">
        <f t="shared" si="2431"/>
        <v>0</v>
      </c>
      <c r="V37" s="2539">
        <f t="shared" si="2432"/>
        <v>0</v>
      </c>
      <c r="W37" s="2509"/>
      <c r="AC37" s="2388" t="s">
        <v>200</v>
      </c>
      <c r="AD37" s="2494">
        <f>АНАЛИЗ!G41</f>
        <v>0</v>
      </c>
      <c r="AE37" s="2651"/>
      <c r="AF37" s="2494">
        <f>АНАЛИЗ!I41</f>
        <v>0</v>
      </c>
      <c r="AG37" s="2651"/>
      <c r="AH37" s="2494">
        <f>АНАЛИЗ!K41</f>
        <v>0</v>
      </c>
      <c r="AI37" s="2651"/>
      <c r="AJ37" s="2494">
        <f>АНАЛИЗ!M41</f>
        <v>0</v>
      </c>
      <c r="AK37" s="2651"/>
      <c r="AL37" s="2494">
        <f>АНАЛИЗ!O41</f>
        <v>0</v>
      </c>
      <c r="AM37" s="2651"/>
      <c r="AN37" s="2494">
        <f>АНАЛИЗ!Q41</f>
        <v>0</v>
      </c>
      <c r="AO37" s="2651"/>
      <c r="AP37" s="2494">
        <f>АНАЛИЗ!S41</f>
        <v>0</v>
      </c>
      <c r="AQ37" s="2651"/>
      <c r="AR37" s="2494">
        <f>АНАЛИЗ!U41</f>
        <v>0</v>
      </c>
      <c r="AS37" s="2651"/>
      <c r="AT37" s="2494">
        <f>АНАЛИЗ!W41</f>
        <v>0</v>
      </c>
      <c r="AU37" s="2651"/>
      <c r="AV37" s="2494">
        <f>АНАЛИЗ!Y41</f>
        <v>0</v>
      </c>
      <c r="AW37" s="2651"/>
      <c r="AX37" s="2494">
        <f>АНАЛИЗ!AA41</f>
        <v>0</v>
      </c>
      <c r="AY37" s="2651"/>
      <c r="AZ37" s="2494">
        <f>АНАЛИЗ!AC41</f>
        <v>0</v>
      </c>
      <c r="BA37" s="2651"/>
      <c r="BB37" s="2494">
        <f>АНАЛИЗ!AE41</f>
        <v>0</v>
      </c>
      <c r="BC37" s="2651"/>
      <c r="BD37" s="2494">
        <f>АНАЛИЗ!AG41</f>
        <v>0</v>
      </c>
      <c r="BE37" s="2651"/>
      <c r="BF37" s="2494">
        <f>АНАЛИЗ!AI41</f>
        <v>0</v>
      </c>
      <c r="BG37" s="2651"/>
      <c r="BH37" s="2494">
        <f>АНАЛИЗ!AK41</f>
        <v>0</v>
      </c>
      <c r="BI37" s="2651"/>
      <c r="BJ37" s="2494">
        <f>АНАЛИЗ!AM41</f>
        <v>0</v>
      </c>
      <c r="BK37" s="2651"/>
      <c r="BL37" s="2494">
        <f>АНАЛИЗ!AO41</f>
        <v>0</v>
      </c>
      <c r="BM37" s="2651"/>
      <c r="BN37" s="2494">
        <f>АНАЛИЗ!AQ41</f>
        <v>0</v>
      </c>
      <c r="BO37" s="2651"/>
      <c r="BP37" s="2494">
        <f>АНАЛИЗ!AS41</f>
        <v>0</v>
      </c>
      <c r="BQ37" s="2651"/>
      <c r="BR37" s="2494">
        <f>АНАЛИЗ!AU41</f>
        <v>0</v>
      </c>
      <c r="BT37" s="2517"/>
      <c r="BU37" s="2518"/>
      <c r="BV37" s="222"/>
      <c r="BX37">
        <f t="shared" si="2448"/>
        <v>0</v>
      </c>
      <c r="BY37" s="2418">
        <f t="shared" si="2449"/>
        <v>0</v>
      </c>
      <c r="CB37" s="2367">
        <f t="shared" si="2459"/>
        <v>0</v>
      </c>
      <c r="CD37" s="2377">
        <f t="shared" si="2460"/>
        <v>0</v>
      </c>
      <c r="CE37" s="2369">
        <f t="shared" si="2461"/>
        <v>0</v>
      </c>
      <c r="CF37" s="2418">
        <f t="shared" si="2462"/>
        <v>0</v>
      </c>
      <c r="CG37" s="2418">
        <f t="shared" si="2463"/>
        <v>0</v>
      </c>
      <c r="CH37" s="2462">
        <f t="shared" si="2464"/>
        <v>0</v>
      </c>
    </row>
    <row r="38" ht="15.75">
      <c r="A38" s="283" t="s">
        <v>200</v>
      </c>
      <c r="B38" s="2388"/>
      <c r="C38" s="2498"/>
      <c r="D38" s="2499"/>
      <c r="E38" s="2499"/>
      <c r="F38" s="2499"/>
      <c r="G38" s="2652">
        <f t="shared" si="2458"/>
        <v>0</v>
      </c>
      <c r="H38" s="2655"/>
      <c r="I38" s="2487"/>
      <c r="J38" s="2486"/>
      <c r="K38" s="2488">
        <f t="shared" si="2442"/>
        <v>0</v>
      </c>
      <c r="L38" s="2489">
        <f t="shared" si="2436"/>
        <v>0</v>
      </c>
      <c r="M38" s="2502"/>
      <c r="N38" s="2656"/>
      <c r="O38" s="2656"/>
      <c r="P38" s="2504">
        <f t="shared" si="2434"/>
        <v>0</v>
      </c>
      <c r="Q38" s="2505">
        <f t="shared" si="2430"/>
        <v>0</v>
      </c>
      <c r="R38" s="2502"/>
      <c r="S38" s="2582"/>
      <c r="T38" s="2502"/>
      <c r="U38" s="2507">
        <f t="shared" si="2431"/>
        <v>0</v>
      </c>
      <c r="V38" s="2508">
        <f t="shared" si="2432"/>
        <v>0</v>
      </c>
      <c r="W38" s="2509"/>
      <c r="AC38" s="2590"/>
      <c r="AD38" s="2511">
        <f>AD37*100/AD$98</f>
        <v>0</v>
      </c>
      <c r="AE38" s="2532">
        <f>AD38*$AD$1/100</f>
        <v>0</v>
      </c>
      <c r="AF38" s="2513"/>
      <c r="AG38" s="2514">
        <f>AF38*$AF$1/100</f>
        <v>0</v>
      </c>
      <c r="AH38" s="2511"/>
      <c r="AI38" s="2512">
        <f>$AH$1*AH38/100</f>
        <v>0</v>
      </c>
      <c r="AJ38" s="2513"/>
      <c r="AK38" s="2514"/>
      <c r="AL38" s="2511"/>
      <c r="AM38" s="2512">
        <f t="shared" si="2467"/>
        <v>0</v>
      </c>
      <c r="AN38" s="2513"/>
      <c r="AO38" s="2514">
        <f>$AN$1*AN38/100</f>
        <v>0</v>
      </c>
      <c r="AP38" s="2511"/>
      <c r="AQ38" s="2512"/>
      <c r="AR38" s="2513"/>
      <c r="AS38" s="2514">
        <f t="shared" si="2468"/>
        <v>0</v>
      </c>
      <c r="AT38" s="2511"/>
      <c r="AU38" s="2512">
        <f t="shared" si="2469"/>
        <v>0</v>
      </c>
      <c r="AV38" s="2513"/>
      <c r="AW38" s="2514">
        <f>$AV$1*AV38/100</f>
        <v>0</v>
      </c>
      <c r="AX38" s="2511"/>
      <c r="AY38" s="2512"/>
      <c r="AZ38" s="2513"/>
      <c r="BA38" s="2514">
        <f>$AZ$1*AZ38/100</f>
        <v>0</v>
      </c>
      <c r="BB38" s="2511"/>
      <c r="BC38" s="2512"/>
      <c r="BD38" s="2513"/>
      <c r="BE38" s="2514">
        <f t="shared" si="2470"/>
        <v>0</v>
      </c>
      <c r="BF38" s="2511"/>
      <c r="BG38" s="2512"/>
      <c r="BH38" s="2513"/>
      <c r="BI38" s="2514"/>
      <c r="BJ38" s="2511"/>
      <c r="BK38" s="2512"/>
      <c r="BL38" s="2513"/>
      <c r="BM38" s="2516"/>
      <c r="BN38" s="2511"/>
      <c r="BO38" s="2514">
        <f t="shared" si="2471"/>
        <v>0</v>
      </c>
      <c r="BP38" s="2513"/>
      <c r="BQ38" s="2514">
        <f t="shared" si="2472"/>
        <v>0</v>
      </c>
      <c r="BR38" s="2511"/>
      <c r="BS38" s="2514">
        <f t="shared" si="2473"/>
        <v>0</v>
      </c>
      <c r="BT38" s="2517">
        <f t="shared" si="2454"/>
        <v>0</v>
      </c>
      <c r="BU38" s="2518">
        <f t="shared" si="2455"/>
        <v>0</v>
      </c>
      <c r="BV38" s="222"/>
      <c r="BX38">
        <f t="shared" si="2448"/>
        <v>0</v>
      </c>
      <c r="BY38" s="2418">
        <f t="shared" si="2449"/>
        <v>0</v>
      </c>
      <c r="CB38" s="2367">
        <f t="shared" si="2459"/>
        <v>0</v>
      </c>
      <c r="CD38" s="2377">
        <f t="shared" si="2460"/>
        <v>0</v>
      </c>
      <c r="CF38" s="2418">
        <f t="shared" si="2462"/>
        <v>0</v>
      </c>
      <c r="CG38" s="2418">
        <f t="shared" si="2463"/>
        <v>0</v>
      </c>
      <c r="CH38" s="2462">
        <f t="shared" si="2464"/>
        <v>0</v>
      </c>
    </row>
    <row r="39" ht="15.75">
      <c r="A39" s="437"/>
      <c r="B39" s="2592"/>
      <c r="C39" s="2519"/>
      <c r="D39" s="2520"/>
      <c r="E39" s="2520"/>
      <c r="F39" s="2520"/>
      <c r="G39" s="2625">
        <f t="shared" si="2458"/>
        <v>0</v>
      </c>
      <c r="H39" s="2626"/>
      <c r="I39" s="2523"/>
      <c r="J39" s="2522"/>
      <c r="K39" s="2524">
        <f t="shared" si="2442"/>
        <v>0</v>
      </c>
      <c r="L39" s="2540">
        <f t="shared" si="2436"/>
        <v>0</v>
      </c>
      <c r="M39" s="2525"/>
      <c r="N39" s="2526"/>
      <c r="O39" s="2526"/>
      <c r="P39" s="2527">
        <f t="shared" si="2434"/>
        <v>0</v>
      </c>
      <c r="Q39" s="2528">
        <f t="shared" si="2430"/>
        <v>0</v>
      </c>
      <c r="R39" s="2525"/>
      <c r="S39" s="2585"/>
      <c r="T39" s="2525"/>
      <c r="U39" s="2530">
        <f t="shared" si="2431"/>
        <v>0</v>
      </c>
      <c r="V39" s="2531">
        <f t="shared" si="2432"/>
        <v>0</v>
      </c>
      <c r="W39" s="2509"/>
      <c r="AC39" s="2388" t="s">
        <v>201</v>
      </c>
      <c r="AD39" s="2494">
        <f>АНАЛИЗ!G43</f>
        <v>1082354.3424250814</v>
      </c>
      <c r="AE39" s="2651"/>
      <c r="AF39" s="2494">
        <f>АНАЛИЗ!I43</f>
        <v>1062410.8144377391</v>
      </c>
      <c r="AG39" s="2651"/>
      <c r="AH39" s="2494">
        <f>АНАЛИЗ!K43</f>
        <v>8626.1988005484036</v>
      </c>
      <c r="AI39" s="2651"/>
      <c r="AJ39" s="2494">
        <f>АНАЛИЗ!M43</f>
        <v>14504.449499585662</v>
      </c>
      <c r="AK39" s="2651"/>
      <c r="AL39" s="2494">
        <f>АНАЛИЗ!O43</f>
        <v>1326.6324073276705</v>
      </c>
      <c r="AM39" s="2651"/>
      <c r="AN39" s="2494">
        <f>АНАЛИЗ!Q43</f>
        <v>75252.862643356275</v>
      </c>
      <c r="AO39" s="2651"/>
      <c r="AP39" s="2494">
        <f>АНАЛИЗ!S43</f>
        <v>420.92639493470523</v>
      </c>
      <c r="AQ39" s="2651"/>
      <c r="AR39" s="2494">
        <f>АНАЛИЗ!U43</f>
        <v>3756.6168404303162</v>
      </c>
      <c r="AS39" s="2651"/>
      <c r="AT39" s="2494">
        <f>АНАЛИЗ!W43</f>
        <v>183.6282539670184</v>
      </c>
      <c r="AU39" s="2651"/>
      <c r="AV39" s="2494">
        <f>АНАЛИЗ!Y43</f>
        <v>2277.9318112540841</v>
      </c>
      <c r="AW39" s="2651"/>
      <c r="AX39" s="2494">
        <f>АНАЛИЗ!AA43</f>
        <v>0</v>
      </c>
      <c r="AY39" s="2651"/>
      <c r="AZ39" s="2494">
        <f>АНАЛИЗ!AC43</f>
        <v>0</v>
      </c>
      <c r="BA39" s="2651"/>
      <c r="BB39" s="2494">
        <f>АНАЛИЗ!AE43</f>
        <v>0</v>
      </c>
      <c r="BC39" s="2651"/>
      <c r="BD39" s="2494">
        <f>АНАЛИЗ!AG43</f>
        <v>737945.59618329303</v>
      </c>
      <c r="BE39" s="2651"/>
      <c r="BF39" s="2494">
        <f>АНАЛИЗ!AI43</f>
        <v>0</v>
      </c>
      <c r="BG39" s="2651"/>
      <c r="BH39" s="2494">
        <f>АНАЛИЗ!AK43</f>
        <v>0</v>
      </c>
      <c r="BI39" s="2651"/>
      <c r="BJ39" s="2494">
        <f>АНАЛИЗ!AM43</f>
        <v>0</v>
      </c>
      <c r="BK39" s="2651"/>
      <c r="BL39" s="2494">
        <f>АНАЛИЗ!AO43</f>
        <v>1161.0294899999999</v>
      </c>
      <c r="BM39" s="2651"/>
      <c r="BN39" s="2494">
        <f>АНАЛИЗ!AQ43</f>
        <v>29490.904089276108</v>
      </c>
      <c r="BO39" s="2651"/>
      <c r="BP39" s="2494">
        <f>АНАЛИЗ!AS43</f>
        <v>10915.50143600843</v>
      </c>
      <c r="BQ39" s="2651"/>
      <c r="BR39" s="2494">
        <f>АНАЛИЗ!AU43</f>
        <v>50430.175301519674</v>
      </c>
      <c r="BT39" s="2517"/>
      <c r="BU39" s="2518"/>
      <c r="BV39" s="222">
        <v>46</v>
      </c>
      <c r="BX39">
        <f t="shared" si="2448"/>
        <v>4.5816733067729087</v>
      </c>
      <c r="BY39" s="2418">
        <f t="shared" si="2449"/>
        <v>1495084.6282423828</v>
      </c>
      <c r="CB39" s="2367">
        <f t="shared" si="2459"/>
        <v>6000947.3103969973</v>
      </c>
      <c r="CD39" s="2377">
        <f t="shared" si="2460"/>
        <v>4.3407069524506277</v>
      </c>
      <c r="CE39" s="2369">
        <f t="shared" si="2461"/>
        <v>6397442.9963007243</v>
      </c>
      <c r="CF39" s="2418">
        <f t="shared" si="2462"/>
        <v>11991069.630396998</v>
      </c>
      <c r="CG39" s="2418">
        <f t="shared" si="2463"/>
        <v>18388512.626697723</v>
      </c>
      <c r="CH39" s="2462">
        <f t="shared" si="2464"/>
        <v>18388512.626697723</v>
      </c>
    </row>
    <row r="40" ht="15.75">
      <c r="A40" s="283" t="s">
        <v>201</v>
      </c>
      <c r="B40" s="2388"/>
      <c r="C40" s="2498">
        <v>104</v>
      </c>
      <c r="D40" s="2367">
        <v>3239139.3199999998</v>
      </c>
      <c r="E40" s="2367">
        <f>2750983</f>
        <v>2750983</v>
      </c>
      <c r="G40" s="2652">
        <f t="shared" si="2458"/>
        <v>5990122.3200000003</v>
      </c>
      <c r="H40" s="2650"/>
      <c r="I40" s="2642"/>
      <c r="J40" s="2650"/>
      <c r="K40" s="2533">
        <f t="shared" si="2442"/>
        <v>0</v>
      </c>
      <c r="L40" s="2501">
        <f t="shared" si="2436"/>
        <v>5990122.3200000003</v>
      </c>
      <c r="N40" s="2534"/>
      <c r="O40" s="2534"/>
      <c r="P40" s="2535">
        <f t="shared" si="2434"/>
        <v>0</v>
      </c>
      <c r="Q40" s="2536">
        <f t="shared" si="2430"/>
        <v>5990122.3200000003</v>
      </c>
      <c r="S40" s="2654"/>
      <c r="U40" s="2538">
        <f t="shared" si="2431"/>
        <v>0</v>
      </c>
      <c r="V40" s="2539">
        <f t="shared" si="2432"/>
        <v>5990122.3200000003</v>
      </c>
      <c r="W40" s="2509"/>
      <c r="AC40" s="2590"/>
      <c r="AD40" s="2511">
        <f>AD39*100/AD$98</f>
        <v>17.844673622289545</v>
      </c>
      <c r="AE40" s="2532">
        <f>AD40*$AD$1/100</f>
        <v>1776036.3785059995</v>
      </c>
      <c r="AF40" s="2513">
        <f t="shared" ref="AF40:BR40" si="2475">AF39*100/AF$98</f>
        <v>4.6919809068846989</v>
      </c>
      <c r="AG40" s="2514">
        <f>AF40*$AF$1/100</f>
        <v>247713.6814099419</v>
      </c>
      <c r="AH40" s="2511">
        <f t="shared" si="2475"/>
        <v>1.4975594558105723</v>
      </c>
      <c r="AI40" s="2512">
        <f>$AH$1*AH40/100</f>
        <v>154167.49052009554</v>
      </c>
      <c r="AJ40" s="2513">
        <f t="shared" si="2475"/>
        <v>1.027130622267473</v>
      </c>
      <c r="AK40" s="2514"/>
      <c r="AL40" s="2511">
        <f t="shared" si="2475"/>
        <v>0.48000000000000009</v>
      </c>
      <c r="AM40" s="2512">
        <f t="shared" si="2467"/>
        <v>6489.0632160000014</v>
      </c>
      <c r="AN40" s="2513">
        <f t="shared" si="2475"/>
        <v>1.5803583305194875</v>
      </c>
      <c r="AO40" s="2514">
        <f>$AN$1*AN40/100</f>
        <v>173858.21408734182</v>
      </c>
      <c r="AP40" s="2511">
        <f t="shared" si="2475"/>
        <v>1.4685518275473801</v>
      </c>
      <c r="AQ40" s="2657"/>
      <c r="AR40" s="2513">
        <f t="shared" si="2475"/>
        <v>1.2400072674418603</v>
      </c>
      <c r="AS40" s="2514">
        <f t="shared" si="2468"/>
        <v>49667.281222292877</v>
      </c>
      <c r="AT40" s="2511">
        <f t="shared" si="2475"/>
        <v>1.3857677902621721</v>
      </c>
      <c r="AU40" s="2512">
        <f t="shared" si="2469"/>
        <v>74185.260940074906</v>
      </c>
      <c r="AV40" s="2513">
        <f t="shared" si="2475"/>
        <v>3.3663915355016614</v>
      </c>
      <c r="AW40" s="2514">
        <f>$AV$1*AV40/100</f>
        <v>218565.19966692015</v>
      </c>
      <c r="AX40" s="2511">
        <f t="shared" si="2475"/>
        <v>0</v>
      </c>
      <c r="AY40" s="2512"/>
      <c r="AZ40" s="2513" t="e">
        <f t="shared" si="2475"/>
        <v>#DIV/0!</v>
      </c>
      <c r="BA40" s="2514" t="e">
        <f>$AZ$1*AZ40/100</f>
        <v>#DIV/0!</v>
      </c>
      <c r="BB40" s="2511">
        <f t="shared" si="2475"/>
        <v>0</v>
      </c>
      <c r="BC40" s="2512"/>
      <c r="BD40" s="2513">
        <f t="shared" si="2475"/>
        <v>9.0497737556561084</v>
      </c>
      <c r="BE40" s="2514">
        <f t="shared" si="2470"/>
        <v>2077908.5809954747</v>
      </c>
      <c r="BF40" s="2511">
        <f t="shared" si="2475"/>
        <v>0</v>
      </c>
      <c r="BG40" s="2512"/>
      <c r="BH40" s="2513">
        <f t="shared" si="2475"/>
        <v>0</v>
      </c>
      <c r="BI40" s="2514"/>
      <c r="BJ40" s="2511">
        <f t="shared" si="2475"/>
        <v>0</v>
      </c>
      <c r="BK40" s="2512"/>
      <c r="BL40" s="2513">
        <f t="shared" si="2475"/>
        <v>1.7647058823529413</v>
      </c>
      <c r="BM40" s="2516"/>
      <c r="BN40" s="2511">
        <f t="shared" si="2475"/>
        <v>8.6876155268022188</v>
      </c>
      <c r="BO40" s="2514">
        <f t="shared" si="2471"/>
        <v>715999.76445471356</v>
      </c>
      <c r="BP40" s="2513">
        <f t="shared" si="2475"/>
        <v>6.7292644757433484</v>
      </c>
      <c r="BQ40" s="2514">
        <f t="shared" si="2472"/>
        <v>67426.619029733949</v>
      </c>
      <c r="BR40" s="2511">
        <f t="shared" si="2475"/>
        <v>3.0629337162000478</v>
      </c>
      <c r="BS40" s="2514">
        <f t="shared" si="2473"/>
        <v>438929.77634840878</v>
      </c>
      <c r="BT40" s="2517">
        <f t="shared" si="2454"/>
        <v>6000947.3103969973</v>
      </c>
      <c r="BU40" s="2518">
        <f t="shared" si="2455"/>
        <v>1899288.6694855813</v>
      </c>
      <c r="BV40" s="222"/>
      <c r="BX40">
        <f t="shared" si="2448"/>
        <v>0</v>
      </c>
      <c r="BY40" s="2418">
        <f t="shared" si="2449"/>
        <v>0</v>
      </c>
      <c r="CB40" s="2367">
        <f t="shared" si="2459"/>
        <v>0</v>
      </c>
      <c r="CD40" s="2377">
        <f t="shared" si="2460"/>
        <v>0</v>
      </c>
      <c r="CF40" s="2418">
        <f t="shared" si="2462"/>
        <v>0</v>
      </c>
      <c r="CG40" s="2418">
        <f t="shared" si="2463"/>
        <v>0</v>
      </c>
      <c r="CH40" s="2462">
        <f t="shared" si="2464"/>
        <v>0</v>
      </c>
    </row>
    <row r="41" ht="15.75">
      <c r="A41" s="437"/>
      <c r="B41" s="2592"/>
      <c r="C41" s="2519"/>
      <c r="G41" s="2625">
        <f t="shared" si="2458"/>
        <v>0</v>
      </c>
      <c r="H41" s="2641"/>
      <c r="I41" s="2642"/>
      <c r="J41" s="2650"/>
      <c r="K41" s="2533">
        <f t="shared" si="2442"/>
        <v>0</v>
      </c>
      <c r="L41" s="2501">
        <f t="shared" si="2436"/>
        <v>0</v>
      </c>
      <c r="N41" s="2370"/>
      <c r="O41" s="2370"/>
      <c r="P41" s="2535">
        <f t="shared" si="2434"/>
        <v>0</v>
      </c>
      <c r="Q41" s="2536">
        <f t="shared" si="2430"/>
        <v>0</v>
      </c>
      <c r="S41" s="2654"/>
      <c r="U41" s="2538">
        <f t="shared" si="2431"/>
        <v>0</v>
      </c>
      <c r="V41" s="2539">
        <f t="shared" si="2432"/>
        <v>0</v>
      </c>
      <c r="W41" s="2509"/>
      <c r="AC41" s="2388" t="s">
        <v>203</v>
      </c>
      <c r="AD41" s="2494">
        <f>АНАЛИЗ!G45</f>
        <v>319086.05093376659</v>
      </c>
      <c r="AE41" s="2651"/>
      <c r="AF41" s="2494">
        <f>АНАЛИЗ!I45</f>
        <v>0</v>
      </c>
      <c r="AG41" s="2651"/>
      <c r="AH41" s="2494">
        <f>АНАЛИЗ!K45</f>
        <v>6496.5685834920714</v>
      </c>
      <c r="AI41" s="2651"/>
      <c r="AJ41" s="2494">
        <f>АНАЛИЗ!M45</f>
        <v>27190.556933625598</v>
      </c>
      <c r="AK41" s="2651"/>
      <c r="AL41" s="2494">
        <f>АНАЛИЗ!O45</f>
        <v>6534.8929694288954</v>
      </c>
      <c r="AM41" s="2651"/>
      <c r="AN41" s="2494">
        <f>АНАЛИЗ!Q45</f>
        <v>50525.877993629299</v>
      </c>
      <c r="AO41" s="2651"/>
      <c r="AP41" s="2494">
        <f>АНАЛИЗ!S45</f>
        <v>31.268817909435249</v>
      </c>
      <c r="AQ41" s="2651"/>
      <c r="AR41" s="2494">
        <f>АНАЛИЗ!U45</f>
        <v>935.71408479582965</v>
      </c>
      <c r="AS41" s="2651"/>
      <c r="AT41" s="2494">
        <f>АНАЛИЗ!W45</f>
        <v>372.51720926390277</v>
      </c>
      <c r="AU41" s="2651"/>
      <c r="AV41" s="2494">
        <f>АНАЛИЗ!Y45</f>
        <v>197.75034087681533</v>
      </c>
      <c r="AW41" s="2651"/>
      <c r="AX41" s="2494">
        <f>АНАЛИЗ!AA45</f>
        <v>0</v>
      </c>
      <c r="AY41" s="2651"/>
      <c r="AZ41" s="2494">
        <f>АНАЛИЗ!AC45</f>
        <v>0</v>
      </c>
      <c r="BA41" s="2651"/>
      <c r="BB41" s="2494">
        <f>АНАЛИЗ!AE45</f>
        <v>0</v>
      </c>
      <c r="BC41" s="2651"/>
      <c r="BD41" s="2494">
        <f>АНАЛИЗ!AG45</f>
        <v>0</v>
      </c>
      <c r="BE41" s="2651"/>
      <c r="BF41" s="2494">
        <f>АНАЛИЗ!AI45</f>
        <v>0</v>
      </c>
      <c r="BG41" s="2651"/>
      <c r="BH41" s="2494">
        <f>АНАЛИЗ!AK45</f>
        <v>0</v>
      </c>
      <c r="BI41" s="2651"/>
      <c r="BJ41" s="2494">
        <f>АНАЛИЗ!AM45</f>
        <v>0</v>
      </c>
      <c r="BK41" s="2651"/>
      <c r="BL41" s="2494">
        <f>АНАЛИЗ!AO45</f>
        <v>1161.0294899999999</v>
      </c>
      <c r="BM41" s="2651"/>
      <c r="BN41" s="2494">
        <f>АНАЛИЗ!AQ45</f>
        <v>19556.025052108627</v>
      </c>
      <c r="BO41" s="2651"/>
      <c r="BP41" s="2494">
        <f>АНАЛИЗ!AS45</f>
        <v>2348.1020530948367</v>
      </c>
      <c r="BQ41" s="2651"/>
      <c r="BR41" s="2494">
        <f>АНАЛИЗ!AU45</f>
        <v>65007.647849615205</v>
      </c>
      <c r="BT41" s="2517"/>
      <c r="BU41" s="2518"/>
      <c r="BV41" s="222">
        <v>40</v>
      </c>
      <c r="BX41">
        <f t="shared" si="2448"/>
        <v>3.9840637450199203</v>
      </c>
      <c r="BY41" s="2418">
        <f t="shared" si="2449"/>
        <v>1300073.5897759851</v>
      </c>
      <c r="CB41" s="2367">
        <f t="shared" si="2459"/>
        <v>2025338.7200958959</v>
      </c>
      <c r="CD41" s="2377">
        <f t="shared" si="2460"/>
        <v>1.4650023419062663</v>
      </c>
      <c r="CE41" s="2369">
        <f t="shared" si="2461"/>
        <v>2159157.2696473124</v>
      </c>
      <c r="CF41" s="2418">
        <f t="shared" si="2462"/>
        <v>6380004.6700958963</v>
      </c>
      <c r="CG41" s="2418">
        <f t="shared" si="2463"/>
        <v>8539161.9397432096</v>
      </c>
      <c r="CH41" s="2462">
        <f t="shared" si="2464"/>
        <v>8539161.9397432096</v>
      </c>
    </row>
    <row r="42" ht="15.75">
      <c r="A42" s="283" t="s">
        <v>203</v>
      </c>
      <c r="B42" s="2388"/>
      <c r="C42" s="2498">
        <v>105</v>
      </c>
      <c r="D42" s="2499">
        <v>2607807.9399999999</v>
      </c>
      <c r="E42" s="2499">
        <f>1746858.01</f>
        <v>1746858.01</v>
      </c>
      <c r="F42" s="2499"/>
      <c r="G42" s="2652">
        <f t="shared" si="2458"/>
        <v>4354665.9500000002</v>
      </c>
      <c r="H42" s="2486"/>
      <c r="I42" s="2487"/>
      <c r="J42" s="2486"/>
      <c r="K42" s="2488">
        <f t="shared" si="2442"/>
        <v>0</v>
      </c>
      <c r="L42" s="2489">
        <f t="shared" si="2436"/>
        <v>4354665.9500000002</v>
      </c>
      <c r="M42" s="2502"/>
      <c r="N42" s="2503"/>
      <c r="O42" s="2503"/>
      <c r="P42" s="2504">
        <f t="shared" si="2434"/>
        <v>0</v>
      </c>
      <c r="Q42" s="2505">
        <f t="shared" si="2430"/>
        <v>4354665.9500000002</v>
      </c>
      <c r="R42" s="2502"/>
      <c r="S42" s="2506"/>
      <c r="T42" s="2502"/>
      <c r="U42" s="2507">
        <f t="shared" si="2431"/>
        <v>0</v>
      </c>
      <c r="V42" s="2508">
        <f t="shared" si="2432"/>
        <v>4354665.9500000002</v>
      </c>
      <c r="W42" s="2509"/>
      <c r="AC42" s="2590"/>
      <c r="AD42" s="2511">
        <f>AD41*100/AD$98</f>
        <v>5.2607415271976423</v>
      </c>
      <c r="AE42" s="2532">
        <f>AD42*$AD$1/100</f>
        <v>523588.63647411682</v>
      </c>
      <c r="AF42" s="2513">
        <f t="shared" ref="AF42:BR42" si="2476">AF41*100/AF$98</f>
        <v>0</v>
      </c>
      <c r="AG42" s="2514">
        <f>AF42*$AF$1/100</f>
        <v>0</v>
      </c>
      <c r="AH42" s="2511">
        <f t="shared" si="2476"/>
        <v>1.1278429743483227</v>
      </c>
      <c r="AI42" s="2512">
        <f>$AH$1*AH42/100</f>
        <v>116106.72309627166</v>
      </c>
      <c r="AJ42" s="2513">
        <f t="shared" si="2476"/>
        <v>1.9254955980116184</v>
      </c>
      <c r="AK42" s="2514"/>
      <c r="AL42" s="2511">
        <f t="shared" si="2476"/>
        <v>2.3644444444444446</v>
      </c>
      <c r="AM42" s="2512">
        <f t="shared" si="2467"/>
        <v>31964.644730666667</v>
      </c>
      <c r="AN42" s="2513">
        <f t="shared" si="2476"/>
        <v>1.0610758101318927</v>
      </c>
      <c r="AO42" s="2514">
        <f>$AN$1*AN42/100</f>
        <v>116730.96018683939</v>
      </c>
      <c r="AP42" s="2511">
        <f t="shared" si="2476"/>
        <v>0.10909242147494823</v>
      </c>
      <c r="AQ42" s="2512"/>
      <c r="AR42" s="2513">
        <f t="shared" si="2476"/>
        <v>0.30886627906976744</v>
      </c>
      <c r="AS42" s="2514">
        <f t="shared" si="2468"/>
        <v>12371.337447311047</v>
      </c>
      <c r="AT42" s="2511">
        <f t="shared" si="2476"/>
        <v>2.8112359550561798</v>
      </c>
      <c r="AU42" s="2512">
        <f t="shared" si="2469"/>
        <v>150495.82935573033</v>
      </c>
      <c r="AV42" s="2513">
        <f t="shared" si="2476"/>
        <v>0.29224100141249815</v>
      </c>
      <c r="AW42" s="2514">
        <f>$AV$1*AV42/100</f>
        <v>18973.940538697574</v>
      </c>
      <c r="AX42" s="2511">
        <f t="shared" si="2476"/>
        <v>0</v>
      </c>
      <c r="AY42" s="2512"/>
      <c r="AZ42" s="2513" t="e">
        <f t="shared" si="2476"/>
        <v>#DIV/0!</v>
      </c>
      <c r="BA42" s="2514" t="e">
        <f>$AZ$1*AZ42/100</f>
        <v>#DIV/0!</v>
      </c>
      <c r="BB42" s="2511">
        <f t="shared" si="2476"/>
        <v>0</v>
      </c>
      <c r="BC42" s="2512"/>
      <c r="BD42" s="2513">
        <f t="shared" si="2476"/>
        <v>0</v>
      </c>
      <c r="BE42" s="2514">
        <f t="shared" si="2470"/>
        <v>0</v>
      </c>
      <c r="BF42" s="2511">
        <f t="shared" si="2476"/>
        <v>0</v>
      </c>
      <c r="BG42" s="2512"/>
      <c r="BH42" s="2513">
        <f t="shared" si="2476"/>
        <v>0</v>
      </c>
      <c r="BI42" s="2514"/>
      <c r="BJ42" s="2511">
        <f t="shared" si="2476"/>
        <v>0</v>
      </c>
      <c r="BK42" s="2512"/>
      <c r="BL42" s="2513">
        <f t="shared" si="2476"/>
        <v>1.7647058823529413</v>
      </c>
      <c r="BM42" s="2516"/>
      <c r="BN42" s="2511">
        <f t="shared" si="2476"/>
        <v>5.7609365372766499</v>
      </c>
      <c r="BO42" s="2514">
        <f t="shared" si="2471"/>
        <v>474794.17004621087</v>
      </c>
      <c r="BP42" s="2513">
        <f t="shared" si="2476"/>
        <v>1.4475743348982786</v>
      </c>
      <c r="BQ42" s="2514">
        <f t="shared" si="2472"/>
        <v>14504.563395931142</v>
      </c>
      <c r="BR42" s="2511">
        <f t="shared" si="2476"/>
        <v>3.9483129935391248</v>
      </c>
      <c r="BS42" s="2514">
        <f t="shared" si="2473"/>
        <v>565807.9148241207</v>
      </c>
      <c r="BT42" s="2517">
        <f t="shared" si="2454"/>
        <v>2025338.7200958959</v>
      </c>
      <c r="BU42" s="2518">
        <f t="shared" si="2455"/>
        <v>1501750.083621779</v>
      </c>
      <c r="BV42" s="222"/>
      <c r="BX42">
        <f t="shared" si="2448"/>
        <v>0</v>
      </c>
      <c r="BY42" s="2418">
        <f t="shared" si="2449"/>
        <v>0</v>
      </c>
      <c r="CB42" s="2367">
        <f t="shared" si="2459"/>
        <v>0</v>
      </c>
      <c r="CD42" s="2377">
        <f t="shared" si="2460"/>
        <v>0</v>
      </c>
      <c r="CF42" s="2418">
        <f t="shared" si="2462"/>
        <v>0</v>
      </c>
      <c r="CG42" s="2418">
        <f t="shared" si="2463"/>
        <v>0</v>
      </c>
      <c r="CH42" s="2462">
        <f t="shared" si="2464"/>
        <v>0</v>
      </c>
    </row>
    <row r="43" ht="15.75">
      <c r="A43" s="437"/>
      <c r="B43" s="2592"/>
      <c r="C43" s="2519"/>
      <c r="D43" s="2520"/>
      <c r="E43" s="2520"/>
      <c r="F43" s="2520"/>
      <c r="G43" s="2625">
        <f t="shared" si="2458"/>
        <v>0</v>
      </c>
      <c r="H43" s="2626"/>
      <c r="I43" s="2523"/>
      <c r="J43" s="2522"/>
      <c r="K43" s="2524">
        <f t="shared" si="2442"/>
        <v>0</v>
      </c>
      <c r="L43" s="2540">
        <f t="shared" si="2436"/>
        <v>0</v>
      </c>
      <c r="M43" s="2525"/>
      <c r="N43" s="2526"/>
      <c r="O43" s="2526"/>
      <c r="P43" s="2527">
        <f t="shared" si="2434"/>
        <v>0</v>
      </c>
      <c r="Q43" s="2528">
        <f t="shared" si="2430"/>
        <v>0</v>
      </c>
      <c r="R43" s="2525"/>
      <c r="S43" s="2529"/>
      <c r="T43" s="2525"/>
      <c r="U43" s="2530">
        <f t="shared" si="2431"/>
        <v>0</v>
      </c>
      <c r="V43" s="2531">
        <f t="shared" si="2432"/>
        <v>0</v>
      </c>
      <c r="W43" s="2509"/>
      <c r="AC43" s="2388" t="s">
        <v>204</v>
      </c>
      <c r="AD43" s="2494">
        <f>АНАЛИЗ!G47</f>
        <v>145864.46601861072</v>
      </c>
      <c r="AE43" s="2651"/>
      <c r="AF43" s="2494">
        <f>АНАЛИЗ!I47</f>
        <v>0</v>
      </c>
      <c r="AG43" s="2651"/>
      <c r="AH43" s="2494">
        <f>АНАЛИЗ!K47</f>
        <v>2883.3757433178439</v>
      </c>
      <c r="AI43" s="2651"/>
      <c r="AJ43" s="2494">
        <f>АНАЛИЗ!M47</f>
        <v>24653.335446817611</v>
      </c>
      <c r="AK43" s="2651"/>
      <c r="AL43" s="2494">
        <f>АНАЛИЗ!O47</f>
        <v>5322.9078071789254</v>
      </c>
      <c r="AM43" s="2651"/>
      <c r="AN43" s="2494">
        <f>АНАЛИЗ!Q47</f>
        <v>17247.985351730735</v>
      </c>
      <c r="AO43" s="2651"/>
      <c r="AP43" s="2494">
        <f>АНАЛИЗ!S47</f>
        <v>12.026468426705863</v>
      </c>
      <c r="AQ43" s="2651"/>
      <c r="AR43" s="2494">
        <f>АНАЛИЗ!U47</f>
        <v>743.06706733786473</v>
      </c>
      <c r="AS43" s="2651"/>
      <c r="AT43" s="2494">
        <f>АНАЛИЗ!W47</f>
        <v>434.75229858137334</v>
      </c>
      <c r="AU43" s="2651"/>
      <c r="AV43" s="2494">
        <f>АНАЛИЗ!Y47</f>
        <v>29.1554989754279</v>
      </c>
      <c r="AW43" s="2651"/>
      <c r="AX43" s="2494">
        <f>АНАЛИЗ!AA47</f>
        <v>0</v>
      </c>
      <c r="AY43" s="2651"/>
      <c r="AZ43" s="2494">
        <f>АНАЛИЗ!AC47</f>
        <v>0</v>
      </c>
      <c r="BA43" s="2651"/>
      <c r="BB43" s="2494">
        <f>АНАЛИЗ!AE47</f>
        <v>0</v>
      </c>
      <c r="BC43" s="2651"/>
      <c r="BD43" s="2494">
        <f>АНАЛИЗ!AG47</f>
        <v>122990.9326972155</v>
      </c>
      <c r="BE43" s="2651"/>
      <c r="BF43" s="2494">
        <f>АНАЛИЗ!AI47</f>
        <v>0</v>
      </c>
      <c r="BG43" s="2651"/>
      <c r="BH43" s="2494">
        <f>АНАЛИЗ!AK47</f>
        <v>0</v>
      </c>
      <c r="BI43" s="2651"/>
      <c r="BJ43" s="2494">
        <f>АНАЛИЗ!AM47</f>
        <v>0</v>
      </c>
      <c r="BK43" s="2651"/>
      <c r="BL43" s="2494">
        <f>АНАЛИЗ!AO47</f>
        <v>1161.0294899999999</v>
      </c>
      <c r="BM43" s="2651"/>
      <c r="BN43" s="2494">
        <f>АНАЛИЗ!AQ47</f>
        <v>9621.1460149411414</v>
      </c>
      <c r="BO43" s="2651"/>
      <c r="BP43" s="2494">
        <f>АНАЛИЗ!AS47</f>
        <v>3786.5789865223037</v>
      </c>
      <c r="BQ43" s="2651"/>
      <c r="BR43" s="2494">
        <f>АНАЛИЗ!AU47</f>
        <v>48854.232323347191</v>
      </c>
      <c r="BT43" s="2517"/>
      <c r="BU43" s="2518"/>
      <c r="BV43" s="222">
        <v>25</v>
      </c>
      <c r="BX43">
        <f t="shared" si="2448"/>
        <v>2.4900398406374502</v>
      </c>
      <c r="BY43" s="2418">
        <f t="shared" si="2449"/>
        <v>812545.99360999058</v>
      </c>
      <c r="CB43" s="2367">
        <f t="shared" si="2459"/>
        <v>1573536.0941273707</v>
      </c>
      <c r="CD43" s="2377">
        <f t="shared" si="2460"/>
        <v>1.138196806340368</v>
      </c>
      <c r="CE43" s="2369">
        <f t="shared" si="2461"/>
        <v>1677503.0581189322</v>
      </c>
      <c r="CF43" s="2418">
        <f t="shared" si="2462"/>
        <v>5453379.4741273709</v>
      </c>
      <c r="CG43" s="2418">
        <f t="shared" si="2463"/>
        <v>7130882.5322463028</v>
      </c>
      <c r="CH43" s="2462">
        <f t="shared" si="2464"/>
        <v>7130882.5322463028</v>
      </c>
    </row>
    <row r="44" ht="15.75">
      <c r="A44" s="283" t="s">
        <v>204</v>
      </c>
      <c r="B44" s="2388"/>
      <c r="C44" s="2498">
        <v>108</v>
      </c>
      <c r="D44" s="2367">
        <v>2328476.1600000001</v>
      </c>
      <c r="E44" s="2367">
        <f>1551367.22</f>
        <v>1551367.22</v>
      </c>
      <c r="G44" s="2652">
        <f t="shared" si="2458"/>
        <v>3879843.3799999999</v>
      </c>
      <c r="H44" s="2650"/>
      <c r="I44" s="2642"/>
      <c r="J44" s="2650"/>
      <c r="K44" s="2533">
        <f t="shared" si="2442"/>
        <v>0</v>
      </c>
      <c r="L44" s="2501">
        <f t="shared" si="2436"/>
        <v>3879843.3799999999</v>
      </c>
      <c r="N44" s="2534"/>
      <c r="O44" s="2534"/>
      <c r="P44" s="2535">
        <f t="shared" si="2434"/>
        <v>0</v>
      </c>
      <c r="Q44" s="2536">
        <f t="shared" si="2430"/>
        <v>3879843.3799999999</v>
      </c>
      <c r="S44" s="2537"/>
      <c r="U44" s="2538">
        <f t="shared" si="2431"/>
        <v>0</v>
      </c>
      <c r="V44" s="2539">
        <f t="shared" si="2432"/>
        <v>3879843.3799999999</v>
      </c>
      <c r="W44" s="2509"/>
      <c r="AC44" s="2590"/>
      <c r="AD44" s="2511">
        <f>AD43*100/AD$98</f>
        <v>2.4048536483529843</v>
      </c>
      <c r="AE44" s="2532">
        <f>AD44*$AD$1/100</f>
        <v>239349.15565632936</v>
      </c>
      <c r="AF44" s="2513">
        <f t="shared" ref="AF44:BR44" si="2477">AF43*100/AF$98</f>
        <v>0</v>
      </c>
      <c r="AG44" s="2514">
        <f>AF44*$AF$1/100</f>
        <v>0</v>
      </c>
      <c r="AH44" s="2511">
        <f t="shared" si="2477"/>
        <v>0.50057119119327032</v>
      </c>
      <c r="AI44" s="2512">
        <f>$AH$1*AH44/100</f>
        <v>51531.71319742444</v>
      </c>
      <c r="AJ44" s="2513">
        <f t="shared" si="2477"/>
        <v>1.7458226028627895</v>
      </c>
      <c r="AK44" s="2514"/>
      <c r="AL44" s="2511">
        <f t="shared" si="2477"/>
        <v>1.9259259259259263</v>
      </c>
      <c r="AM44" s="2512">
        <f t="shared" si="2467"/>
        <v>26036.364755555558</v>
      </c>
      <c r="AN44" s="2513">
        <f t="shared" si="2477"/>
        <v>0.36221874328513987</v>
      </c>
      <c r="AO44" s="2514">
        <f>$AN$1*AN44/100</f>
        <v>39848.370208429267</v>
      </c>
      <c r="AP44" s="2511">
        <f t="shared" si="2477"/>
        <v>0.041958623644210852</v>
      </c>
      <c r="AQ44" s="2512"/>
      <c r="AR44" s="2513">
        <f t="shared" si="2477"/>
        <v>0.24527616279069764</v>
      </c>
      <c r="AS44" s="2514">
        <f t="shared" si="2468"/>
        <v>9824.2973846293589</v>
      </c>
      <c r="AT44" s="2511">
        <f t="shared" si="2477"/>
        <v>3.2808988764044944</v>
      </c>
      <c r="AU44" s="2512">
        <f t="shared" si="2469"/>
        <v>175638.61779325843</v>
      </c>
      <c r="AV44" s="2513">
        <f t="shared" si="2477"/>
        <v>0.043086814310817033</v>
      </c>
      <c r="AW44" s="2514">
        <f>$AV$1*AV44/100</f>
        <v>2797.4399512182322</v>
      </c>
      <c r="AX44" s="2511">
        <f t="shared" si="2477"/>
        <v>0</v>
      </c>
      <c r="AY44" s="2512"/>
      <c r="AZ44" s="2513" t="e">
        <f t="shared" si="2477"/>
        <v>#DIV/0!</v>
      </c>
      <c r="BA44" s="2514" t="e">
        <f>$AZ$1*AZ44/100</f>
        <v>#DIV/0!</v>
      </c>
      <c r="BB44" s="2511">
        <f t="shared" si="2477"/>
        <v>0</v>
      </c>
      <c r="BC44" s="2512"/>
      <c r="BD44" s="2513">
        <f t="shared" si="2477"/>
        <v>1.5082956259426847</v>
      </c>
      <c r="BE44" s="2514">
        <f t="shared" si="2470"/>
        <v>346318.09683257918</v>
      </c>
      <c r="BF44" s="2511">
        <f t="shared" si="2477"/>
        <v>0</v>
      </c>
      <c r="BG44" s="2512"/>
      <c r="BH44" s="2513">
        <f t="shared" si="2477"/>
        <v>0</v>
      </c>
      <c r="BI44" s="2514"/>
      <c r="BJ44" s="2511">
        <f t="shared" si="2477"/>
        <v>0</v>
      </c>
      <c r="BK44" s="2512"/>
      <c r="BL44" s="2513">
        <f t="shared" si="2477"/>
        <v>1.7647058823529413</v>
      </c>
      <c r="BM44" s="2516"/>
      <c r="BN44" s="2511">
        <f t="shared" si="2477"/>
        <v>2.8342575477510787</v>
      </c>
      <c r="BO44" s="2514">
        <f t="shared" si="2471"/>
        <v>233588.57563770801</v>
      </c>
      <c r="BP44" s="2513">
        <f t="shared" si="2477"/>
        <v>2.3343766301512781</v>
      </c>
      <c r="BQ44" s="2514">
        <f t="shared" si="2472"/>
        <v>23390.241872717786</v>
      </c>
      <c r="BR44" s="2511">
        <f t="shared" si="2477"/>
        <v>2.9672170375687972</v>
      </c>
      <c r="BS44" s="2514">
        <f t="shared" si="2473"/>
        <v>425213.22083752113</v>
      </c>
      <c r="BT44" s="2517">
        <f t="shared" si="2454"/>
        <v>1573536.0941273707</v>
      </c>
      <c r="BU44" s="2518">
        <f t="shared" si="2455"/>
        <v>987868.84163846215</v>
      </c>
      <c r="BV44" s="222"/>
      <c r="BX44">
        <f t="shared" si="2448"/>
        <v>0</v>
      </c>
      <c r="BY44" s="2418">
        <f t="shared" si="2449"/>
        <v>0</v>
      </c>
      <c r="CB44" s="2367">
        <f t="shared" si="2459"/>
        <v>0</v>
      </c>
      <c r="CD44" s="2377">
        <f t="shared" si="2460"/>
        <v>0</v>
      </c>
      <c r="CF44" s="2418">
        <f t="shared" si="2462"/>
        <v>0</v>
      </c>
      <c r="CG44" s="2418">
        <f t="shared" si="2463"/>
        <v>0</v>
      </c>
      <c r="CH44" s="2462">
        <f t="shared" si="2464"/>
        <v>0</v>
      </c>
    </row>
    <row r="45" ht="15.75">
      <c r="A45" s="437"/>
      <c r="B45" s="2592"/>
      <c r="C45" s="2519"/>
      <c r="G45" s="2625">
        <f t="shared" si="2458"/>
        <v>0</v>
      </c>
      <c r="H45" s="2641"/>
      <c r="I45" s="2642"/>
      <c r="J45" s="2650"/>
      <c r="K45" s="2533">
        <f t="shared" si="2442"/>
        <v>0</v>
      </c>
      <c r="L45" s="2501">
        <f t="shared" si="2436"/>
        <v>0</v>
      </c>
      <c r="N45" s="2370"/>
      <c r="O45" s="2370"/>
      <c r="P45" s="2535">
        <f t="shared" si="2434"/>
        <v>0</v>
      </c>
      <c r="Q45" s="2536">
        <f t="shared" si="2430"/>
        <v>0</v>
      </c>
      <c r="S45" s="2537"/>
      <c r="U45" s="2538">
        <f t="shared" si="2431"/>
        <v>0</v>
      </c>
      <c r="V45" s="2539">
        <f t="shared" si="2432"/>
        <v>0</v>
      </c>
      <c r="W45" s="2509"/>
      <c r="AC45" s="2388" t="s">
        <v>205</v>
      </c>
      <c r="AD45" s="2494">
        <f>АНАЛИЗ!G49</f>
        <v>21158.801970379387</v>
      </c>
      <c r="AE45" s="2651"/>
      <c r="AF45" s="2494">
        <f>АНАЛИЗ!I49</f>
        <v>15857.99953970426</v>
      </c>
      <c r="AG45" s="2651"/>
      <c r="AH45" s="2494">
        <f>АНАЛИЗ!K49</f>
        <v>7130.6719627279463</v>
      </c>
      <c r="AI45" s="2651"/>
      <c r="AJ45" s="2494">
        <f>АНАЛИЗ!M49</f>
        <v>30404.370816915718</v>
      </c>
      <c r="AK45" s="2651"/>
      <c r="AL45" s="2494">
        <f>АНАЛИЗ!O49</f>
        <v>7927.0380882295376</v>
      </c>
      <c r="AM45" s="2651"/>
      <c r="AN45" s="2494">
        <f>АНАЛИЗ!Q49</f>
        <v>122100.1448910656</v>
      </c>
      <c r="AO45" s="2651"/>
      <c r="AP45" s="2494">
        <f>АНАЛИЗ!S49</f>
        <v>129.88585900842332</v>
      </c>
      <c r="AQ45" s="2651"/>
      <c r="AR45" s="2494">
        <f>АНАЛИЗ!U49</f>
        <v>5504.2004987989985</v>
      </c>
      <c r="AS45" s="2651"/>
      <c r="AT45" s="2494">
        <f>АНАЛИЗ!W49</f>
        <v>308.89250072722228</v>
      </c>
      <c r="AU45" s="2651"/>
      <c r="AV45" s="2494">
        <f>АНАЛИЗ!Y49</f>
        <v>446.20589736307045</v>
      </c>
      <c r="AW45" s="2651"/>
      <c r="AX45" s="2494">
        <f>АНАЛИЗ!AA49</f>
        <v>0</v>
      </c>
      <c r="AY45" s="2651"/>
      <c r="AZ45" s="2494">
        <f>АНАЛИЗ!AC49</f>
        <v>0</v>
      </c>
      <c r="BA45" s="2651"/>
      <c r="BB45" s="2494">
        <f>АНАЛИЗ!AE49</f>
        <v>0</v>
      </c>
      <c r="BC45" s="2651"/>
      <c r="BD45" s="2494">
        <f>АНАЛИЗ!AG49</f>
        <v>541160.10386774817</v>
      </c>
      <c r="BE45" s="2651"/>
      <c r="BF45" s="2494">
        <f>АНАЛИЗ!AI49</f>
        <v>0</v>
      </c>
      <c r="BG45" s="2651"/>
      <c r="BH45" s="2494">
        <f>АНАЛИЗ!AK49</f>
        <v>0</v>
      </c>
      <c r="BI45" s="2651"/>
      <c r="BJ45" s="2494">
        <f>АНАЛИЗ!AM49</f>
        <v>0</v>
      </c>
      <c r="BK45" s="2651"/>
      <c r="BL45" s="2494">
        <f>АНАЛИЗ!AO49</f>
        <v>1548.0393200000001</v>
      </c>
      <c r="BM45" s="2651"/>
      <c r="BN45" s="2494">
        <f>АНАЛИЗ!AQ49</f>
        <v>24680.331081805536</v>
      </c>
      <c r="BO45" s="2651"/>
      <c r="BP45" s="2494">
        <f>АНАЛИЗ!AS49</f>
        <v>12713.597602792763</v>
      </c>
      <c r="BQ45" s="2651"/>
      <c r="BR45" s="2494">
        <f>АНАЛИЗ!AU49</f>
        <v>38610.602965226004</v>
      </c>
      <c r="BT45" s="2517"/>
      <c r="BU45" s="2518"/>
      <c r="BV45" s="222">
        <v>40</v>
      </c>
      <c r="BX45">
        <f t="shared" si="2448"/>
        <v>3.9840637450199203</v>
      </c>
      <c r="BY45" s="2418">
        <f t="shared" si="2449"/>
        <v>1300073.5897759851</v>
      </c>
      <c r="CB45" s="2367">
        <f t="shared" si="2459"/>
        <v>3264692.6360789011</v>
      </c>
      <c r="CD45" s="2377">
        <f t="shared" si="2460"/>
        <v>2.3614728292131191</v>
      </c>
      <c r="CE45" s="2369">
        <f t="shared" si="2461"/>
        <v>3480398.0037571448</v>
      </c>
      <c r="CF45" s="2418">
        <f t="shared" si="2462"/>
        <v>9520261.4860789012</v>
      </c>
      <c r="CG45" s="2418">
        <f t="shared" si="2463"/>
        <v>13000659.489836046</v>
      </c>
      <c r="CH45" s="2462">
        <f t="shared" si="2464"/>
        <v>13000659.489836046</v>
      </c>
    </row>
    <row r="46" ht="15.75">
      <c r="A46" s="283" t="s">
        <v>205</v>
      </c>
      <c r="B46" s="2388"/>
      <c r="C46" s="2498">
        <v>162</v>
      </c>
      <c r="D46" s="2499">
        <v>3525162.0600000001</v>
      </c>
      <c r="E46" s="2499">
        <v>2730406.79</v>
      </c>
      <c r="F46" s="2499"/>
      <c r="G46" s="2652">
        <f t="shared" si="2458"/>
        <v>6255568.8499999996</v>
      </c>
      <c r="H46" s="2486"/>
      <c r="I46" s="2487"/>
      <c r="J46" s="2486"/>
      <c r="K46" s="2488">
        <f t="shared" si="2442"/>
        <v>0</v>
      </c>
      <c r="L46" s="2489">
        <f t="shared" si="2436"/>
        <v>6255568.8499999996</v>
      </c>
      <c r="M46" s="2502"/>
      <c r="N46" s="2503"/>
      <c r="O46" s="2503"/>
      <c r="P46" s="2504">
        <f t="shared" si="2434"/>
        <v>0</v>
      </c>
      <c r="Q46" s="2505">
        <f t="shared" si="2430"/>
        <v>6255568.8499999996</v>
      </c>
      <c r="R46" s="2502"/>
      <c r="S46" s="2506"/>
      <c r="T46" s="2502"/>
      <c r="U46" s="2507">
        <f t="shared" si="2431"/>
        <v>0</v>
      </c>
      <c r="V46" s="2508">
        <f t="shared" si="2432"/>
        <v>6255568.8499999996</v>
      </c>
      <c r="W46" s="2509"/>
      <c r="AC46" s="2590"/>
      <c r="AD46" s="2511">
        <f>AD45*100/AD$98</f>
        <v>0.34884316586572189</v>
      </c>
      <c r="AE46" s="2532">
        <f>AD46*$AD$1/100</f>
        <v>34719.500400211444</v>
      </c>
      <c r="AF46" s="2513">
        <f t="shared" ref="AF46:BR46" si="2478">AF45*100/AF$98</f>
        <v>0.070034519651474378</v>
      </c>
      <c r="AG46" s="2514">
        <f>AF46*$AF$1/100</f>
        <v>3697.4806660418417</v>
      </c>
      <c r="AH46" s="2511">
        <f t="shared" si="2478"/>
        <v>1.23792709523315</v>
      </c>
      <c r="AI46" s="2512">
        <f>$AH$1*AH46/100</f>
        <v>127439.42350898329</v>
      </c>
      <c r="AJ46" s="2513">
        <f t="shared" si="2478"/>
        <v>2.1530813918668024</v>
      </c>
      <c r="AK46" s="2514"/>
      <c r="AL46" s="2511">
        <f t="shared" si="2478"/>
        <v>2.8681481481481481</v>
      </c>
      <c r="AM46" s="2512">
        <f t="shared" si="2467"/>
        <v>38774.155512888887</v>
      </c>
      <c r="AN46" s="2513">
        <f t="shared" si="2478"/>
        <v>2.5641812730863291</v>
      </c>
      <c r="AO46" s="2514">
        <f>$AN$1*AN46/100</f>
        <v>282090.43995006708</v>
      </c>
      <c r="AP46" s="2511">
        <f t="shared" si="2478"/>
        <v>0.45315313535747725</v>
      </c>
      <c r="AQ46" s="2512"/>
      <c r="AR46" s="2513">
        <f t="shared" si="2478"/>
        <v>1.816860465116279</v>
      </c>
      <c r="AS46" s="2514">
        <f t="shared" si="2468"/>
        <v>72772.573219476748</v>
      </c>
      <c r="AT46" s="2511">
        <f t="shared" si="2478"/>
        <v>2.3310861423220968</v>
      </c>
      <c r="AU46" s="2512">
        <f t="shared" si="2469"/>
        <v>124791.63894352056</v>
      </c>
      <c r="AV46" s="2513">
        <f t="shared" si="2478"/>
        <v>0.65941559293076513</v>
      </c>
      <c r="AW46" s="2514">
        <f>$AV$1*AV46/100</f>
        <v>42812.994036035569</v>
      </c>
      <c r="AX46" s="2511">
        <f t="shared" si="2478"/>
        <v>0</v>
      </c>
      <c r="AY46" s="2512"/>
      <c r="AZ46" s="2513" t="e">
        <f t="shared" si="2478"/>
        <v>#DIV/0!</v>
      </c>
      <c r="BA46" s="2514" t="e">
        <f>$AZ$1*AZ46/100</f>
        <v>#DIV/0!</v>
      </c>
      <c r="BB46" s="2511">
        <f t="shared" si="2478"/>
        <v>0</v>
      </c>
      <c r="BC46" s="2512"/>
      <c r="BD46" s="2513">
        <f t="shared" si="2478"/>
        <v>6.6365007541478125</v>
      </c>
      <c r="BE46" s="2514">
        <f t="shared" si="2470"/>
        <v>1523799.626063348</v>
      </c>
      <c r="BF46" s="2511">
        <f t="shared" si="2478"/>
        <v>0</v>
      </c>
      <c r="BG46" s="2512"/>
      <c r="BH46" s="2513">
        <f t="shared" si="2478"/>
        <v>0</v>
      </c>
      <c r="BI46" s="2514"/>
      <c r="BJ46" s="2511">
        <f t="shared" si="2478"/>
        <v>0</v>
      </c>
      <c r="BK46" s="2512"/>
      <c r="BL46" s="2513">
        <f t="shared" si="2478"/>
        <v>2.3529411764705883</v>
      </c>
      <c r="BM46" s="2516"/>
      <c r="BN46" s="2511">
        <f t="shared" si="2478"/>
        <v>7.2704867529266801</v>
      </c>
      <c r="BO46" s="2514">
        <f t="shared" si="2471"/>
        <v>599205.4766358597</v>
      </c>
      <c r="BP46" s="2513">
        <f t="shared" si="2478"/>
        <v>7.8377673448095972</v>
      </c>
      <c r="BQ46" s="2514">
        <f t="shared" si="2472"/>
        <v>78533.717125717259</v>
      </c>
      <c r="BR46" s="2511">
        <f t="shared" si="2478"/>
        <v>2.3450586264656623</v>
      </c>
      <c r="BS46" s="2514">
        <f t="shared" si="2473"/>
        <v>336055.61001675052</v>
      </c>
      <c r="BT46" s="2517">
        <f t="shared" si="2454"/>
        <v>3264692.6360789011</v>
      </c>
      <c r="BU46" s="2518">
        <f t="shared" si="2455"/>
        <v>1702476.0289492996</v>
      </c>
      <c r="BV46" s="222"/>
      <c r="BX46">
        <f t="shared" si="2448"/>
        <v>0</v>
      </c>
      <c r="BY46" s="2418">
        <f t="shared" si="2449"/>
        <v>0</v>
      </c>
      <c r="CB46" s="2367">
        <f t="shared" si="2459"/>
        <v>0</v>
      </c>
      <c r="CD46" s="2377">
        <f t="shared" si="2460"/>
        <v>0</v>
      </c>
      <c r="CF46" s="2418">
        <f t="shared" si="2462"/>
        <v>0</v>
      </c>
      <c r="CG46" s="2418">
        <f t="shared" si="2463"/>
        <v>0</v>
      </c>
      <c r="CH46" s="2462">
        <f t="shared" si="2464"/>
        <v>0</v>
      </c>
    </row>
    <row r="47" ht="15.75">
      <c r="A47" s="437"/>
      <c r="B47" s="2592"/>
      <c r="C47" s="2519"/>
      <c r="D47" s="2520"/>
      <c r="E47" s="2520"/>
      <c r="F47" s="2520"/>
      <c r="G47" s="2625">
        <f t="shared" si="2458"/>
        <v>0</v>
      </c>
      <c r="H47" s="2626"/>
      <c r="I47" s="2523"/>
      <c r="J47" s="2522"/>
      <c r="K47" s="2524">
        <f t="shared" si="2442"/>
        <v>0</v>
      </c>
      <c r="L47" s="2540">
        <f t="shared" si="2436"/>
        <v>0</v>
      </c>
      <c r="M47" s="2525"/>
      <c r="N47" s="2526"/>
      <c r="O47" s="2526"/>
      <c r="P47" s="2527">
        <f t="shared" si="2434"/>
        <v>0</v>
      </c>
      <c r="Q47" s="2528">
        <f t="shared" si="2430"/>
        <v>0</v>
      </c>
      <c r="R47" s="2525"/>
      <c r="S47" s="2529"/>
      <c r="T47" s="2525"/>
      <c r="U47" s="2530">
        <f t="shared" si="2431"/>
        <v>0</v>
      </c>
      <c r="V47" s="2531">
        <f t="shared" si="2432"/>
        <v>0</v>
      </c>
      <c r="W47" s="2509"/>
      <c r="AC47" s="2388" t="s">
        <v>206</v>
      </c>
      <c r="AD47" s="2494">
        <f>АНАЛИЗ!G51</f>
        <v>205336.05019675216</v>
      </c>
      <c r="AE47" s="2651"/>
      <c r="AF47" s="2494">
        <f>АНАЛИЗ!I51</f>
        <v>5989.6153593206554</v>
      </c>
      <c r="AG47" s="2651"/>
      <c r="AH47" s="2494">
        <f>АНАЛИЗ!K51</f>
        <v>19202.564597614688</v>
      </c>
      <c r="AI47" s="2651"/>
      <c r="AJ47" s="2494">
        <f>АНАЛИЗ!M51</f>
        <v>26513.964537143467</v>
      </c>
      <c r="AK47" s="2651"/>
      <c r="AL47" s="2494">
        <f>АНАЛИЗ!O51</f>
        <v>12070.717088894977</v>
      </c>
      <c r="AM47" s="2651"/>
      <c r="AN47" s="2494">
        <f>АНАЛИЗ!Q51</f>
        <v>114937.84588907572</v>
      </c>
      <c r="AO47" s="2651"/>
      <c r="AP47" s="2494">
        <f>АНАЛИЗ!S51</f>
        <v>324.71464752105828</v>
      </c>
      <c r="AQ47" s="2651"/>
      <c r="AR47" s="2494">
        <f>АНАЛИЗ!U51</f>
        <v>2215.4407007665968</v>
      </c>
      <c r="AS47" s="2651"/>
      <c r="AT47" s="2494">
        <f>АНАЛИЗ!W51</f>
        <v>111.46731308376306</v>
      </c>
      <c r="AU47" s="2651"/>
      <c r="AV47" s="2494">
        <f>АНАЛИЗ!Y51</f>
        <v>1391.8581684791234</v>
      </c>
      <c r="AW47" s="2651"/>
      <c r="AX47" s="2494">
        <f>АНАЛИЗ!AA51</f>
        <v>0</v>
      </c>
      <c r="AY47" s="2651"/>
      <c r="AZ47" s="2494">
        <f>АНАЛИЗ!AC51</f>
        <v>0</v>
      </c>
      <c r="BA47" s="2651"/>
      <c r="BB47" s="2494">
        <f>АНАЛИЗ!AE51</f>
        <v>0</v>
      </c>
      <c r="BC47" s="2651"/>
      <c r="BD47" s="2494">
        <f>АНАЛИЗ!AG51</f>
        <v>491963.73078886198</v>
      </c>
      <c r="BE47" s="2651"/>
      <c r="BF47" s="2494">
        <f>АНАЛИЗ!AI51</f>
        <v>0</v>
      </c>
      <c r="BG47" s="2651"/>
      <c r="BH47" s="2494">
        <f>АНАЛИЗ!AK51</f>
        <v>0</v>
      </c>
      <c r="BI47" s="2651"/>
      <c r="BJ47" s="2494">
        <f>АНАЛИЗ!AM51</f>
        <v>0</v>
      </c>
      <c r="BK47" s="2651"/>
      <c r="BL47" s="2494">
        <f>АНАЛИЗ!AO51</f>
        <v>2322.0589799999998</v>
      </c>
      <c r="BM47" s="2651"/>
      <c r="BN47" s="2494">
        <f>АНАЛИЗ!AQ51</f>
        <v>22588.777600296591</v>
      </c>
      <c r="BO47" s="2651"/>
      <c r="BP47" s="2494">
        <f>АНАЛИЗ!AS51</f>
        <v>9032.7889790224799</v>
      </c>
      <c r="BQ47" s="2651"/>
      <c r="BR47" s="2494">
        <f>АНАЛИЗ!AU51</f>
        <v>66189.605083244576</v>
      </c>
      <c r="BT47" s="2517"/>
      <c r="BU47" s="2518"/>
      <c r="BV47" s="222">
        <v>56</v>
      </c>
      <c r="BX47">
        <f t="shared" si="2448"/>
        <v>5.5776892430278888</v>
      </c>
      <c r="BY47" s="2418">
        <f t="shared" si="2449"/>
        <v>1820103.0256863791</v>
      </c>
      <c r="CB47" s="2367">
        <f t="shared" si="2459"/>
        <v>3779567.4444750817</v>
      </c>
      <c r="CD47" s="2377">
        <f t="shared" si="2460"/>
        <v>2.7339008051386622</v>
      </c>
      <c r="CE47" s="2369">
        <f t="shared" si="2461"/>
        <v>4029291.7144616158</v>
      </c>
      <c r="CF47" s="2418">
        <f t="shared" si="2462"/>
        <v>9646078.8344750814</v>
      </c>
      <c r="CG47" s="2418">
        <f t="shared" si="2463"/>
        <v>13675370.548936697</v>
      </c>
      <c r="CH47" s="2462">
        <f t="shared" si="2464"/>
        <v>13675370.548936697</v>
      </c>
    </row>
    <row r="48" ht="15.75">
      <c r="A48" s="283" t="s">
        <v>206</v>
      </c>
      <c r="B48" s="2388"/>
      <c r="C48" s="2498">
        <v>161</v>
      </c>
      <c r="D48" s="2367">
        <f>233258.57+2912375.01</f>
        <v>3145633.5799999996</v>
      </c>
      <c r="E48" s="2367">
        <f>192698.24+2528179.57</f>
        <v>2720877.8099999996</v>
      </c>
      <c r="G48" s="2652">
        <f t="shared" si="2458"/>
        <v>5866511.3899999987</v>
      </c>
      <c r="H48" s="2650"/>
      <c r="I48" s="2642"/>
      <c r="J48" s="2650"/>
      <c r="K48" s="2533">
        <f t="shared" si="2442"/>
        <v>0</v>
      </c>
      <c r="L48" s="2501">
        <f t="shared" si="2436"/>
        <v>5866511.3899999987</v>
      </c>
      <c r="N48" s="2534"/>
      <c r="O48" s="2534"/>
      <c r="P48" s="2535">
        <f t="shared" si="2434"/>
        <v>0</v>
      </c>
      <c r="Q48" s="2536">
        <f t="shared" si="2430"/>
        <v>5866511.3899999987</v>
      </c>
      <c r="S48" s="2537"/>
      <c r="U48" s="2538">
        <f t="shared" si="2431"/>
        <v>0</v>
      </c>
      <c r="V48" s="2539">
        <f t="shared" si="2432"/>
        <v>5866511.3899999987</v>
      </c>
      <c r="W48" s="2509"/>
      <c r="AC48" s="2590"/>
      <c r="AD48" s="2511">
        <f>AD47*100/AD$98</f>
        <v>3.3853560290074141</v>
      </c>
      <c r="AE48" s="2532">
        <f>AD48*$AD$1/100</f>
        <v>336936.1406644964</v>
      </c>
      <c r="AF48" s="2513">
        <f t="shared" ref="AF48:BR48" si="2479">AF47*100/AF$98</f>
        <v>0.026452254178520315</v>
      </c>
      <c r="AG48" s="2514">
        <f>AF48*$AF$1/100</f>
        <v>1396.5498569139445</v>
      </c>
      <c r="AH48" s="2511">
        <f t="shared" si="2479"/>
        <v>3.3336795098141034</v>
      </c>
      <c r="AI48" s="2512">
        <f>$AH$1*AH48/100</f>
        <v>343188.38042268151</v>
      </c>
      <c r="AJ48" s="2513">
        <f t="shared" si="2479"/>
        <v>1.8775827993052638</v>
      </c>
      <c r="AK48" s="2514"/>
      <c r="AL48" s="2511">
        <f t="shared" si="2479"/>
        <v>4.3674074074074074</v>
      </c>
      <c r="AM48" s="2512">
        <f t="shared" si="2467"/>
        <v>59042.464076444441</v>
      </c>
      <c r="AN48" s="2513">
        <f t="shared" si="2479"/>
        <v>2.4137684051119912</v>
      </c>
      <c r="AO48" s="2514">
        <f>$AN$1*AN48/100</f>
        <v>265543.23537199048</v>
      </c>
      <c r="AP48" s="2511">
        <f t="shared" si="2479"/>
        <v>1.1328828383936931</v>
      </c>
      <c r="AQ48" s="2512"/>
      <c r="AR48" s="2513">
        <f t="shared" si="2479"/>
        <v>0.73128633720930225</v>
      </c>
      <c r="AS48" s="2514">
        <f t="shared" si="2468"/>
        <v>29290.96072083939</v>
      </c>
      <c r="AT48" s="2511">
        <f t="shared" si="2479"/>
        <v>0.84119850187265899</v>
      </c>
      <c r="AU48" s="2512">
        <f t="shared" si="2469"/>
        <v>45032.458397677896</v>
      </c>
      <c r="AV48" s="2513">
        <f t="shared" si="2479"/>
        <v>2.0569270484033524</v>
      </c>
      <c r="AW48" s="2514">
        <f>$AV$1*AV48/100</f>
        <v>133547.35071467911</v>
      </c>
      <c r="AX48" s="2511">
        <f t="shared" si="2479"/>
        <v>0</v>
      </c>
      <c r="AY48" s="2512"/>
      <c r="AZ48" s="2513" t="e">
        <f t="shared" si="2479"/>
        <v>#DIV/0!</v>
      </c>
      <c r="BA48" s="2514" t="e">
        <f>$AZ$1*AZ48/100</f>
        <v>#DIV/0!</v>
      </c>
      <c r="BB48" s="2511">
        <f t="shared" si="2479"/>
        <v>0</v>
      </c>
      <c r="BC48" s="2512"/>
      <c r="BD48" s="2513">
        <f t="shared" si="2479"/>
        <v>6.0331825037707389</v>
      </c>
      <c r="BE48" s="2514">
        <f t="shared" si="2470"/>
        <v>1385272.3873303167</v>
      </c>
      <c r="BF48" s="2511">
        <f t="shared" si="2479"/>
        <v>0</v>
      </c>
      <c r="BG48" s="2512"/>
      <c r="BH48" s="2513">
        <f t="shared" si="2479"/>
        <v>0</v>
      </c>
      <c r="BI48" s="2514"/>
      <c r="BJ48" s="2511">
        <f t="shared" si="2479"/>
        <v>0</v>
      </c>
      <c r="BK48" s="2512"/>
      <c r="BL48" s="2513">
        <f t="shared" si="2479"/>
        <v>3.5294117647058827</v>
      </c>
      <c r="BM48" s="2516"/>
      <c r="BN48" s="2511">
        <f t="shared" si="2479"/>
        <v>6.654343807763401</v>
      </c>
      <c r="BO48" s="2514">
        <f t="shared" si="2471"/>
        <v>548425.35149722744</v>
      </c>
      <c r="BP48" s="2513">
        <f t="shared" si="2479"/>
        <v>5.5685967657798647</v>
      </c>
      <c r="BQ48" s="2514">
        <f t="shared" si="2472"/>
        <v>55796.833964527912</v>
      </c>
      <c r="BR48" s="2511">
        <f t="shared" si="2479"/>
        <v>4.0201005025125633</v>
      </c>
      <c r="BS48" s="2514">
        <f t="shared" si="2473"/>
        <v>576095.33145728661</v>
      </c>
      <c r="BT48" s="2517">
        <f t="shared" si="2454"/>
        <v>3779567.4444750817</v>
      </c>
      <c r="BU48" s="2518">
        <f t="shared" si="2455"/>
        <v>2055962.3666233548</v>
      </c>
      <c r="BV48" s="222"/>
      <c r="BX48">
        <f t="shared" si="2448"/>
        <v>0</v>
      </c>
      <c r="BY48" s="2418">
        <f t="shared" si="2449"/>
        <v>0</v>
      </c>
      <c r="CB48" s="2367">
        <f t="shared" si="2459"/>
        <v>0</v>
      </c>
      <c r="CD48" s="2377">
        <f t="shared" si="2460"/>
        <v>0</v>
      </c>
      <c r="CF48" s="2418">
        <f t="shared" si="2462"/>
        <v>0</v>
      </c>
      <c r="CG48" s="2418">
        <f t="shared" si="2463"/>
        <v>0</v>
      </c>
      <c r="CH48" s="2462">
        <f t="shared" si="2464"/>
        <v>0</v>
      </c>
    </row>
    <row r="49" ht="15.75">
      <c r="A49" s="437"/>
      <c r="B49" s="2592"/>
      <c r="C49" s="2519"/>
      <c r="G49" s="2625">
        <f t="shared" si="2458"/>
        <v>0</v>
      </c>
      <c r="H49" s="2641"/>
      <c r="I49" s="2642"/>
      <c r="J49" s="2650"/>
      <c r="K49" s="2533">
        <f t="shared" si="2442"/>
        <v>0</v>
      </c>
      <c r="L49" s="2501">
        <f t="shared" si="2436"/>
        <v>0</v>
      </c>
      <c r="N49" s="2370"/>
      <c r="O49" s="2370"/>
      <c r="P49" s="2535">
        <f t="shared" si="2434"/>
        <v>0</v>
      </c>
      <c r="Q49" s="2536">
        <f t="shared" si="2430"/>
        <v>0</v>
      </c>
      <c r="S49" s="2537"/>
      <c r="U49" s="2538">
        <f t="shared" si="2431"/>
        <v>0</v>
      </c>
      <c r="V49" s="2539">
        <f t="shared" si="2432"/>
        <v>0</v>
      </c>
      <c r="W49" s="2509"/>
      <c r="AC49" s="2388" t="s">
        <v>207</v>
      </c>
      <c r="AD49" s="2494">
        <f>АНАЛИЗ!G53</f>
        <v>130023.3615667516</v>
      </c>
      <c r="AE49" s="2651"/>
      <c r="AF49" s="2494">
        <f>АНАЛИЗ!I53</f>
        <v>187732.43607627923</v>
      </c>
      <c r="AG49" s="2651"/>
      <c r="AH49" s="2494">
        <f>АНАЛИЗ!K53</f>
        <v>22935.39958481455</v>
      </c>
      <c r="AI49" s="2651"/>
      <c r="AJ49" s="2494">
        <f>АНАЛИЗ!M53</f>
        <v>13404.986855302201</v>
      </c>
      <c r="AK49" s="2651"/>
      <c r="AL49" s="2494">
        <f>АНАЛИЗ!O53</f>
        <v>5584.9586530708111</v>
      </c>
      <c r="AM49" s="2651"/>
      <c r="AN49" s="2494">
        <f>АНАЛИЗ!Q53</f>
        <v>68114.92520259766</v>
      </c>
      <c r="AO49" s="2651"/>
      <c r="AP49" s="2494">
        <f>АНАЛИЗ!S53</f>
        <v>322.30935383571716</v>
      </c>
      <c r="AQ49" s="2651"/>
      <c r="AR49" s="2494">
        <f>АНАЛИЗ!U53</f>
        <v>17792.328112367763</v>
      </c>
      <c r="AS49" s="2651"/>
      <c r="AT49" s="2494">
        <f>АНАЛИЗ!W53</f>
        <v>606.0724966068185</v>
      </c>
      <c r="AU49" s="2651"/>
      <c r="AV49" s="2494">
        <f>АНАЛИЗ!Y53</f>
        <v>349.86598770513478</v>
      </c>
      <c r="AW49" s="2651"/>
      <c r="AX49" s="2494">
        <f>АНАЛИЗ!AA53</f>
        <v>0</v>
      </c>
      <c r="AY49" s="2651"/>
      <c r="AZ49" s="2494">
        <f>АНАЛИЗ!AC53</f>
        <v>0</v>
      </c>
      <c r="BA49" s="2651"/>
      <c r="BB49" s="2494">
        <f>АНАЛИЗ!AE53</f>
        <v>0</v>
      </c>
      <c r="BC49" s="2651"/>
      <c r="BD49" s="2494">
        <f>АНАЛИЗ!AG53</f>
        <v>1168413.8606235471</v>
      </c>
      <c r="BE49" s="2651"/>
      <c r="BF49" s="2494">
        <f>АНАЛИЗ!AI53</f>
        <v>0</v>
      </c>
      <c r="BG49" s="2651"/>
      <c r="BH49" s="2494">
        <f>АНАЛИЗ!AK53</f>
        <v>0</v>
      </c>
      <c r="BI49" s="2651"/>
      <c r="BJ49" s="2494">
        <f>АНАЛИЗ!AM53</f>
        <v>0</v>
      </c>
      <c r="BK49" s="2651"/>
      <c r="BL49" s="2494">
        <f>АНАЛИЗ!AO53</f>
        <v>1935.0491499999998</v>
      </c>
      <c r="BM49" s="2651"/>
      <c r="BN49" s="2494">
        <f>АНАЛИЗ!AQ53</f>
        <v>12340.165540902768</v>
      </c>
      <c r="BO49" s="2651"/>
      <c r="BP49" s="2494">
        <f>АНАЛИЗ!AS53</f>
        <v>5880.832169012293</v>
      </c>
      <c r="BQ49" s="2651"/>
      <c r="BR49" s="2494">
        <f>АНАЛИЗ!AU53</f>
        <v>43732.417644286594</v>
      </c>
      <c r="BT49" s="2517"/>
      <c r="BU49" s="2518"/>
      <c r="BV49" s="222">
        <v>50</v>
      </c>
      <c r="BX49">
        <f t="shared" si="2448"/>
        <v>4.9800796812749004</v>
      </c>
      <c r="BY49" s="2418">
        <f t="shared" si="2449"/>
        <v>1625091.9872199812</v>
      </c>
      <c r="CB49" s="2367">
        <f t="shared" si="2459"/>
        <v>5371958.4994798712</v>
      </c>
      <c r="CD49" s="2377">
        <f t="shared" si="2460"/>
        <v>3.8857361014599361</v>
      </c>
      <c r="CE49" s="2369">
        <f t="shared" si="2461"/>
        <v>5726895.5218742099</v>
      </c>
      <c r="CF49" s="2418">
        <f t="shared" si="2462"/>
        <v>13984691.999479871</v>
      </c>
      <c r="CG49" s="2418">
        <f t="shared" si="2463"/>
        <v>19711587.521354079</v>
      </c>
      <c r="CH49" s="2462">
        <f t="shared" si="2464"/>
        <v>19711587.521354079</v>
      </c>
    </row>
    <row r="50" ht="15.75">
      <c r="A50" s="283" t="s">
        <v>207</v>
      </c>
      <c r="B50" s="2388"/>
      <c r="C50" s="2498">
        <v>110</v>
      </c>
      <c r="D50" s="2499">
        <v>4560933.0999999996</v>
      </c>
      <c r="E50" s="2499">
        <f>4051800.4</f>
        <v>4051800.3999999999</v>
      </c>
      <c r="F50" s="2499"/>
      <c r="G50" s="2652">
        <f t="shared" si="2458"/>
        <v>8612733.5</v>
      </c>
      <c r="H50" s="2486"/>
      <c r="I50" s="2487"/>
      <c r="J50" s="2486"/>
      <c r="K50" s="2488">
        <f t="shared" si="2442"/>
        <v>0</v>
      </c>
      <c r="L50" s="2489">
        <f t="shared" si="2436"/>
        <v>8612733.5</v>
      </c>
      <c r="M50" s="2502"/>
      <c r="N50" s="2503"/>
      <c r="O50" s="2503"/>
      <c r="P50" s="2504">
        <f t="shared" si="2434"/>
        <v>0</v>
      </c>
      <c r="Q50" s="2505">
        <f t="shared" si="2430"/>
        <v>8612733.5</v>
      </c>
      <c r="R50" s="2502"/>
      <c r="S50" s="2506"/>
      <c r="T50" s="2502"/>
      <c r="U50" s="2507">
        <f t="shared" si="2431"/>
        <v>0</v>
      </c>
      <c r="V50" s="2508">
        <f t="shared" si="2432"/>
        <v>8612733.5</v>
      </c>
      <c r="W50" s="2509"/>
      <c r="AC50" s="2590"/>
      <c r="AD50" s="2511">
        <f>AD49*100/AD$98</f>
        <v>2.1436828582708163</v>
      </c>
      <c r="AE50" s="2532">
        <f>AD50*$AD$1/100</f>
        <v>213355.47070544874</v>
      </c>
      <c r="AF50" s="2513">
        <f t="shared" ref="AF50:BR50" si="2480">AF49*100/AF$98</f>
        <v>0.82909265766371265</v>
      </c>
      <c r="AG50" s="2514">
        <f>AF50*$AF$1/100</f>
        <v>43772.043948105929</v>
      </c>
      <c r="AH50" s="2511">
        <f t="shared" si="2480"/>
        <v>3.981721881815349</v>
      </c>
      <c r="AI50" s="2512">
        <f>$AH$1*AH50/100</f>
        <v>409901.6356824176</v>
      </c>
      <c r="AJ50" s="2513">
        <f t="shared" si="2480"/>
        <v>0.94927232436964726</v>
      </c>
      <c r="AK50" s="2514"/>
      <c r="AL50" s="2511">
        <f t="shared" si="2480"/>
        <v>2.0207407407407412</v>
      </c>
      <c r="AM50" s="2512">
        <f t="shared" si="2467"/>
        <v>27318.15502044445</v>
      </c>
      <c r="AN50" s="2513">
        <f t="shared" si="2480"/>
        <v>1.4304570709396203</v>
      </c>
      <c r="AO50" s="2514">
        <f>$AN$1*AN50/100</f>
        <v>157367.29251803423</v>
      </c>
      <c r="AP50" s="2511">
        <f t="shared" si="2480"/>
        <v>1.124491113664851</v>
      </c>
      <c r="AQ50" s="2512"/>
      <c r="AR50" s="2513">
        <f t="shared" si="2480"/>
        <v>5.8730014534883717</v>
      </c>
      <c r="AS50" s="2514">
        <f t="shared" si="2468"/>
        <v>235237.34293195858</v>
      </c>
      <c r="AT50" s="2511">
        <f t="shared" si="2480"/>
        <v>4.5737827715355799</v>
      </c>
      <c r="AU50" s="2512">
        <f t="shared" si="2469"/>
        <v>244851.46124329587</v>
      </c>
      <c r="AV50" s="2513">
        <f t="shared" si="2480"/>
        <v>0.51704177172980437</v>
      </c>
      <c r="AW50" s="2514">
        <f>$AV$1*AV50/100</f>
        <v>33569.279414618788</v>
      </c>
      <c r="AX50" s="2511">
        <f t="shared" si="2480"/>
        <v>0</v>
      </c>
      <c r="AY50" s="2512"/>
      <c r="AZ50" s="2513" t="e">
        <f t="shared" si="2480"/>
        <v>#DIV/0!</v>
      </c>
      <c r="BA50" s="2514" t="e">
        <f>$AZ$1*AZ50/100</f>
        <v>#DIV/0!</v>
      </c>
      <c r="BB50" s="2511">
        <f t="shared" si="2480"/>
        <v>0</v>
      </c>
      <c r="BC50" s="2512"/>
      <c r="BD50" s="2513">
        <f t="shared" si="2480"/>
        <v>14.328808446455504</v>
      </c>
      <c r="BE50" s="2514">
        <f t="shared" si="2470"/>
        <v>3290021.9199095014</v>
      </c>
      <c r="BF50" s="2511">
        <f t="shared" si="2480"/>
        <v>0</v>
      </c>
      <c r="BG50" s="2512"/>
      <c r="BH50" s="2513">
        <f t="shared" si="2480"/>
        <v>0</v>
      </c>
      <c r="BI50" s="2514"/>
      <c r="BJ50" s="2511">
        <f t="shared" si="2480"/>
        <v>0</v>
      </c>
      <c r="BK50" s="2512"/>
      <c r="BL50" s="2513">
        <f t="shared" si="2480"/>
        <v>2.9411764705882355</v>
      </c>
      <c r="BM50" s="2516"/>
      <c r="BN50" s="2511">
        <f t="shared" si="2480"/>
        <v>3.6352433764633401</v>
      </c>
      <c r="BO50" s="2514">
        <f t="shared" si="2471"/>
        <v>299602.73831792985</v>
      </c>
      <c r="BP50" s="2513">
        <f t="shared" si="2480"/>
        <v>3.625456442357851</v>
      </c>
      <c r="BQ50" s="2514">
        <f t="shared" si="2472"/>
        <v>36326.744360980701</v>
      </c>
      <c r="BR50" s="2511">
        <f t="shared" si="2480"/>
        <v>2.6561378320172291</v>
      </c>
      <c r="BS50" s="2514">
        <f t="shared" si="2473"/>
        <v>380634.41542713577</v>
      </c>
      <c r="BT50" s="2517">
        <f t="shared" si="2454"/>
        <v>5371958.4994798712</v>
      </c>
      <c r="BU50" s="2518">
        <f t="shared" si="2455"/>
        <v>1824809.0649168156</v>
      </c>
      <c r="BV50" s="222"/>
      <c r="BX50">
        <f t="shared" si="2448"/>
        <v>0</v>
      </c>
      <c r="BY50" s="2418">
        <f t="shared" si="2449"/>
        <v>0</v>
      </c>
      <c r="CB50" s="2367">
        <f t="shared" si="2459"/>
        <v>0</v>
      </c>
      <c r="CD50" s="2377">
        <f t="shared" si="2460"/>
        <v>0</v>
      </c>
      <c r="CF50" s="2418">
        <f t="shared" si="2462"/>
        <v>0</v>
      </c>
      <c r="CG50" s="2418">
        <f t="shared" si="2463"/>
        <v>0</v>
      </c>
      <c r="CH50" s="2462">
        <f t="shared" si="2464"/>
        <v>0</v>
      </c>
    </row>
    <row r="51" ht="15.75">
      <c r="A51" s="437"/>
      <c r="B51" s="2592"/>
      <c r="C51" s="2519"/>
      <c r="D51" s="2520"/>
      <c r="E51" s="2520"/>
      <c r="F51" s="2520"/>
      <c r="G51" s="2625">
        <f t="shared" si="2458"/>
        <v>0</v>
      </c>
      <c r="H51" s="2626"/>
      <c r="I51" s="2523"/>
      <c r="J51" s="2522"/>
      <c r="K51" s="2524">
        <f t="shared" si="2442"/>
        <v>0</v>
      </c>
      <c r="L51" s="2540">
        <f t="shared" si="2436"/>
        <v>0</v>
      </c>
      <c r="M51" s="2525"/>
      <c r="N51" s="2526"/>
      <c r="O51" s="2526"/>
      <c r="P51" s="2527">
        <f t="shared" si="2434"/>
        <v>0</v>
      </c>
      <c r="Q51" s="2528">
        <f t="shared" si="2430"/>
        <v>0</v>
      </c>
      <c r="R51" s="2525"/>
      <c r="S51" s="2529"/>
      <c r="T51" s="2525"/>
      <c r="U51" s="2530">
        <f t="shared" si="2431"/>
        <v>0</v>
      </c>
      <c r="V51" s="2531">
        <f t="shared" si="2432"/>
        <v>0</v>
      </c>
      <c r="W51" s="2509"/>
      <c r="AC51" s="2388" t="s">
        <v>209</v>
      </c>
      <c r="AD51" s="2494">
        <f>АНАЛИЗ!G55</f>
        <v>407730.49363546912</v>
      </c>
      <c r="AE51" s="2651"/>
      <c r="AF51" s="2494">
        <f>АНАЛИЗ!I55</f>
        <v>0</v>
      </c>
      <c r="AG51" s="2651"/>
      <c r="AH51" s="2494">
        <f>АНАЛИЗ!K55</f>
        <v>8063.8807095279117</v>
      </c>
      <c r="AI51" s="2651"/>
      <c r="AJ51" s="2494">
        <f>АНАЛИЗ!M55</f>
        <v>10275.74702157235</v>
      </c>
      <c r="AK51" s="2651"/>
      <c r="AL51" s="2494">
        <f>АНАЛИЗ!O55</f>
        <v>4274.7044236113825</v>
      </c>
      <c r="AM51" s="2651"/>
      <c r="AN51" s="2494">
        <f>АНАЛИЗ!Q55</f>
        <v>48455.145288972366</v>
      </c>
      <c r="AO51" s="2651"/>
      <c r="AP51" s="2494">
        <f>АНАЛИЗ!S55</f>
        <v>45.700580021482281</v>
      </c>
      <c r="AQ51" s="2651"/>
      <c r="AR51" s="2494">
        <f>АНАЛИЗ!U55</f>
        <v>64426.666838442274</v>
      </c>
      <c r="AS51" s="2651"/>
      <c r="AT51" s="2494">
        <f>АНАЛИЗ!W55</f>
        <v>27.79238438419738</v>
      </c>
      <c r="AU51" s="2651"/>
      <c r="AV51" s="2494">
        <f>АНАЛИЗ!Y55</f>
        <v>195.21508009634334</v>
      </c>
      <c r="AW51" s="2651"/>
      <c r="AX51" s="2494">
        <f>АНАЛИЗ!AA55</f>
        <v>0</v>
      </c>
      <c r="AY51" s="2651"/>
      <c r="AZ51" s="2494">
        <f>АНАЛИЗ!AC55</f>
        <v>0</v>
      </c>
      <c r="BA51" s="2651"/>
      <c r="BB51" s="2494">
        <f>АНАЛИЗ!AE55</f>
        <v>0</v>
      </c>
      <c r="BC51" s="2651"/>
      <c r="BD51" s="2494">
        <f>АНАЛИЗ!AG55</f>
        <v>61495.466348607748</v>
      </c>
      <c r="BE51" s="2651"/>
      <c r="BF51" s="2494">
        <f>АНАЛИЗ!AI55</f>
        <v>0</v>
      </c>
      <c r="BG51" s="2651"/>
      <c r="BH51" s="2494">
        <f>АНАЛИЗ!AK55</f>
        <v>0</v>
      </c>
      <c r="BI51" s="2651"/>
      <c r="BJ51" s="2494">
        <f>АНАЛИЗ!AM55</f>
        <v>0</v>
      </c>
      <c r="BK51" s="2651"/>
      <c r="BL51" s="2494">
        <f>АНАЛИЗ!AO55</f>
        <v>1548.0393200000001</v>
      </c>
      <c r="BM51" s="2651"/>
      <c r="BN51" s="2494">
        <f>АНАЛИЗ!AQ55</f>
        <v>45700.443570970427</v>
      </c>
      <c r="BO51" s="2651"/>
      <c r="BP51" s="2494">
        <f>АНАЛИЗ!AS55</f>
        <v>2855.7997943045311</v>
      </c>
      <c r="BQ51" s="2651"/>
      <c r="BR51" s="2494">
        <f>АНАЛИЗ!AU55</f>
        <v>85100.920821314445</v>
      </c>
      <c r="BT51" s="2517"/>
      <c r="BU51" s="2518"/>
      <c r="BV51" s="222">
        <v>35</v>
      </c>
      <c r="BX51">
        <f t="shared" si="2448"/>
        <v>3.4860557768924303</v>
      </c>
      <c r="BY51" s="2418">
        <f t="shared" si="2449"/>
        <v>1137564.3910539867</v>
      </c>
      <c r="CB51" s="2367">
        <f t="shared" si="2459"/>
        <v>3868820.400581215</v>
      </c>
      <c r="CD51" s="2377">
        <f t="shared" si="2460"/>
        <v>2.7984607666009857</v>
      </c>
      <c r="CE51" s="2369">
        <f t="shared" si="2461"/>
        <v>4124441.8081728281</v>
      </c>
      <c r="CF51" s="2418">
        <f t="shared" si="2462"/>
        <v>8226256.3105812147</v>
      </c>
      <c r="CG51" s="2418">
        <f t="shared" si="2463"/>
        <v>12350698.118754042</v>
      </c>
      <c r="CH51" s="2462">
        <f t="shared" si="2464"/>
        <v>12350698.118754042</v>
      </c>
    </row>
    <row r="52" ht="15.75">
      <c r="A52" s="283" t="s">
        <v>209</v>
      </c>
      <c r="B52" s="2388"/>
      <c r="C52" s="2498">
        <v>158</v>
      </c>
      <c r="D52" s="2367">
        <v>2392334.3500000001</v>
      </c>
      <c r="E52" s="2367">
        <f>1965101.56</f>
        <v>1965101.5600000001</v>
      </c>
      <c r="G52" s="2652">
        <f t="shared" si="2458"/>
        <v>4357435.9100000001</v>
      </c>
      <c r="H52" s="2650"/>
      <c r="I52" s="2642"/>
      <c r="J52" s="2650"/>
      <c r="K52" s="2533">
        <f t="shared" si="2442"/>
        <v>0</v>
      </c>
      <c r="L52" s="2501">
        <f t="shared" si="2436"/>
        <v>4357435.9100000001</v>
      </c>
      <c r="N52" s="2534"/>
      <c r="O52" s="2534"/>
      <c r="P52" s="2535">
        <f t="shared" si="2434"/>
        <v>0</v>
      </c>
      <c r="Q52" s="2536">
        <f t="shared" si="2430"/>
        <v>4357435.9100000001</v>
      </c>
      <c r="S52" s="2537"/>
      <c r="U52" s="2538">
        <f t="shared" si="2431"/>
        <v>0</v>
      </c>
      <c r="V52" s="2539">
        <f t="shared" si="2432"/>
        <v>4357435.9100000001</v>
      </c>
      <c r="W52" s="2509"/>
      <c r="AC52" s="2590"/>
      <c r="AD52" s="2511">
        <f>AD51*100/AD$98</f>
        <v>6.7222140657541347</v>
      </c>
      <c r="AE52" s="2532">
        <f>AD52*$AD$1/100</f>
        <v>669045.39570683695</v>
      </c>
      <c r="AF52" s="2513">
        <f t="shared" ref="AF52:BR52" si="2481">AF51*100/AF$98</f>
        <v>0</v>
      </c>
      <c r="AG52" s="2514">
        <f>AF52*$AF$1/100</f>
        <v>0</v>
      </c>
      <c r="AH52" s="2511">
        <f t="shared" si="2481"/>
        <v>1.3999376882334613</v>
      </c>
      <c r="AI52" s="2512">
        <f>$AH$1*AH52/100</f>
        <v>144117.73732391733</v>
      </c>
      <c r="AJ52" s="2513">
        <f t="shared" si="2481"/>
        <v>0.72767563035275795</v>
      </c>
      <c r="AK52" s="2514"/>
      <c r="AL52" s="2511">
        <f t="shared" si="2481"/>
        <v>1.5466666666666666</v>
      </c>
      <c r="AM52" s="2512">
        <f t="shared" si="2467"/>
        <v>20909.203695999997</v>
      </c>
      <c r="AN52" s="2513">
        <f t="shared" si="2481"/>
        <v>1.0175890966018974</v>
      </c>
      <c r="AO52" s="2514">
        <f>$AN$1*AN52/100</f>
        <v>111946.90444147718</v>
      </c>
      <c r="AP52" s="2511">
        <f t="shared" si="2481"/>
        <v>0.15944276984800126</v>
      </c>
      <c r="AQ52" s="2512"/>
      <c r="AR52" s="2513">
        <f t="shared" si="2481"/>
        <v>21.266351744186046</v>
      </c>
      <c r="AS52" s="2514">
        <f t="shared" si="2468"/>
        <v>851802.96953397524</v>
      </c>
      <c r="AT52" s="2511">
        <f t="shared" si="2481"/>
        <v>0.20973782771535579</v>
      </c>
      <c r="AU52" s="2512">
        <f t="shared" si="2469"/>
        <v>11228.039493632959</v>
      </c>
      <c r="AV52" s="2513">
        <f t="shared" si="2481"/>
        <v>0.28849432190720975</v>
      </c>
      <c r="AW52" s="2514">
        <f>$AV$1*AV52/100</f>
        <v>18730.684890765559</v>
      </c>
      <c r="AX52" s="2511">
        <f t="shared" si="2481"/>
        <v>0</v>
      </c>
      <c r="AY52" s="2512"/>
      <c r="AZ52" s="2513" t="e">
        <f t="shared" si="2481"/>
        <v>#DIV/0!</v>
      </c>
      <c r="BA52" s="2514" t="e">
        <f>$AZ$1*AZ52/100</f>
        <v>#DIV/0!</v>
      </c>
      <c r="BB52" s="2511">
        <f t="shared" si="2481"/>
        <v>0</v>
      </c>
      <c r="BC52" s="2512"/>
      <c r="BD52" s="2513">
        <f t="shared" si="2481"/>
        <v>0.75414781297134237</v>
      </c>
      <c r="BE52" s="2514">
        <f t="shared" si="2470"/>
        <v>173159.04841628959</v>
      </c>
      <c r="BF52" s="2511">
        <f t="shared" si="2481"/>
        <v>0</v>
      </c>
      <c r="BG52" s="2512"/>
      <c r="BH52" s="2513">
        <f t="shared" si="2481"/>
        <v>0</v>
      </c>
      <c r="BI52" s="2514"/>
      <c r="BJ52" s="2511">
        <f t="shared" si="2481"/>
        <v>0</v>
      </c>
      <c r="BK52" s="2512"/>
      <c r="BL52" s="2513">
        <f t="shared" si="2481"/>
        <v>2.3529411764705883</v>
      </c>
      <c r="BM52" s="2516"/>
      <c r="BN52" s="2511">
        <f t="shared" si="2481"/>
        <v>13.462723351817624</v>
      </c>
      <c r="BO52" s="2514">
        <f t="shared" si="2471"/>
        <v>1109545.7342791131</v>
      </c>
      <c r="BP52" s="2513">
        <f t="shared" si="2481"/>
        <v>1.76056338028169</v>
      </c>
      <c r="BQ52" s="2514">
        <f t="shared" si="2472"/>
        <v>17640.685211267602</v>
      </c>
      <c r="BR52" s="2511">
        <f t="shared" si="2481"/>
        <v>5.1687006460875811</v>
      </c>
      <c r="BS52" s="2514">
        <f t="shared" si="2473"/>
        <v>740693.99758793984</v>
      </c>
      <c r="BT52" s="2517">
        <f t="shared" si="2454"/>
        <v>3868820.400581215</v>
      </c>
      <c r="BU52" s="2518">
        <f t="shared" si="2455"/>
        <v>3026615.9564580885</v>
      </c>
      <c r="BV52" s="222"/>
      <c r="BX52">
        <f t="shared" si="2448"/>
        <v>0</v>
      </c>
      <c r="BY52" s="2418">
        <f t="shared" si="2449"/>
        <v>0</v>
      </c>
      <c r="CB52" s="2367">
        <f t="shared" si="2459"/>
        <v>0</v>
      </c>
      <c r="CD52" s="2377">
        <f t="shared" si="2460"/>
        <v>0</v>
      </c>
      <c r="CF52" s="2418">
        <f t="shared" si="2462"/>
        <v>0</v>
      </c>
      <c r="CG52" s="2418">
        <f t="shared" si="2463"/>
        <v>0</v>
      </c>
      <c r="CH52" s="2462">
        <f t="shared" si="2464"/>
        <v>0</v>
      </c>
    </row>
    <row r="53" ht="15.75">
      <c r="A53" s="437"/>
      <c r="B53" s="2592"/>
      <c r="C53" s="2519"/>
      <c r="G53" s="2625">
        <f t="shared" si="2458"/>
        <v>0</v>
      </c>
      <c r="H53" s="2641"/>
      <c r="I53" s="2642"/>
      <c r="J53" s="2650"/>
      <c r="K53" s="2533">
        <f t="shared" si="2442"/>
        <v>0</v>
      </c>
      <c r="L53" s="2501">
        <f t="shared" si="2436"/>
        <v>0</v>
      </c>
      <c r="N53" s="2370"/>
      <c r="O53" s="2370"/>
      <c r="P53" s="2535">
        <f t="shared" si="2434"/>
        <v>0</v>
      </c>
      <c r="Q53" s="2536">
        <f t="shared" si="2430"/>
        <v>0</v>
      </c>
      <c r="S53" s="2537"/>
      <c r="U53" s="2538">
        <f t="shared" si="2431"/>
        <v>0</v>
      </c>
      <c r="V53" s="2539">
        <f t="shared" si="2432"/>
        <v>0</v>
      </c>
      <c r="W53" s="2509"/>
      <c r="AC53" s="2388" t="s">
        <v>210</v>
      </c>
      <c r="AD53" s="2494">
        <f>АНАЛИЗ!G57</f>
        <v>23996.4905027282</v>
      </c>
      <c r="AE53" s="2651"/>
      <c r="AF53" s="2494">
        <f>АНАЛИЗ!I57</f>
        <v>3049.7876608427241</v>
      </c>
      <c r="AG53" s="2651"/>
      <c r="AH53" s="2494">
        <f>АНАЛИЗ!K57</f>
        <v>22791.829008383786</v>
      </c>
      <c r="AI53" s="2651"/>
      <c r="AJ53" s="2494">
        <f>АНАЛИЗ!M57</f>
        <v>13997.005202224063</v>
      </c>
      <c r="AK53" s="2651"/>
      <c r="AL53" s="2494">
        <f>АНАЛИЗ!O57</f>
        <v>4274.7044236113825</v>
      </c>
      <c r="AM53" s="2651"/>
      <c r="AN53" s="2494">
        <f>АНАЛИЗ!Q57</f>
        <v>53644.157831230346</v>
      </c>
      <c r="AO53" s="2651"/>
      <c r="AP53" s="2494">
        <f>АНАЛИЗ!S57</f>
        <v>134.69644637910568</v>
      </c>
      <c r="AQ53" s="2651"/>
      <c r="AR53" s="2494">
        <f>АНАЛИЗ!U57</f>
        <v>17420.794578698828</v>
      </c>
      <c r="AS53" s="2651"/>
      <c r="AT53" s="2494">
        <f>АНАЛИЗ!W57</f>
        <v>107.19919691047561</v>
      </c>
      <c r="AU53" s="2651"/>
      <c r="AV53" s="2494">
        <f>АНАЛИЗ!Y57</f>
        <v>1391.8581684791234</v>
      </c>
      <c r="AW53" s="2651"/>
      <c r="AX53" s="2494">
        <f>АНАЛИЗ!AA57</f>
        <v>0</v>
      </c>
      <c r="AY53" s="2651"/>
      <c r="AZ53" s="2494">
        <f>АНАЛИЗ!AC57</f>
        <v>0</v>
      </c>
      <c r="BA53" s="2651"/>
      <c r="BB53" s="2494">
        <f>АНАЛИЗ!AE57</f>
        <v>0</v>
      </c>
      <c r="BC53" s="2651"/>
      <c r="BD53" s="2494">
        <f>АНАЛИЗ!AG57</f>
        <v>565758.29040719126</v>
      </c>
      <c r="BE53" s="2651"/>
      <c r="BF53" s="2494">
        <f>АНАЛИЗ!AI57</f>
        <v>0</v>
      </c>
      <c r="BG53" s="2651"/>
      <c r="BH53" s="2494">
        <f>АНАЛИЗ!AK57</f>
        <v>0</v>
      </c>
      <c r="BI53" s="2651"/>
      <c r="BJ53" s="2494">
        <f>АНАЛИЗ!AM57</f>
        <v>0</v>
      </c>
      <c r="BK53" s="2651"/>
      <c r="BL53" s="2494">
        <f>АНАЛИЗ!AO57</f>
        <v>6579.1671099999985</v>
      </c>
      <c r="BM53" s="2651"/>
      <c r="BN53" s="2494">
        <f>АНАЛИЗ!AQ57</f>
        <v>8157.0585778848808</v>
      </c>
      <c r="BO53" s="2651"/>
      <c r="BP53" s="2494">
        <f>АНАЛИЗ!AS57</f>
        <v>18827.124569859501</v>
      </c>
      <c r="BQ53" s="2651"/>
      <c r="BR53" s="2494">
        <f>АНАЛИЗ!AU57</f>
        <v>32700.816797079166</v>
      </c>
      <c r="BT53" s="2517"/>
      <c r="BU53" s="2518"/>
      <c r="BV53" s="222">
        <v>25</v>
      </c>
      <c r="BX53">
        <f t="shared" si="2448"/>
        <v>2.4900398406374502</v>
      </c>
      <c r="BY53" s="2418">
        <f t="shared" si="2449"/>
        <v>812545.99360999058</v>
      </c>
      <c r="CB53" s="2367">
        <f t="shared" si="2459"/>
        <v>3191469.8991747359</v>
      </c>
      <c r="CD53" s="2377">
        <f t="shared" si="2460"/>
        <v>2.3085081176905402</v>
      </c>
      <c r="CE53" s="2369">
        <f t="shared" si="2461"/>
        <v>3402337.2808166314</v>
      </c>
      <c r="CF53" s="2418">
        <f t="shared" si="2462"/>
        <v>7525411.5391747365</v>
      </c>
      <c r="CG53" s="2418">
        <f t="shared" si="2463"/>
        <v>10927748.819991369</v>
      </c>
      <c r="CH53" s="2462">
        <f t="shared" si="2464"/>
        <v>10927748.819991369</v>
      </c>
    </row>
    <row r="54" ht="15.75">
      <c r="A54" s="283" t="s">
        <v>210</v>
      </c>
      <c r="B54" s="2388"/>
      <c r="C54" s="2498">
        <v>142</v>
      </c>
      <c r="D54" s="2499">
        <v>2329393.4700000002</v>
      </c>
      <c r="E54" s="2499">
        <f>2004548.17</f>
        <v>2004548.1699999999</v>
      </c>
      <c r="F54" s="2499"/>
      <c r="G54" s="2652">
        <f t="shared" si="2458"/>
        <v>4333941.6400000006</v>
      </c>
      <c r="H54" s="2486"/>
      <c r="I54" s="2487"/>
      <c r="J54" s="2486"/>
      <c r="K54" s="2488">
        <f t="shared" si="2442"/>
        <v>0</v>
      </c>
      <c r="L54" s="2489">
        <f t="shared" si="2436"/>
        <v>4333941.6400000006</v>
      </c>
      <c r="M54" s="2502"/>
      <c r="N54" s="2503"/>
      <c r="O54" s="2503"/>
      <c r="P54" s="2504">
        <f t="shared" si="2434"/>
        <v>0</v>
      </c>
      <c r="Q54" s="2505">
        <f t="shared" si="2430"/>
        <v>4333941.6400000006</v>
      </c>
      <c r="R54" s="2502"/>
      <c r="S54" s="2506"/>
      <c r="T54" s="2502"/>
      <c r="U54" s="2507">
        <f t="shared" si="2431"/>
        <v>0</v>
      </c>
      <c r="V54" s="2508">
        <f t="shared" si="2432"/>
        <v>4333941.6400000006</v>
      </c>
      <c r="W54" s="2509"/>
      <c r="AC54" s="2590"/>
      <c r="AD54" s="2511">
        <f>AD53*100/AD$98</f>
        <v>0.39562786817312129</v>
      </c>
      <c r="AE54" s="2532">
        <f>AD54*$AD$1/100</f>
        <v>39375.86649657572</v>
      </c>
      <c r="AF54" s="2513">
        <f t="shared" ref="AF54:BR54" si="2482">AF53*100/AF$98</f>
        <v>0.013468938079569217</v>
      </c>
      <c r="AG54" s="2514">
        <f>AF54*$AF$1/100</f>
        <v>711.09416312350595</v>
      </c>
      <c r="AH54" s="2511">
        <f t="shared" si="2482"/>
        <v>3.9567971751999167</v>
      </c>
      <c r="AI54" s="2512">
        <f>$AH$1*AH54/100</f>
        <v>407335.74124935083</v>
      </c>
      <c r="AJ54" s="2513">
        <f t="shared" si="2482"/>
        <v>0.99119602323770728</v>
      </c>
      <c r="AK54" s="2514"/>
      <c r="AL54" s="2511">
        <f t="shared" si="2482"/>
        <v>1.5466666666666666</v>
      </c>
      <c r="AM54" s="2512">
        <f t="shared" si="2467"/>
        <v>20909.203695999997</v>
      </c>
      <c r="AN54" s="2513">
        <f t="shared" si="2482"/>
        <v>1.1265616846241218</v>
      </c>
      <c r="AO54" s="2514">
        <f>$AN$1*AN54/100</f>
        <v>123935.18530926734</v>
      </c>
      <c r="AP54" s="2511">
        <f t="shared" si="2482"/>
        <v>0.4699365848151616</v>
      </c>
      <c r="AQ54" s="2512"/>
      <c r="AR54" s="2513">
        <f t="shared" si="2482"/>
        <v>5.7503633720930223</v>
      </c>
      <c r="AS54" s="2514">
        <f t="shared" si="2468"/>
        <v>230325.19423964384</v>
      </c>
      <c r="AT54" s="2511">
        <f t="shared" si="2482"/>
        <v>0.80898876404494369</v>
      </c>
      <c r="AU54" s="2512">
        <f t="shared" si="2469"/>
        <v>43308.152332584265</v>
      </c>
      <c r="AV54" s="2513">
        <f t="shared" si="2482"/>
        <v>2.0569270484033524</v>
      </c>
      <c r="AW54" s="2514">
        <f>$AV$1*AV54/100</f>
        <v>133547.35071467911</v>
      </c>
      <c r="AX54" s="2511">
        <f t="shared" si="2482"/>
        <v>0</v>
      </c>
      <c r="AY54" s="2512"/>
      <c r="AZ54" s="2513" t="e">
        <f t="shared" si="2482"/>
        <v>#DIV/0!</v>
      </c>
      <c r="BA54" s="2514" t="e">
        <f>$AZ$1*AZ54/100</f>
        <v>#DIV/0!</v>
      </c>
      <c r="BB54" s="2511">
        <f t="shared" si="2482"/>
        <v>0</v>
      </c>
      <c r="BC54" s="2512"/>
      <c r="BD54" s="2513">
        <f t="shared" si="2482"/>
        <v>6.9381598793363501</v>
      </c>
      <c r="BE54" s="2514">
        <f t="shared" si="2470"/>
        <v>1593063.2454298639</v>
      </c>
      <c r="BF54" s="2511">
        <f t="shared" si="2482"/>
        <v>0</v>
      </c>
      <c r="BG54" s="2512"/>
      <c r="BH54" s="2513">
        <f t="shared" si="2482"/>
        <v>0</v>
      </c>
      <c r="BI54" s="2514"/>
      <c r="BJ54" s="2511">
        <f t="shared" si="2482"/>
        <v>0</v>
      </c>
      <c r="BK54" s="2512"/>
      <c r="BL54" s="2513">
        <f t="shared" si="2482"/>
        <v>10</v>
      </c>
      <c r="BM54" s="2516"/>
      <c r="BN54" s="2511">
        <f t="shared" si="2482"/>
        <v>2.4029574861367839</v>
      </c>
      <c r="BO54" s="2514">
        <f t="shared" si="2471"/>
        <v>198042.48804066546</v>
      </c>
      <c r="BP54" s="2513">
        <f t="shared" si="2482"/>
        <v>11.606677099634846</v>
      </c>
      <c r="BQ54" s="2514">
        <f t="shared" si="2472"/>
        <v>116297.85065206049</v>
      </c>
      <c r="BR54" s="2511">
        <f t="shared" si="2482"/>
        <v>1.9861210815984687</v>
      </c>
      <c r="BS54" s="2514">
        <f t="shared" si="2473"/>
        <v>284618.52685092133</v>
      </c>
      <c r="BT54" s="2517">
        <f t="shared" si="2454"/>
        <v>3191469.8991747359</v>
      </c>
      <c r="BU54" s="2518">
        <f t="shared" si="2455"/>
        <v>1558319.6930851729</v>
      </c>
      <c r="BV54" s="222"/>
      <c r="BX54">
        <f t="shared" si="2448"/>
        <v>0</v>
      </c>
      <c r="BY54" s="2418">
        <f t="shared" si="2449"/>
        <v>0</v>
      </c>
      <c r="CB54" s="2367">
        <f t="shared" si="2459"/>
        <v>0</v>
      </c>
      <c r="CD54" s="2377">
        <f t="shared" si="2460"/>
        <v>0</v>
      </c>
      <c r="CF54" s="2418">
        <f t="shared" si="2462"/>
        <v>0</v>
      </c>
      <c r="CG54" s="2418">
        <f t="shared" si="2463"/>
        <v>0</v>
      </c>
      <c r="CH54" s="2462">
        <f t="shared" si="2464"/>
        <v>0</v>
      </c>
    </row>
    <row r="55" ht="15.75">
      <c r="A55" s="437"/>
      <c r="B55" s="2592"/>
      <c r="C55" s="2519"/>
      <c r="D55" s="2520"/>
      <c r="E55" s="2520"/>
      <c r="F55" s="2520"/>
      <c r="G55" s="2625">
        <f t="shared" si="2458"/>
        <v>0</v>
      </c>
      <c r="H55" s="2626"/>
      <c r="I55" s="2523"/>
      <c r="J55" s="2522"/>
      <c r="K55" s="2524">
        <f t="shared" si="2442"/>
        <v>0</v>
      </c>
      <c r="L55" s="2540">
        <f t="shared" si="2436"/>
        <v>0</v>
      </c>
      <c r="M55" s="2525"/>
      <c r="N55" s="2526"/>
      <c r="O55" s="2526"/>
      <c r="P55" s="2527">
        <f t="shared" si="2434"/>
        <v>0</v>
      </c>
      <c r="Q55" s="2528">
        <f t="shared" si="2430"/>
        <v>0</v>
      </c>
      <c r="R55" s="2525"/>
      <c r="S55" s="2529"/>
      <c r="T55" s="2525"/>
      <c r="U55" s="2530">
        <f t="shared" si="2431"/>
        <v>0</v>
      </c>
      <c r="V55" s="2531">
        <f t="shared" si="2432"/>
        <v>0</v>
      </c>
      <c r="W55" s="2509"/>
      <c r="AC55" s="2388" t="s">
        <v>211</v>
      </c>
      <c r="AD55" s="2494">
        <f>АНАЛИЗ!G59</f>
        <v>247993.77958509093</v>
      </c>
      <c r="AE55" s="2651"/>
      <c r="AF55" s="2494">
        <f>АНАЛИЗ!I59</f>
        <v>2505.7042176212399</v>
      </c>
      <c r="AG55" s="2651"/>
      <c r="AH55" s="2494">
        <f>АНАЛИЗ!K59</f>
        <v>2249.2723640819695</v>
      </c>
      <c r="AI55" s="2651"/>
      <c r="AJ55" s="2494">
        <f>АНАЛИЗ!M59</f>
        <v>95357.240879200195</v>
      </c>
      <c r="AK55" s="2651"/>
      <c r="AL55" s="2494">
        <f>АНАЛИЗ!O59</f>
        <v>39111.088749363917</v>
      </c>
      <c r="AM55" s="2651"/>
      <c r="AN55" s="2494">
        <f>АНАЛИЗ!Q59</f>
        <v>173649.20845640774</v>
      </c>
      <c r="AO55" s="2651"/>
      <c r="AP55" s="2494">
        <f>АНАЛИЗ!S59</f>
        <v>64.942929504211662</v>
      </c>
      <c r="AQ55" s="2651"/>
      <c r="AR55" s="2494">
        <f>АНАЛИЗ!U59</f>
        <v>880.67207980783962</v>
      </c>
      <c r="AS55" s="2651"/>
      <c r="AT55" s="2494">
        <f>АНАЛИЗ!W59</f>
        <v>270.77723071460872</v>
      </c>
      <c r="AU55" s="2651"/>
      <c r="AV55" s="2494">
        <f>АНАЛИЗ!Y59</f>
        <v>4053.8819879747143</v>
      </c>
      <c r="AW55" s="2651"/>
      <c r="AX55" s="2494">
        <f>АНАЛИЗ!AA59</f>
        <v>0</v>
      </c>
      <c r="AY55" s="2651"/>
      <c r="AZ55" s="2494">
        <f>АНАЛИЗ!AC59</f>
        <v>0</v>
      </c>
      <c r="BA55" s="2651"/>
      <c r="BB55" s="2494">
        <f>АНАЛИЗ!AE59</f>
        <v>0</v>
      </c>
      <c r="BC55" s="2651"/>
      <c r="BD55" s="2494">
        <f>АНАЛИЗ!AG59</f>
        <v>110691.83942749395</v>
      </c>
      <c r="BE55" s="2651"/>
      <c r="BF55" s="2494">
        <f>АНАЛИЗ!AI59</f>
        <v>0</v>
      </c>
      <c r="BG55" s="2651"/>
      <c r="BH55" s="2494">
        <f>АНАЛИЗ!AK59</f>
        <v>0</v>
      </c>
      <c r="BI55" s="2651"/>
      <c r="BJ55" s="2494">
        <f>АНАЛИЗ!AM59</f>
        <v>0</v>
      </c>
      <c r="BK55" s="2651"/>
      <c r="BL55" s="2494">
        <f>АНАЛИЗ!AO59</f>
        <v>1935.0491499999998</v>
      </c>
      <c r="BM55" s="2651"/>
      <c r="BN55" s="2494">
        <f>АНАЛИЗ!AQ59</f>
        <v>74459.303941718405</v>
      </c>
      <c r="BO55" s="2651"/>
      <c r="BP55" s="2494">
        <f>АНАЛИЗ!AS59</f>
        <v>12417.440587087109</v>
      </c>
      <c r="BQ55" s="2651"/>
      <c r="BR55" s="2494">
        <f>АНАЛИЗ!AU59</f>
        <v>133955.15314466163</v>
      </c>
      <c r="BT55" s="2517"/>
      <c r="BU55" s="2518"/>
      <c r="BV55" s="222">
        <v>50</v>
      </c>
      <c r="BX55">
        <f t="shared" si="2448"/>
        <v>4.9800796812749004</v>
      </c>
      <c r="BY55" s="2418">
        <f t="shared" si="2449"/>
        <v>1625091.9872199812</v>
      </c>
      <c r="CB55" s="2367">
        <f t="shared" si="2459"/>
        <v>4912281.835432414</v>
      </c>
      <c r="CD55" s="2377">
        <f t="shared" si="2460"/>
        <v>3.5532349831693133</v>
      </c>
      <c r="CE55" s="2369">
        <f t="shared" si="2461"/>
        <v>5236847.0173858851</v>
      </c>
      <c r="CF55" s="2418">
        <f t="shared" si="2462"/>
        <v>10752438.185432414</v>
      </c>
      <c r="CG55" s="2418">
        <f t="shared" si="2463"/>
        <v>15989285.202818299</v>
      </c>
      <c r="CH55" s="2462">
        <f t="shared" si="2464"/>
        <v>15989285.202818299</v>
      </c>
    </row>
    <row r="56" ht="15.75">
      <c r="A56" s="283" t="s">
        <v>211</v>
      </c>
      <c r="B56" s="2388"/>
      <c r="C56" s="2498">
        <v>116</v>
      </c>
      <c r="D56" s="2367">
        <v>3249370.5099999998</v>
      </c>
      <c r="E56" s="2367">
        <f>2590785.84</f>
        <v>2590785.8399999999</v>
      </c>
      <c r="G56" s="2652">
        <f t="shared" si="2458"/>
        <v>5840156.3499999996</v>
      </c>
      <c r="H56" s="2650"/>
      <c r="I56" s="2642"/>
      <c r="J56" s="2650"/>
      <c r="K56" s="2533">
        <f t="shared" si="2442"/>
        <v>0</v>
      </c>
      <c r="L56" s="2501">
        <f t="shared" si="2436"/>
        <v>5840156.3499999996</v>
      </c>
      <c r="N56" s="2534"/>
      <c r="O56" s="2534"/>
      <c r="P56" s="2535">
        <f t="shared" si="2434"/>
        <v>0</v>
      </c>
      <c r="Q56" s="2536">
        <f t="shared" si="2430"/>
        <v>5840156.3499999996</v>
      </c>
      <c r="S56" s="2537"/>
      <c r="U56" s="2538">
        <f t="shared" si="2431"/>
        <v>0</v>
      </c>
      <c r="V56" s="2539">
        <f t="shared" si="2432"/>
        <v>5840156.3499999996</v>
      </c>
      <c r="W56" s="2509"/>
      <c r="AC56" s="2590"/>
      <c r="AD56" s="2511">
        <f>AD55*100/AD$98</f>
        <v>4.0886499768076421</v>
      </c>
      <c r="AE56" s="2532">
        <f>AD56*$AD$1/100</f>
        <v>406933.25366947183</v>
      </c>
      <c r="AF56" s="2513">
        <f t="shared" ref="AF56:BR56" si="2483">AF55*100/AF$98</f>
        <v>0.011066073676595001</v>
      </c>
      <c r="AG56" s="2514">
        <f>AF56*$AF$1/100</f>
        <v>584.23465559306078</v>
      </c>
      <c r="AH56" s="2511">
        <f>AH55*100/AH$98</f>
        <v>0.39048707030844326</v>
      </c>
      <c r="AI56" s="2512">
        <f>$AH$1*AH56/100</f>
        <v>40199.012784712846</v>
      </c>
      <c r="AJ56" s="2513">
        <f t="shared" si="2483"/>
        <v>6.7527100676768272</v>
      </c>
      <c r="AK56" s="2514"/>
      <c r="AL56" s="2511">
        <f t="shared" si="2483"/>
        <v>14.151111111111112</v>
      </c>
      <c r="AM56" s="2512">
        <f t="shared" si="2467"/>
        <v>191307.19703466666</v>
      </c>
      <c r="AN56" s="2513">
        <f t="shared" si="2483"/>
        <v>3.6467446357859847</v>
      </c>
      <c r="AO56" s="2514">
        <f>$AN$1*AN56/100</f>
        <v>401185.28650520317</v>
      </c>
      <c r="AP56" s="2511">
        <f t="shared" si="2483"/>
        <v>0.22657656767873863</v>
      </c>
      <c r="AQ56" s="2512"/>
      <c r="AR56" s="2513">
        <f t="shared" si="2483"/>
        <v>0.29069767441860461</v>
      </c>
      <c r="AS56" s="2514">
        <f t="shared" si="2468"/>
        <v>11643.611715116278</v>
      </c>
      <c r="AT56" s="2511">
        <f t="shared" si="2483"/>
        <v>2.0434456928838944</v>
      </c>
      <c r="AU56" s="2512">
        <f t="shared" si="2469"/>
        <v>109393.18478082394</v>
      </c>
      <c r="AV56" s="2513">
        <f t="shared" si="2483"/>
        <v>5.9909405289562123</v>
      </c>
      <c r="AW56" s="2514">
        <f>$AV$1*AV56/100</f>
        <v>388965.78104330035</v>
      </c>
      <c r="AX56" s="2511">
        <f t="shared" si="2483"/>
        <v>0</v>
      </c>
      <c r="AY56" s="2512"/>
      <c r="AZ56" s="2513" t="e">
        <f t="shared" si="2483"/>
        <v>#DIV/0!</v>
      </c>
      <c r="BA56" s="2514" t="e">
        <f>$AZ$1*AZ56/100</f>
        <v>#DIV/0!</v>
      </c>
      <c r="BB56" s="2511">
        <f t="shared" si="2483"/>
        <v>0</v>
      </c>
      <c r="BC56" s="2512"/>
      <c r="BD56" s="2513">
        <f t="shared" si="2483"/>
        <v>1.3574660633484161</v>
      </c>
      <c r="BE56" s="2514">
        <f t="shared" si="2470"/>
        <v>311686.28714932117</v>
      </c>
      <c r="BF56" s="2511">
        <f t="shared" si="2483"/>
        <v>0</v>
      </c>
      <c r="BG56" s="2512"/>
      <c r="BH56" s="2513">
        <f t="shared" si="2483"/>
        <v>0</v>
      </c>
      <c r="BI56" s="2514"/>
      <c r="BJ56" s="2511">
        <f t="shared" si="2483"/>
        <v>0</v>
      </c>
      <c r="BK56" s="2512"/>
      <c r="BL56" s="2513">
        <f t="shared" si="2483"/>
        <v>2.9411764705882355</v>
      </c>
      <c r="BM56" s="2516"/>
      <c r="BN56" s="2511">
        <f t="shared" si="2483"/>
        <v>21.934688847812698</v>
      </c>
      <c r="BO56" s="2514">
        <f t="shared" si="2471"/>
        <v>1807772.4549353055</v>
      </c>
      <c r="BP56" s="2513">
        <f t="shared" si="2483"/>
        <v>7.6551904016692749</v>
      </c>
      <c r="BQ56" s="2514">
        <f t="shared" si="2472"/>
        <v>76704.312733437662</v>
      </c>
      <c r="BR56" s="2511">
        <f t="shared" si="2483"/>
        <v>8.1359176836563769</v>
      </c>
      <c r="BS56" s="2514">
        <f t="shared" si="2473"/>
        <v>1165907.2184254609</v>
      </c>
      <c r="BT56" s="2517">
        <f t="shared" si="2454"/>
        <v>4912281.835432414</v>
      </c>
      <c r="BU56" s="2518">
        <f t="shared" si="2455"/>
        <v>4193078.0599580277</v>
      </c>
      <c r="BV56" s="222"/>
      <c r="BX56">
        <f t="shared" si="2448"/>
        <v>0</v>
      </c>
      <c r="BY56" s="2418">
        <f t="shared" si="2449"/>
        <v>0</v>
      </c>
      <c r="CB56" s="2367">
        <f t="shared" si="2459"/>
        <v>53314406.406471454</v>
      </c>
      <c r="CF56" s="2418">
        <f t="shared" si="2462"/>
        <v>53314406.406471454</v>
      </c>
      <c r="CG56" s="2418">
        <f t="shared" si="2463"/>
        <v>53314406.406471454</v>
      </c>
      <c r="CH56" s="2443"/>
    </row>
    <row r="57" ht="15.75">
      <c r="A57" s="437"/>
      <c r="B57" s="2592"/>
      <c r="C57" s="2519"/>
      <c r="G57" s="2625">
        <f t="shared" si="2458"/>
        <v>0</v>
      </c>
      <c r="H57" s="2641"/>
      <c r="I57" s="2642"/>
      <c r="J57" s="2650"/>
      <c r="K57" s="2533">
        <f t="shared" si="2442"/>
        <v>0</v>
      </c>
      <c r="L57" s="2501">
        <f t="shared" si="2436"/>
        <v>0</v>
      </c>
      <c r="N57" s="2369"/>
      <c r="O57" s="2370"/>
      <c r="P57" s="2535">
        <f t="shared" si="2434"/>
        <v>0</v>
      </c>
      <c r="Q57" s="2536">
        <f t="shared" si="2430"/>
        <v>0</v>
      </c>
      <c r="S57" s="2537"/>
      <c r="U57" s="2538">
        <f t="shared" si="2431"/>
        <v>0</v>
      </c>
      <c r="V57" s="2539">
        <f t="shared" si="2432"/>
        <v>0</v>
      </c>
      <c r="W57" s="2509"/>
      <c r="AC57" s="2596" t="s">
        <v>22</v>
      </c>
      <c r="AD57" s="2597">
        <f>AD33+AD35+AD37+AD39+AD41+AD43+AD45+AD47+AD49+AD51+AD53+AD55</f>
        <v>5946797.3488790225</v>
      </c>
      <c r="AE57" s="2598">
        <f>SUM(AE33:AE56)</f>
        <v>9758106.0224214345</v>
      </c>
      <c r="AF57" s="2597">
        <f>AF33+AF35+AF37+AF39+AF41+AF43+AF45+AF47+AF49+AF51+AF53+AF55</f>
        <v>1331381.1505989428</v>
      </c>
      <c r="AG57" s="2598">
        <f>SUM(AG33:AG56)</f>
        <v>310427.30523146031</v>
      </c>
      <c r="AH57" s="2597">
        <f>AH33+AH35+AH37+AH39+AH41+AH43+AH45+AH47+AH49+AH51+AH53+AH55</f>
        <v>142481.83289283072</v>
      </c>
      <c r="AI57" s="2598">
        <f>SUM(AI33:AI56)</f>
        <v>2546436.4002826875</v>
      </c>
      <c r="AJ57" s="2597">
        <f>AJ33+AJ35+AJ37+AJ39+AJ41+AJ43+AJ45+AJ47+AJ49+AJ51+AJ53+AJ55</f>
        <v>308695.2808949718</v>
      </c>
      <c r="AK57" s="2598">
        <f>SUM(AK33:AK56)</f>
        <v>0</v>
      </c>
      <c r="AL57" s="2597">
        <f>AL33+AL35+AL37+AL39+AL41+AL43+AL45+AL47+AL49+AL51+AL53+AL55</f>
        <v>99579.321438916493</v>
      </c>
      <c r="AM57" s="2598">
        <f>SUM(AM33:AM56)</f>
        <v>487080.30065777776</v>
      </c>
      <c r="AN57" s="2597">
        <f>AN33+AN35+AN37+AN39+AN41+AN43+AN45+AN47+AN49+AN51+AN53+AN55</f>
        <v>1063138.5321321033</v>
      </c>
      <c r="AO57" s="2598">
        <f>SUM(AO33:AO56)</f>
        <v>2456190.5026777587</v>
      </c>
      <c r="AP57" s="2597">
        <f>AP33+AP35+AP37+AP39+AP41+AP43+AP45+AP47+AP49+AP51+AP53+AP55</f>
        <v>1873.7237808807733</v>
      </c>
      <c r="AQ57" s="2598">
        <f>SUM(AQ33:AQ56)</f>
        <v>0</v>
      </c>
      <c r="AR57" s="2597">
        <f>AR33+AR35+AR37+AR39+AR41+AR43+AR45+AR47+AR49+AR51+AR53+AR55</f>
        <v>152947.97136037715</v>
      </c>
      <c r="AS57" s="2598">
        <f>SUM(AS33:AS56)</f>
        <v>2022167.87833621</v>
      </c>
      <c r="AT57" s="2597">
        <f>AT33+AT35+AT37+AT39+AT41+AT43+AT45+AT47+AT49+AT51+AT53+AT55</f>
        <v>3257.8630009218805</v>
      </c>
      <c r="AU57" s="2598">
        <f>SUM(AU33:AU56)</f>
        <v>1316166.829500075</v>
      </c>
      <c r="AV57" s="2597">
        <f>AV33+AV35+AV37+AV39+AV41+AV43+AV45+AV47+AV49+AV51+AV53+AV55</f>
        <v>12199.674875631223</v>
      </c>
      <c r="AW57" s="2598">
        <f>SUM(AW33:AW56)</f>
        <v>1170546.1778488813</v>
      </c>
      <c r="AX57" s="2597">
        <f>AX33+AX35+AX37+AX39+AX41+AX43+AX45+AX47+AX49+AX51+AX53+AX55</f>
        <v>0</v>
      </c>
      <c r="AY57" s="2598">
        <f>SUM(AY33:AY56)</f>
        <v>0</v>
      </c>
      <c r="AZ57" s="2597">
        <f>AZ33+AZ35+AZ37+AZ39+AZ41+AZ43+AZ45+AZ47+AZ49+AZ51+AZ53+AZ55</f>
        <v>0</v>
      </c>
      <c r="BA57" s="2598" t="e">
        <f>SUM(BA33:BA56)</f>
        <v>#DIV/0!</v>
      </c>
      <c r="BB57" s="2597">
        <f>BB33+BB35+BB37+BB39+BB41+BB43+BB45+BB47+BB49+BB51+BB53+BB55</f>
        <v>0</v>
      </c>
      <c r="BC57" s="2598">
        <f>SUM(BC33:BC56)</f>
        <v>0</v>
      </c>
      <c r="BD57" s="2597">
        <f>BD33+BD35+BD37+BD39+BD41+BD43+BD45+BD47+BD49+BD51+BD53+BD55</f>
        <v>6764501.298346852</v>
      </c>
      <c r="BE57" s="2598">
        <f>SUM(BE33:BE56)</f>
        <v>19047495.325791851</v>
      </c>
      <c r="BF57" s="2597">
        <f>BF33+BF35+BF37+BF39+BF41+BF43+BF45+BF47+BF49+BF51+BF53+BF55</f>
        <v>0</v>
      </c>
      <c r="BG57" s="2598">
        <f>SUM(BG33:BG56)</f>
        <v>0</v>
      </c>
      <c r="BH57" s="2597">
        <f>BH33+BH35+BH37+BH39+BH41+BH43+BH45+BH47+BH49+BH51+BH53+BH55</f>
        <v>0</v>
      </c>
      <c r="BI57" s="2598">
        <f>SUM(BI33:BI56)</f>
        <v>0</v>
      </c>
      <c r="BJ57" s="2597">
        <f>BJ33+BJ35+BJ37+BJ39+BJ41+BJ43+BJ45+BJ47+BJ49+BJ51+BJ53+BJ55</f>
        <v>0</v>
      </c>
      <c r="BK57" s="2598">
        <f>SUM(BK33:BK56)</f>
        <v>0</v>
      </c>
      <c r="BL57" s="2597">
        <f>BL33+BL35+BL37+BL39+BL41+BL43+BL45+BL47+BL49+BL51+BL53+BL55</f>
        <v>24768.629119999998</v>
      </c>
      <c r="BM57" s="2598">
        <f>SUM(BM33:BM56)</f>
        <v>0</v>
      </c>
      <c r="BN57" s="2597">
        <f>BN33+BN35+BN37+BN39+BN41+BN43+BN45+BN47+BN49+BN51+BN53+BN55</f>
        <v>301915.74505581602</v>
      </c>
      <c r="BO57" s="2598">
        <f>SUM(BO33:BO56)</f>
        <v>7330111.0637615537</v>
      </c>
      <c r="BP57" s="2597">
        <f>BP33+BP35+BP37+BP39+BP41+BP43+BP45+BP47+BP49+BP51+BP53+BP55</f>
        <v>92887.532568823677</v>
      </c>
      <c r="BQ57" s="2598">
        <f>SUM(BQ33:BQ56)</f>
        <v>573779.62046426709</v>
      </c>
      <c r="BR57" s="2597">
        <f>BR33+BR35+BR37+BR39+BR41+BR43+BR45+BR47+BR49+BR51+BR53+BR55</f>
        <v>723357.8269811729</v>
      </c>
      <c r="BS57" s="2599">
        <f>SUM(BS33:BS56)</f>
        <v>6295898.9794974895</v>
      </c>
      <c r="BT57" s="2600">
        <f t="shared" si="2454"/>
        <v>53314406.406471454</v>
      </c>
      <c r="BU57" s="2601">
        <f t="shared" si="2455"/>
        <v>24198377.753026709</v>
      </c>
      <c r="BV57" s="222"/>
      <c r="BX57">
        <f t="shared" si="2448"/>
        <v>0</v>
      </c>
      <c r="BY57" s="2418">
        <f t="shared" si="2449"/>
        <v>0</v>
      </c>
      <c r="CB57" s="2603">
        <f t="shared" si="2459"/>
        <v>6295898.9794974886</v>
      </c>
      <c r="CC57" s="2658"/>
      <c r="CD57" s="2659">
        <f>SUM(CD33:CD56)</f>
        <v>38.56428036843387</v>
      </c>
      <c r="CE57" s="2660">
        <f>SUM(CE33:CE56)</f>
        <v>56837005.596779205</v>
      </c>
      <c r="CF57" s="2661">
        <f>SUM(CF32:CF56)</f>
        <v>170360668.7129429</v>
      </c>
      <c r="CG57" s="2661">
        <f>SUM(CG32:CG56)</f>
        <v>227197674.30972213</v>
      </c>
      <c r="CH57" s="2607">
        <f>SUM(CH32:CH56)</f>
        <v>173883267.90325066</v>
      </c>
      <c r="CI57" s="2658"/>
      <c r="CJ57" s="2658"/>
      <c r="CK57" s="2658"/>
      <c r="CL57" s="2658"/>
      <c r="CM57" s="2658"/>
      <c r="CN57" s="2658"/>
    </row>
    <row r="58" ht="15.75">
      <c r="A58" s="778" t="s">
        <v>22</v>
      </c>
      <c r="B58" s="2608"/>
      <c r="C58" s="2498"/>
      <c r="D58" s="2609">
        <f t="shared" ref="D58:J58" si="2484">SUM(D34:D57)</f>
        <v>35111907.099999994</v>
      </c>
      <c r="E58" s="2609">
        <f t="shared" si="2484"/>
        <v>28619948.799999993</v>
      </c>
      <c r="F58" s="2609">
        <f t="shared" si="2484"/>
        <v>0</v>
      </c>
      <c r="G58" s="2610">
        <f t="shared" si="2484"/>
        <v>63731855.899999999</v>
      </c>
      <c r="H58" s="2662">
        <f t="shared" si="2484"/>
        <v>0</v>
      </c>
      <c r="I58" s="2663">
        <f t="shared" si="2484"/>
        <v>0</v>
      </c>
      <c r="J58" s="2662">
        <f t="shared" si="2484"/>
        <v>0</v>
      </c>
      <c r="K58" s="2664">
        <f t="shared" si="2442"/>
        <v>0</v>
      </c>
      <c r="L58" s="2614">
        <f t="shared" si="2436"/>
        <v>63731855.899999999</v>
      </c>
      <c r="M58" s="2662">
        <f>SUM(M34:M57)</f>
        <v>0</v>
      </c>
      <c r="N58" s="2662">
        <f>SUM(N34:N57)</f>
        <v>0</v>
      </c>
      <c r="O58" s="2611">
        <f>SUM(O34:O57)</f>
        <v>0</v>
      </c>
      <c r="P58" s="2504">
        <f t="shared" si="2434"/>
        <v>0</v>
      </c>
      <c r="Q58" s="2505">
        <f>L58+P58</f>
        <v>63731855.899999999</v>
      </c>
      <c r="R58" s="2611">
        <f>SUM(R34:R57)</f>
        <v>0</v>
      </c>
      <c r="S58" s="2611">
        <f>SUM(S34:S57)</f>
        <v>0</v>
      </c>
      <c r="T58" s="2611">
        <f>SUM(T34:T57)</f>
        <v>0</v>
      </c>
      <c r="U58" s="2507">
        <f t="shared" si="2431"/>
        <v>0</v>
      </c>
      <c r="V58" s="2615">
        <f t="shared" si="2432"/>
        <v>63731855.899999999</v>
      </c>
      <c r="W58" s="2509"/>
      <c r="AC58" s="2665"/>
      <c r="AD58" s="2617">
        <f>AD57*100/AD$98</f>
        <v>98.044285156076995</v>
      </c>
      <c r="AE58" s="2618"/>
      <c r="AF58" s="2619">
        <f>AF57*100/AF$98</f>
        <v>5.8798487868390445</v>
      </c>
      <c r="AG58" s="2620"/>
      <c r="AH58" s="2617">
        <f>AH57*100/AH$98</f>
        <v>24.735694256932184</v>
      </c>
      <c r="AI58" s="2512"/>
      <c r="AJ58" s="2619">
        <f>AJ57*100/AJ$98</f>
        <v>21.860214409774208</v>
      </c>
      <c r="AK58" s="2620"/>
      <c r="AL58" s="2617">
        <f>AL57*100/AL$98</f>
        <v>36.029629629629632</v>
      </c>
      <c r="AM58" s="2618"/>
      <c r="AN58" s="2619">
        <f>AN57*100/AN$98</f>
        <v>22.32659033469421</v>
      </c>
      <c r="AO58" s="2620"/>
      <c r="AP58" s="2617">
        <f>AP57*100/AP$98</f>
        <v>6.5371535637680509</v>
      </c>
      <c r="AQ58" s="2618"/>
      <c r="AR58" s="2619">
        <f>AR57*100/AR$98</f>
        <v>50.486010174418595</v>
      </c>
      <c r="AS58" s="2620"/>
      <c r="AT58" s="2617">
        <f>AT57*100/AT$98</f>
        <v>24.585767790262175</v>
      </c>
      <c r="AU58" s="2618"/>
      <c r="AV58" s="2619">
        <f>AV57*100/AV$98</f>
        <v>18.029021779447966</v>
      </c>
      <c r="AW58" s="2620"/>
      <c r="AX58" s="2617">
        <f>AX57*100/AX$98</f>
        <v>0</v>
      </c>
      <c r="AY58" s="2618"/>
      <c r="AZ58" s="2619" t="e">
        <f>AZ57*100/AZ$98</f>
        <v>#DIV/0!</v>
      </c>
      <c r="BA58" s="2620"/>
      <c r="BB58" s="2617">
        <f>BB57*100/BB$98</f>
        <v>0</v>
      </c>
      <c r="BC58" s="2618"/>
      <c r="BD58" s="2619">
        <f>BD57*100/BD$98</f>
        <v>82.956259426847652</v>
      </c>
      <c r="BE58" s="2620"/>
      <c r="BF58" s="2617"/>
      <c r="BG58" s="2618"/>
      <c r="BH58" s="2619">
        <f>BH57*100/BH$98</f>
        <v>0</v>
      </c>
      <c r="BI58" s="2620"/>
      <c r="BJ58" s="2617">
        <f>BJ57*100/BJ$98</f>
        <v>0</v>
      </c>
      <c r="BK58" s="2618"/>
      <c r="BL58" s="2619">
        <f>BL57*100/BL$98</f>
        <v>37.647058823529406</v>
      </c>
      <c r="BM58" s="2621"/>
      <c r="BN58" s="2617">
        <f>BN57*100/BN$98</f>
        <v>88.940234134319169</v>
      </c>
      <c r="BO58" s="2618"/>
      <c r="BP58" s="2619">
        <f>BP57*100/BP$98</f>
        <v>57.263954094940011</v>
      </c>
      <c r="BQ58" s="2620"/>
      <c r="BR58" s="2617">
        <f>BR57*100/BR$98</f>
        <v>43.933955491744442</v>
      </c>
      <c r="BS58" s="2514">
        <f>$BR$1*BR58/100</f>
        <v>6295898.9794974886</v>
      </c>
      <c r="BT58" s="2622"/>
      <c r="BU58" s="2623"/>
      <c r="BV58" s="222"/>
      <c r="BX58">
        <f t="shared" si="2448"/>
        <v>0</v>
      </c>
      <c r="BY58" s="2418">
        <f t="shared" si="2449"/>
        <v>0</v>
      </c>
      <c r="CB58" s="2367">
        <f t="shared" ref="CB58:CB59" si="2485">AE59+AG59+AI59+AK59+AM59+AO59+AQ59+AS59+AU59+AW59+AY59+BA59+BC59+BE59+BG59+BI59+BK59+BM59+BO59+BQ59+BS59</f>
        <v>0</v>
      </c>
      <c r="CC58" s="2658"/>
      <c r="CD58" s="2659"/>
      <c r="CE58" s="2658"/>
      <c r="CF58" s="2658"/>
      <c r="CG58" s="2658"/>
      <c r="CH58" s="2624"/>
      <c r="CI58" s="2658"/>
      <c r="CJ58" s="2658"/>
      <c r="CK58" s="2658"/>
      <c r="CL58" s="2658"/>
      <c r="CM58" s="2658"/>
      <c r="CN58" s="2658"/>
    </row>
    <row r="59" ht="15.75">
      <c r="A59" s="794"/>
      <c r="B59" s="2666"/>
      <c r="C59" s="2519"/>
      <c r="D59" s="2520"/>
      <c r="E59" s="2520"/>
      <c r="F59" s="2520"/>
      <c r="G59" s="2625">
        <f t="shared" ref="G59:G68" si="2486">D59+E59+F59</f>
        <v>0</v>
      </c>
      <c r="H59" s="2626"/>
      <c r="I59" s="2523"/>
      <c r="J59" s="2627"/>
      <c r="K59" s="2524">
        <f t="shared" si="2442"/>
        <v>0</v>
      </c>
      <c r="L59" s="2540">
        <f t="shared" si="2436"/>
        <v>0</v>
      </c>
      <c r="M59" s="2525"/>
      <c r="N59" s="2525"/>
      <c r="O59" s="2526"/>
      <c r="P59" s="2527">
        <f t="shared" si="2434"/>
        <v>0</v>
      </c>
      <c r="Q59" s="2528">
        <f t="shared" si="2430"/>
        <v>0</v>
      </c>
      <c r="R59" s="2525"/>
      <c r="S59" s="2529"/>
      <c r="T59" s="2525"/>
      <c r="U59" s="2530">
        <f t="shared" si="2431"/>
        <v>0</v>
      </c>
      <c r="V59" s="2531">
        <f t="shared" si="2432"/>
        <v>0</v>
      </c>
      <c r="W59" s="2509"/>
      <c r="AC59" s="2483"/>
      <c r="AD59" s="2511"/>
      <c r="AE59" s="2512"/>
      <c r="AF59" s="2513"/>
      <c r="AG59" s="2514"/>
      <c r="AH59" s="2643"/>
      <c r="AI59" s="2644"/>
      <c r="AJ59" s="2645"/>
      <c r="AK59" s="2646"/>
      <c r="AL59" s="2643"/>
      <c r="AM59" s="2644"/>
      <c r="AN59" s="2647"/>
      <c r="AO59" s="2648"/>
      <c r="AP59" s="2643"/>
      <c r="AQ59" s="2644"/>
      <c r="AR59" s="2647"/>
      <c r="AS59" s="2648"/>
      <c r="AT59" s="2643"/>
      <c r="AU59" s="2644"/>
      <c r="AV59" s="2647"/>
      <c r="AW59" s="2648"/>
      <c r="AX59" s="2643"/>
      <c r="AY59" s="2644"/>
      <c r="AZ59" s="2647"/>
      <c r="BA59" s="2648"/>
      <c r="BB59" s="2630"/>
      <c r="BC59" s="2631"/>
      <c r="BD59" s="2513"/>
      <c r="BE59" s="2514"/>
      <c r="BF59" s="2637"/>
      <c r="BG59" s="2638"/>
      <c r="BH59" s="2636"/>
      <c r="BI59" s="2635"/>
      <c r="BJ59" s="2643"/>
      <c r="BK59" s="2644"/>
      <c r="BL59" s="2513"/>
      <c r="BM59" s="2516"/>
      <c r="BN59" s="2511"/>
      <c r="BO59" s="2512"/>
      <c r="BP59" s="2513"/>
      <c r="BQ59" s="2514"/>
      <c r="BR59" s="2649"/>
      <c r="BS59" s="2646"/>
      <c r="BT59" s="2517"/>
      <c r="BU59" s="2518"/>
      <c r="BV59" s="222"/>
      <c r="BX59">
        <f t="shared" si="2448"/>
        <v>0</v>
      </c>
      <c r="BY59" s="2418">
        <f t="shared" si="2449"/>
        <v>0</v>
      </c>
      <c r="CB59" s="2367">
        <f t="shared" si="2485"/>
        <v>0</v>
      </c>
      <c r="CD59" s="2377">
        <f t="shared" ref="CD59:CD66" si="2487">CB59*100/$CB$91</f>
        <v>0</v>
      </c>
      <c r="CF59" s="2418"/>
      <c r="CH59" s="2443"/>
    </row>
    <row r="60" ht="15.75">
      <c r="A60" s="247"/>
      <c r="B60" s="2483"/>
      <c r="C60" s="2498"/>
      <c r="G60" s="2640">
        <f t="shared" si="2486"/>
        <v>0</v>
      </c>
      <c r="H60" s="2641"/>
      <c r="I60" s="2642"/>
      <c r="J60" s="2650"/>
      <c r="K60" s="2533">
        <f t="shared" si="2442"/>
        <v>0</v>
      </c>
      <c r="L60" s="2501">
        <f t="shared" si="2436"/>
        <v>0</v>
      </c>
      <c r="N60" s="2370"/>
      <c r="O60" s="2370"/>
      <c r="P60" s="2535">
        <f t="shared" si="2434"/>
        <v>0</v>
      </c>
      <c r="Q60" s="2536">
        <f t="shared" si="2430"/>
        <v>0</v>
      </c>
      <c r="S60" s="2537"/>
      <c r="U60" s="2538">
        <f t="shared" si="2431"/>
        <v>0</v>
      </c>
      <c r="V60" s="2539">
        <f t="shared" si="2432"/>
        <v>0</v>
      </c>
      <c r="W60" s="2509"/>
      <c r="AC60" s="2388" t="s">
        <v>213</v>
      </c>
      <c r="AD60" s="2494">
        <f>АНАЛИЗ!G64</f>
        <v>0</v>
      </c>
      <c r="AE60" s="2532"/>
      <c r="AF60" s="2494">
        <f>АНАЛИЗ!I64</f>
        <v>0</v>
      </c>
      <c r="AG60" s="2532"/>
      <c r="AH60" s="2494">
        <f>АНАЛИЗ!K64</f>
        <v>0</v>
      </c>
      <c r="AI60" s="2532"/>
      <c r="AJ60" s="2494">
        <f>АНАЛИЗ!M64</f>
        <v>64699.147913603687</v>
      </c>
      <c r="AK60" s="2532"/>
      <c r="AL60" s="2494">
        <f>АНАЛИЗ!O64</f>
        <v>0</v>
      </c>
      <c r="AM60" s="2532"/>
      <c r="AN60" s="2494">
        <f>АНАЛИЗ!Q64</f>
        <v>94693.38850590025</v>
      </c>
      <c r="AO60" s="2532"/>
      <c r="AP60" s="2494">
        <f>АНАЛИЗ!S64</f>
        <v>0</v>
      </c>
      <c r="AQ60" s="2532"/>
      <c r="AR60" s="2494">
        <f>АНАЛИЗ!U64</f>
        <v>0</v>
      </c>
      <c r="AS60" s="2532"/>
      <c r="AT60" s="2494">
        <f>АНАЛИЗ!W64</f>
        <v>738.38409797872976</v>
      </c>
      <c r="AU60" s="2532"/>
      <c r="AV60" s="2494">
        <f>АНАЛИЗ!Y64</f>
        <v>30.423129365663897</v>
      </c>
      <c r="AW60" s="2532"/>
      <c r="AX60" s="2494">
        <f>АНАЛИЗ!AA64</f>
        <v>26500.972723631257</v>
      </c>
      <c r="AY60" s="2532"/>
      <c r="AZ60" s="2494">
        <f>АНАЛИЗ!AC64</f>
        <v>0</v>
      </c>
      <c r="BA60" s="2532"/>
      <c r="BB60" s="2494">
        <f>АНАЛИЗ!AE64</f>
        <v>281491.84397704096</v>
      </c>
      <c r="BC60" s="2532"/>
      <c r="BD60" s="2494">
        <f>АНАЛИЗ!AG64</f>
        <v>0</v>
      </c>
      <c r="BE60" s="2532"/>
      <c r="BF60" s="2494">
        <f>АНАЛИЗ!AI64</f>
        <v>825864.7258577199</v>
      </c>
      <c r="BG60" s="2532"/>
      <c r="BH60" s="2494">
        <f>АНАЛИЗ!AK64</f>
        <v>0</v>
      </c>
      <c r="BI60" s="2532"/>
      <c r="BJ60" s="2494">
        <f>АНАЛИЗ!AM64</f>
        <v>0</v>
      </c>
      <c r="BK60" s="2532"/>
      <c r="BL60" s="2494">
        <f>АНАЛИЗ!AO64</f>
        <v>16254.412859999999</v>
      </c>
      <c r="BM60" s="2532"/>
      <c r="BN60" s="2494">
        <f>АНАЛИЗ!AQ64</f>
        <v>0</v>
      </c>
      <c r="BO60" s="2532"/>
      <c r="BP60" s="2494">
        <f>АНАЛИЗ!AS64</f>
        <v>19165.589730665964</v>
      </c>
      <c r="BQ60" s="2532"/>
      <c r="BR60" s="2494">
        <f>АНАЛИЗ!AU64</f>
        <v>179263.51376712072</v>
      </c>
      <c r="BS60" s="865"/>
      <c r="BT60" s="2496"/>
      <c r="BU60" s="2497"/>
      <c r="BV60" s="222">
        <v>60</v>
      </c>
      <c r="BX60">
        <f t="shared" si="2448"/>
        <v>5.9760956175298805</v>
      </c>
      <c r="BY60" s="2418">
        <f t="shared" si="2449"/>
        <v>1950110.3846639777</v>
      </c>
      <c r="CB60" s="2367">
        <f t="shared" ref="CB60:CB69" si="2488">AE61+AG61+AI61+AK61+AM61+AO61+AQ61+AS61+AU61+AW61+AY61+BC61+BE61+BG61+BI61+BK61+BM61+BO61+BQ61+BS61</f>
        <v>13413509.76316952</v>
      </c>
      <c r="CD60" s="2377">
        <f t="shared" si="2487"/>
        <v>9.7024873031092227</v>
      </c>
      <c r="CE60" s="2369">
        <f>CD60*$CE$5/100</f>
        <v>14299769.62829278</v>
      </c>
      <c r="CF60" s="2418">
        <f t="shared" ref="CF60:CF66" si="2489">V61+CB60</f>
        <v>25824806.22316952</v>
      </c>
      <c r="CG60" s="2418">
        <f t="shared" ref="CG60:CG66" si="2490">V61+CB60+CE60</f>
        <v>40124575.851462305</v>
      </c>
      <c r="CH60" s="2462">
        <f t="shared" ref="CH60:CH66" si="2491">CE60+CF60</f>
        <v>40124575.851462305</v>
      </c>
    </row>
    <row r="61" ht="15.75">
      <c r="A61" s="283" t="s">
        <v>213</v>
      </c>
      <c r="B61" s="2388"/>
      <c r="C61" s="2498">
        <v>119</v>
      </c>
      <c r="D61" s="2499">
        <f>3407039.96+3592302.43</f>
        <v>6999342.3900000006</v>
      </c>
      <c r="E61" s="2499">
        <f>2958511.42+2453442.65</f>
        <v>5411954.0700000003</v>
      </c>
      <c r="F61" s="2499"/>
      <c r="G61" s="2652">
        <f t="shared" si="2486"/>
        <v>12411296.460000001</v>
      </c>
      <c r="H61" s="2486"/>
      <c r="I61" s="2487"/>
      <c r="J61" s="2486"/>
      <c r="K61" s="2488">
        <f t="shared" si="2442"/>
        <v>0</v>
      </c>
      <c r="L61" s="2489">
        <f t="shared" si="2436"/>
        <v>12411296.460000001</v>
      </c>
      <c r="M61" s="2502"/>
      <c r="N61" s="2503"/>
      <c r="O61" s="2503"/>
      <c r="P61" s="2504">
        <f t="shared" si="2434"/>
        <v>0</v>
      </c>
      <c r="Q61" s="2505">
        <f t="shared" si="2430"/>
        <v>12411296.460000001</v>
      </c>
      <c r="R61" s="2502"/>
      <c r="S61" s="2506"/>
      <c r="T61" s="2502"/>
      <c r="U61" s="2507">
        <f t="shared" si="2431"/>
        <v>0</v>
      </c>
      <c r="V61" s="2508">
        <f t="shared" si="2432"/>
        <v>12411296.460000001</v>
      </c>
      <c r="W61" s="2509"/>
      <c r="AC61" s="2590"/>
      <c r="AD61" s="2511">
        <f>AD60*100/AD$98</f>
        <v>0</v>
      </c>
      <c r="AE61" s="2532">
        <f>AD61*AD$1/100</f>
        <v>0</v>
      </c>
      <c r="AF61" s="2511">
        <f>AF60*100/AF$98</f>
        <v>0</v>
      </c>
      <c r="AG61" s="2532">
        <f>AF61*AF$1/100</f>
        <v>0</v>
      </c>
      <c r="AH61" s="2511">
        <f>AH60*100/AH$98</f>
        <v>0</v>
      </c>
      <c r="AI61" s="2532">
        <f>AH61*AH$1/100</f>
        <v>0</v>
      </c>
      <c r="AJ61" s="2511">
        <f>AJ60*100/AJ$98</f>
        <v>4.581661376295143</v>
      </c>
      <c r="AK61" s="2532">
        <f>AJ61*AJ$1/100</f>
        <v>0</v>
      </c>
      <c r="AL61" s="2511">
        <f>AL60*100/AL$98</f>
        <v>0</v>
      </c>
      <c r="AM61" s="2532">
        <f>AL61*AL$1/100</f>
        <v>0</v>
      </c>
      <c r="AN61" s="2511">
        <f>AN60*100/AN$98</f>
        <v>1.9886218293069757</v>
      </c>
      <c r="AO61" s="2532">
        <f>AN61*AN$1/100</f>
        <v>218772.05508497823</v>
      </c>
      <c r="AP61" s="2511">
        <f>AP60*100/AP$98</f>
        <v>0</v>
      </c>
      <c r="AQ61" s="2532">
        <f>AP61*AP$1/100</f>
        <v>0</v>
      </c>
      <c r="AR61" s="2511">
        <f>AR60*100/AR$98</f>
        <v>0</v>
      </c>
      <c r="AS61" s="2532">
        <f>AR61*AR$1/100</f>
        <v>0</v>
      </c>
      <c r="AT61" s="2511">
        <f>AT60*100/AT$98</f>
        <v>5.572284644194756</v>
      </c>
      <c r="AU61" s="2532">
        <f>AT61*AT$1/100</f>
        <v>298304.94926119852</v>
      </c>
      <c r="AV61" s="2511">
        <f>AV60*100/AV$98</f>
        <v>0.044960154063461259</v>
      </c>
      <c r="AW61" s="2532">
        <f>AV61*AV$1/100</f>
        <v>2919.0677751842431</v>
      </c>
      <c r="AX61" s="2511">
        <f>AX60*100/AX$98</f>
        <v>66.508189050070186</v>
      </c>
      <c r="AY61" s="2532">
        <f>AX61*AX$1/100</f>
        <v>2339979.1573510529</v>
      </c>
      <c r="AZ61" s="2511" t="e">
        <f>AZ60*100/AZ$98</f>
        <v>#DIV/0!</v>
      </c>
      <c r="BA61" s="2532" t="e">
        <f>AZ61*AZ$1/100</f>
        <v>#DIV/0!</v>
      </c>
      <c r="BB61" s="2511">
        <f>BB60*100/BB$98</f>
        <v>19.951923076923077</v>
      </c>
      <c r="BC61" s="2532">
        <f>BB61*BB$1/100</f>
        <v>313069.85480769229</v>
      </c>
      <c r="BD61" s="2511">
        <f>BD60*100/BD$98</f>
        <v>0</v>
      </c>
      <c r="BE61" s="2532">
        <f>BD61*BD$1/100</f>
        <v>0</v>
      </c>
      <c r="BF61" s="2511">
        <f>BF60*100/BF$98</f>
        <v>97.280966767371609</v>
      </c>
      <c r="BG61" s="2532">
        <f>BF61*BF$1/100</f>
        <v>8561817.8909969795</v>
      </c>
      <c r="BH61" s="2511">
        <f>BH60*100/BH$98</f>
        <v>0</v>
      </c>
      <c r="BI61" s="2532">
        <f>BH61*BH$1/100</f>
        <v>0</v>
      </c>
      <c r="BJ61" s="2511">
        <f>BJ60*100/BJ$98</f>
        <v>0</v>
      </c>
      <c r="BK61" s="2532">
        <f>BJ61*BJ$1/100</f>
        <v>0</v>
      </c>
      <c r="BL61" s="2511">
        <f>BL60*100/BL$98</f>
        <v>24.705882352941178</v>
      </c>
      <c r="BM61" s="2532">
        <f>BL61*BL$1/100</f>
        <v>0</v>
      </c>
      <c r="BN61" s="2511">
        <f>BN60*100/BN$98</f>
        <v>0</v>
      </c>
      <c r="BO61" s="2532">
        <f>BN61*BN$1/100</f>
        <v>0</v>
      </c>
      <c r="BP61" s="2511">
        <f>BP60*100/BP$98</f>
        <v>11.815336463223788</v>
      </c>
      <c r="BQ61" s="2532">
        <f>BP61*BP$1/100</f>
        <v>118388.59852895149</v>
      </c>
      <c r="BR61" s="2511">
        <f>BR60*100/BR$98</f>
        <v>10.887772194304858</v>
      </c>
      <c r="BS61" s="865">
        <f>BR61*BR$1/100</f>
        <v>1560258.1893634843</v>
      </c>
      <c r="BT61" s="2517">
        <f t="shared" si="2454"/>
        <v>13413509.76316952</v>
      </c>
      <c r="BU61" s="2518">
        <f t="shared" si="2455"/>
        <v>4851691.8721725401</v>
      </c>
      <c r="BV61" s="222"/>
      <c r="BX61">
        <f t="shared" si="2448"/>
        <v>0</v>
      </c>
      <c r="BY61" s="2418">
        <f t="shared" si="2449"/>
        <v>0</v>
      </c>
      <c r="CB61" s="2367">
        <f t="shared" si="2488"/>
        <v>0</v>
      </c>
      <c r="CD61" s="2377">
        <f t="shared" si="2487"/>
        <v>0</v>
      </c>
      <c r="CF61" s="2418">
        <f t="shared" si="2489"/>
        <v>0</v>
      </c>
      <c r="CG61" s="2418">
        <f t="shared" si="2490"/>
        <v>0</v>
      </c>
      <c r="CH61" s="2462">
        <f t="shared" si="2491"/>
        <v>0</v>
      </c>
    </row>
    <row r="62" ht="15.75">
      <c r="A62" s="437"/>
      <c r="B62" s="2592"/>
      <c r="C62" s="2667"/>
      <c r="D62" s="2520"/>
      <c r="E62" s="2520"/>
      <c r="F62" s="2520"/>
      <c r="G62" s="2625"/>
      <c r="H62" s="2626"/>
      <c r="I62" s="2523"/>
      <c r="J62" s="2522"/>
      <c r="K62" s="2524">
        <f t="shared" si="2442"/>
        <v>0</v>
      </c>
      <c r="L62" s="2540">
        <f t="shared" si="2436"/>
        <v>0</v>
      </c>
      <c r="M62" s="2525"/>
      <c r="N62" s="2526"/>
      <c r="O62" s="2668"/>
      <c r="P62" s="2527">
        <f t="shared" si="2434"/>
        <v>0</v>
      </c>
      <c r="Q62" s="2528">
        <f t="shared" si="2430"/>
        <v>0</v>
      </c>
      <c r="R62" s="2525"/>
      <c r="S62" s="2529"/>
      <c r="T62" s="2525"/>
      <c r="U62" s="2530">
        <f t="shared" si="2431"/>
        <v>0</v>
      </c>
      <c r="V62" s="2531">
        <f t="shared" si="2432"/>
        <v>0</v>
      </c>
      <c r="W62" s="2509"/>
      <c r="AC62" s="2388" t="s">
        <v>215</v>
      </c>
      <c r="AD62" s="2494">
        <f>АНАЛИЗ!G66</f>
        <v>0</v>
      </c>
      <c r="AE62" s="2532"/>
      <c r="AF62" s="2494">
        <f>АНАЛИЗ!I66</f>
        <v>0</v>
      </c>
      <c r="AG62" s="2532"/>
      <c r="AH62" s="2494">
        <f>АНАЛИЗ!K66</f>
        <v>0</v>
      </c>
      <c r="AI62" s="2532"/>
      <c r="AJ62" s="2494">
        <f>АНАЛИЗ!M66</f>
        <v>0</v>
      </c>
      <c r="AK62" s="2532"/>
      <c r="AL62" s="2494">
        <f>АНАЛИЗ!O66</f>
        <v>21668.329319685286</v>
      </c>
      <c r="AM62" s="2532"/>
      <c r="AN62" s="2494">
        <f>АНАЛИЗ!Q66</f>
        <v>227049.75067532551</v>
      </c>
      <c r="AO62" s="2532"/>
      <c r="AP62" s="2494">
        <f>АНАЛИЗ!S66</f>
        <v>7254.3657549889776</v>
      </c>
      <c r="AQ62" s="2532"/>
      <c r="AR62" s="2494">
        <f>АНАЛИЗ!U66</f>
        <v>0</v>
      </c>
      <c r="AS62" s="2532"/>
      <c r="AT62" s="2494">
        <f>АНАЛИЗ!W66</f>
        <v>179.85643037202018</v>
      </c>
      <c r="AU62" s="2532"/>
      <c r="AV62" s="2494">
        <f>АНАЛИЗ!Y66</f>
        <v>0</v>
      </c>
      <c r="AW62" s="2532"/>
      <c r="AX62" s="2494">
        <f>АНАЛИЗ!AA66</f>
        <v>0</v>
      </c>
      <c r="AY62" s="2532"/>
      <c r="AZ62" s="2494">
        <f>АНАЛИЗ!AC66</f>
        <v>0</v>
      </c>
      <c r="BA62" s="2532"/>
      <c r="BB62" s="2494">
        <f>АНАЛИЗ!AE66</f>
        <v>1129358.8439078873</v>
      </c>
      <c r="BC62" s="2532"/>
      <c r="BD62" s="2494">
        <f>АНАЛИЗ!AG66</f>
        <v>0</v>
      </c>
      <c r="BE62" s="2532"/>
      <c r="BF62" s="2494">
        <f>АНАЛИЗ!AI66</f>
        <v>23083.175567451795</v>
      </c>
      <c r="BG62" s="2532"/>
      <c r="BH62" s="2494">
        <f>АНАЛИЗ!AK66</f>
        <v>0</v>
      </c>
      <c r="BI62" s="2532"/>
      <c r="BJ62" s="2494">
        <f>АНАЛИЗ!AM66</f>
        <v>0</v>
      </c>
      <c r="BK62" s="2532"/>
      <c r="BL62" s="2494">
        <f>АНАЛИЗ!AO66</f>
        <v>16254.412859999999</v>
      </c>
      <c r="BM62" s="2532"/>
      <c r="BN62" s="2494">
        <f>АНАЛИЗ!AQ66</f>
        <v>0</v>
      </c>
      <c r="BO62" s="2532"/>
      <c r="BP62" s="2494">
        <f>АНАЛИЗ!AS66</f>
        <v>2771.1835041029153</v>
      </c>
      <c r="BQ62" s="2532"/>
      <c r="BR62" s="2494">
        <f>АНАЛИЗ!AU66</f>
        <v>42944.446155200349</v>
      </c>
      <c r="BS62" s="865"/>
      <c r="BT62" s="2496"/>
      <c r="BU62" s="2497"/>
      <c r="BV62" s="222">
        <v>60</v>
      </c>
      <c r="BX62">
        <f t="shared" si="2448"/>
        <v>5.9760956175298805</v>
      </c>
      <c r="BY62" s="2418">
        <f t="shared" si="2449"/>
        <v>1950110.3846639777</v>
      </c>
      <c r="CB62" s="2367">
        <f t="shared" si="2488"/>
        <v>4204465.5820503337</v>
      </c>
      <c r="CD62" s="2377">
        <f t="shared" si="2487"/>
        <v>3.0412453300040543</v>
      </c>
      <c r="CE62" s="2369">
        <f>CD62*$CE$5/100</f>
        <v>4482263.7993293609</v>
      </c>
      <c r="CF62" s="2418">
        <f t="shared" si="2489"/>
        <v>10422240.152050335</v>
      </c>
      <c r="CG62" s="2418">
        <f t="shared" si="2490"/>
        <v>14904503.951379696</v>
      </c>
      <c r="CH62" s="2462">
        <f t="shared" si="2491"/>
        <v>14904503.951379696</v>
      </c>
    </row>
    <row r="63" ht="15.75">
      <c r="A63" s="283" t="s">
        <v>215</v>
      </c>
      <c r="B63" s="2388"/>
      <c r="C63" s="2581">
        <v>118</v>
      </c>
      <c r="D63" s="2367">
        <v>3407742.7000000002</v>
      </c>
      <c r="E63" s="2367">
        <f>2810031.87</f>
        <v>2810031.8700000001</v>
      </c>
      <c r="G63" s="2652">
        <f t="shared" si="2486"/>
        <v>6217774.5700000003</v>
      </c>
      <c r="H63" s="2650"/>
      <c r="I63" s="2642"/>
      <c r="J63" s="2650"/>
      <c r="K63" s="2533">
        <f t="shared" si="2442"/>
        <v>0</v>
      </c>
      <c r="L63" s="2501">
        <f t="shared" si="2436"/>
        <v>6217774.5700000003</v>
      </c>
      <c r="N63" s="2534"/>
      <c r="O63" s="2534"/>
      <c r="P63" s="2535">
        <f t="shared" si="2434"/>
        <v>0</v>
      </c>
      <c r="Q63" s="2536">
        <f t="shared" si="2430"/>
        <v>6217774.5700000003</v>
      </c>
      <c r="S63" s="2537"/>
      <c r="U63" s="2538">
        <f t="shared" si="2431"/>
        <v>0</v>
      </c>
      <c r="V63" s="2539">
        <f t="shared" si="2432"/>
        <v>6217774.5700000003</v>
      </c>
      <c r="W63" s="2509"/>
      <c r="AC63" s="2590"/>
      <c r="AD63" s="2511">
        <f>AD62*100/AD$98</f>
        <v>0</v>
      </c>
      <c r="AE63" s="2532">
        <f t="shared" ref="AE63:AK67" si="2492">AD63*AD$1/100</f>
        <v>0</v>
      </c>
      <c r="AF63" s="2511">
        <f>AF62*100/AF$98</f>
        <v>0</v>
      </c>
      <c r="AG63" s="2532">
        <f t="shared" si="2492"/>
        <v>0</v>
      </c>
      <c r="AH63" s="2511">
        <f>AH62*100/AH$98</f>
        <v>0</v>
      </c>
      <c r="AI63" s="2532">
        <f t="shared" si="2492"/>
        <v>0</v>
      </c>
      <c r="AJ63" s="2511">
        <f>AJ62*100/AJ$98</f>
        <v>0</v>
      </c>
      <c r="AK63" s="2532">
        <f t="shared" si="2492"/>
        <v>0</v>
      </c>
      <c r="AL63" s="2511">
        <f>AL62*100/AL$98</f>
        <v>7.8400000000000016</v>
      </c>
      <c r="AM63" s="2532">
        <f>AL63*AL$1/100</f>
        <v>105988.03252800001</v>
      </c>
      <c r="AN63" s="2511">
        <f>AN62*100/AN$98</f>
        <v>4.7681902364654007</v>
      </c>
      <c r="AO63" s="2532">
        <f>AN63*AN$1/100</f>
        <v>524557.6417267808</v>
      </c>
      <c r="AP63" s="2511">
        <f>AP62*100/AP$98</f>
        <v>25.309441782187992</v>
      </c>
      <c r="AQ63" s="2532">
        <f>AP63*AP$1/100</f>
        <v>1615007.5021062624</v>
      </c>
      <c r="AR63" s="2511">
        <f>AR62*100/AR$98</f>
        <v>0</v>
      </c>
      <c r="AS63" s="2532">
        <f t="shared" ref="AS63:BS67" si="2493">AR63*AR$1/100</f>
        <v>0</v>
      </c>
      <c r="AT63" s="2511">
        <f>AT62*100/AT$98</f>
        <v>1.3573033707865167</v>
      </c>
      <c r="AU63" s="2532">
        <f t="shared" si="2493"/>
        <v>72661.455580224705</v>
      </c>
      <c r="AV63" s="2511">
        <f>AV62*100/AV$98</f>
        <v>0</v>
      </c>
      <c r="AW63" s="2532">
        <f t="shared" si="2493"/>
        <v>0</v>
      </c>
      <c r="AX63" s="2511">
        <f>AX62*100/AX$98</f>
        <v>0</v>
      </c>
      <c r="AY63" s="2532">
        <f t="shared" si="2493"/>
        <v>0</v>
      </c>
      <c r="AZ63" s="2511" t="e">
        <f>AZ62*100/AZ$98</f>
        <v>#DIV/0!</v>
      </c>
      <c r="BA63" s="2532" t="e">
        <f t="shared" si="2493"/>
        <v>#DIV/0!</v>
      </c>
      <c r="BB63" s="2511">
        <f>BB62*100/BB$98</f>
        <v>80.048076923076934</v>
      </c>
      <c r="BC63" s="2532">
        <f t="shared" si="2493"/>
        <v>1256051.3451923078</v>
      </c>
      <c r="BD63" s="2511">
        <f>BD62*100/BD$98</f>
        <v>0</v>
      </c>
      <c r="BE63" s="2532">
        <f t="shared" si="2493"/>
        <v>0</v>
      </c>
      <c r="BF63" s="2511">
        <f>BF62*100/BF$98</f>
        <v>2.7190332326283984</v>
      </c>
      <c r="BG63" s="2532">
        <f t="shared" si="2493"/>
        <v>239305.46900302108</v>
      </c>
      <c r="BH63" s="2511">
        <f>BH62*100/BH$98</f>
        <v>0</v>
      </c>
      <c r="BI63" s="2532">
        <f t="shared" si="2493"/>
        <v>0</v>
      </c>
      <c r="BJ63" s="2511">
        <f>BJ62*100/BJ$98</f>
        <v>0</v>
      </c>
      <c r="BK63" s="2532">
        <f t="shared" si="2493"/>
        <v>0</v>
      </c>
      <c r="BL63" s="2511">
        <f>BL62*100/BL$98</f>
        <v>24.705882352941178</v>
      </c>
      <c r="BM63" s="2532">
        <f t="shared" si="2493"/>
        <v>0</v>
      </c>
      <c r="BN63" s="2511">
        <f>BN62*100/BN$98</f>
        <v>0</v>
      </c>
      <c r="BO63" s="2532">
        <f t="shared" si="2493"/>
        <v>0</v>
      </c>
      <c r="BP63" s="2511">
        <f>BP62*100/BP$98</f>
        <v>1.7083985393844547</v>
      </c>
      <c r="BQ63" s="2532">
        <f t="shared" si="2493"/>
        <v>17117.998242044858</v>
      </c>
      <c r="BR63" s="2511">
        <f>BR62*100/BR$98</f>
        <v>2.6082794927016035</v>
      </c>
      <c r="BS63" s="865">
        <f t="shared" si="2493"/>
        <v>373776.13767169183</v>
      </c>
      <c r="BT63" s="2517">
        <f t="shared" si="2454"/>
        <v>4204465.5820503337</v>
      </c>
      <c r="BU63" s="2518">
        <f t="shared" si="2455"/>
        <v>3965160.1130473125</v>
      </c>
      <c r="BV63" s="222"/>
      <c r="BX63">
        <f t="shared" si="2448"/>
        <v>0</v>
      </c>
      <c r="BY63" s="2418">
        <f t="shared" si="2449"/>
        <v>0</v>
      </c>
      <c r="CB63" s="2367">
        <f t="shared" si="2488"/>
        <v>0</v>
      </c>
      <c r="CD63" s="2377">
        <f t="shared" si="2487"/>
        <v>0</v>
      </c>
      <c r="CF63" s="2418">
        <f t="shared" si="2489"/>
        <v>0</v>
      </c>
      <c r="CG63" s="2418">
        <f t="shared" si="2490"/>
        <v>0</v>
      </c>
      <c r="CH63" s="2462">
        <f t="shared" si="2491"/>
        <v>0</v>
      </c>
    </row>
    <row r="64" ht="15.75">
      <c r="A64" s="437"/>
      <c r="B64" s="2592"/>
      <c r="C64" s="2667"/>
      <c r="G64" s="2625"/>
      <c r="H64" s="2641"/>
      <c r="I64" s="2642"/>
      <c r="J64" s="2650"/>
      <c r="K64" s="2533">
        <f t="shared" si="2442"/>
        <v>0</v>
      </c>
      <c r="L64" s="2501">
        <f t="shared" si="2436"/>
        <v>0</v>
      </c>
      <c r="N64" s="2370"/>
      <c r="O64" s="2370"/>
      <c r="P64" s="2535">
        <f t="shared" si="2434"/>
        <v>0</v>
      </c>
      <c r="Q64" s="2536">
        <f t="shared" si="2430"/>
        <v>0</v>
      </c>
      <c r="S64" s="2537"/>
      <c r="U64" s="2538">
        <f t="shared" si="2431"/>
        <v>0</v>
      </c>
      <c r="V64" s="2539">
        <f t="shared" si="2432"/>
        <v>0</v>
      </c>
      <c r="W64" s="2509"/>
      <c r="AC64" s="2388" t="s">
        <v>218</v>
      </c>
      <c r="AD64" s="2494">
        <f>АНАЛИЗ!G68</f>
        <v>0</v>
      </c>
      <c r="AE64" s="2532"/>
      <c r="AF64" s="2494">
        <f>АНАЛИЗ!I68</f>
        <v>0</v>
      </c>
      <c r="AG64" s="2532"/>
      <c r="AH64" s="2494">
        <f>АНАЛИЗ!K68</f>
        <v>0</v>
      </c>
      <c r="AI64" s="2532"/>
      <c r="AJ64" s="2494">
        <f>АНАЛИЗ!M68</f>
        <v>7865.3866091047612</v>
      </c>
      <c r="AK64" s="2532"/>
      <c r="AL64" s="2494">
        <f>АНАЛИЗ!O68</f>
        <v>35786.318642110622</v>
      </c>
      <c r="AM64" s="2532"/>
      <c r="AN64" s="2494">
        <f>АНАЛИЗ!Q68</f>
        <v>95984.551251156925</v>
      </c>
      <c r="AO64" s="2532"/>
      <c r="AP64" s="2494">
        <f>АНАЛИЗ!S68</f>
        <v>129.88585900842332</v>
      </c>
      <c r="AQ64" s="2532"/>
      <c r="AR64" s="2494">
        <f>АНАЛИЗ!U68</f>
        <v>0</v>
      </c>
      <c r="AS64" s="2532"/>
      <c r="AT64" s="2494">
        <f>АНАЛИЗ!W68</f>
        <v>0</v>
      </c>
      <c r="AU64" s="2532"/>
      <c r="AV64" s="2494">
        <f>АНАЛИЗ!Y68</f>
        <v>0</v>
      </c>
      <c r="AW64" s="2532"/>
      <c r="AX64" s="2494">
        <f>АНАЛИЗ!AA68</f>
        <v>0</v>
      </c>
      <c r="AY64" s="2532"/>
      <c r="AZ64" s="2494">
        <f>АНАЛИЗ!AC68</f>
        <v>0</v>
      </c>
      <c r="BA64" s="2532"/>
      <c r="BB64" s="2494">
        <f>АНАЛИЗ!AE68</f>
        <v>0</v>
      </c>
      <c r="BC64" s="2532"/>
      <c r="BD64" s="2494">
        <f>АНАЛИЗ!AG68</f>
        <v>0</v>
      </c>
      <c r="BE64" s="2532"/>
      <c r="BF64" s="2494">
        <f>АНАЛИЗ!AI68</f>
        <v>0</v>
      </c>
      <c r="BG64" s="2532"/>
      <c r="BH64" s="2494">
        <f>АНАЛИЗ!AK68</f>
        <v>1872186.1896896202</v>
      </c>
      <c r="BI64" s="2532"/>
      <c r="BJ64" s="2494">
        <f>АНАЛИЗ!AM68</f>
        <v>0</v>
      </c>
      <c r="BK64" s="2532"/>
      <c r="BL64" s="2494">
        <f>АНАЛИЗ!AO68</f>
        <v>7353.1867699999993</v>
      </c>
      <c r="BM64" s="2532"/>
      <c r="BN64" s="2494">
        <f>АНАЛИЗ!AQ68</f>
        <v>0</v>
      </c>
      <c r="BO64" s="2532"/>
      <c r="BP64" s="2494">
        <f>АНАЛИЗ!AS68</f>
        <v>17282.877273680013</v>
      </c>
      <c r="BQ64" s="2532"/>
      <c r="BR64" s="2494">
        <f>АНАЛИЗ!AU68</f>
        <v>199356.78673882</v>
      </c>
      <c r="BS64" s="865"/>
      <c r="BT64" s="2496"/>
      <c r="BU64" s="2497"/>
      <c r="BV64" s="222">
        <v>30</v>
      </c>
      <c r="BX64">
        <f t="shared" si="2448"/>
        <v>2.9880478087649402</v>
      </c>
      <c r="BY64" s="2418">
        <f t="shared" si="2449"/>
        <v>975055.19233198883</v>
      </c>
      <c r="CB64" s="2367">
        <f t="shared" si="2488"/>
        <v>11941989.850004571</v>
      </c>
      <c r="CD64" s="2377">
        <f t="shared" si="2487"/>
        <v>8.6380825704300968</v>
      </c>
      <c r="CE64" s="2369">
        <f>CD64*$CE$5/100</f>
        <v>12731023.182863424</v>
      </c>
      <c r="CF64" s="2418">
        <f t="shared" si="2489"/>
        <v>26669379.180004567</v>
      </c>
      <c r="CG64" s="2418">
        <f t="shared" si="2490"/>
        <v>39400402.362867989</v>
      </c>
      <c r="CH64" s="2462">
        <f t="shared" si="2491"/>
        <v>39400402.362867989</v>
      </c>
    </row>
    <row r="65" ht="15.75">
      <c r="A65" s="283" t="s">
        <v>218</v>
      </c>
      <c r="B65" s="2388"/>
      <c r="C65" s="2581">
        <v>190</v>
      </c>
      <c r="D65" s="2499">
        <f>3165588.31+4623885.56+236448.62+131116.74</f>
        <v>8157039.2299999995</v>
      </c>
      <c r="E65" s="2499">
        <f>2724486.49+226654.51+3619209.1</f>
        <v>6570350.0999999996</v>
      </c>
      <c r="F65" s="2499"/>
      <c r="G65" s="2652">
        <f t="shared" si="2486"/>
        <v>14727389.329999998</v>
      </c>
      <c r="H65" s="2486"/>
      <c r="I65" s="2487"/>
      <c r="J65" s="2486"/>
      <c r="K65" s="2488">
        <f t="shared" si="2442"/>
        <v>0</v>
      </c>
      <c r="L65" s="2489">
        <f t="shared" si="2436"/>
        <v>14727389.329999998</v>
      </c>
      <c r="M65" s="2502"/>
      <c r="N65" s="2503"/>
      <c r="O65" s="2503"/>
      <c r="P65" s="2504">
        <f t="shared" si="2434"/>
        <v>0</v>
      </c>
      <c r="Q65" s="2505">
        <f t="shared" si="2430"/>
        <v>14727389.329999998</v>
      </c>
      <c r="R65" s="2502"/>
      <c r="S65" s="2506"/>
      <c r="T65" s="2502"/>
      <c r="U65" s="2507">
        <f t="shared" si="2431"/>
        <v>0</v>
      </c>
      <c r="V65" s="2508">
        <f t="shared" si="2432"/>
        <v>14727389.329999998</v>
      </c>
      <c r="W65" s="2509"/>
      <c r="AC65" s="2590"/>
      <c r="AD65" s="2547">
        <f>AD64*100/AD$98</f>
        <v>0</v>
      </c>
      <c r="AE65" s="2669">
        <f t="shared" si="2492"/>
        <v>0</v>
      </c>
      <c r="AF65" s="2547">
        <f>AF64*100/AF$98</f>
        <v>0</v>
      </c>
      <c r="AG65" s="2669">
        <f t="shared" si="2492"/>
        <v>0</v>
      </c>
      <c r="AH65" s="2547">
        <f>AH64*100/AH$98</f>
        <v>0</v>
      </c>
      <c r="AI65" s="2669">
        <f t="shared" si="2492"/>
        <v>0</v>
      </c>
      <c r="AJ65" s="2547">
        <f>AJ64*100/AJ$98</f>
        <v>0.55698628496137026</v>
      </c>
      <c r="AK65" s="2669">
        <f t="shared" si="2492"/>
        <v>0</v>
      </c>
      <c r="AL65" s="2547">
        <f>AL64*100/AL$98</f>
        <v>12.94814814814815</v>
      </c>
      <c r="AM65" s="2669">
        <f>AL65*AL$1/100</f>
        <v>175044.48304888888</v>
      </c>
      <c r="AN65" s="2547">
        <f>AN64*100/AN$98</f>
        <v>2.0157370742139142</v>
      </c>
      <c r="AO65" s="2669">
        <f>AN65*AN$1/100</f>
        <v>221755.05454973353</v>
      </c>
      <c r="AP65" s="2547">
        <f>AP64*100/AP$98</f>
        <v>0.45315313535747725</v>
      </c>
      <c r="AQ65" s="2669">
        <f>AP65*AP$1/100</f>
        <v>28915.91681489992</v>
      </c>
      <c r="AR65" s="2547">
        <f>AR64*100/AR$98</f>
        <v>0</v>
      </c>
      <c r="AS65" s="2669">
        <f t="shared" si="2493"/>
        <v>0</v>
      </c>
      <c r="AT65" s="2547">
        <f>AT64*100/AT$98</f>
        <v>0</v>
      </c>
      <c r="AU65" s="2669">
        <f t="shared" si="2493"/>
        <v>0</v>
      </c>
      <c r="AV65" s="2547">
        <f>AV64*100/AV$98</f>
        <v>0</v>
      </c>
      <c r="AW65" s="2669">
        <f t="shared" si="2493"/>
        <v>0</v>
      </c>
      <c r="AX65" s="2547">
        <f>AX64*100/AX$98</f>
        <v>0</v>
      </c>
      <c r="AY65" s="2669">
        <f t="shared" si="2493"/>
        <v>0</v>
      </c>
      <c r="AZ65" s="2547" t="e">
        <f>AZ64*100/AZ$98</f>
        <v>#DIV/0!</v>
      </c>
      <c r="BA65" s="2669" t="e">
        <f t="shared" si="2493"/>
        <v>#DIV/0!</v>
      </c>
      <c r="BB65" s="2547">
        <f>BB64*100/BB$98</f>
        <v>0</v>
      </c>
      <c r="BC65" s="2669">
        <f t="shared" si="2493"/>
        <v>0</v>
      </c>
      <c r="BD65" s="2547">
        <f>BD64*100/BD$98</f>
        <v>0</v>
      </c>
      <c r="BE65" s="2669">
        <f t="shared" si="2493"/>
        <v>0</v>
      </c>
      <c r="BF65" s="2547">
        <f>BF64*100/BF$98</f>
        <v>0</v>
      </c>
      <c r="BG65" s="2669">
        <f t="shared" si="2493"/>
        <v>0</v>
      </c>
      <c r="BH65" s="2547">
        <f>BH64*100/BH$98</f>
        <v>100</v>
      </c>
      <c r="BI65" s="2669">
        <f t="shared" si="2493"/>
        <v>9674371.3099999987</v>
      </c>
      <c r="BJ65" s="2547">
        <f>BJ64*100/BJ$98</f>
        <v>0</v>
      </c>
      <c r="BK65" s="2669">
        <f t="shared" si="2493"/>
        <v>0</v>
      </c>
      <c r="BL65" s="2547">
        <f>BL64*100/BL$98</f>
        <v>11.176470588235293</v>
      </c>
      <c r="BM65" s="2669">
        <f t="shared" si="2493"/>
        <v>0</v>
      </c>
      <c r="BN65" s="2547">
        <f>BN64*100/BN$98</f>
        <v>0</v>
      </c>
      <c r="BO65" s="2669">
        <f t="shared" si="2493"/>
        <v>0</v>
      </c>
      <c r="BP65" s="2547">
        <f>BP64*100/BP$98</f>
        <v>10.654668753260303</v>
      </c>
      <c r="BQ65" s="2669">
        <f t="shared" si="2493"/>
        <v>106758.81346374544</v>
      </c>
      <c r="BR65" s="2547">
        <f>BR64*100/BR$98</f>
        <v>12.108159846853317</v>
      </c>
      <c r="BS65" s="2670">
        <f t="shared" si="2493"/>
        <v>1735144.2721273038</v>
      </c>
      <c r="BT65" s="2517">
        <f t="shared" si="2454"/>
        <v>11941989.850004571</v>
      </c>
      <c r="BU65" s="2518">
        <f t="shared" si="2455"/>
        <v>2267618.5400045719</v>
      </c>
      <c r="BV65" s="222"/>
      <c r="CB65" s="2367">
        <f t="shared" si="2488"/>
        <v>0</v>
      </c>
      <c r="CD65" s="2377">
        <f t="shared" si="2487"/>
        <v>0</v>
      </c>
      <c r="CF65" s="2418">
        <f t="shared" si="2489"/>
        <v>0</v>
      </c>
      <c r="CG65" s="2418">
        <f t="shared" si="2490"/>
        <v>0</v>
      </c>
      <c r="CH65" s="2462">
        <f t="shared" si="2491"/>
        <v>0</v>
      </c>
    </row>
    <row r="66" ht="15.75">
      <c r="A66" s="437"/>
      <c r="B66" s="2592"/>
      <c r="C66" s="2667"/>
      <c r="D66" s="2520"/>
      <c r="E66" s="2520"/>
      <c r="F66" s="2520"/>
      <c r="G66" s="2625"/>
      <c r="H66" s="2626"/>
      <c r="I66" s="2523"/>
      <c r="J66" s="2522"/>
      <c r="K66" s="2524">
        <f t="shared" si="2442"/>
        <v>0</v>
      </c>
      <c r="L66" s="2540">
        <f t="shared" si="2436"/>
        <v>0</v>
      </c>
      <c r="M66" s="2525"/>
      <c r="N66" s="2526"/>
      <c r="O66" s="2526"/>
      <c r="P66" s="2527">
        <f t="shared" si="2434"/>
        <v>0</v>
      </c>
      <c r="Q66" s="2528">
        <f t="shared" si="2430"/>
        <v>0</v>
      </c>
      <c r="R66" s="2525"/>
      <c r="S66" s="2529"/>
      <c r="T66" s="2525"/>
      <c r="U66" s="2530">
        <f t="shared" si="2431"/>
        <v>0</v>
      </c>
      <c r="V66" s="2531">
        <f t="shared" si="2432"/>
        <v>0</v>
      </c>
      <c r="W66" s="2509"/>
      <c r="AC66" s="2388" t="s">
        <v>222</v>
      </c>
      <c r="AD66" s="2671">
        <f>АНАЛИЗ!G70</f>
        <v>0</v>
      </c>
      <c r="AE66" s="2672"/>
      <c r="AF66" s="2671">
        <f>АНАЛИЗ!I70</f>
        <v>0</v>
      </c>
      <c r="AG66" s="2672"/>
      <c r="AH66" s="2671">
        <f>АНАЛИЗ!K70</f>
        <v>0</v>
      </c>
      <c r="AI66" s="2672"/>
      <c r="AJ66" s="2671">
        <f>АНАЛИЗ!M70</f>
        <v>0</v>
      </c>
      <c r="AK66" s="2672"/>
      <c r="AL66" s="2671">
        <f>АНАЛИЗ!O70</f>
        <v>0</v>
      </c>
      <c r="AM66" s="2672"/>
      <c r="AN66" s="2671">
        <f>АНАЛИЗ!Q70</f>
        <v>0</v>
      </c>
      <c r="AO66" s="2672"/>
      <c r="AP66" s="2671">
        <f>АНАЛИЗ!S70</f>
        <v>0</v>
      </c>
      <c r="AQ66" s="2672"/>
      <c r="AR66" s="2671">
        <f>АНАЛИЗ!U70</f>
        <v>0</v>
      </c>
      <c r="AS66" s="2672"/>
      <c r="AT66" s="2671">
        <f>АНАЛИЗ!W70</f>
        <v>0</v>
      </c>
      <c r="AU66" s="2672"/>
      <c r="AV66" s="2671">
        <f>АНАЛИЗ!Y70</f>
        <v>0</v>
      </c>
      <c r="AW66" s="2672"/>
      <c r="AX66" s="2671">
        <f>АНАЛИЗ!AA70</f>
        <v>0</v>
      </c>
      <c r="AY66" s="2672"/>
      <c r="AZ66" s="2671">
        <f>АНАЛИЗ!AC70</f>
        <v>0</v>
      </c>
      <c r="BA66" s="2672"/>
      <c r="BB66" s="2671">
        <f>АНАЛИЗ!AE70</f>
        <v>0</v>
      </c>
      <c r="BC66" s="2672"/>
      <c r="BD66" s="2671">
        <f>АНАЛИЗ!AG70</f>
        <v>0</v>
      </c>
      <c r="BE66" s="2672"/>
      <c r="BF66" s="2671">
        <f>АНАЛИЗ!AI70</f>
        <v>0</v>
      </c>
      <c r="BG66" s="2672"/>
      <c r="BH66" s="2671">
        <f>АНАЛИЗ!AK70</f>
        <v>0</v>
      </c>
      <c r="BI66" s="2672"/>
      <c r="BJ66" s="2671">
        <f>АНАЛИЗ!AM70</f>
        <v>0</v>
      </c>
      <c r="BK66" s="2672"/>
      <c r="BL66" s="2671">
        <f>АНАЛИЗ!AO70</f>
        <v>1161.0294899999999</v>
      </c>
      <c r="BM66" s="2672"/>
      <c r="BN66" s="2671">
        <f>АНАЛИЗ!AQ70</f>
        <v>0</v>
      </c>
      <c r="BO66" s="2672"/>
      <c r="BP66" s="2671">
        <f>АНАЛИЗ!AS70</f>
        <v>1819.2502393347384</v>
      </c>
      <c r="BQ66" s="2672"/>
      <c r="BR66" s="2671">
        <f>АНАЛИЗ!AU70</f>
        <v>0</v>
      </c>
      <c r="BS66" s="2673"/>
      <c r="BT66" s="2496"/>
      <c r="BU66" s="2497"/>
      <c r="BV66" s="222"/>
      <c r="BX66" s="2674">
        <f>SUM(BX7:BX65)</f>
        <v>105.97609561752989</v>
      </c>
      <c r="BY66" s="2675">
        <f>SUM(BY7:BY65)</f>
        <v>34581957.488041207</v>
      </c>
      <c r="CA66" s="2373" t="s">
        <v>902</v>
      </c>
      <c r="CB66" s="2367">
        <f t="shared" si="2488"/>
        <v>11237.769838288992</v>
      </c>
      <c r="CD66" s="2377">
        <f t="shared" si="2487"/>
        <v>0.0081286942117600302</v>
      </c>
      <c r="CE66" s="2369">
        <f>CD66*$CE$5/100</f>
        <v>11980.273818009126</v>
      </c>
      <c r="CF66" s="2418">
        <f t="shared" si="2489"/>
        <v>2108940.7598382886</v>
      </c>
      <c r="CG66" s="2418">
        <f t="shared" si="2490"/>
        <v>2120921.0336562977</v>
      </c>
      <c r="CH66" s="2462">
        <f t="shared" si="2491"/>
        <v>2120921.0336562977</v>
      </c>
    </row>
    <row r="67" ht="15.75">
      <c r="A67" s="283" t="s">
        <v>222</v>
      </c>
      <c r="B67" s="2388"/>
      <c r="C67" s="2581">
        <v>199</v>
      </c>
      <c r="D67" s="2367">
        <f>688057.35+139503.49</f>
        <v>827560.83999999997</v>
      </c>
      <c r="E67" s="2367">
        <f>642497.26+543429.98+84214.91</f>
        <v>1270142.1499999999</v>
      </c>
      <c r="G67" s="2652">
        <f t="shared" si="2486"/>
        <v>2097702.9899999998</v>
      </c>
      <c r="H67" s="2650"/>
      <c r="I67" s="2642"/>
      <c r="J67" s="2650"/>
      <c r="K67" s="2533">
        <f t="shared" si="2442"/>
        <v>0</v>
      </c>
      <c r="L67" s="2501">
        <f t="shared" si="2436"/>
        <v>2097702.9899999998</v>
      </c>
      <c r="N67" s="2534"/>
      <c r="O67" s="2534"/>
      <c r="P67" s="2535">
        <f t="shared" si="2434"/>
        <v>0</v>
      </c>
      <c r="Q67" s="2536">
        <f t="shared" si="2430"/>
        <v>2097702.9899999998</v>
      </c>
      <c r="S67" s="2537"/>
      <c r="U67" s="2538">
        <f t="shared" si="2431"/>
        <v>0</v>
      </c>
      <c r="V67" s="2539">
        <f>Q67+U67</f>
        <v>2097702.9899999998</v>
      </c>
      <c r="W67" s="2509"/>
      <c r="AC67" s="2590"/>
      <c r="AD67" s="2676">
        <f>AD66*100/AD$98</f>
        <v>0</v>
      </c>
      <c r="AE67" s="2677">
        <f t="shared" si="2492"/>
        <v>0</v>
      </c>
      <c r="AF67" s="2676">
        <f>AF66*100/AF$98</f>
        <v>0</v>
      </c>
      <c r="AG67" s="2677">
        <f>AF67*AF$1/100</f>
        <v>0</v>
      </c>
      <c r="AH67" s="2676">
        <f>AH66*100/AH$98</f>
        <v>0</v>
      </c>
      <c r="AI67" s="2677">
        <f>AH67*AH$1/100</f>
        <v>0</v>
      </c>
      <c r="AJ67" s="2676">
        <f>AJ66*100/AJ$98</f>
        <v>0</v>
      </c>
      <c r="AK67" s="2677">
        <f>AJ67*AJ$1/100</f>
        <v>0</v>
      </c>
      <c r="AL67" s="2676">
        <f>AL66*100/AL$98</f>
        <v>0</v>
      </c>
      <c r="AM67" s="2677">
        <f>AL67*AL$1/100</f>
        <v>0</v>
      </c>
      <c r="AN67" s="2676">
        <f>AN66*100/AN$98</f>
        <v>0</v>
      </c>
      <c r="AO67" s="2677">
        <f>AN67*AN$1/100</f>
        <v>0</v>
      </c>
      <c r="AP67" s="2676">
        <f>AP66*100/AP$98</f>
        <v>0</v>
      </c>
      <c r="AQ67" s="2677">
        <f>AP67*AP$1/100</f>
        <v>0</v>
      </c>
      <c r="AR67" s="2676">
        <f>AR66*100/AR$98</f>
        <v>0</v>
      </c>
      <c r="AS67" s="2677">
        <f t="shared" si="2493"/>
        <v>0</v>
      </c>
      <c r="AT67" s="2676">
        <f>AT66*100/AT$98</f>
        <v>0</v>
      </c>
      <c r="AU67" s="2677">
        <f>AT67*AT$1/100</f>
        <v>0</v>
      </c>
      <c r="AV67" s="2676">
        <f>AV66*100/AV$98</f>
        <v>0</v>
      </c>
      <c r="AW67" s="2677">
        <f>AV67*AV$1/100</f>
        <v>0</v>
      </c>
      <c r="AX67" s="2676">
        <f>AX66*100/AX$98</f>
        <v>0</v>
      </c>
      <c r="AY67" s="2677">
        <f>AX67*AX$1/100</f>
        <v>0</v>
      </c>
      <c r="AZ67" s="2676" t="e">
        <f>AZ66*100/AZ$98</f>
        <v>#DIV/0!</v>
      </c>
      <c r="BA67" s="2677" t="e">
        <f>AZ67*AZ$1/100</f>
        <v>#DIV/0!</v>
      </c>
      <c r="BB67" s="2676">
        <f>BB66*100/BB$98</f>
        <v>0</v>
      </c>
      <c r="BC67" s="2677">
        <f>BB67*BB$1/100</f>
        <v>0</v>
      </c>
      <c r="BD67" s="2676">
        <f>BD66*100/BD$98</f>
        <v>0</v>
      </c>
      <c r="BE67" s="2677">
        <f>BD67*BD$1/100</f>
        <v>0</v>
      </c>
      <c r="BF67" s="2676">
        <f>BF66*100/BF$98</f>
        <v>0</v>
      </c>
      <c r="BG67" s="2677">
        <f>BF67*BF$1/100</f>
        <v>0</v>
      </c>
      <c r="BH67" s="2676">
        <f>BH66*100/BH$98</f>
        <v>0</v>
      </c>
      <c r="BI67" s="2677">
        <f>BH67*BH$1/100</f>
        <v>0</v>
      </c>
      <c r="BJ67" s="2676">
        <f>BJ66*100/BJ$98</f>
        <v>0</v>
      </c>
      <c r="BK67" s="2677">
        <f>BJ67*BJ$1/100</f>
        <v>0</v>
      </c>
      <c r="BL67" s="2676">
        <f>BL66*100/BL$98</f>
        <v>1.7647058823529413</v>
      </c>
      <c r="BM67" s="2677">
        <f>BL67*BL$1/100</f>
        <v>0</v>
      </c>
      <c r="BN67" s="2676">
        <f>BN66*100/BN$98</f>
        <v>0</v>
      </c>
      <c r="BO67" s="2677">
        <f>BN67*BN$1/100</f>
        <v>0</v>
      </c>
      <c r="BP67" s="2676">
        <f>BP66*100/BP$98</f>
        <v>1.1215440792905582</v>
      </c>
      <c r="BQ67" s="2677">
        <f>BP67*BP$1/100</f>
        <v>11237.769838288992</v>
      </c>
      <c r="BR67" s="2676">
        <f>BR66*100/BR$98</f>
        <v>0</v>
      </c>
      <c r="BS67" s="2678">
        <f>BR67*BR$1/100</f>
        <v>0</v>
      </c>
      <c r="BT67" s="2517">
        <f t="shared" si="2454"/>
        <v>11237.769838288992</v>
      </c>
      <c r="BU67" s="2518">
        <f t="shared" si="2455"/>
        <v>11237.769838288992</v>
      </c>
      <c r="BV67" s="222"/>
      <c r="CA67" s="2373" t="s">
        <v>903</v>
      </c>
      <c r="CB67" s="2367">
        <f t="shared" si="2488"/>
        <v>29571202.965062715</v>
      </c>
      <c r="CC67" s="2367"/>
      <c r="CD67" s="2659">
        <f>SUM(CD59:CD66)</f>
        <v>21.389943897755135</v>
      </c>
      <c r="CE67" s="2603">
        <f>SUM(CE60:CE66)</f>
        <v>31525036.88430357</v>
      </c>
      <c r="CF67" s="2661">
        <f>SUM(CF60:CF66)</f>
        <v>65025366.315062709</v>
      </c>
      <c r="CG67" s="2661">
        <f>SUM(CG60:CG66)</f>
        <v>96550403.199366286</v>
      </c>
      <c r="CH67" s="2607">
        <f>SUM(CH60:CH66)</f>
        <v>96550403.199366286</v>
      </c>
    </row>
    <row r="68" ht="15.75">
      <c r="A68" s="437"/>
      <c r="B68" s="2592"/>
      <c r="C68" s="2667"/>
      <c r="G68" s="2640">
        <f t="shared" si="2486"/>
        <v>0</v>
      </c>
      <c r="H68" s="2641"/>
      <c r="I68" s="2642"/>
      <c r="J68" s="2650"/>
      <c r="K68" s="2533">
        <f t="shared" si="2442"/>
        <v>0</v>
      </c>
      <c r="L68" s="2501">
        <f t="shared" si="2436"/>
        <v>0</v>
      </c>
      <c r="N68" s="2370"/>
      <c r="O68" s="2370"/>
      <c r="P68" s="2535">
        <f t="shared" si="2434"/>
        <v>0</v>
      </c>
      <c r="Q68" s="2536">
        <f t="shared" si="2430"/>
        <v>0</v>
      </c>
      <c r="S68" s="2537"/>
      <c r="U68" s="2538">
        <f t="shared" si="2431"/>
        <v>0</v>
      </c>
      <c r="V68" s="2539">
        <f t="shared" si="2432"/>
        <v>0</v>
      </c>
      <c r="W68" s="2509"/>
      <c r="AC68" s="2679" t="s">
        <v>22</v>
      </c>
      <c r="AD68" s="2680">
        <f>AD60+AD62+AD64+AD66</f>
        <v>0</v>
      </c>
      <c r="AE68" s="2681">
        <f>SUM(AE59:AE67)</f>
        <v>0</v>
      </c>
      <c r="AF68" s="2680">
        <f>AF60+AF62+AF64+AF66</f>
        <v>0</v>
      </c>
      <c r="AG68" s="2681">
        <f>SUM(AG59:AG67)</f>
        <v>0</v>
      </c>
      <c r="AH68" s="2680">
        <f>AH60+AH62+AH64+AH66</f>
        <v>0</v>
      </c>
      <c r="AI68" s="2681">
        <f>SUM(AI59:AI67)</f>
        <v>0</v>
      </c>
      <c r="AJ68" s="2680">
        <f>AJ60+AJ62+AJ64+AJ66</f>
        <v>72564.534522708447</v>
      </c>
      <c r="AK68" s="2681">
        <f>SUM(AK59:AK67)</f>
        <v>0</v>
      </c>
      <c r="AL68" s="2680">
        <f>AL60+AL62+AL64+AL66</f>
        <v>57454.647961795912</v>
      </c>
      <c r="AM68" s="2681">
        <f>SUM(AM59:AM67)</f>
        <v>281032.51557688892</v>
      </c>
      <c r="AN68" s="2680">
        <f>AN60+AN62+AN64+AN66</f>
        <v>417727.69043238275</v>
      </c>
      <c r="AO68" s="2681">
        <f>SUM(AO59:AO67)</f>
        <v>965084.75136149256</v>
      </c>
      <c r="AP68" s="2680">
        <f>AP60+AP62+AP64+AP66</f>
        <v>7384.2516139974014</v>
      </c>
      <c r="AQ68" s="2681">
        <f>SUM(AQ59:AQ67)</f>
        <v>1643923.4189211624</v>
      </c>
      <c r="AR68" s="2680">
        <f>AR60+AR62+AR64+AR66</f>
        <v>0</v>
      </c>
      <c r="AS68" s="2681">
        <f>SUM(AS59:AS67)</f>
        <v>0</v>
      </c>
      <c r="AT68" s="2680">
        <f>AT60+AT62+AT64+AT66</f>
        <v>918.24052835074997</v>
      </c>
      <c r="AU68" s="2681">
        <f>SUM(AU59:AU67)</f>
        <v>370966.40484142321</v>
      </c>
      <c r="AV68" s="2680">
        <f>AV60+AV62+AV64+AV66</f>
        <v>30.423129365663897</v>
      </c>
      <c r="AW68" s="2681">
        <f>SUM(AW59:AW67)</f>
        <v>2919.0677751842431</v>
      </c>
      <c r="AX68" s="2680">
        <f>AX60+AX62+AX64+AX66</f>
        <v>26500.972723631257</v>
      </c>
      <c r="AY68" s="2681">
        <f>SUM(AY59:AY67)</f>
        <v>2339979.1573510529</v>
      </c>
      <c r="AZ68" s="2680">
        <f>AZ60+AZ62+AZ64+AZ66</f>
        <v>0</v>
      </c>
      <c r="BA68" s="2681" t="e">
        <f>SUM(BA59:BA67)</f>
        <v>#DIV/0!</v>
      </c>
      <c r="BB68" s="2680">
        <f>BB60+BB62+BB64+BB66</f>
        <v>1410850.6878849282</v>
      </c>
      <c r="BC68" s="2681">
        <f>SUM(BC59:BC67)</f>
        <v>1569121.2000000002</v>
      </c>
      <c r="BD68" s="2680">
        <f>BD60+BD62+BD64+BD66</f>
        <v>0</v>
      </c>
      <c r="BE68" s="2681">
        <f>SUM(BE59:BE67)</f>
        <v>0</v>
      </c>
      <c r="BF68" s="2680">
        <f>BF60+BF62+BF64+BF66</f>
        <v>848947.90142517164</v>
      </c>
      <c r="BG68" s="2681">
        <f>SUM(BG59:BG67)</f>
        <v>8801123.3600000013</v>
      </c>
      <c r="BH68" s="2680">
        <f>BH60+BH62+BH64+BH66</f>
        <v>1872186.1896896202</v>
      </c>
      <c r="BI68" s="2681">
        <f>SUM(BI59:BI67)</f>
        <v>9674371.3099999987</v>
      </c>
      <c r="BJ68" s="2680">
        <f>BJ60+BJ62+BJ64+BJ66</f>
        <v>0</v>
      </c>
      <c r="BK68" s="2681">
        <f>SUM(BK59:BK67)</f>
        <v>0</v>
      </c>
      <c r="BL68" s="2680">
        <f>BL60+BL62+BL64+BL66</f>
        <v>41023.041979999995</v>
      </c>
      <c r="BM68" s="2681">
        <f>SUM(BM59:BM67)</f>
        <v>0</v>
      </c>
      <c r="BN68" s="2680">
        <f>BN60+BN62+BN64+BN66</f>
        <v>0</v>
      </c>
      <c r="BO68" s="2681">
        <f>SUM(BO59:BO67)</f>
        <v>0</v>
      </c>
      <c r="BP68" s="2680">
        <f>BP60+BP62+BP64+BP66</f>
        <v>41038.900747783628</v>
      </c>
      <c r="BQ68" s="2681">
        <f>SUM(BQ59:BQ67)</f>
        <v>253503.18007303076</v>
      </c>
      <c r="BR68" s="2680">
        <f>BR60+BR62+BR64+BR66</f>
        <v>421564.74666114105</v>
      </c>
      <c r="BS68" s="2682">
        <f>SUM(BS59:BS67)</f>
        <v>3669178.5991624799</v>
      </c>
      <c r="BT68" s="2683">
        <f t="shared" si="2454"/>
        <v>29571202.965062715</v>
      </c>
      <c r="BU68" s="2684">
        <f t="shared" si="2455"/>
        <v>11095708.295062717</v>
      </c>
      <c r="BV68" s="222"/>
      <c r="CB68" s="2367">
        <f t="shared" si="2488"/>
        <v>0</v>
      </c>
      <c r="CC68" s="2367"/>
      <c r="CE68" s="2367" t="e">
        <f>CD67+CD57+CD29</f>
        <v>#REF!</v>
      </c>
      <c r="CF68" s="2418">
        <f>V68+CB68</f>
        <v>0</v>
      </c>
      <c r="CH68" s="2443"/>
    </row>
    <row r="69" ht="15.75">
      <c r="A69" s="778" t="s">
        <v>22</v>
      </c>
      <c r="B69" s="2608"/>
      <c r="C69" s="2581"/>
      <c r="D69" s="2610">
        <f t="shared" ref="D69:J69" si="2494">SUM(D61:D68)</f>
        <v>19391685.16</v>
      </c>
      <c r="E69" s="2610">
        <f t="shared" si="2494"/>
        <v>16062478.189999999</v>
      </c>
      <c r="F69" s="2610">
        <f t="shared" si="2494"/>
        <v>0</v>
      </c>
      <c r="G69" s="2610">
        <f t="shared" si="2494"/>
        <v>35454163.350000001</v>
      </c>
      <c r="H69" s="2662">
        <f t="shared" si="2494"/>
        <v>0</v>
      </c>
      <c r="I69" s="2663">
        <f t="shared" si="2494"/>
        <v>0</v>
      </c>
      <c r="J69" s="2662">
        <f t="shared" si="2494"/>
        <v>0</v>
      </c>
      <c r="K69" s="2664">
        <f t="shared" si="2442"/>
        <v>0</v>
      </c>
      <c r="L69" s="2614">
        <f t="shared" si="2436"/>
        <v>35454163.350000001</v>
      </c>
      <c r="M69" s="2662">
        <f>SUM(M61:M68)</f>
        <v>0</v>
      </c>
      <c r="N69" s="2662">
        <f>SUM(N61:N68)</f>
        <v>0</v>
      </c>
      <c r="O69" s="2611">
        <f>SUM(O61:O68)</f>
        <v>0</v>
      </c>
      <c r="P69" s="2504">
        <f t="shared" si="2434"/>
        <v>0</v>
      </c>
      <c r="Q69" s="2505">
        <f t="shared" si="2430"/>
        <v>35454163.350000001</v>
      </c>
      <c r="R69" s="2611">
        <f>SUM(R61:R68)</f>
        <v>0</v>
      </c>
      <c r="S69" s="2611">
        <f>SUM(S61:S68)</f>
        <v>0</v>
      </c>
      <c r="T69" s="2611">
        <f>SUM(T61:T68)</f>
        <v>0</v>
      </c>
      <c r="U69" s="2507">
        <f t="shared" si="2431"/>
        <v>0</v>
      </c>
      <c r="V69" s="2615">
        <f>Q69+U69</f>
        <v>35454163.350000001</v>
      </c>
      <c r="W69" s="2509"/>
      <c r="AC69" s="2685"/>
      <c r="AD69" s="2686"/>
      <c r="AE69" s="2687"/>
      <c r="AF69" s="2688"/>
      <c r="AG69" s="2689"/>
      <c r="AH69" s="2690">
        <v>0</v>
      </c>
      <c r="AI69" s="2691"/>
      <c r="AJ69" s="2692">
        <v>1.09387022709</v>
      </c>
      <c r="AK69" s="2693"/>
      <c r="AL69" s="2690">
        <v>0.33594853704444322</v>
      </c>
      <c r="AM69" s="2694"/>
      <c r="AN69" s="2692">
        <v>8.3281690825778796</v>
      </c>
      <c r="AO69" s="2693"/>
      <c r="AP69" s="2690">
        <v>0.36617883645914368</v>
      </c>
      <c r="AQ69" s="2694"/>
      <c r="AR69" s="2692">
        <v>0</v>
      </c>
      <c r="AS69" s="2693"/>
      <c r="AT69" s="2690">
        <v>0.024541013803824074</v>
      </c>
      <c r="AU69" s="2694"/>
      <c r="AV69" s="2692">
        <v>5.7972422847696317e-05</v>
      </c>
      <c r="AW69" s="2693"/>
      <c r="AX69" s="2690">
        <v>0.12054293901062853</v>
      </c>
      <c r="AY69" s="2694"/>
      <c r="AZ69" s="2692">
        <v>0</v>
      </c>
      <c r="BA69" s="2693"/>
      <c r="BB69" s="2690">
        <v>16.880325164773978</v>
      </c>
      <c r="BC69" s="2694"/>
      <c r="BD69" s="2688">
        <v>0</v>
      </c>
      <c r="BE69" s="2689"/>
      <c r="BF69" s="2690">
        <v>8.5081139169691973</v>
      </c>
      <c r="BG69" s="2694"/>
      <c r="BH69" s="2692">
        <v>24.818076108332754</v>
      </c>
      <c r="BI69" s="2693"/>
      <c r="BJ69" s="2690">
        <v>0</v>
      </c>
      <c r="BK69" s="2694"/>
      <c r="BL69" s="2688">
        <v>2.4502234473206905</v>
      </c>
      <c r="BM69" s="2695"/>
      <c r="BN69" s="2686"/>
      <c r="BO69" s="2687"/>
      <c r="BP69" s="2688">
        <v>1.7392046210145242</v>
      </c>
      <c r="BQ69" s="2689"/>
      <c r="BR69" s="2690">
        <v>0</v>
      </c>
      <c r="BS69" s="2693"/>
      <c r="BT69" s="2696"/>
      <c r="BU69" s="2697"/>
      <c r="BV69" s="222">
        <f>SUM(BV7:BV67)</f>
        <v>1004</v>
      </c>
      <c r="BW69">
        <v>25660</v>
      </c>
      <c r="BX69">
        <f>BW69*100/$BW$74</f>
        <v>22.1409218768875</v>
      </c>
      <c r="CB69" s="2698">
        <f t="shared" si="2488"/>
        <v>123376120.84733127</v>
      </c>
      <c r="CD69" s="2699">
        <f>CB69*100/$CB$91</f>
        <v>89.242507528860585</v>
      </c>
      <c r="CE69" s="2700" t="e">
        <f>CE67+CE57+CE29</f>
        <v>#REF!</v>
      </c>
      <c r="CF69" s="2700" t="e">
        <f>CF67+CF57+CF29</f>
        <v>#REF!</v>
      </c>
      <c r="CG69" s="2700" t="e">
        <f>CG67+CG57+CG29</f>
        <v>#REF!</v>
      </c>
      <c r="CH69" s="2701" t="e">
        <f>CH67+CH57+CH29</f>
        <v>#REF!</v>
      </c>
    </row>
    <row r="70" ht="15.75">
      <c r="A70" s="794"/>
      <c r="B70" s="2666"/>
      <c r="C70" s="2667"/>
      <c r="D70" s="2520"/>
      <c r="E70" s="2520"/>
      <c r="F70" s="2520"/>
      <c r="G70" s="2625">
        <f>D70+E70+F70</f>
        <v>0</v>
      </c>
      <c r="H70" s="2626"/>
      <c r="I70" s="2523"/>
      <c r="J70" s="2627"/>
      <c r="K70" s="2524">
        <f t="shared" si="2442"/>
        <v>0</v>
      </c>
      <c r="L70" s="2540">
        <f t="shared" si="2436"/>
        <v>0</v>
      </c>
      <c r="M70" s="2525"/>
      <c r="N70" s="2525"/>
      <c r="O70" s="2526"/>
      <c r="P70" s="2527">
        <f t="shared" si="2434"/>
        <v>0</v>
      </c>
      <c r="Q70" s="2528">
        <f t="shared" si="2430"/>
        <v>0</v>
      </c>
      <c r="R70" s="2525"/>
      <c r="S70" s="2529"/>
      <c r="T70" s="2525"/>
      <c r="U70" s="2530">
        <f t="shared" si="2431"/>
        <v>0</v>
      </c>
      <c r="V70" s="2531">
        <f t="shared" si="2432"/>
        <v>0</v>
      </c>
      <c r="W70" s="2509"/>
      <c r="AC70" s="688" t="s">
        <v>65</v>
      </c>
      <c r="AD70" s="2702"/>
      <c r="AE70" s="2703">
        <f>AE57+AE68+AE29</f>
        <v>9952753.5000000019</v>
      </c>
      <c r="AF70" s="2703"/>
      <c r="AG70" s="688">
        <f>AG57+AG68+AG29</f>
        <v>5279511.7100000018</v>
      </c>
      <c r="AH70" s="2704"/>
      <c r="AI70" s="688">
        <f>AI57+AI68+AI29</f>
        <v>6320439.4622517396</v>
      </c>
      <c r="AJ70" s="2705"/>
      <c r="AK70" s="688">
        <f>AK57+AK68+AK29</f>
        <v>0</v>
      </c>
      <c r="AL70" s="2704"/>
      <c r="AM70" s="2703">
        <f>AM57+AM68+AM29</f>
        <v>1142876.2449315556</v>
      </c>
      <c r="AN70" s="2705"/>
      <c r="AO70" s="688">
        <f>AO57+AO68+AO29</f>
        <v>8195087.4918055693</v>
      </c>
      <c r="AP70" s="2704"/>
      <c r="AQ70" s="2703">
        <f>AQ57+AQ68+AQ29</f>
        <v>1643923.4189211624</v>
      </c>
      <c r="AR70" s="2705"/>
      <c r="AS70" s="688">
        <f>AS57+AS68+AS29</f>
        <v>3179979.5182580845</v>
      </c>
      <c r="AT70" s="2704"/>
      <c r="AU70" s="2703">
        <f>AU57+AU68+AU29</f>
        <v>3956279.9158636704</v>
      </c>
      <c r="AV70" s="2705"/>
      <c r="AW70" s="688">
        <f>AW57+AW68+AW29</f>
        <v>3887468.5096016154</v>
      </c>
      <c r="AX70" s="2704"/>
      <c r="AY70" s="2703">
        <f>AY57+AY68+AY29</f>
        <v>2339979.1573510529</v>
      </c>
      <c r="AZ70" s="2705"/>
      <c r="BA70" s="688" t="e">
        <f>BA57+BA68+BA29</f>
        <v>#DIV/0!</v>
      </c>
      <c r="BB70" s="2704"/>
      <c r="BC70" s="2703">
        <f>BC57+BC68+BC29</f>
        <v>1569121.2000000002</v>
      </c>
      <c r="BD70" s="2705"/>
      <c r="BE70" s="688">
        <f>BE57+BE68+BE29</f>
        <v>22960889.819999997</v>
      </c>
      <c r="BF70" s="688"/>
      <c r="BG70" s="688">
        <f>BG57+BG68+BG29</f>
        <v>8801123.3600000013</v>
      </c>
      <c r="BH70" s="688"/>
      <c r="BI70" s="688">
        <f>BI57+BI68+BI29</f>
        <v>9674371.3099999987</v>
      </c>
      <c r="BJ70" s="688"/>
      <c r="BK70" s="688">
        <f>BK57+BK68+BK29</f>
        <v>11866981.109999999</v>
      </c>
      <c r="BL70" s="688"/>
      <c r="BM70" s="688">
        <f>BM57+BM68+BM29</f>
        <v>0</v>
      </c>
      <c r="BN70" s="688"/>
      <c r="BO70" s="688">
        <f>BO57+BO68+BO29</f>
        <v>7358040.1325878017</v>
      </c>
      <c r="BP70" s="688"/>
      <c r="BQ70" s="688">
        <f>BQ57+BQ68+BQ29</f>
        <v>916923.61575899844</v>
      </c>
      <c r="BR70" s="688"/>
      <c r="BS70" s="688">
        <f>BS57+BS68+BS29</f>
        <v>14330371.370000005</v>
      </c>
      <c r="BT70" s="2706">
        <f>BT57+BT68+BT29</f>
        <v>123376120.84733126</v>
      </c>
      <c r="BU70" s="2707"/>
      <c r="BV70" s="222"/>
      <c r="BY70" s="2418">
        <f>BY71*BX69/100</f>
        <v>32631847.103377223</v>
      </c>
      <c r="CB70" s="2367">
        <f>AE71+AG71+AI71+AK71+AM71+AO71+AQ71+AS71+AU71+AW71+AY71+BA71+BC71+BE71+BG71+BI71+BK71+BM71+BO71+BQ71+BS71</f>
        <v>0</v>
      </c>
      <c r="CH70" s="2443"/>
    </row>
    <row r="71" ht="15.75">
      <c r="A71" s="247"/>
      <c r="B71" s="2483"/>
      <c r="C71" s="2519"/>
      <c r="D71" s="2708">
        <f t="shared" ref="D71:J71" si="2495">SUM(D30,D58,D69)</f>
        <v>81038405.929999992</v>
      </c>
      <c r="E71" s="2708">
        <f t="shared" si="2495"/>
        <v>67231631.419999987</v>
      </c>
      <c r="F71" s="2708">
        <f t="shared" si="2495"/>
        <v>0</v>
      </c>
      <c r="G71" s="2708">
        <f t="shared" si="2495"/>
        <v>148270037.34999999</v>
      </c>
      <c r="H71" s="2709">
        <f t="shared" si="2495"/>
        <v>0</v>
      </c>
      <c r="I71" s="2710">
        <f>SUM(I30,I58,I69)</f>
        <v>0</v>
      </c>
      <c r="J71" s="2709">
        <f t="shared" si="2495"/>
        <v>0</v>
      </c>
      <c r="K71" s="2711">
        <f t="shared" si="2442"/>
        <v>0</v>
      </c>
      <c r="L71" s="2712">
        <f t="shared" si="2436"/>
        <v>148270037.34999999</v>
      </c>
      <c r="M71" s="2709">
        <f>SUM(M30,M58,M69)</f>
        <v>0</v>
      </c>
      <c r="N71" s="2709">
        <f>SUM(N30,N58,N69)</f>
        <v>0</v>
      </c>
      <c r="O71" s="2709">
        <f>SUM(O30,O58,O69)</f>
        <v>0</v>
      </c>
      <c r="P71" s="2713">
        <f t="shared" si="2434"/>
        <v>0</v>
      </c>
      <c r="Q71" s="2714">
        <f t="shared" ref="Q71:Q106" si="2496">L71+P71</f>
        <v>148270037.34999999</v>
      </c>
      <c r="R71" s="2709">
        <f>SUM(R30,R58,R69)</f>
        <v>0</v>
      </c>
      <c r="S71" s="2709">
        <f>SUM(S30,S58,S69)</f>
        <v>0</v>
      </c>
      <c r="T71" s="2709">
        <f>SUM(T30,T58,T69)</f>
        <v>0</v>
      </c>
      <c r="U71" s="2715">
        <f t="shared" si="2431"/>
        <v>0</v>
      </c>
      <c r="V71" s="2716">
        <f t="shared" si="2432"/>
        <v>148270037.34999999</v>
      </c>
      <c r="W71" s="2509"/>
      <c r="AC71" s="1"/>
      <c r="AD71" s="39"/>
      <c r="AE71" s="40"/>
      <c r="AF71" s="1"/>
      <c r="AG71" s="1"/>
      <c r="AH71" s="39"/>
      <c r="AI71" s="40"/>
      <c r="AJ71" s="1"/>
      <c r="AK71" s="1"/>
      <c r="AL71" s="39"/>
      <c r="AM71" s="40"/>
      <c r="AN71" s="1"/>
      <c r="AO71" s="1"/>
      <c r="AP71" s="39"/>
      <c r="AQ71" s="40"/>
      <c r="AR71" s="1"/>
      <c r="AS71" s="1"/>
      <c r="AT71" s="39"/>
      <c r="AU71" s="40"/>
      <c r="AV71" s="1"/>
      <c r="AW71" s="1"/>
      <c r="AX71" s="39"/>
      <c r="AY71" s="40"/>
      <c r="AZ71" s="1"/>
      <c r="BA71" s="1"/>
      <c r="BB71" s="39"/>
      <c r="BC71" s="40"/>
      <c r="BD71" s="1"/>
      <c r="BE71" s="1"/>
      <c r="BF71" s="39"/>
      <c r="BG71" s="40"/>
      <c r="BH71" s="1"/>
      <c r="BI71" s="1"/>
      <c r="BJ71" s="39"/>
      <c r="BK71" s="40"/>
      <c r="BL71" s="1"/>
      <c r="BM71" s="1"/>
      <c r="BN71" s="39"/>
      <c r="BO71" s="40"/>
      <c r="BP71" s="1"/>
      <c r="BQ71" s="1"/>
      <c r="BR71" s="39"/>
      <c r="BS71" s="1"/>
      <c r="BT71" s="2717"/>
      <c r="BU71" s="2718"/>
      <c r="BV71" s="222"/>
      <c r="BY71" s="2719">
        <f>Y150</f>
        <v>147382513.18000001</v>
      </c>
      <c r="CH71" s="2443"/>
    </row>
    <row r="72" ht="15.75">
      <c r="A72" s="283" t="s">
        <v>226</v>
      </c>
      <c r="B72" s="2720" t="s">
        <v>238</v>
      </c>
      <c r="C72" s="2721"/>
      <c r="D72" s="2722">
        <f>D73+D75</f>
        <v>702892.80999999994</v>
      </c>
      <c r="E72" s="2722">
        <f>E73+E75</f>
        <v>687079.66000000003</v>
      </c>
      <c r="F72" s="2722">
        <f>F73+F75</f>
        <v>0</v>
      </c>
      <c r="G72" s="2722">
        <f>G73+G75</f>
        <v>1389972.47</v>
      </c>
      <c r="H72" s="2723">
        <f>H73+H75</f>
        <v>0</v>
      </c>
      <c r="I72" s="2724">
        <f>I73+I75+I77+I78+I79+I80+I81</f>
        <v>0</v>
      </c>
      <c r="J72" s="2723">
        <f>J73+J75+J77+J78+J79+J80+J81</f>
        <v>0</v>
      </c>
      <c r="K72" s="2725">
        <f t="shared" si="2442"/>
        <v>0</v>
      </c>
      <c r="L72" s="2726">
        <f t="shared" si="2436"/>
        <v>1389972.47</v>
      </c>
      <c r="M72" s="2723">
        <f>M73+M75+M77+M78+M79+M80+M81</f>
        <v>0</v>
      </c>
      <c r="N72" s="2723">
        <f>N73+N75+N77+N78+N79+N80+N81</f>
        <v>0</v>
      </c>
      <c r="O72" s="2722">
        <f>O73+O75+O77+O78+O79+O80+O81</f>
        <v>0</v>
      </c>
      <c r="P72" s="2727">
        <f t="shared" si="2434"/>
        <v>0</v>
      </c>
      <c r="Q72" s="2728">
        <f t="shared" si="2496"/>
        <v>1389972.47</v>
      </c>
      <c r="R72" s="2722">
        <f>R73+R75+R77+R78+R79+R80+R81</f>
        <v>0</v>
      </c>
      <c r="S72" s="2722">
        <f>S73+S75+S77+S78+S79+S80+S81</f>
        <v>0</v>
      </c>
      <c r="T72" s="2722">
        <f>T73+T75+T77+T78+T79+T80+T81</f>
        <v>0</v>
      </c>
      <c r="U72" s="2729">
        <f t="shared" ref="U72:U106" si="2497">R72+S72+T72</f>
        <v>0</v>
      </c>
      <c r="V72" s="2730">
        <f t="shared" ref="V72:V119" si="2498">Q72+U72</f>
        <v>1389972.47</v>
      </c>
      <c r="W72" s="2509"/>
      <c r="AC72" s="2483"/>
      <c r="AD72" s="2511">
        <f>AD73*100/AD$98</f>
        <v>0</v>
      </c>
      <c r="AE72" s="2532">
        <f t="shared" ref="AE72:AK72" si="2499">AD72*AD$1/100</f>
        <v>0</v>
      </c>
      <c r="AF72" s="2511">
        <f>AF73*100/AF$98</f>
        <v>0</v>
      </c>
      <c r="AG72" s="2532">
        <f t="shared" si="2499"/>
        <v>0</v>
      </c>
      <c r="AH72" s="2511">
        <f>AH73*100/AH$98</f>
        <v>36.367224010800712</v>
      </c>
      <c r="AI72" s="2532">
        <f t="shared" si="2499"/>
        <v>3743853.8023805176</v>
      </c>
      <c r="AJ72" s="2511">
        <f>AJ73*100/AJ$98</f>
        <v>12.202790920524642</v>
      </c>
      <c r="AK72" s="2532">
        <f t="shared" si="2499"/>
        <v>0</v>
      </c>
      <c r="AL72" s="2511">
        <f>AL73*100/AL$98</f>
        <v>8.681481481481482</v>
      </c>
      <c r="AM72" s="2532">
        <f>AL72*AL$1/100</f>
        <v>117363.92112888889</v>
      </c>
      <c r="AN72" s="2511">
        <f>AN73*100/AN$98</f>
        <v>5.3171460437322864</v>
      </c>
      <c r="AO72" s="2532">
        <f>AN72*AN$1/100</f>
        <v>584949.31013588328</v>
      </c>
      <c r="AP72" s="2511">
        <f>AP73*100/AP$98</f>
        <v>12.126042233176937</v>
      </c>
      <c r="AQ72" s="2532">
        <f>AP72*AP$1/100</f>
        <v>773768.51476908114</v>
      </c>
      <c r="AR72" s="2511">
        <f>AR73*100/AR$98</f>
        <v>20.60773982558139</v>
      </c>
      <c r="AS72" s="2532">
        <f>AR72*AR$1/100</f>
        <v>825422.91174191469</v>
      </c>
      <c r="AT72" s="2511">
        <f>AT73*100/AT$98</f>
        <v>25.406741573033706</v>
      </c>
      <c r="AU72" s="2532">
        <f>AT72*AT$1/100</f>
        <v>1360116.584089438</v>
      </c>
      <c r="AV72" s="2511">
        <f>AV73*100/AV$98</f>
        <v>24.207296283668601</v>
      </c>
      <c r="AW72" s="2532">
        <f>AV72*AV$1/100</f>
        <v>1571674.741288783</v>
      </c>
      <c r="AX72" s="2511">
        <f>AX73*100/AX$98</f>
        <v>0</v>
      </c>
      <c r="AY72" s="2532">
        <f>AX72*AX$1/100</f>
        <v>0</v>
      </c>
      <c r="AZ72" s="2511" t="e">
        <f>AZ73*100/AZ$98</f>
        <v>#DIV/0!</v>
      </c>
      <c r="BA72" s="2532" t="e">
        <f>AZ72*AZ$1/100</f>
        <v>#DIV/0!</v>
      </c>
      <c r="BB72" s="2511">
        <f>BB73*100/BB$98</f>
        <v>0</v>
      </c>
      <c r="BC72" s="2532">
        <f>BB72*BB$1/100</f>
        <v>0</v>
      </c>
      <c r="BD72" s="2511">
        <f>BD73*100/BD$98</f>
        <v>0</v>
      </c>
      <c r="BE72" s="2532">
        <f>BD72*BD$1/100</f>
        <v>0</v>
      </c>
      <c r="BF72" s="2511">
        <f>BF73*100/BF$98</f>
        <v>0</v>
      </c>
      <c r="BG72" s="2532">
        <f>BF72*BF$1/100</f>
        <v>0</v>
      </c>
      <c r="BH72" s="2511">
        <f>BH73*100/BH$98</f>
        <v>0</v>
      </c>
      <c r="BI72" s="2532">
        <f>BH72*BH$1/100</f>
        <v>0</v>
      </c>
      <c r="BJ72" s="2511">
        <f>BJ73*100/BJ$98</f>
        <v>0</v>
      </c>
      <c r="BK72" s="2532">
        <f>BJ72*BJ$1/100</f>
        <v>0</v>
      </c>
      <c r="BL72" s="2511">
        <f>BL73*100/BL$98</f>
        <v>0</v>
      </c>
      <c r="BM72" s="2532">
        <f>BL72*BL$1/100</f>
        <v>0</v>
      </c>
      <c r="BN72" s="2511">
        <f>BN73*100/BN$98</f>
        <v>10.597658656808379</v>
      </c>
      <c r="BO72" s="2532">
        <f>BN72*BN$1/100</f>
        <v>873418.15238447324</v>
      </c>
      <c r="BP72" s="2511">
        <f>BP73*100/BP$98</f>
        <v>1.1476264997391759</v>
      </c>
      <c r="BQ72" s="2532">
        <f>BP72*BP$1/100</f>
        <v>11499.113322900366</v>
      </c>
      <c r="BR72" s="2511">
        <f>BR73*100/BR$98</f>
        <v>0</v>
      </c>
      <c r="BS72" s="865">
        <f>BR72*BR$1/100</f>
        <v>0</v>
      </c>
      <c r="BT72" s="704">
        <f>AE72+AG72+AI72+AK72+AM72+AO72+AQ72+AS72+AU72+AW72+AY72+BC72+BE72+BG72+BI72+BK72+BM72+BO72+BQ72+BS72</f>
        <v>9862067.0512418803</v>
      </c>
      <c r="BU72" s="2518">
        <f t="shared" si="2455"/>
        <v>9862067.0512418803</v>
      </c>
      <c r="BV72" s="222"/>
      <c r="CH72" s="2443"/>
    </row>
    <row r="73" ht="89.25">
      <c r="A73" s="447"/>
      <c r="B73" s="2731" t="s">
        <v>240</v>
      </c>
      <c r="C73" s="2519" t="s">
        <v>904</v>
      </c>
      <c r="D73" s="2367">
        <f>483195.54+11402.4+82813.92+37602.35+87878.6</f>
        <v>702892.80999999994</v>
      </c>
      <c r="E73" s="2367">
        <f>9602.02+388744.3+147570.57+36160.16+105002.61</f>
        <v>687079.66000000003</v>
      </c>
      <c r="G73" s="2732">
        <f>D73+E73+F73</f>
        <v>1389972.47</v>
      </c>
      <c r="H73" s="2733"/>
      <c r="I73" s="2734"/>
      <c r="J73" s="2733"/>
      <c r="K73" s="2732">
        <f t="shared" si="2442"/>
        <v>0</v>
      </c>
      <c r="L73" s="2735">
        <f t="shared" si="2436"/>
        <v>1389972.47</v>
      </c>
      <c r="M73" s="2736"/>
      <c r="N73" s="2737"/>
      <c r="O73" s="2738"/>
      <c r="P73" s="2739">
        <f t="shared" si="2434"/>
        <v>0</v>
      </c>
      <c r="Q73" s="2740">
        <f t="shared" si="2496"/>
        <v>1389972.47</v>
      </c>
      <c r="R73" s="2741"/>
      <c r="S73" s="2742"/>
      <c r="T73" s="2743"/>
      <c r="U73" s="2744">
        <f t="shared" si="2497"/>
        <v>0</v>
      </c>
      <c r="V73" s="2745">
        <f t="shared" si="2498"/>
        <v>1389972.47</v>
      </c>
      <c r="W73" s="2509"/>
      <c r="AC73" s="2720" t="s">
        <v>238</v>
      </c>
      <c r="AD73" s="2746">
        <f>АНАЛИЗ!G77</f>
        <v>0</v>
      </c>
      <c r="AE73" s="2746"/>
      <c r="AF73" s="2746">
        <f>АНАЛИЗ!I77</f>
        <v>0</v>
      </c>
      <c r="AG73" s="2746"/>
      <c r="AH73" s="2746">
        <f>АНАЛИЗ!K77</f>
        <v>209481.43522718726</v>
      </c>
      <c r="AI73" s="2746"/>
      <c r="AJ73" s="2746">
        <f>АНАЛИЗ!M77</f>
        <v>172319.62597904247</v>
      </c>
      <c r="AK73" s="2746"/>
      <c r="AL73" s="2746">
        <f>АНАЛИЗ!O77</f>
        <v>23994.030576975769</v>
      </c>
      <c r="AM73" s="2746"/>
      <c r="AN73" s="2746">
        <f>АНАЛИЗ!Q77</f>
        <v>253189.70587646545</v>
      </c>
      <c r="AO73" s="2746"/>
      <c r="AP73" s="2746">
        <f>АНАЛИЗ!S77</f>
        <v>3475.6493753179943</v>
      </c>
      <c r="AQ73" s="2746"/>
      <c r="AR73" s="2746">
        <f>АНАЛИЗ!U77</f>
        <v>62431.394157627627</v>
      </c>
      <c r="AS73" s="2746"/>
      <c r="AT73" s="2746">
        <f>АНАЛИЗ!W77</f>
        <v>3366.6503340828813</v>
      </c>
      <c r="AU73" s="2746"/>
      <c r="AV73" s="2746">
        <f>АНАЛИЗ!Y77</f>
        <v>16380.319902629537</v>
      </c>
      <c r="AW73" s="2746"/>
      <c r="AX73" s="2746">
        <f>АНАЛИЗ!AA77</f>
        <v>0</v>
      </c>
      <c r="AY73" s="2746"/>
      <c r="AZ73" s="2746">
        <f>АНАЛИЗ!AC77</f>
        <v>0</v>
      </c>
      <c r="BA73" s="2746"/>
      <c r="BB73" s="2746">
        <f>АНАЛИЗ!AE77</f>
        <v>0</v>
      </c>
      <c r="BC73" s="2746"/>
      <c r="BD73" s="2746">
        <f>АНАЛИЗ!AG77</f>
        <v>0</v>
      </c>
      <c r="BE73" s="2746"/>
      <c r="BF73" s="2746">
        <f>АНАЛИЗ!AI77</f>
        <v>0</v>
      </c>
      <c r="BG73" s="2746"/>
      <c r="BH73" s="2746">
        <f>АНАЛИЗ!AK77</f>
        <v>0</v>
      </c>
      <c r="BI73" s="2746"/>
      <c r="BJ73" s="2746">
        <f>АНАЛИЗ!AM77</f>
        <v>0</v>
      </c>
      <c r="BK73" s="2746"/>
      <c r="BL73" s="2746">
        <f>АНАЛИЗ!AO77</f>
        <v>0</v>
      </c>
      <c r="BM73" s="2746"/>
      <c r="BN73" s="2746">
        <f>АНАЛИЗ!AQ77</f>
        <v>35974.719881953832</v>
      </c>
      <c r="BO73" s="2746"/>
      <c r="BP73" s="2746">
        <f>АНАЛИЗ!AS77</f>
        <v>1861.5583844355463</v>
      </c>
      <c r="BQ73" s="2746"/>
      <c r="BR73" s="2746">
        <f>АНАЛИЗ!AU77</f>
        <v>0</v>
      </c>
      <c r="BS73" s="2747"/>
      <c r="BT73" s="2748">
        <f t="shared" ref="BT73:BT82" si="2500">AD73+AF73+AH73+AJ73+AL73+AN73+AP73+AR73+AT73+AV73+AX73+AZ73+BB73+BD73+BF73+BH73+BJ73+BL73+BN73+BP73+BR73</f>
        <v>782475.08969571837</v>
      </c>
      <c r="BU73" s="2749">
        <f t="shared" si="2455"/>
        <v>782475.08969571837</v>
      </c>
      <c r="BV73" s="2750"/>
      <c r="BW73" s="867">
        <v>90234</v>
      </c>
      <c r="BX73">
        <f>BW73*100/$BW$74</f>
        <v>77.859078123112496</v>
      </c>
      <c r="BY73" s="2418">
        <f>BY71*BX73/100</f>
        <v>114750666.07662277</v>
      </c>
      <c r="CA73" s="2367">
        <f>AE73+AG73+AI73+AK73+AM73+AO73+AQ73+AS73+AU73+AW73+AY73+BA73+BO73+BQ73+BS73</f>
        <v>0</v>
      </c>
      <c r="CB73" s="2603">
        <f t="shared" ref="CB73:CB88" si="2501">AE72+AG72+AI72+AK72+AM72+AO72+AQ72+AS72+AU72+AW72+AY72+BC72+BE72+BG72+BI72+BK72+BM72+BO72+BQ72+BS72</f>
        <v>9862067.0512418803</v>
      </c>
      <c r="CC73" s="2367"/>
      <c r="CD73" s="2377">
        <f>CB73*100/$CB$91</f>
        <v>7.1335975472892255</v>
      </c>
      <c r="CE73" s="2603">
        <f>CD73*$CE$5/100</f>
        <v>10513675.345341701</v>
      </c>
      <c r="CF73" s="2661">
        <f>V72+CB73</f>
        <v>11252039.521241881</v>
      </c>
      <c r="CG73" s="2751">
        <f t="shared" ref="CG73:CG74" si="2502">V72+CB73+CE73</f>
        <v>21765714.866583582</v>
      </c>
      <c r="CH73" s="2607">
        <f t="shared" ref="CH73:CH88" si="2503">CE73+CF73</f>
        <v>21765714.866583582</v>
      </c>
    </row>
    <row r="74" ht="38.25">
      <c r="A74" s="447"/>
      <c r="B74" s="2731" t="s">
        <v>241</v>
      </c>
      <c r="C74" s="2721"/>
      <c r="D74" s="2752"/>
      <c r="E74" s="2752"/>
      <c r="F74" s="2752"/>
      <c r="G74" s="2373"/>
      <c r="N74" s="2370"/>
      <c r="O74" s="2534"/>
      <c r="W74" s="2509"/>
      <c r="AC74" s="2731" t="s">
        <v>240</v>
      </c>
      <c r="AD74" s="2753">
        <f>АНАЛИЗ!G78</f>
        <v>0</v>
      </c>
      <c r="AE74" s="2753"/>
      <c r="AF74" s="2753">
        <f>АНАЛИЗ!I78</f>
        <v>0</v>
      </c>
      <c r="AG74" s="2753"/>
      <c r="AH74" s="2753">
        <f>АНАЛИЗ!K78</f>
        <v>209481.43522718726</v>
      </c>
      <c r="AI74" s="2753"/>
      <c r="AJ74" s="2753">
        <f>АНАЛИЗ!M78</f>
        <v>172319.62597904247</v>
      </c>
      <c r="AK74" s="2753"/>
      <c r="AL74" s="2753">
        <f>АНАЛИЗ!O78</f>
        <v>0</v>
      </c>
      <c r="AM74" s="2753"/>
      <c r="AN74" s="2753">
        <f>АНАЛИЗ!Q78</f>
        <v>253189.70587646545</v>
      </c>
      <c r="AO74" s="2753"/>
      <c r="AP74" s="2753">
        <f>АНАЛИЗ!S78</f>
        <v>0</v>
      </c>
      <c r="AQ74" s="2753"/>
      <c r="AR74" s="2753">
        <f>АНАЛИЗ!U78</f>
        <v>62431.394157627627</v>
      </c>
      <c r="AS74" s="2753"/>
      <c r="AT74" s="2753">
        <f>АНАЛИЗ!W78</f>
        <v>0</v>
      </c>
      <c r="AU74" s="2753"/>
      <c r="AV74" s="2753">
        <f>АНАЛИЗ!Y78</f>
        <v>16380.319902629537</v>
      </c>
      <c r="AW74" s="2753"/>
      <c r="AX74" s="2753">
        <f>АНАЛИЗ!AA78</f>
        <v>0</v>
      </c>
      <c r="AY74" s="2753"/>
      <c r="AZ74" s="2753">
        <f>АНАЛИЗ!AC78</f>
        <v>0</v>
      </c>
      <c r="BA74" s="2753"/>
      <c r="BB74" s="2753">
        <f>АНАЛИЗ!AE78</f>
        <v>0</v>
      </c>
      <c r="BC74" s="2753"/>
      <c r="BD74" s="2753">
        <f>АНАЛИЗ!AG78</f>
        <v>0</v>
      </c>
      <c r="BE74" s="2753"/>
      <c r="BF74" s="2753">
        <f>АНАЛИЗ!AI78</f>
        <v>0</v>
      </c>
      <c r="BG74" s="2753"/>
      <c r="BH74" s="2753">
        <f>АНАЛИЗ!AK78</f>
        <v>0</v>
      </c>
      <c r="BI74" s="2753"/>
      <c r="BJ74" s="2753">
        <f>АНАЛИЗ!AM78</f>
        <v>0</v>
      </c>
      <c r="BK74" s="2753"/>
      <c r="BL74" s="2753">
        <f>АНАЛИЗ!AO78</f>
        <v>0</v>
      </c>
      <c r="BM74" s="2753"/>
      <c r="BN74" s="2753">
        <f>АНАЛИЗ!AQ78</f>
        <v>0</v>
      </c>
      <c r="BO74" s="2753"/>
      <c r="BP74" s="2753">
        <f>АНАЛИЗ!AS78</f>
        <v>0</v>
      </c>
      <c r="BQ74" s="2753"/>
      <c r="BR74" s="2753">
        <f>АНАЛИЗ!AU78</f>
        <v>0</v>
      </c>
      <c r="BS74" s="2754"/>
      <c r="BT74" s="2496">
        <f t="shared" si="2500"/>
        <v>713802.48114295234</v>
      </c>
      <c r="BU74" s="2497">
        <f t="shared" si="2455"/>
        <v>713802.48114295234</v>
      </c>
      <c r="BV74" s="222"/>
      <c r="BW74" s="2755">
        <f>SUM(BW69:BW73)</f>
        <v>115894</v>
      </c>
      <c r="CB74" s="2367">
        <f t="shared" si="2501"/>
        <v>0</v>
      </c>
      <c r="CD74" s="2756"/>
      <c r="CE74" s="2369"/>
      <c r="CF74" s="2418"/>
      <c r="CG74" s="2751">
        <f t="shared" si="2502"/>
        <v>1389972.47</v>
      </c>
      <c r="CH74" s="2462">
        <f t="shared" si="2503"/>
        <v>0</v>
      </c>
    </row>
    <row r="75" ht="51">
      <c r="A75" s="447"/>
      <c r="B75" s="2757" t="s">
        <v>243</v>
      </c>
      <c r="C75" s="2519" t="s">
        <v>905</v>
      </c>
      <c r="D75" s="2752"/>
      <c r="E75" s="2752"/>
      <c r="F75" s="2752"/>
      <c r="G75" s="2488">
        <f t="shared" ref="G75:G86" si="2504">D75+E75+F75</f>
        <v>0</v>
      </c>
      <c r="H75" s="2486"/>
      <c r="I75" s="2758"/>
      <c r="J75" s="2486"/>
      <c r="K75" s="2488">
        <f t="shared" si="2442"/>
        <v>0</v>
      </c>
      <c r="L75" s="2489">
        <f t="shared" si="2436"/>
        <v>0</v>
      </c>
      <c r="M75" s="2491"/>
      <c r="N75" s="2534"/>
      <c r="O75" s="2534"/>
      <c r="P75" s="2535">
        <f t="shared" ref="P74:P106" si="2505">M75+N75+O75</f>
        <v>0</v>
      </c>
      <c r="Q75" s="2536">
        <f t="shared" si="2496"/>
        <v>0</v>
      </c>
      <c r="S75" s="2654"/>
      <c r="T75" s="2491"/>
      <c r="U75" s="2538">
        <f t="shared" si="2497"/>
        <v>0</v>
      </c>
      <c r="V75" s="2539">
        <f t="shared" si="2498"/>
        <v>0</v>
      </c>
      <c r="W75" s="2509"/>
      <c r="AC75" s="2731" t="s">
        <v>241</v>
      </c>
      <c r="AD75" s="2753">
        <f>АНАЛИЗ!G79</f>
        <v>0</v>
      </c>
      <c r="AE75" s="2753"/>
      <c r="AF75" s="2753">
        <f>АНАЛИЗ!I79</f>
        <v>0</v>
      </c>
      <c r="AG75" s="2753"/>
      <c r="AH75" s="2753">
        <f>АНАЛИЗ!K79</f>
        <v>0</v>
      </c>
      <c r="AI75" s="2753"/>
      <c r="AJ75" s="2753">
        <f>АНАЛИЗ!M79</f>
        <v>0</v>
      </c>
      <c r="AK75" s="2753"/>
      <c r="AL75" s="2753">
        <f>АНАЛИЗ!O79</f>
        <v>0</v>
      </c>
      <c r="AM75" s="2753"/>
      <c r="AN75" s="2753">
        <f>АНАЛИЗ!Q79</f>
        <v>0</v>
      </c>
      <c r="AO75" s="2753"/>
      <c r="AP75" s="2753">
        <f>АНАЛИЗ!S79</f>
        <v>0</v>
      </c>
      <c r="AQ75" s="2753"/>
      <c r="AR75" s="2753">
        <f>АНАЛИЗ!U79</f>
        <v>0</v>
      </c>
      <c r="AS75" s="2753"/>
      <c r="AT75" s="2753">
        <f>АНАЛИЗ!W79</f>
        <v>0</v>
      </c>
      <c r="AU75" s="2753"/>
      <c r="AV75" s="2753">
        <f>АНАЛИЗ!Y79</f>
        <v>0</v>
      </c>
      <c r="AW75" s="2753"/>
      <c r="AX75" s="2753">
        <f>АНАЛИЗ!AA79</f>
        <v>0</v>
      </c>
      <c r="AY75" s="2753"/>
      <c r="AZ75" s="2753">
        <f>АНАЛИЗ!AC79</f>
        <v>0</v>
      </c>
      <c r="BA75" s="2753"/>
      <c r="BB75" s="2753">
        <f>АНАЛИЗ!AE79</f>
        <v>0</v>
      </c>
      <c r="BC75" s="2753"/>
      <c r="BD75" s="2753">
        <f>АНАЛИЗ!AG79</f>
        <v>0</v>
      </c>
      <c r="BE75" s="2753"/>
      <c r="BF75" s="2753">
        <f>АНАЛИЗ!AI79</f>
        <v>0</v>
      </c>
      <c r="BG75" s="2753"/>
      <c r="BH75" s="2753">
        <f>АНАЛИЗ!AK79</f>
        <v>0</v>
      </c>
      <c r="BI75" s="2753"/>
      <c r="BJ75" s="2753">
        <f>АНАЛИЗ!AM79</f>
        <v>0</v>
      </c>
      <c r="BK75" s="2753"/>
      <c r="BL75" s="2753">
        <f>АНАЛИЗ!AO79</f>
        <v>0</v>
      </c>
      <c r="BM75" s="2753"/>
      <c r="BN75" s="2753">
        <f>АНАЛИЗ!AQ79</f>
        <v>0</v>
      </c>
      <c r="BO75" s="2753"/>
      <c r="BP75" s="2753">
        <f>АНАЛИЗ!AS79</f>
        <v>0</v>
      </c>
      <c r="BQ75" s="2753"/>
      <c r="BR75" s="2753">
        <f>АНАЛИЗ!AU79</f>
        <v>0</v>
      </c>
      <c r="BS75" s="2754"/>
      <c r="BT75" s="2496">
        <f t="shared" si="2500"/>
        <v>0</v>
      </c>
      <c r="BU75" s="2497">
        <f t="shared" si="2455"/>
        <v>0</v>
      </c>
      <c r="BV75" s="222"/>
      <c r="CB75" s="2367">
        <f t="shared" si="2501"/>
        <v>0</v>
      </c>
      <c r="CD75" s="2756"/>
      <c r="CE75" s="2369"/>
      <c r="CF75" s="2418"/>
      <c r="CG75" s="2751" t="e">
        <f>#REF!+CB75+CE75</f>
        <v>#REF!</v>
      </c>
      <c r="CH75" s="2462">
        <f t="shared" si="2503"/>
        <v>0</v>
      </c>
    </row>
    <row r="76" ht="63.75">
      <c r="A76" s="447"/>
      <c r="B76" s="2731" t="s">
        <v>244</v>
      </c>
      <c r="C76" s="2721"/>
      <c r="G76" s="2488">
        <f t="shared" si="2504"/>
        <v>0</v>
      </c>
      <c r="H76" s="1482"/>
      <c r="I76" s="2759"/>
      <c r="J76" s="2760"/>
      <c r="K76" s="2488">
        <f t="shared" si="2442"/>
        <v>0</v>
      </c>
      <c r="L76" s="2761"/>
      <c r="M76" s="2502"/>
      <c r="N76" s="2656"/>
      <c r="O76" s="2503"/>
      <c r="P76" s="2762"/>
      <c r="Q76" s="2763"/>
      <c r="R76" s="2764"/>
      <c r="S76" s="2765"/>
      <c r="T76" s="2765"/>
      <c r="U76" s="2759"/>
      <c r="V76" s="2762"/>
      <c r="W76" s="2509"/>
      <c r="AC76" s="2766" t="s">
        <v>243</v>
      </c>
      <c r="AD76" s="2753">
        <f>АНАЛИЗ!G80</f>
        <v>0</v>
      </c>
      <c r="AE76" s="2753"/>
      <c r="AF76" s="2753">
        <f>АНАЛИЗ!I80</f>
        <v>0</v>
      </c>
      <c r="AG76" s="2753"/>
      <c r="AH76" s="2753">
        <f>АНАЛИЗ!K80</f>
        <v>0</v>
      </c>
      <c r="AI76" s="2753"/>
      <c r="AJ76" s="2753">
        <f>АНАЛИЗ!M80</f>
        <v>0</v>
      </c>
      <c r="AK76" s="2753"/>
      <c r="AL76" s="2753">
        <f>АНАЛИЗ!O80</f>
        <v>0</v>
      </c>
      <c r="AM76" s="2753"/>
      <c r="AN76" s="2753">
        <f>АНАЛИЗ!Q80</f>
        <v>0</v>
      </c>
      <c r="AO76" s="2753"/>
      <c r="AP76" s="2753">
        <f>АНАЛИЗ!S80</f>
        <v>0</v>
      </c>
      <c r="AQ76" s="2753"/>
      <c r="AR76" s="2753">
        <f>АНАЛИЗ!U80</f>
        <v>0</v>
      </c>
      <c r="AS76" s="2753"/>
      <c r="AT76" s="2753">
        <f>АНАЛИЗ!W80</f>
        <v>0</v>
      </c>
      <c r="AU76" s="2753"/>
      <c r="AV76" s="2753">
        <f>АНАЛИЗ!Y80</f>
        <v>0</v>
      </c>
      <c r="AW76" s="2753"/>
      <c r="AX76" s="2753">
        <f>АНАЛИЗ!AA80</f>
        <v>0</v>
      </c>
      <c r="AY76" s="2753"/>
      <c r="AZ76" s="2753">
        <f>АНАЛИЗ!AC80</f>
        <v>0</v>
      </c>
      <c r="BA76" s="2753"/>
      <c r="BB76" s="2753">
        <f>АНАЛИЗ!AE80</f>
        <v>0</v>
      </c>
      <c r="BC76" s="2753"/>
      <c r="BD76" s="2753">
        <f>АНАЛИЗ!AG80</f>
        <v>0</v>
      </c>
      <c r="BE76" s="2753"/>
      <c r="BF76" s="2753">
        <f>АНАЛИЗ!AI80</f>
        <v>0</v>
      </c>
      <c r="BG76" s="2753"/>
      <c r="BH76" s="2753">
        <f>АНАЛИЗ!AK80</f>
        <v>0</v>
      </c>
      <c r="BI76" s="2753"/>
      <c r="BJ76" s="2753">
        <f>АНАЛИЗ!AM80</f>
        <v>0</v>
      </c>
      <c r="BK76" s="2753"/>
      <c r="BL76" s="2753">
        <f>АНАЛИЗ!AO80</f>
        <v>0</v>
      </c>
      <c r="BM76" s="2753"/>
      <c r="BN76" s="2753">
        <f>АНАЛИЗ!AQ80</f>
        <v>0</v>
      </c>
      <c r="BO76" s="2753"/>
      <c r="BP76" s="2753">
        <f>АНАЛИЗ!AS80</f>
        <v>0</v>
      </c>
      <c r="BQ76" s="2753"/>
      <c r="BR76" s="2753">
        <f>АНАЛИЗ!AU80</f>
        <v>0</v>
      </c>
      <c r="BS76" s="2754"/>
      <c r="BT76" s="2496">
        <f t="shared" si="2500"/>
        <v>0</v>
      </c>
      <c r="BU76" s="2497">
        <f t="shared" si="2455"/>
        <v>0</v>
      </c>
      <c r="BV76" s="222"/>
      <c r="CB76" s="2367">
        <f t="shared" si="2501"/>
        <v>0</v>
      </c>
      <c r="CD76" s="2756"/>
      <c r="CE76" s="2369"/>
      <c r="CF76" s="2418"/>
      <c r="CG76" s="2751">
        <f>V75+CB76+CE76</f>
        <v>0</v>
      </c>
      <c r="CH76" s="2462">
        <f t="shared" si="2503"/>
        <v>0</v>
      </c>
    </row>
    <row r="77" ht="51">
      <c r="A77" s="447"/>
      <c r="B77" s="2731" t="s">
        <v>245</v>
      </c>
      <c r="C77" s="2519"/>
      <c r="D77" s="2752"/>
      <c r="E77" s="2752"/>
      <c r="F77" s="2752"/>
      <c r="G77" s="2732">
        <f t="shared" si="2504"/>
        <v>0</v>
      </c>
      <c r="H77" s="2767"/>
      <c r="I77" s="2734"/>
      <c r="J77" s="2733"/>
      <c r="K77" s="2732">
        <f t="shared" si="2442"/>
        <v>0</v>
      </c>
      <c r="L77" s="2735">
        <f t="shared" ref="L76:L104" si="2506">G77+K77</f>
        <v>0</v>
      </c>
      <c r="M77" s="2768"/>
      <c r="N77" s="2769"/>
      <c r="O77" s="2738"/>
      <c r="P77" s="2739">
        <f t="shared" si="2505"/>
        <v>0</v>
      </c>
      <c r="Q77" s="2770">
        <f t="shared" si="2496"/>
        <v>0</v>
      </c>
      <c r="R77" s="2768"/>
      <c r="S77" s="2742"/>
      <c r="T77" s="2768"/>
      <c r="U77" s="2771">
        <f t="shared" si="2497"/>
        <v>0</v>
      </c>
      <c r="V77" s="2745">
        <f t="shared" si="2498"/>
        <v>0</v>
      </c>
      <c r="W77" s="2509"/>
      <c r="AC77" s="2731" t="s">
        <v>244</v>
      </c>
      <c r="AD77" s="2753">
        <f>АНАЛИЗ!G81</f>
        <v>0</v>
      </c>
      <c r="AE77" s="2753"/>
      <c r="AF77" s="2753">
        <f>АНАЛИЗ!I81</f>
        <v>0</v>
      </c>
      <c r="AG77" s="2753"/>
      <c r="AH77" s="2753">
        <f>АНАЛИЗ!K81</f>
        <v>0</v>
      </c>
      <c r="AI77" s="2753"/>
      <c r="AJ77" s="2753">
        <f>АНАЛИЗ!M81</f>
        <v>0</v>
      </c>
      <c r="AK77" s="2753"/>
      <c r="AL77" s="2753">
        <f>АНАЛИЗ!O81</f>
        <v>0</v>
      </c>
      <c r="AM77" s="2753"/>
      <c r="AN77" s="2753">
        <f>АНАЛИЗ!Q81</f>
        <v>0</v>
      </c>
      <c r="AO77" s="2753"/>
      <c r="AP77" s="2753">
        <f>АНАЛИЗ!S81</f>
        <v>0</v>
      </c>
      <c r="AQ77" s="2753"/>
      <c r="AR77" s="2753">
        <f>АНАЛИЗ!U81</f>
        <v>0</v>
      </c>
      <c r="AS77" s="2753"/>
      <c r="AT77" s="2753">
        <f>АНАЛИЗ!W81</f>
        <v>0</v>
      </c>
      <c r="AU77" s="2753"/>
      <c r="AV77" s="2753">
        <f>АНАЛИЗ!Y81</f>
        <v>0</v>
      </c>
      <c r="AW77" s="2753"/>
      <c r="AX77" s="2753">
        <f>АНАЛИЗ!AA81</f>
        <v>0</v>
      </c>
      <c r="AY77" s="2753"/>
      <c r="AZ77" s="2753">
        <f>АНАЛИЗ!AC81</f>
        <v>0</v>
      </c>
      <c r="BA77" s="2753"/>
      <c r="BB77" s="2753">
        <f>АНАЛИЗ!AE81</f>
        <v>0</v>
      </c>
      <c r="BC77" s="2753"/>
      <c r="BD77" s="2753">
        <f>АНАЛИЗ!AG81</f>
        <v>0</v>
      </c>
      <c r="BE77" s="2753"/>
      <c r="BF77" s="2753">
        <f>АНАЛИЗ!AI81</f>
        <v>0</v>
      </c>
      <c r="BG77" s="2753"/>
      <c r="BH77" s="2753">
        <f>АНАЛИЗ!AK81</f>
        <v>0</v>
      </c>
      <c r="BI77" s="2753"/>
      <c r="BJ77" s="2753">
        <f>АНАЛИЗ!AM81</f>
        <v>0</v>
      </c>
      <c r="BK77" s="2753"/>
      <c r="BL77" s="2753">
        <f>АНАЛИЗ!AO81</f>
        <v>0</v>
      </c>
      <c r="BM77" s="2753"/>
      <c r="BN77" s="2753">
        <f>АНАЛИЗ!AQ81</f>
        <v>0</v>
      </c>
      <c r="BO77" s="2753"/>
      <c r="BP77" s="2753">
        <f>АНАЛИЗ!AS81</f>
        <v>0</v>
      </c>
      <c r="BQ77" s="2753"/>
      <c r="BR77" s="2753">
        <f>АНАЛИЗ!AU81</f>
        <v>0</v>
      </c>
      <c r="BS77" s="2754"/>
      <c r="BT77" s="2496">
        <f t="shared" si="2500"/>
        <v>0</v>
      </c>
      <c r="BU77" s="2497">
        <f t="shared" si="2455"/>
        <v>0</v>
      </c>
      <c r="BV77" s="222"/>
      <c r="CB77" s="2367">
        <f t="shared" si="2501"/>
        <v>0</v>
      </c>
      <c r="CD77" s="2756"/>
      <c r="CE77" s="2369"/>
      <c r="CF77" s="2418"/>
      <c r="CG77" s="2751">
        <f t="shared" ref="CG77:CG82" si="2507">V77+CB77+CE77</f>
        <v>0</v>
      </c>
      <c r="CH77" s="2462">
        <f t="shared" si="2503"/>
        <v>0</v>
      </c>
    </row>
    <row r="78" ht="38.25">
      <c r="A78" s="447"/>
      <c r="B78" s="2731" t="s">
        <v>246</v>
      </c>
      <c r="C78" s="2721"/>
      <c r="G78" s="2732">
        <f t="shared" si="2504"/>
        <v>0</v>
      </c>
      <c r="H78" s="2767"/>
      <c r="I78" s="2734"/>
      <c r="J78" s="2733"/>
      <c r="K78" s="2732">
        <f t="shared" si="2442"/>
        <v>0</v>
      </c>
      <c r="L78" s="2735">
        <f t="shared" si="2506"/>
        <v>0</v>
      </c>
      <c r="N78" s="2370"/>
      <c r="O78" s="2534"/>
      <c r="P78" s="2535">
        <f t="shared" si="2505"/>
        <v>0</v>
      </c>
      <c r="Q78" s="2536">
        <f t="shared" si="2496"/>
        <v>0</v>
      </c>
      <c r="S78" s="2654"/>
      <c r="U78" s="2538">
        <f t="shared" si="2497"/>
        <v>0</v>
      </c>
      <c r="V78" s="2539">
        <f t="shared" si="2498"/>
        <v>0</v>
      </c>
      <c r="W78" s="2509"/>
      <c r="AC78" s="2731" t="s">
        <v>245</v>
      </c>
      <c r="AD78" s="2753">
        <f>АНАЛИЗ!G82</f>
        <v>0</v>
      </c>
      <c r="AE78" s="2753"/>
      <c r="AF78" s="2753">
        <f>АНАЛИЗ!I82</f>
        <v>0</v>
      </c>
      <c r="AG78" s="2753"/>
      <c r="AH78" s="2753">
        <f>АНАЛИЗ!K82</f>
        <v>0</v>
      </c>
      <c r="AI78" s="2753"/>
      <c r="AJ78" s="2753">
        <f>АНАЛИЗ!M82</f>
        <v>0</v>
      </c>
      <c r="AK78" s="2753"/>
      <c r="AL78" s="2753">
        <f>АНАЛИЗ!O82</f>
        <v>0</v>
      </c>
      <c r="AM78" s="2753"/>
      <c r="AN78" s="2753">
        <f>АНАЛИЗ!Q82</f>
        <v>0</v>
      </c>
      <c r="AO78" s="2753"/>
      <c r="AP78" s="2753">
        <f>АНАЛИЗ!S82</f>
        <v>0</v>
      </c>
      <c r="AQ78" s="2753"/>
      <c r="AR78" s="2753">
        <f>АНАЛИЗ!U82</f>
        <v>0</v>
      </c>
      <c r="AS78" s="2753"/>
      <c r="AT78" s="2753">
        <f>АНАЛИЗ!W82</f>
        <v>0</v>
      </c>
      <c r="AU78" s="2753"/>
      <c r="AV78" s="2753">
        <f>АНАЛИЗ!Y82</f>
        <v>0</v>
      </c>
      <c r="AW78" s="2753"/>
      <c r="AX78" s="2753">
        <f>АНАЛИЗ!AA82</f>
        <v>0</v>
      </c>
      <c r="AY78" s="2753"/>
      <c r="AZ78" s="2753">
        <f>АНАЛИЗ!AC82</f>
        <v>0</v>
      </c>
      <c r="BA78" s="2753"/>
      <c r="BB78" s="2753">
        <f>АНАЛИЗ!AE82</f>
        <v>0</v>
      </c>
      <c r="BC78" s="2753"/>
      <c r="BD78" s="2753">
        <f>АНАЛИЗ!AG82</f>
        <v>0</v>
      </c>
      <c r="BE78" s="2753"/>
      <c r="BF78" s="2753">
        <f>АНАЛИЗ!AI82</f>
        <v>0</v>
      </c>
      <c r="BG78" s="2753"/>
      <c r="BH78" s="2753">
        <f>АНАЛИЗ!AK82</f>
        <v>0</v>
      </c>
      <c r="BI78" s="2753"/>
      <c r="BJ78" s="2753">
        <f>АНАЛИЗ!AM82</f>
        <v>0</v>
      </c>
      <c r="BK78" s="2753"/>
      <c r="BL78" s="2753">
        <f>АНАЛИЗ!AO82</f>
        <v>0</v>
      </c>
      <c r="BM78" s="2753"/>
      <c r="BN78" s="2753">
        <f>АНАЛИЗ!AQ82</f>
        <v>0</v>
      </c>
      <c r="BO78" s="2753"/>
      <c r="BP78" s="2753">
        <f>АНАЛИЗ!AS82</f>
        <v>0</v>
      </c>
      <c r="BQ78" s="2753"/>
      <c r="BR78" s="2753">
        <f>АНАЛИЗ!AU82</f>
        <v>0</v>
      </c>
      <c r="BS78" s="2754"/>
      <c r="BT78" s="2496">
        <f t="shared" si="2500"/>
        <v>0</v>
      </c>
      <c r="BU78" s="2497">
        <f t="shared" si="2455"/>
        <v>0</v>
      </c>
      <c r="BV78" s="222"/>
      <c r="CB78" s="2367">
        <f t="shared" si="2501"/>
        <v>0</v>
      </c>
      <c r="CD78" s="2756"/>
      <c r="CE78" s="2369"/>
      <c r="CF78" s="2418"/>
      <c r="CG78" s="2751">
        <f t="shared" si="2507"/>
        <v>0</v>
      </c>
      <c r="CH78" s="2462">
        <f t="shared" si="2503"/>
        <v>0</v>
      </c>
    </row>
    <row r="79" ht="38.25">
      <c r="A79" s="447"/>
      <c r="B79" s="2731" t="s">
        <v>247</v>
      </c>
      <c r="C79" s="2519"/>
      <c r="D79" s="2752"/>
      <c r="E79" s="2752"/>
      <c r="F79" s="2752"/>
      <c r="G79" s="2732">
        <f t="shared" si="2504"/>
        <v>0</v>
      </c>
      <c r="H79" s="2767"/>
      <c r="I79" s="2734"/>
      <c r="J79" s="2733"/>
      <c r="K79" s="2732">
        <f t="shared" si="2442"/>
        <v>0</v>
      </c>
      <c r="L79" s="2735">
        <f t="shared" si="2506"/>
        <v>0</v>
      </c>
      <c r="N79" s="2534"/>
      <c r="O79" s="2534"/>
      <c r="P79" s="2535">
        <f t="shared" si="2505"/>
        <v>0</v>
      </c>
      <c r="Q79" s="2536">
        <f t="shared" si="2496"/>
        <v>0</v>
      </c>
      <c r="S79" s="2654"/>
      <c r="U79" s="2538">
        <f t="shared" si="2497"/>
        <v>0</v>
      </c>
      <c r="V79" s="2539">
        <f t="shared" si="2498"/>
        <v>0</v>
      </c>
      <c r="W79" s="2509"/>
      <c r="AC79" s="2731" t="s">
        <v>246</v>
      </c>
      <c r="AD79" s="2753">
        <f>АНАЛИЗ!G83</f>
        <v>0</v>
      </c>
      <c r="AE79" s="2753"/>
      <c r="AF79" s="2753">
        <f>АНАЛИЗ!I83</f>
        <v>0</v>
      </c>
      <c r="AG79" s="2753"/>
      <c r="AH79" s="2753">
        <f>АНАЛИЗ!K83</f>
        <v>0</v>
      </c>
      <c r="AI79" s="2753"/>
      <c r="AJ79" s="2753">
        <f>АНАЛИЗ!M83</f>
        <v>0</v>
      </c>
      <c r="AK79" s="2753"/>
      <c r="AL79" s="2753">
        <f>АНАЛИЗ!O83</f>
        <v>0</v>
      </c>
      <c r="AM79" s="2753"/>
      <c r="AN79" s="2753">
        <f>АНАЛИЗ!Q83</f>
        <v>0</v>
      </c>
      <c r="AO79" s="2753"/>
      <c r="AP79" s="2753">
        <f>АНАЛИЗ!S83</f>
        <v>0</v>
      </c>
      <c r="AQ79" s="2753"/>
      <c r="AR79" s="2753">
        <f>АНАЛИЗ!U83</f>
        <v>0</v>
      </c>
      <c r="AS79" s="2753"/>
      <c r="AT79" s="2753">
        <f>АНАЛИЗ!W83</f>
        <v>0</v>
      </c>
      <c r="AU79" s="2753"/>
      <c r="AV79" s="2753">
        <f>АНАЛИЗ!Y83</f>
        <v>0</v>
      </c>
      <c r="AW79" s="2753"/>
      <c r="AX79" s="2753">
        <f>АНАЛИЗ!AA83</f>
        <v>0</v>
      </c>
      <c r="AY79" s="2753"/>
      <c r="AZ79" s="2753">
        <f>АНАЛИЗ!AC83</f>
        <v>0</v>
      </c>
      <c r="BA79" s="2753"/>
      <c r="BB79" s="2753">
        <f>АНАЛИЗ!AE83</f>
        <v>0</v>
      </c>
      <c r="BC79" s="2753"/>
      <c r="BD79" s="2753">
        <f>АНАЛИЗ!AG83</f>
        <v>0</v>
      </c>
      <c r="BE79" s="2753"/>
      <c r="BF79" s="2753">
        <f>АНАЛИЗ!AI83</f>
        <v>0</v>
      </c>
      <c r="BG79" s="2753"/>
      <c r="BH79" s="2753">
        <f>АНАЛИЗ!AK83</f>
        <v>0</v>
      </c>
      <c r="BI79" s="2753"/>
      <c r="BJ79" s="2753">
        <f>АНАЛИЗ!AM83</f>
        <v>0</v>
      </c>
      <c r="BK79" s="2753"/>
      <c r="BL79" s="2753">
        <f>АНАЛИЗ!AO83</f>
        <v>0</v>
      </c>
      <c r="BM79" s="2753"/>
      <c r="BN79" s="2753">
        <f>АНАЛИЗ!AQ83</f>
        <v>0</v>
      </c>
      <c r="BO79" s="2753"/>
      <c r="BP79" s="2753">
        <f>АНАЛИЗ!AS83</f>
        <v>0</v>
      </c>
      <c r="BQ79" s="2753"/>
      <c r="BR79" s="2753">
        <f>АНАЛИЗ!AU83</f>
        <v>0</v>
      </c>
      <c r="BS79" s="2754"/>
      <c r="BT79" s="2496">
        <f t="shared" si="2500"/>
        <v>0</v>
      </c>
      <c r="BU79" s="2497">
        <f t="shared" si="2455"/>
        <v>0</v>
      </c>
      <c r="BV79" s="222"/>
      <c r="CB79" s="2367">
        <f t="shared" si="2501"/>
        <v>0</v>
      </c>
      <c r="CE79" s="2369"/>
      <c r="CF79" s="2418"/>
      <c r="CG79" s="2751">
        <f t="shared" si="2507"/>
        <v>0</v>
      </c>
      <c r="CH79" s="2462">
        <f t="shared" si="2503"/>
        <v>0</v>
      </c>
    </row>
    <row r="80" ht="66" customHeight="1">
      <c r="A80" s="447"/>
      <c r="B80" s="2731" t="s">
        <v>248</v>
      </c>
      <c r="C80" s="2498"/>
      <c r="G80" s="2533">
        <f t="shared" si="2504"/>
        <v>0</v>
      </c>
      <c r="H80" s="2641"/>
      <c r="I80" s="2642"/>
      <c r="J80" s="2650"/>
      <c r="K80" s="2533">
        <f t="shared" si="2442"/>
        <v>0</v>
      </c>
      <c r="L80" s="2501">
        <f t="shared" si="2506"/>
        <v>0</v>
      </c>
      <c r="M80" s="2768"/>
      <c r="N80" s="2769"/>
      <c r="O80" s="2738"/>
      <c r="P80" s="2739">
        <f t="shared" si="2505"/>
        <v>0</v>
      </c>
      <c r="Q80" s="2770">
        <f t="shared" si="2496"/>
        <v>0</v>
      </c>
      <c r="R80" s="2768"/>
      <c r="S80" s="2742"/>
      <c r="T80" s="2768"/>
      <c r="U80" s="2771">
        <f t="shared" si="2497"/>
        <v>0</v>
      </c>
      <c r="V80" s="2745">
        <f t="shared" si="2498"/>
        <v>0</v>
      </c>
      <c r="W80" s="2509"/>
      <c r="AC80" s="2731" t="s">
        <v>247</v>
      </c>
      <c r="AD80" s="2753">
        <f>АНАЛИЗ!G84</f>
        <v>0</v>
      </c>
      <c r="AE80" s="2753"/>
      <c r="AF80" s="2753">
        <f>АНАЛИЗ!I84</f>
        <v>0</v>
      </c>
      <c r="AG80" s="2753"/>
      <c r="AH80" s="2753">
        <f>АНАЛИЗ!K84</f>
        <v>0</v>
      </c>
      <c r="AI80" s="2753"/>
      <c r="AJ80" s="2753">
        <f>АНАЛИЗ!M84</f>
        <v>0</v>
      </c>
      <c r="AK80" s="2753"/>
      <c r="AL80" s="2753">
        <f>АНАЛИЗ!O84</f>
        <v>0</v>
      </c>
      <c r="AM80" s="2753"/>
      <c r="AN80" s="2753">
        <f>АНАЛИЗ!Q84</f>
        <v>0</v>
      </c>
      <c r="AO80" s="2753"/>
      <c r="AP80" s="2753">
        <f>АНАЛИЗ!S84</f>
        <v>0</v>
      </c>
      <c r="AQ80" s="2753"/>
      <c r="AR80" s="2753">
        <f>АНАЛИЗ!U84</f>
        <v>0</v>
      </c>
      <c r="AS80" s="2753"/>
      <c r="AT80" s="2753">
        <f>АНАЛИЗ!W84</f>
        <v>0</v>
      </c>
      <c r="AU80" s="2753"/>
      <c r="AV80" s="2753">
        <f>АНАЛИЗ!Y84</f>
        <v>0</v>
      </c>
      <c r="AW80" s="2753"/>
      <c r="AX80" s="2753">
        <f>АНАЛИЗ!AA84</f>
        <v>0</v>
      </c>
      <c r="AY80" s="2753"/>
      <c r="AZ80" s="2753">
        <f>АНАЛИЗ!AC84</f>
        <v>0</v>
      </c>
      <c r="BA80" s="2753"/>
      <c r="BB80" s="2753">
        <f>АНАЛИЗ!AE84</f>
        <v>0</v>
      </c>
      <c r="BC80" s="2753"/>
      <c r="BD80" s="2753">
        <f>АНАЛИЗ!AG84</f>
        <v>0</v>
      </c>
      <c r="BE80" s="2753"/>
      <c r="BF80" s="2753">
        <f>АНАЛИЗ!AI84</f>
        <v>0</v>
      </c>
      <c r="BG80" s="2753"/>
      <c r="BH80" s="2753">
        <f>АНАЛИЗ!AK84</f>
        <v>0</v>
      </c>
      <c r="BI80" s="2753"/>
      <c r="BJ80" s="2753">
        <f>АНАЛИЗ!AM84</f>
        <v>0</v>
      </c>
      <c r="BK80" s="2753"/>
      <c r="BL80" s="2753">
        <f>АНАЛИЗ!AO84</f>
        <v>0</v>
      </c>
      <c r="BM80" s="2753"/>
      <c r="BN80" s="2753">
        <f>АНАЛИЗ!AQ84</f>
        <v>0</v>
      </c>
      <c r="BO80" s="2753"/>
      <c r="BP80" s="2753">
        <f>АНАЛИЗ!AS84</f>
        <v>0</v>
      </c>
      <c r="BQ80" s="2753"/>
      <c r="BR80" s="2753">
        <f>АНАЛИЗ!AU84</f>
        <v>0</v>
      </c>
      <c r="BS80" s="2754"/>
      <c r="BT80" s="2496">
        <f t="shared" si="2500"/>
        <v>0</v>
      </c>
      <c r="BU80" s="2497">
        <f t="shared" si="2455"/>
        <v>0</v>
      </c>
      <c r="BV80" s="222"/>
      <c r="CB80" s="2367">
        <f t="shared" si="2501"/>
        <v>0</v>
      </c>
      <c r="CE80" s="2369"/>
      <c r="CF80" s="2418"/>
      <c r="CG80" s="2751">
        <f t="shared" si="2507"/>
        <v>0</v>
      </c>
      <c r="CH80" s="2462">
        <f t="shared" si="2503"/>
        <v>0</v>
      </c>
    </row>
    <row r="81" ht="51.75">
      <c r="A81" s="437"/>
      <c r="B81" s="2772" t="s">
        <v>249</v>
      </c>
      <c r="C81" s="2773"/>
      <c r="D81" s="2752"/>
      <c r="E81" s="2752"/>
      <c r="F81" s="2752"/>
      <c r="G81" s="2732">
        <f t="shared" si="2504"/>
        <v>0</v>
      </c>
      <c r="H81" s="2767"/>
      <c r="I81" s="2734"/>
      <c r="J81" s="2733"/>
      <c r="K81" s="2732">
        <f t="shared" si="2442"/>
        <v>0</v>
      </c>
      <c r="L81" s="2735">
        <f t="shared" si="2506"/>
        <v>0</v>
      </c>
      <c r="N81" s="2370"/>
      <c r="O81" s="2534"/>
      <c r="P81" s="2535">
        <f t="shared" si="2505"/>
        <v>0</v>
      </c>
      <c r="Q81" s="2536">
        <f t="shared" si="2496"/>
        <v>0</v>
      </c>
      <c r="R81" s="2764"/>
      <c r="S81" s="2742"/>
      <c r="U81" s="2538">
        <f t="shared" si="2497"/>
        <v>0</v>
      </c>
      <c r="V81" s="2539">
        <f t="shared" si="2498"/>
        <v>0</v>
      </c>
      <c r="W81" s="2509"/>
      <c r="AC81" s="2731" t="s">
        <v>248</v>
      </c>
      <c r="AD81" s="2753">
        <f>АНАЛИЗ!G85</f>
        <v>0</v>
      </c>
      <c r="AE81" s="2753"/>
      <c r="AF81" s="2753">
        <f>АНАЛИЗ!I85</f>
        <v>0</v>
      </c>
      <c r="AG81" s="2753"/>
      <c r="AH81" s="2753">
        <f>АНАЛИЗ!K85</f>
        <v>0</v>
      </c>
      <c r="AI81" s="2753"/>
      <c r="AJ81" s="2753">
        <f>АНАЛИЗ!M85</f>
        <v>0</v>
      </c>
      <c r="AK81" s="2753"/>
      <c r="AL81" s="2753">
        <f>АНАЛИЗ!O85</f>
        <v>0</v>
      </c>
      <c r="AM81" s="2753"/>
      <c r="AN81" s="2753">
        <f>АНАЛИЗ!Q85</f>
        <v>0</v>
      </c>
      <c r="AO81" s="2753"/>
      <c r="AP81" s="2753">
        <f>АНАЛИЗ!S85</f>
        <v>0</v>
      </c>
      <c r="AQ81" s="2753"/>
      <c r="AR81" s="2753">
        <f>АНАЛИЗ!U85</f>
        <v>0</v>
      </c>
      <c r="AS81" s="2753"/>
      <c r="AT81" s="2753">
        <f>АНАЛИЗ!W85</f>
        <v>0</v>
      </c>
      <c r="AU81" s="2753"/>
      <c r="AV81" s="2753">
        <f>АНАЛИЗ!Y85</f>
        <v>0</v>
      </c>
      <c r="AW81" s="2753"/>
      <c r="AX81" s="2753">
        <f>АНАЛИЗ!AA85</f>
        <v>0</v>
      </c>
      <c r="AY81" s="2753"/>
      <c r="AZ81" s="2753">
        <f>АНАЛИЗ!AC85</f>
        <v>0</v>
      </c>
      <c r="BA81" s="2753"/>
      <c r="BB81" s="2753">
        <f>АНАЛИЗ!AE85</f>
        <v>0</v>
      </c>
      <c r="BC81" s="2753"/>
      <c r="BD81" s="2753">
        <f>АНАЛИЗ!AG85</f>
        <v>0</v>
      </c>
      <c r="BE81" s="2753"/>
      <c r="BF81" s="2753">
        <f>АНАЛИЗ!AI85</f>
        <v>0</v>
      </c>
      <c r="BG81" s="2753"/>
      <c r="BH81" s="2753">
        <f>АНАЛИЗ!AK85</f>
        <v>0</v>
      </c>
      <c r="BI81" s="2753"/>
      <c r="BJ81" s="2753">
        <f>АНАЛИЗ!AM85</f>
        <v>0</v>
      </c>
      <c r="BK81" s="2753"/>
      <c r="BL81" s="2753">
        <f>АНАЛИЗ!AO85</f>
        <v>0</v>
      </c>
      <c r="BM81" s="2753"/>
      <c r="BN81" s="2753">
        <f>АНАЛИЗ!AQ85</f>
        <v>0</v>
      </c>
      <c r="BO81" s="2753"/>
      <c r="BP81" s="2753">
        <f>АНАЛИЗ!AS85</f>
        <v>0</v>
      </c>
      <c r="BQ81" s="2753"/>
      <c r="BR81" s="2753">
        <f>АНАЛИЗ!AU85</f>
        <v>0</v>
      </c>
      <c r="BS81" s="2754"/>
      <c r="BT81" s="2496">
        <f t="shared" si="2500"/>
        <v>0</v>
      </c>
      <c r="BU81" s="2497">
        <f t="shared" si="2455"/>
        <v>0</v>
      </c>
      <c r="BV81" s="222"/>
      <c r="CB81" s="2367">
        <f t="shared" si="2501"/>
        <v>0</v>
      </c>
      <c r="CD81" s="2774"/>
      <c r="CE81" s="2369"/>
      <c r="CF81" s="2418">
        <f t="shared" ref="CF81:CF87" si="2508">CB81+V80</f>
        <v>0</v>
      </c>
      <c r="CG81" s="2751">
        <f t="shared" si="2507"/>
        <v>0</v>
      </c>
      <c r="CH81" s="2462">
        <f t="shared" si="2503"/>
        <v>0</v>
      </c>
      <c r="CI81" s="2418">
        <f>CH73+CH84+CH87</f>
        <v>27729698.346583582</v>
      </c>
    </row>
    <row r="82" ht="39">
      <c r="A82" s="759"/>
      <c r="B82" s="2775"/>
      <c r="C82" s="2498"/>
      <c r="G82" s="2533">
        <f t="shared" si="2504"/>
        <v>0</v>
      </c>
      <c r="H82" s="2641"/>
      <c r="I82" s="2642"/>
      <c r="J82" s="2650"/>
      <c r="K82" s="2533">
        <f t="shared" ref="K82:K87" si="2509">H82+I82+J82</f>
        <v>0</v>
      </c>
      <c r="L82" s="2501">
        <f t="shared" si="2506"/>
        <v>0</v>
      </c>
      <c r="N82" s="2370"/>
      <c r="O82" s="2534"/>
      <c r="P82" s="2535">
        <f t="shared" si="2505"/>
        <v>0</v>
      </c>
      <c r="Q82" s="2536">
        <f t="shared" si="2496"/>
        <v>0</v>
      </c>
      <c r="R82" s="2764"/>
      <c r="S82" s="2742"/>
      <c r="U82" s="2538">
        <f t="shared" si="2497"/>
        <v>0</v>
      </c>
      <c r="V82" s="2539">
        <f t="shared" si="2498"/>
        <v>0</v>
      </c>
      <c r="W82" s="2509"/>
      <c r="AC82" s="2772" t="s">
        <v>249</v>
      </c>
      <c r="AD82" s="2753">
        <f>АНАЛИЗ!G86</f>
        <v>0</v>
      </c>
      <c r="AE82" s="2753"/>
      <c r="AF82" s="2753">
        <f>АНАЛИЗ!I86</f>
        <v>0</v>
      </c>
      <c r="AG82" s="2753"/>
      <c r="AH82" s="2753">
        <f>АНАЛИЗ!K86</f>
        <v>0</v>
      </c>
      <c r="AI82" s="2753"/>
      <c r="AJ82" s="2753">
        <f>АНАЛИЗ!M86</f>
        <v>0</v>
      </c>
      <c r="AK82" s="2753"/>
      <c r="AL82" s="2753">
        <f>АНАЛИЗ!O86</f>
        <v>0</v>
      </c>
      <c r="AM82" s="2753"/>
      <c r="AN82" s="2753">
        <f>АНАЛИЗ!Q86</f>
        <v>0</v>
      </c>
      <c r="AO82" s="2753"/>
      <c r="AP82" s="2753">
        <f>АНАЛИЗ!S86</f>
        <v>0</v>
      </c>
      <c r="AQ82" s="2753"/>
      <c r="AR82" s="2753">
        <f>АНАЛИЗ!U86</f>
        <v>0</v>
      </c>
      <c r="AS82" s="2753"/>
      <c r="AT82" s="2753">
        <f>АНАЛИЗ!W86</f>
        <v>0</v>
      </c>
      <c r="AU82" s="2753"/>
      <c r="AV82" s="2753">
        <f>АНАЛИЗ!Y86</f>
        <v>0</v>
      </c>
      <c r="AW82" s="2753"/>
      <c r="AX82" s="2753">
        <f>АНАЛИЗ!AA86</f>
        <v>0</v>
      </c>
      <c r="AY82" s="2753"/>
      <c r="AZ82" s="2753">
        <f>АНАЛИЗ!AC86</f>
        <v>0</v>
      </c>
      <c r="BA82" s="2753"/>
      <c r="BB82" s="2753">
        <f>АНАЛИЗ!AE86</f>
        <v>0</v>
      </c>
      <c r="BC82" s="2753"/>
      <c r="BD82" s="2753">
        <f>АНАЛИЗ!AG86</f>
        <v>0</v>
      </c>
      <c r="BE82" s="2753"/>
      <c r="BF82" s="2753">
        <f>АНАЛИЗ!AI86</f>
        <v>0</v>
      </c>
      <c r="BG82" s="2753"/>
      <c r="BH82" s="2753">
        <f>АНАЛИЗ!AK86</f>
        <v>0</v>
      </c>
      <c r="BI82" s="2753"/>
      <c r="BJ82" s="2753">
        <f>АНАЛИЗ!AM86</f>
        <v>0</v>
      </c>
      <c r="BK82" s="2753"/>
      <c r="BL82" s="2753">
        <f>АНАЛИЗ!AO86</f>
        <v>0</v>
      </c>
      <c r="BM82" s="2753"/>
      <c r="BN82" s="2753">
        <f>АНАЛИЗ!AQ86</f>
        <v>0</v>
      </c>
      <c r="BO82" s="2753"/>
      <c r="BP82" s="2753">
        <f>АНАЛИЗ!AS86</f>
        <v>0</v>
      </c>
      <c r="BQ82" s="2753"/>
      <c r="BR82" s="2753">
        <f>АНАЛИЗ!AU86</f>
        <v>0</v>
      </c>
      <c r="BS82" s="2754"/>
      <c r="BT82" s="2517">
        <f t="shared" si="2500"/>
        <v>0</v>
      </c>
      <c r="BU82" s="2497">
        <f t="shared" si="2455"/>
        <v>0</v>
      </c>
      <c r="BV82" s="222"/>
      <c r="CB82" s="2367">
        <f t="shared" si="2501"/>
        <v>0</v>
      </c>
      <c r="CE82" s="2369"/>
      <c r="CF82" s="2418">
        <f t="shared" si="2508"/>
        <v>0</v>
      </c>
      <c r="CG82" s="2751">
        <f t="shared" si="2507"/>
        <v>0</v>
      </c>
      <c r="CH82" s="2462">
        <f t="shared" si="2503"/>
        <v>0</v>
      </c>
    </row>
    <row r="83" ht="15.75">
      <c r="A83" s="283" t="s">
        <v>228</v>
      </c>
      <c r="B83" s="2388"/>
      <c r="C83" s="2519">
        <v>221</v>
      </c>
      <c r="D83" s="2776">
        <v>1557873.98</v>
      </c>
      <c r="E83" s="2777">
        <f>1547875.34</f>
        <v>1547875.3400000001</v>
      </c>
      <c r="F83" s="2776"/>
      <c r="G83" s="2778">
        <f t="shared" si="2504"/>
        <v>3105749.3200000003</v>
      </c>
      <c r="H83" s="2776"/>
      <c r="I83" s="2777"/>
      <c r="J83" s="2776"/>
      <c r="K83" s="2778">
        <f t="shared" si="2509"/>
        <v>0</v>
      </c>
      <c r="L83" s="2779">
        <f t="shared" si="2506"/>
        <v>3105749.3200000003</v>
      </c>
      <c r="M83" s="2776"/>
      <c r="N83" s="2777"/>
      <c r="O83" s="2776"/>
      <c r="P83" s="2780">
        <f t="shared" si="2505"/>
        <v>0</v>
      </c>
      <c r="Q83" s="2781">
        <f t="shared" si="2496"/>
        <v>3105749.3200000003</v>
      </c>
      <c r="R83" s="2776"/>
      <c r="S83" s="2777"/>
      <c r="T83" s="2776"/>
      <c r="U83" s="2782">
        <f t="shared" si="2497"/>
        <v>0</v>
      </c>
      <c r="V83" s="2783">
        <f t="shared" si="2498"/>
        <v>3105749.3200000003</v>
      </c>
      <c r="W83" s="2509"/>
      <c r="AC83" s="2731"/>
      <c r="AD83" s="2753"/>
      <c r="AE83" s="2784"/>
      <c r="AF83" s="2785"/>
      <c r="AG83" s="2786"/>
      <c r="AH83" s="2649"/>
      <c r="AI83" s="2644"/>
      <c r="AJ83" s="2645"/>
      <c r="AK83" s="2646"/>
      <c r="AL83" s="2643"/>
      <c r="AM83" s="2644"/>
      <c r="AN83" s="2645"/>
      <c r="AO83" s="2646"/>
      <c r="AP83" s="2649"/>
      <c r="AQ83" s="2787"/>
      <c r="AR83" s="2645"/>
      <c r="AS83" s="2646"/>
      <c r="AT83" s="2649"/>
      <c r="AU83" s="2787"/>
      <c r="AV83" s="2645"/>
      <c r="AW83" s="2646"/>
      <c r="AX83" s="2649"/>
      <c r="AY83" s="2787"/>
      <c r="AZ83" s="2645"/>
      <c r="BA83" s="2646"/>
      <c r="BB83" s="2637"/>
      <c r="BC83" s="2638"/>
      <c r="BD83" s="2785"/>
      <c r="BE83" s="2786"/>
      <c r="BF83" s="2637"/>
      <c r="BG83" s="2638"/>
      <c r="BH83" s="2632"/>
      <c r="BI83" s="2633"/>
      <c r="BJ83" s="2637"/>
      <c r="BK83" s="2638"/>
      <c r="BL83" s="2629"/>
      <c r="BM83" s="2639"/>
      <c r="BN83" s="2511">
        <f>BN82*100/BN$98</f>
        <v>0</v>
      </c>
      <c r="BO83" s="2784"/>
      <c r="BP83" s="2788"/>
      <c r="BQ83" s="2789"/>
      <c r="BR83" s="2649"/>
      <c r="BS83" s="2646"/>
      <c r="BT83" s="2517"/>
      <c r="BU83" s="2497">
        <f t="shared" si="2455"/>
        <v>0</v>
      </c>
      <c r="BV83" s="222"/>
      <c r="CB83" s="2367">
        <f t="shared" si="2501"/>
        <v>0</v>
      </c>
      <c r="CE83" s="2369">
        <f t="shared" ref="CE83:CE88" si="2510">CD83*$CE$5/100</f>
        <v>0</v>
      </c>
      <c r="CF83" s="2418">
        <f t="shared" si="2508"/>
        <v>0</v>
      </c>
      <c r="CG83" s="2418">
        <f t="shared" ref="CG83:CG88" si="2511">V82+CB83+CE83</f>
        <v>0</v>
      </c>
      <c r="CH83" s="2462">
        <f t="shared" si="2503"/>
        <v>0</v>
      </c>
    </row>
    <row r="84" ht="15.75">
      <c r="A84" s="437"/>
      <c r="B84" s="2790" t="s">
        <v>253</v>
      </c>
      <c r="C84" s="2498"/>
      <c r="D84" s="2499"/>
      <c r="E84" s="2499"/>
      <c r="F84" s="2499"/>
      <c r="G84" s="2652"/>
      <c r="H84" s="2655"/>
      <c r="I84" s="2487"/>
      <c r="J84" s="2486"/>
      <c r="K84" s="2488">
        <f t="shared" si="2509"/>
        <v>0</v>
      </c>
      <c r="L84" s="2489">
        <f t="shared" si="2506"/>
        <v>0</v>
      </c>
      <c r="M84" s="2525"/>
      <c r="N84" s="2526"/>
      <c r="O84" s="2668"/>
      <c r="P84" s="2527">
        <f t="shared" si="2505"/>
        <v>0</v>
      </c>
      <c r="Q84" s="2528">
        <f t="shared" si="2496"/>
        <v>0</v>
      </c>
      <c r="R84" s="2525"/>
      <c r="S84" s="2585"/>
      <c r="T84" s="2525"/>
      <c r="U84" s="2530">
        <f t="shared" si="2497"/>
        <v>0</v>
      </c>
      <c r="V84" s="2531">
        <f t="shared" si="2498"/>
        <v>0</v>
      </c>
      <c r="W84" s="2509"/>
      <c r="AC84" s="2388" t="s">
        <v>228</v>
      </c>
      <c r="AD84" s="2753">
        <f>АНАЛИЗ!G88</f>
        <v>0</v>
      </c>
      <c r="AE84" s="2512">
        <f>AD$1*AD85/100</f>
        <v>0</v>
      </c>
      <c r="AF84" s="2753">
        <f>АНАЛИЗ!I88</f>
        <v>0</v>
      </c>
      <c r="AG84" s="2512">
        <f>AF$1*AF85/100</f>
        <v>0</v>
      </c>
      <c r="AH84" s="2753">
        <f>АНАЛИЗ!K88</f>
        <v>12885.45923466107</v>
      </c>
      <c r="AI84" s="2512">
        <f>AH$1*AH85/100</f>
        <v>230289.02536774322</v>
      </c>
      <c r="AJ84" s="2753">
        <f>АНАЛИЗ!M88</f>
        <v>55988.020808896254</v>
      </c>
      <c r="AK84" s="2512">
        <f>AJ$1*AJ85/100</f>
        <v>0</v>
      </c>
      <c r="AL84" s="2753">
        <f>АНАЛИЗ!O88</f>
        <v>2538.617569577641</v>
      </c>
      <c r="AM84" s="2512">
        <f>AL$1*AL85/100</f>
        <v>12417.343191111111</v>
      </c>
      <c r="AN84" s="2753">
        <f>АНАЛИЗ!Q88</f>
        <v>71671.713142361346</v>
      </c>
      <c r="AO84" s="2512">
        <f>AN$1*AN85/100</f>
        <v>165584.61179830358</v>
      </c>
      <c r="AP84" s="2753">
        <f>АНАЛИЗ!S88</f>
        <v>603.72871502063435</v>
      </c>
      <c r="AQ84" s="2512">
        <f>AP$1*AP85/100</f>
        <v>134405.46519518294</v>
      </c>
      <c r="AR84" s="2753">
        <f>АНАЛИЗ!U88</f>
        <v>0</v>
      </c>
      <c r="AS84" s="2512">
        <f>AR$1*AR85/100</f>
        <v>0</v>
      </c>
      <c r="AT84" s="2753">
        <f>АНАЛИЗ!W88</f>
        <v>91.516351436535658</v>
      </c>
      <c r="AU84" s="2512">
        <f>AT$1*AT85/100</f>
        <v>36972.33004689138</v>
      </c>
      <c r="AV84" s="2753">
        <f>АНАЛИЗ!Y88</f>
        <v>10770.548373679161</v>
      </c>
      <c r="AW84" s="2512">
        <f>AV$1*AV85/100</f>
        <v>1033422.9691096016</v>
      </c>
      <c r="AX84" s="2753">
        <f>АНАЛИЗ!AA88</f>
        <v>0</v>
      </c>
      <c r="AY84" s="2512">
        <f>AX$1*AX85/100</f>
        <v>0</v>
      </c>
      <c r="AZ84" s="2753">
        <f>АНАЛИЗ!AC88</f>
        <v>0</v>
      </c>
      <c r="BA84" s="2512" t="e">
        <f>AZ$1*AZ85/100</f>
        <v>#DIV/0!</v>
      </c>
      <c r="BB84" s="2753">
        <f>АНАЛИЗ!AE88</f>
        <v>0</v>
      </c>
      <c r="BC84" s="2512">
        <f>BB$1*BB85/100</f>
        <v>0</v>
      </c>
      <c r="BD84" s="2753">
        <f>АНАЛИЗ!AG88</f>
        <v>0</v>
      </c>
      <c r="BE84" s="2512">
        <f>BD$1*BD85/100</f>
        <v>0</v>
      </c>
      <c r="BF84" s="2753">
        <f>АНАЛИЗ!AI88</f>
        <v>0</v>
      </c>
      <c r="BG84" s="2512">
        <f>BF$1*BF85/100</f>
        <v>0</v>
      </c>
      <c r="BH84" s="2753">
        <f>АНАЛИЗ!AK88</f>
        <v>0</v>
      </c>
      <c r="BI84" s="2512">
        <f>BH$1*BH85/100</f>
        <v>0</v>
      </c>
      <c r="BJ84" s="2753">
        <f>АНАЛИЗ!AM88</f>
        <v>0</v>
      </c>
      <c r="BK84" s="2512">
        <f>BJ$1*BJ85/100</f>
        <v>0</v>
      </c>
      <c r="BL84" s="2753">
        <f>АНАЛИЗ!AO88</f>
        <v>0</v>
      </c>
      <c r="BM84" s="2512">
        <f>BL$1*BL85/100</f>
        <v>0</v>
      </c>
      <c r="BN84" s="2753">
        <f>АНАЛИЗ!AQ88</f>
        <v>418.31069630178877</v>
      </c>
      <c r="BO84" s="2512">
        <f>BN$1*BN85/100</f>
        <v>10156.025027726435</v>
      </c>
      <c r="BP84" s="2753">
        <f>АНАЛИЗ!AS88</f>
        <v>6198.1432572683525</v>
      </c>
      <c r="BQ84" s="2512">
        <f>BP$1*BP85/100</f>
        <v>38286.820495565982</v>
      </c>
      <c r="BR84" s="2753">
        <f>АНАЛИЗ!AU88</f>
        <v>0</v>
      </c>
      <c r="BS84" s="2514">
        <f>BR$1*BR85/100</f>
        <v>0</v>
      </c>
      <c r="BT84" s="2496">
        <f>AE84+AG84+AI84+AK84+AM84+AO84+AQ84+AS84+AU84+AW84+AY84+BC84+BE84+BG84+BI84+BK84+BM84+BO84+BQ84+BS84</f>
        <v>1661534.5902321262</v>
      </c>
      <c r="BU84" s="2497">
        <f t="shared" si="2455"/>
        <v>1661534.5902321262</v>
      </c>
      <c r="BV84" s="222"/>
      <c r="CA84" s="2367">
        <f>AI84+AM84+AO84+AQ84+AS84+AU84+AW84+BO84+BQ84</f>
        <v>1661534.5902321262</v>
      </c>
      <c r="CB84" s="2367">
        <f t="shared" si="2501"/>
        <v>0</v>
      </c>
      <c r="CD84" s="2377">
        <f>CB84*100/$CB$91</f>
        <v>0</v>
      </c>
      <c r="CE84" s="2369">
        <f t="shared" si="2510"/>
        <v>0</v>
      </c>
      <c r="CF84" s="2418">
        <f t="shared" si="2508"/>
        <v>3105749.3200000003</v>
      </c>
      <c r="CG84" s="2418">
        <f t="shared" si="2511"/>
        <v>3105749.3200000003</v>
      </c>
      <c r="CH84" s="2462">
        <f t="shared" si="2503"/>
        <v>3105749.3200000003</v>
      </c>
    </row>
    <row r="85" ht="15.75">
      <c r="A85" s="247"/>
      <c r="B85" s="2483"/>
      <c r="C85" s="2519"/>
      <c r="D85" s="2520"/>
      <c r="E85" s="2520"/>
      <c r="F85" s="2520"/>
      <c r="G85" s="2625"/>
      <c r="H85" s="2626"/>
      <c r="I85" s="2523"/>
      <c r="J85" s="2522"/>
      <c r="K85" s="2524">
        <f t="shared" si="2509"/>
        <v>0</v>
      </c>
      <c r="L85" s="2540">
        <f t="shared" si="2506"/>
        <v>0</v>
      </c>
      <c r="N85" s="2370"/>
      <c r="O85" s="2534"/>
      <c r="P85" s="2535">
        <f t="shared" si="2505"/>
        <v>0</v>
      </c>
      <c r="Q85" s="2536">
        <f t="shared" si="2496"/>
        <v>0</v>
      </c>
      <c r="S85" s="2537"/>
      <c r="U85" s="2538">
        <f t="shared" si="2497"/>
        <v>0</v>
      </c>
      <c r="V85" s="2539">
        <f t="shared" si="2498"/>
        <v>0</v>
      </c>
      <c r="W85" s="2509"/>
      <c r="AC85" s="2590"/>
      <c r="AD85" s="2511">
        <f>AD84*100/AD$98</f>
        <v>0</v>
      </c>
      <c r="AE85" s="2512"/>
      <c r="AF85" s="2511">
        <f>AF84*100/AF$98</f>
        <v>0</v>
      </c>
      <c r="AG85" s="2512"/>
      <c r="AH85" s="2511">
        <f>AH84*100/AH$98</f>
        <v>2.2369924187350709</v>
      </c>
      <c r="AI85" s="2512"/>
      <c r="AJ85" s="2513">
        <f>AJ84*100/AJ$98</f>
        <v>3.9647840929508291</v>
      </c>
      <c r="AK85" s="2514"/>
      <c r="AL85" s="2511">
        <f>AL84*100/AL$98</f>
        <v>0.91851851851851851</v>
      </c>
      <c r="AM85" s="2512"/>
      <c r="AN85" s="2513">
        <f>AN84*100/AN$98</f>
        <v>1.5051518965323187</v>
      </c>
      <c r="AO85" s="2514"/>
      <c r="AP85" s="2511">
        <f>AP84*100/AP$98</f>
        <v>2.106322906939385</v>
      </c>
      <c r="AQ85" s="2512"/>
      <c r="AR85" s="2513">
        <f>AR84*100/AR$98</f>
        <v>0</v>
      </c>
      <c r="AS85" s="2514"/>
      <c r="AT85" s="2511">
        <f>AT84*100/AT$98</f>
        <v>0.69063670411985012</v>
      </c>
      <c r="AU85" s="2512"/>
      <c r="AV85" s="2513">
        <f>AV84*100/AV$98</f>
        <v>15.917018542316871</v>
      </c>
      <c r="AW85" s="2514"/>
      <c r="AX85" s="2511">
        <f>AX84*100/AX$98</f>
        <v>0</v>
      </c>
      <c r="AY85" s="2512"/>
      <c r="AZ85" s="2513" t="e">
        <f>AZ84*100/AZ$98</f>
        <v>#DIV/0!</v>
      </c>
      <c r="BA85" s="2514"/>
      <c r="BB85" s="2511">
        <f>BB84*100/BB$98</f>
        <v>0</v>
      </c>
      <c r="BC85" s="2512"/>
      <c r="BD85" s="2513">
        <f>BD84*100/BD$98</f>
        <v>0</v>
      </c>
      <c r="BE85" s="2514"/>
      <c r="BF85" s="2511">
        <f>BF84*100/BF$98</f>
        <v>0</v>
      </c>
      <c r="BG85" s="2512"/>
      <c r="BH85" s="2513">
        <f>BH84*100/BH$98</f>
        <v>0</v>
      </c>
      <c r="BI85" s="2514"/>
      <c r="BJ85" s="2511">
        <f>BJ84*100/BJ$98</f>
        <v>0</v>
      </c>
      <c r="BK85" s="2512"/>
      <c r="BL85" s="2513">
        <f>BL84*100/BL$98</f>
        <v>0</v>
      </c>
      <c r="BM85" s="2516"/>
      <c r="BN85" s="2511">
        <f>BN84*100/BN$98</f>
        <v>0.1232285890326556</v>
      </c>
      <c r="BO85" s="2512"/>
      <c r="BP85" s="2513">
        <f>BP84*100/BP$98</f>
        <v>3.8210745957224832</v>
      </c>
      <c r="BQ85" s="2514"/>
      <c r="BR85" s="2478"/>
      <c r="BS85" s="2475"/>
      <c r="BT85" s="2517"/>
      <c r="BU85" s="2497">
        <f t="shared" si="2455"/>
        <v>0</v>
      </c>
      <c r="BV85" s="222"/>
      <c r="CB85" s="2367">
        <f t="shared" si="2501"/>
        <v>1661534.5902321262</v>
      </c>
      <c r="CE85" s="2369">
        <f t="shared" si="2510"/>
        <v>0</v>
      </c>
      <c r="CF85" s="2418">
        <f t="shared" si="2508"/>
        <v>1661534.5902321262</v>
      </c>
      <c r="CG85" s="2418">
        <f t="shared" si="2511"/>
        <v>1661534.5902321262</v>
      </c>
      <c r="CH85" s="2462">
        <f t="shared" si="2503"/>
        <v>1661534.5902321262</v>
      </c>
    </row>
    <row r="86" ht="15.75">
      <c r="A86" s="283" t="s">
        <v>906</v>
      </c>
      <c r="B86" s="2388"/>
      <c r="C86" s="2498">
        <v>197</v>
      </c>
      <c r="D86" s="2776">
        <v>1460812.5700000001</v>
      </c>
      <c r="E86" s="2777">
        <v>1397421.5900000001</v>
      </c>
      <c r="F86" s="2776"/>
      <c r="G86" s="2778">
        <f t="shared" si="2504"/>
        <v>2858234.1600000001</v>
      </c>
      <c r="H86" s="2776"/>
      <c r="I86" s="2777"/>
      <c r="J86" s="2776"/>
      <c r="K86" s="2778">
        <f t="shared" si="2509"/>
        <v>0</v>
      </c>
      <c r="L86" s="2779">
        <f t="shared" si="2506"/>
        <v>2858234.1600000001</v>
      </c>
      <c r="M86" s="2776"/>
      <c r="N86" s="2777"/>
      <c r="O86" s="2776"/>
      <c r="P86" s="2791">
        <f t="shared" si="2505"/>
        <v>0</v>
      </c>
      <c r="Q86" s="2792">
        <f t="shared" si="2496"/>
        <v>2858234.1600000001</v>
      </c>
      <c r="R86" s="2776"/>
      <c r="S86" s="2777"/>
      <c r="T86" s="2776"/>
      <c r="U86" s="2793">
        <f t="shared" si="2497"/>
        <v>0</v>
      </c>
      <c r="V86" s="2794">
        <f t="shared" si="2498"/>
        <v>2858234.1600000001</v>
      </c>
      <c r="W86" s="2509"/>
      <c r="AC86" s="2483"/>
      <c r="AD86" s="2753"/>
      <c r="AE86" s="2795"/>
      <c r="AF86" s="2796"/>
      <c r="AG86" s="2797"/>
      <c r="AH86" s="2649"/>
      <c r="AI86" s="2644"/>
      <c r="AJ86" s="2645"/>
      <c r="AK86" s="2646"/>
      <c r="AL86" s="2643"/>
      <c r="AM86" s="2644"/>
      <c r="AN86" s="2645"/>
      <c r="AO86" s="2646"/>
      <c r="AP86" s="2649"/>
      <c r="AQ86" s="2787"/>
      <c r="AR86" s="2645"/>
      <c r="AS86" s="2646"/>
      <c r="AT86" s="2649"/>
      <c r="AU86" s="2787"/>
      <c r="AV86" s="2645"/>
      <c r="AW86" s="2646"/>
      <c r="AX86" s="2649"/>
      <c r="AY86" s="2787"/>
      <c r="AZ86" s="2474"/>
      <c r="BA86" s="2475"/>
      <c r="BB86" s="2649"/>
      <c r="BC86" s="2787"/>
      <c r="BD86" s="2796"/>
      <c r="BE86" s="2797"/>
      <c r="BF86" s="2649"/>
      <c r="BG86" s="2787"/>
      <c r="BH86" s="2645"/>
      <c r="BI86" s="2646"/>
      <c r="BJ86" s="2649"/>
      <c r="BK86" s="2787"/>
      <c r="BL86" s="2513"/>
      <c r="BM86" s="2516"/>
      <c r="BN86" s="2753"/>
      <c r="BO86" s="2784"/>
      <c r="BP86" s="2788"/>
      <c r="BQ86" s="2789"/>
      <c r="BR86" s="2478"/>
      <c r="BS86" s="2475"/>
      <c r="BT86" s="2517"/>
      <c r="BU86" s="2497">
        <f t="shared" si="2455"/>
        <v>0</v>
      </c>
      <c r="BV86" s="222"/>
      <c r="CB86" s="2367">
        <f t="shared" si="2501"/>
        <v>0</v>
      </c>
      <c r="CE86" s="2369">
        <f t="shared" si="2510"/>
        <v>0</v>
      </c>
      <c r="CF86" s="2418">
        <f t="shared" si="2508"/>
        <v>0</v>
      </c>
      <c r="CG86" s="2418">
        <f t="shared" si="2511"/>
        <v>0</v>
      </c>
      <c r="CH86" s="2462">
        <f t="shared" si="2503"/>
        <v>0</v>
      </c>
    </row>
    <row r="87" ht="15.75">
      <c r="A87" s="437"/>
      <c r="B87" s="2592"/>
      <c r="C87" s="2519"/>
      <c r="G87" s="2640"/>
      <c r="H87" s="2641"/>
      <c r="I87" s="2642"/>
      <c r="J87" s="2650"/>
      <c r="K87" s="2533">
        <f t="shared" si="2509"/>
        <v>0</v>
      </c>
      <c r="L87" s="2501">
        <f t="shared" si="2506"/>
        <v>0</v>
      </c>
      <c r="M87" s="2502"/>
      <c r="N87" s="2656"/>
      <c r="O87" s="2503"/>
      <c r="P87" s="2504">
        <f t="shared" si="2505"/>
        <v>0</v>
      </c>
      <c r="Q87" s="2505">
        <f t="shared" si="2496"/>
        <v>0</v>
      </c>
      <c r="R87" s="2502"/>
      <c r="S87" s="2582"/>
      <c r="T87" s="2502"/>
      <c r="U87" s="2507">
        <f t="shared" si="2497"/>
        <v>0</v>
      </c>
      <c r="V87" s="2508"/>
      <c r="W87" s="2509"/>
      <c r="AC87" s="283" t="s">
        <v>906</v>
      </c>
      <c r="AD87" s="2753">
        <f>АНАЛИЗ!G91</f>
        <v>0</v>
      </c>
      <c r="AE87" s="2795"/>
      <c r="AF87" s="2753">
        <f>АНАЛИЗ!I91</f>
        <v>0</v>
      </c>
      <c r="AG87" s="2512">
        <f>AF$1*AF88/100</f>
        <v>0</v>
      </c>
      <c r="AH87" s="2753">
        <f>АНАЛИЗ!K91</f>
        <v>0</v>
      </c>
      <c r="AI87" s="2512">
        <f>AH$1*AH88/100</f>
        <v>0</v>
      </c>
      <c r="AJ87" s="2753">
        <f>АНАЛИЗ!M91</f>
        <v>75778.348405998549</v>
      </c>
      <c r="AK87" s="2512">
        <f>AJ$1*AJ88/100</f>
        <v>0</v>
      </c>
      <c r="AL87" s="2753">
        <f>АНАЛИЗ!O91</f>
        <v>0</v>
      </c>
      <c r="AM87" s="2512">
        <f>AL$1*AL88/100</f>
        <v>0</v>
      </c>
      <c r="AN87" s="2753">
        <f>АНАЛИЗ!Q91</f>
        <v>2777.2179803634235</v>
      </c>
      <c r="AO87" s="2512">
        <f>AN$1*AN88/100</f>
        <v>6416.26299966234</v>
      </c>
      <c r="AP87" s="2753">
        <f>АНАЛИЗ!S91</f>
        <v>760.07280456781064</v>
      </c>
      <c r="AQ87" s="2512">
        <f>AP$1*AP88/100</f>
        <v>0</v>
      </c>
      <c r="AR87" s="2753">
        <f>АНАЛИЗ!U91</f>
        <v>0</v>
      </c>
      <c r="AS87" s="2512">
        <f>AR$1*AR88/100</f>
        <v>0</v>
      </c>
      <c r="AT87" s="2753">
        <f>АНАЛИЗ!W91</f>
        <v>0</v>
      </c>
      <c r="AU87" s="2512">
        <f>AT$1*AT88/100</f>
        <v>0</v>
      </c>
      <c r="AV87" s="2753">
        <f>АНАЛИЗ!Y91</f>
        <v>0</v>
      </c>
      <c r="AW87" s="2512">
        <f>AV$1*AV88/100</f>
        <v>0</v>
      </c>
      <c r="AX87" s="2753">
        <f>АНАЛИЗ!AA91</f>
        <v>13345.207276368741</v>
      </c>
      <c r="AY87" s="2512">
        <f>AX$1*AX88/100</f>
        <v>1178353.232648947</v>
      </c>
      <c r="AZ87" s="2753">
        <f>АНАЛИЗ!AC91</f>
        <v>0</v>
      </c>
      <c r="BA87" s="2512">
        <f>AZ$1*AZ88/100</f>
        <v>0</v>
      </c>
      <c r="BB87" s="2753">
        <f>АНАЛИЗ!AE91</f>
        <v>0</v>
      </c>
      <c r="BC87" s="2512">
        <f>BB$1*BB88/100</f>
        <v>0</v>
      </c>
      <c r="BD87" s="2753">
        <f>АНАЛИЗ!AG91</f>
        <v>0</v>
      </c>
      <c r="BE87" s="2512">
        <f>BD$1*BD88/100</f>
        <v>0</v>
      </c>
      <c r="BF87" s="2753">
        <f>АНАЛИЗ!AI91</f>
        <v>0</v>
      </c>
      <c r="BG87" s="2512">
        <f>BF$1*BF88/100</f>
        <v>0</v>
      </c>
      <c r="BH87" s="2753">
        <f>АНАЛИЗ!AK91</f>
        <v>0</v>
      </c>
      <c r="BI87" s="2512">
        <f>BH$1*BH88/100</f>
        <v>0</v>
      </c>
      <c r="BJ87" s="2753">
        <f>АНАЛИЗ!AM91</f>
        <v>0</v>
      </c>
      <c r="BK87" s="2512">
        <f>BJ$1*BJ88/100</f>
        <v>0</v>
      </c>
      <c r="BL87" s="2753">
        <f>АНАЛИЗ!AO91</f>
        <v>0</v>
      </c>
      <c r="BM87" s="2512">
        <f>BL$1*BL88/100</f>
        <v>0</v>
      </c>
      <c r="BN87" s="2753">
        <f>АНАЛИЗ!AQ91</f>
        <v>0</v>
      </c>
      <c r="BO87" s="2512">
        <f>BN$1*BN88/100</f>
        <v>0</v>
      </c>
      <c r="BP87" s="2753">
        <f>АНАЛИЗ!AS91</f>
        <v>401.92737845767471</v>
      </c>
      <c r="BQ87" s="2512">
        <f>BP$1*BP88/100</f>
        <v>2482.7631038080331</v>
      </c>
      <c r="BR87" s="2753">
        <f>АНАЛИЗ!AU91</f>
        <v>0</v>
      </c>
      <c r="BS87" s="2514">
        <f>BR$1*BR88/100</f>
        <v>0</v>
      </c>
      <c r="BT87" s="2496">
        <f>AE87+AG87+AI87+AK87+AM87+AO87+AQ87+AS87+AU87+AW87+AY87+BA87+BC87+BE87+BG87+BI87+BK87+BM87+BO87+BQ87+BS87</f>
        <v>1187252.2587524175</v>
      </c>
      <c r="BU87" s="2497">
        <f t="shared" si="2455"/>
        <v>1187252.2587524175</v>
      </c>
      <c r="BV87" s="222"/>
      <c r="CA87" s="2367">
        <f>AI87+AO87+AY87+BO87+BQ87</f>
        <v>1187252.2587524175</v>
      </c>
      <c r="CB87" s="2367">
        <f t="shared" si="2501"/>
        <v>0</v>
      </c>
      <c r="CD87" s="2377">
        <f>CB87*100/$CB$91</f>
        <v>0</v>
      </c>
      <c r="CE87" s="2369">
        <f t="shared" si="2510"/>
        <v>0</v>
      </c>
      <c r="CF87" s="2418">
        <f t="shared" si="2508"/>
        <v>2858234.1600000001</v>
      </c>
      <c r="CG87" s="2418">
        <f t="shared" si="2511"/>
        <v>2858234.1600000001</v>
      </c>
      <c r="CH87" s="2462">
        <f t="shared" si="2503"/>
        <v>2858234.1600000001</v>
      </c>
    </row>
    <row r="88" ht="15.75">
      <c r="A88" s="778" t="s">
        <v>259</v>
      </c>
      <c r="B88" s="2608"/>
      <c r="C88" s="2498"/>
      <c r="D88" s="2798">
        <f t="shared" ref="D88:K88" si="2512">D72+D83+D86</f>
        <v>3721579.3600000003</v>
      </c>
      <c r="E88" s="2798">
        <f t="shared" si="2512"/>
        <v>3632376.5899999999</v>
      </c>
      <c r="F88" s="2798">
        <f t="shared" si="2512"/>
        <v>0</v>
      </c>
      <c r="G88" s="2610">
        <f t="shared" si="2512"/>
        <v>7353955.9500000002</v>
      </c>
      <c r="H88" s="2798">
        <f t="shared" si="2512"/>
        <v>0</v>
      </c>
      <c r="I88" s="2799">
        <f t="shared" si="2512"/>
        <v>0</v>
      </c>
      <c r="J88" s="2798">
        <f t="shared" si="2512"/>
        <v>0</v>
      </c>
      <c r="K88" s="2798">
        <f t="shared" si="2512"/>
        <v>0</v>
      </c>
      <c r="L88" s="2614">
        <f t="shared" si="2506"/>
        <v>7353955.9500000002</v>
      </c>
      <c r="M88" s="2798">
        <f>M72+M83+M86</f>
        <v>0</v>
      </c>
      <c r="N88" s="2798">
        <f>N72+N83+N86</f>
        <v>0</v>
      </c>
      <c r="O88" s="2610">
        <f>O72+O83+O86</f>
        <v>0</v>
      </c>
      <c r="P88" s="2527">
        <f t="shared" si="2505"/>
        <v>0</v>
      </c>
      <c r="Q88" s="2528">
        <f t="shared" si="2496"/>
        <v>7353955.9500000002</v>
      </c>
      <c r="R88" s="2610">
        <f>R72+R83+R86</f>
        <v>0</v>
      </c>
      <c r="S88" s="2610">
        <f>S72+S83+S86</f>
        <v>0</v>
      </c>
      <c r="T88" s="2610">
        <f>T72+T83+T86</f>
        <v>0</v>
      </c>
      <c r="U88" s="2530">
        <f t="shared" si="2497"/>
        <v>0</v>
      </c>
      <c r="V88" s="2800">
        <f t="shared" si="2498"/>
        <v>7353955.9500000002</v>
      </c>
      <c r="W88" s="2509"/>
      <c r="AC88" s="2801"/>
      <c r="AD88" s="2753">
        <f>АНАЛИЗ!G92</f>
        <v>0</v>
      </c>
      <c r="AE88" s="2795"/>
      <c r="AF88" s="2796"/>
      <c r="AG88" s="2797"/>
      <c r="AH88" s="2649"/>
      <c r="AI88" s="2644"/>
      <c r="AJ88" s="2513">
        <f>AJ87*100/AJ$98</f>
        <v>5.3662334551116961</v>
      </c>
      <c r="AK88" s="2646"/>
      <c r="AL88" s="2649"/>
      <c r="AM88" s="2787"/>
      <c r="AN88" s="2513">
        <f>AN87*100/AN$98</f>
        <v>0.058323356969641173</v>
      </c>
      <c r="AO88" s="2646"/>
      <c r="AP88" s="2649">
        <v>0</v>
      </c>
      <c r="AQ88" s="2787"/>
      <c r="AR88" s="2645"/>
      <c r="AS88" s="2646"/>
      <c r="AT88" s="2649"/>
      <c r="AU88" s="2787"/>
      <c r="AV88" s="2645"/>
      <c r="AW88" s="2646"/>
      <c r="AX88" s="2511">
        <f>AX87*100/AX$98</f>
        <v>33.491810949929807</v>
      </c>
      <c r="AY88" s="2787"/>
      <c r="AZ88" s="2474"/>
      <c r="BA88" s="2475"/>
      <c r="BB88" s="2649"/>
      <c r="BC88" s="2787"/>
      <c r="BD88" s="2796"/>
      <c r="BE88" s="2797"/>
      <c r="BF88" s="2649"/>
      <c r="BG88" s="2787"/>
      <c r="BH88" s="2645"/>
      <c r="BI88" s="2646"/>
      <c r="BJ88" s="2649"/>
      <c r="BK88" s="2787"/>
      <c r="BL88" s="2513"/>
      <c r="BM88" s="2516"/>
      <c r="BN88" s="2511">
        <f>BN87*100/BN$98</f>
        <v>0</v>
      </c>
      <c r="BO88" s="2802"/>
      <c r="BP88" s="2513">
        <f>BP87*100/BP$98</f>
        <v>0.24778299426186748</v>
      </c>
      <c r="BQ88" s="2789"/>
      <c r="BR88" s="2478"/>
      <c r="BS88" s="2475"/>
      <c r="BT88" s="2517"/>
      <c r="BU88" s="2497"/>
      <c r="BV88" s="222"/>
      <c r="CB88" s="2367">
        <f t="shared" si="2501"/>
        <v>1187252.2587524175</v>
      </c>
      <c r="CC88" s="2367"/>
      <c r="CE88" s="2369">
        <f t="shared" si="2510"/>
        <v>0</v>
      </c>
      <c r="CF88" s="2418"/>
      <c r="CG88" s="2418">
        <f t="shared" si="2511"/>
        <v>1187252.2587524175</v>
      </c>
      <c r="CH88" s="2462">
        <f t="shared" si="2503"/>
        <v>0</v>
      </c>
    </row>
    <row r="89" ht="15.75">
      <c r="A89" s="794"/>
      <c r="B89" s="2666"/>
      <c r="C89" s="2519"/>
      <c r="D89" s="2520"/>
      <c r="E89" s="2520"/>
      <c r="F89" s="2520"/>
      <c r="G89" s="2625"/>
      <c r="H89" s="2626"/>
      <c r="I89" s="2523"/>
      <c r="J89" s="2626"/>
      <c r="K89" s="2524">
        <f t="shared" ref="K89:K152" si="2513">H89+I89+J89</f>
        <v>0</v>
      </c>
      <c r="L89" s="2540">
        <f t="shared" si="2506"/>
        <v>0</v>
      </c>
      <c r="N89" s="2370"/>
      <c r="O89" s="2534"/>
      <c r="P89" s="2535">
        <f t="shared" si="2505"/>
        <v>0</v>
      </c>
      <c r="Q89" s="2536">
        <f t="shared" si="2496"/>
        <v>0</v>
      </c>
      <c r="R89" s="2537"/>
      <c r="S89" s="2537"/>
      <c r="T89" s="2537"/>
      <c r="U89" s="2538">
        <f t="shared" si="2497"/>
        <v>0</v>
      </c>
      <c r="V89" s="2539">
        <f t="shared" si="2498"/>
        <v>0</v>
      </c>
      <c r="W89" s="2509"/>
      <c r="AC89" s="2608" t="s">
        <v>22</v>
      </c>
      <c r="AD89" s="2803">
        <f>АНАЛИЗ!G93</f>
        <v>0</v>
      </c>
      <c r="AE89" s="2803">
        <f>AE84+AE87+AE72</f>
        <v>0</v>
      </c>
      <c r="AF89" s="2803">
        <f>АНАЛИЗ!I93</f>
        <v>0</v>
      </c>
      <c r="AG89" s="2803">
        <f>AG84+AG87+AG72</f>
        <v>0</v>
      </c>
      <c r="AH89" s="2803">
        <f>АНАЛИЗ!K93</f>
        <v>222366.89446184834</v>
      </c>
      <c r="AI89" s="2803">
        <f>AI84+AI87+AI72</f>
        <v>3974142.8277482609</v>
      </c>
      <c r="AJ89" s="2803">
        <f>АНАЛИЗ!M93</f>
        <v>304085.99519393727</v>
      </c>
      <c r="AK89" s="2803">
        <f>AK84+AK87+AK72</f>
        <v>0</v>
      </c>
      <c r="AL89" s="2803">
        <f>АНАЛИЗ!O93</f>
        <v>26532.648146553409</v>
      </c>
      <c r="AM89" s="2803">
        <f>AM84+AM87+AM72</f>
        <v>129781.26432</v>
      </c>
      <c r="AN89" s="2803">
        <f>АНАЛИЗ!Q93</f>
        <v>327638.6369991902</v>
      </c>
      <c r="AO89" s="2803">
        <f>AO84+AO87+AO72</f>
        <v>756950.18493384914</v>
      </c>
      <c r="AP89" s="2803">
        <f>АНАЛИЗ!S93</f>
        <v>4839.4508949064393</v>
      </c>
      <c r="AQ89" s="2803">
        <f>AQ84+AQ87+AQ72</f>
        <v>908173.97996426409</v>
      </c>
      <c r="AR89" s="2803">
        <f>АНАЛИЗ!U93</f>
        <v>62431.394157627627</v>
      </c>
      <c r="AS89" s="2803">
        <f>AS84+AS87+AS72</f>
        <v>825422.91174191469</v>
      </c>
      <c r="AT89" s="2803">
        <f>АНАЛИЗ!W93</f>
        <v>3458.1666855194171</v>
      </c>
      <c r="AU89" s="2803">
        <f>AU84+AU87+AU72</f>
        <v>1397088.9141363294</v>
      </c>
      <c r="AV89" s="2803">
        <f>АНАЛИЗ!Y93</f>
        <v>27150.868276308698</v>
      </c>
      <c r="AW89" s="2803">
        <f>AW84+AW87+AW72</f>
        <v>2605097.7103983844</v>
      </c>
      <c r="AX89" s="2803">
        <f>АНАЛИЗ!AA93</f>
        <v>13345.207276368741</v>
      </c>
      <c r="AY89" s="2803">
        <f>AY84+AY87+AY72</f>
        <v>1178353.232648947</v>
      </c>
      <c r="AZ89" s="2803">
        <f>АНАЛИЗ!AC93</f>
        <v>0</v>
      </c>
      <c r="BA89" s="2803" t="e">
        <f>BA84+BA87+BA72</f>
        <v>#DIV/0!</v>
      </c>
      <c r="BB89" s="2803">
        <f>АНАЛИЗ!AE93</f>
        <v>0</v>
      </c>
      <c r="BC89" s="2803">
        <f>BC84+BC87+BC72</f>
        <v>0</v>
      </c>
      <c r="BD89" s="2803">
        <f>АНАЛИЗ!AG93</f>
        <v>0</v>
      </c>
      <c r="BE89" s="2803">
        <f>BE84+BE87+BE72</f>
        <v>0</v>
      </c>
      <c r="BF89" s="2803">
        <f>АНАЛИЗ!AI93</f>
        <v>0</v>
      </c>
      <c r="BG89" s="2803">
        <f>BG84+BG87+BG72</f>
        <v>0</v>
      </c>
      <c r="BH89" s="2803">
        <f>АНАЛИЗ!AK93</f>
        <v>0</v>
      </c>
      <c r="BI89" s="2803">
        <f>BI84+BI87+BI72</f>
        <v>0</v>
      </c>
      <c r="BJ89" s="2803">
        <f>АНАЛИЗ!AM93</f>
        <v>0</v>
      </c>
      <c r="BK89" s="2803">
        <f>BK84+BK87+BK72</f>
        <v>0</v>
      </c>
      <c r="BL89" s="2803">
        <f>АНАЛИЗ!AO93</f>
        <v>0</v>
      </c>
      <c r="BM89" s="2803">
        <f>BM84+BM87+BM72</f>
        <v>0</v>
      </c>
      <c r="BN89" s="2803">
        <f>АНАЛИЗ!AQ93</f>
        <v>36393.030578255617</v>
      </c>
      <c r="BO89" s="2803">
        <f>BO84+BO87+BO72</f>
        <v>883574.17741219967</v>
      </c>
      <c r="BP89" s="2803">
        <f>АНАЛИЗ!AS93</f>
        <v>8461.6290201615739</v>
      </c>
      <c r="BQ89" s="2803">
        <f>BQ84+BQ87+BQ72</f>
        <v>52268.696922274386</v>
      </c>
      <c r="BR89" s="2803">
        <f>АНАЛИЗ!AU93</f>
        <v>0</v>
      </c>
      <c r="BS89" s="2804">
        <f>BS84+BS87+BS72</f>
        <v>0</v>
      </c>
      <c r="BT89" s="2805">
        <f>AE89+AG89+AI89+AK89+AM89+AO89+AQ89+AS89+AU89+AW89+AY89+BC89+BE89+BG89+BI89+BK89+BM89+BO89+BQ89+BS89</f>
        <v>12710853.900226422</v>
      </c>
      <c r="BU89" s="2806">
        <f t="shared" si="2455"/>
        <v>12710853.900226422</v>
      </c>
      <c r="BV89" s="222"/>
      <c r="BW89" s="2367">
        <f>BT87+BT84+BT72</f>
        <v>12710853.900226424</v>
      </c>
      <c r="CA89" s="2367">
        <f>AE89+AG89+AI89+AK89+AM89+AO89+AQ89+AS89+AU89+AW89+AY89+BO89+BQ89+BS89</f>
        <v>12710853.900226422</v>
      </c>
      <c r="CB89" s="2807">
        <f>AE89+AG89+AI89+AK89+AM89+AO89+AQ89+AS89+AU89+AW89+AY89+BC89+BE89+BG89+BI89+BK89+BM89+BO89+BQ89+BS89</f>
        <v>12710853.900226422</v>
      </c>
      <c r="CD89" s="2808">
        <f>CD87+CD84+CD73</f>
        <v>7.1335975472892255</v>
      </c>
      <c r="CE89" s="2809">
        <f>CE87+CE84+CE73</f>
        <v>10513675.345341701</v>
      </c>
      <c r="CF89" s="2809">
        <f>CF87+CF84+CF73</f>
        <v>17216023.001241881</v>
      </c>
      <c r="CG89" s="2809">
        <f>CG87+CG84+CG73</f>
        <v>27729698.346583582</v>
      </c>
      <c r="CH89" s="2810">
        <f>CH87+CH84+CH73</f>
        <v>27729698.346583582</v>
      </c>
      <c r="CI89" s="2418">
        <f>CE89+CF89</f>
        <v>27729698.346583582</v>
      </c>
    </row>
    <row r="90" ht="51">
      <c r="A90" s="247"/>
      <c r="B90" s="2811" t="s">
        <v>252</v>
      </c>
      <c r="C90" s="2812" t="s">
        <v>907</v>
      </c>
      <c r="D90" s="2367">
        <f t="shared" ref="D90:D93" si="2514">D155+D161+D167+D173</f>
        <v>7636530.9400000004</v>
      </c>
      <c r="E90" s="2367">
        <f t="shared" ref="E90:F93" si="2515">E155+E161+E167+E173</f>
        <v>11995352.039999999</v>
      </c>
      <c r="F90" s="2367">
        <f t="shared" si="2515"/>
        <v>0</v>
      </c>
      <c r="G90" s="2640">
        <f t="shared" ref="G90:G93" si="2516">D90+E90+F90</f>
        <v>19631882.98</v>
      </c>
      <c r="H90" s="2654">
        <f t="shared" ref="H90:I93" si="2517">H155+H161+H167+H173</f>
        <v>0</v>
      </c>
      <c r="I90" s="2813">
        <f t="shared" ref="I90:J92" si="2518">I155+I161+I167+I173</f>
        <v>0</v>
      </c>
      <c r="J90" s="2813">
        <f t="shared" si="2518"/>
        <v>0</v>
      </c>
      <c r="K90" s="2533">
        <f t="shared" si="2513"/>
        <v>0</v>
      </c>
      <c r="L90" s="2501">
        <f t="shared" si="2506"/>
        <v>19631882.98</v>
      </c>
      <c r="M90" s="2640">
        <f t="shared" ref="M90:O93" si="2519">M155+M161+M167+M173</f>
        <v>0</v>
      </c>
      <c r="N90" s="2814">
        <f t="shared" si="2519"/>
        <v>0</v>
      </c>
      <c r="O90" s="2640">
        <f t="shared" si="2519"/>
        <v>0</v>
      </c>
      <c r="P90" s="2739">
        <f t="shared" si="2505"/>
        <v>0</v>
      </c>
      <c r="Q90" s="2770">
        <f t="shared" si="2496"/>
        <v>19631882.98</v>
      </c>
      <c r="R90" s="2640">
        <f t="shared" ref="R90:T93" si="2520">R155+R161+R167+R173</f>
        <v>0</v>
      </c>
      <c r="S90" s="2640">
        <f t="shared" si="2520"/>
        <v>0</v>
      </c>
      <c r="T90" s="2640">
        <f t="shared" si="2520"/>
        <v>0</v>
      </c>
      <c r="U90" s="2771">
        <f t="shared" si="2497"/>
        <v>0</v>
      </c>
      <c r="V90" s="2745">
        <f t="shared" si="2498"/>
        <v>19631882.98</v>
      </c>
      <c r="W90" s="2509"/>
      <c r="AC90" s="2815"/>
      <c r="AD90" s="2816"/>
      <c r="AE90" s="2817"/>
      <c r="AF90" s="460"/>
      <c r="AG90" s="2818"/>
      <c r="AH90" s="2511">
        <f>AH89*100/AH$98</f>
        <v>38.604216429535782</v>
      </c>
      <c r="AI90" s="2819"/>
      <c r="AJ90" s="2513">
        <f>AJ89*100/AJ$98</f>
        <v>21.533808468587168</v>
      </c>
      <c r="AK90" s="2818"/>
      <c r="AL90" s="2511">
        <f>AL89*100/AL$98</f>
        <v>9.5999999999999996</v>
      </c>
      <c r="AM90" s="2818"/>
      <c r="AN90" s="2513">
        <f>AN89*100/AN$98</f>
        <v>6.8806212972342458</v>
      </c>
      <c r="AO90" s="2514"/>
      <c r="AP90" s="2511">
        <f>AP89*100/AP$98</f>
        <v>16.884150154430447</v>
      </c>
      <c r="AQ90" s="2512"/>
      <c r="AR90" s="2513">
        <f>AR89*100/AR$98</f>
        <v>20.60773982558139</v>
      </c>
      <c r="AS90" s="2514"/>
      <c r="AT90" s="2511">
        <f>AT89*100/AT$98</f>
        <v>26.097378277153556</v>
      </c>
      <c r="AU90" s="2512"/>
      <c r="AV90" s="2513">
        <f>AV89*100/AV$98</f>
        <v>40.124314825985472</v>
      </c>
      <c r="AW90" s="2514"/>
      <c r="AX90" s="2511">
        <f>AX89*100/AX$98</f>
        <v>33.491810949929807</v>
      </c>
      <c r="AY90" s="2512"/>
      <c r="AZ90" s="2513" t="e">
        <f>AZ89*100/AZ$98</f>
        <v>#DIV/0!</v>
      </c>
      <c r="BA90" s="2514"/>
      <c r="BB90" s="2511">
        <f>BB89*100/BB$98</f>
        <v>0</v>
      </c>
      <c r="BC90" s="2512"/>
      <c r="BD90" s="2513">
        <f>BD89*100/BD$98</f>
        <v>0</v>
      </c>
      <c r="BE90" s="2514"/>
      <c r="BF90" s="2511">
        <f>BF89*100/BF$98</f>
        <v>0</v>
      </c>
      <c r="BG90" s="2512"/>
      <c r="BH90" s="2513">
        <f>BH89*100/BH$98</f>
        <v>0</v>
      </c>
      <c r="BI90" s="2514"/>
      <c r="BJ90" s="2511">
        <f>BJ89*100/BJ$98</f>
        <v>0</v>
      </c>
      <c r="BK90" s="2512"/>
      <c r="BL90" s="2513">
        <f>BL89*100/BL$98</f>
        <v>0</v>
      </c>
      <c r="BM90" s="2516"/>
      <c r="BN90" s="2511">
        <f>BN89*100/BN$98</f>
        <v>10.720887245841034</v>
      </c>
      <c r="BO90" s="2512"/>
      <c r="BP90" s="2513">
        <f>BP89*100/BP$98</f>
        <v>5.2164840897235267</v>
      </c>
      <c r="BQ90" s="2514"/>
      <c r="BR90" s="2511">
        <f>BR89*100/BR$98</f>
        <v>0</v>
      </c>
      <c r="BS90" s="2514"/>
      <c r="BT90" s="2820"/>
      <c r="BU90" s="2821"/>
      <c r="BV90" s="222"/>
      <c r="CA90" s="2367"/>
      <c r="CB90" s="2367">
        <f>AE90+AG90+AI90+AK90+AM90+AO90+AQ90+AS90+AU90+AW90+AY90+BA90+BC90+BE90+BG90+BI90+BK90+BM90+BO90+BQ90+BS90</f>
        <v>0</v>
      </c>
      <c r="CC90" s="2367"/>
      <c r="CE90" s="2367"/>
      <c r="CF90" s="2418"/>
      <c r="CH90" s="2443"/>
    </row>
    <row r="91" ht="51">
      <c r="A91" s="247" t="s">
        <v>235</v>
      </c>
      <c r="B91" s="2811" t="s">
        <v>262</v>
      </c>
      <c r="C91" s="2812" t="s">
        <v>908</v>
      </c>
      <c r="D91" s="2752">
        <f t="shared" si="2514"/>
        <v>527483.16000000003</v>
      </c>
      <c r="E91" s="2752">
        <f t="shared" si="2515"/>
        <v>479111.62</v>
      </c>
      <c r="F91" s="2752">
        <f t="shared" si="2515"/>
        <v>0</v>
      </c>
      <c r="G91" s="2640">
        <f t="shared" si="2516"/>
        <v>1006594.78</v>
      </c>
      <c r="H91" s="2742">
        <f t="shared" si="2517"/>
        <v>0</v>
      </c>
      <c r="I91" s="2822">
        <f t="shared" si="2518"/>
        <v>0</v>
      </c>
      <c r="J91" s="2822">
        <f t="shared" si="2518"/>
        <v>0</v>
      </c>
      <c r="K91" s="2732">
        <f t="shared" si="2513"/>
        <v>0</v>
      </c>
      <c r="L91" s="2735">
        <f t="shared" si="2506"/>
        <v>1006594.78</v>
      </c>
      <c r="M91" s="2823">
        <f t="shared" si="2519"/>
        <v>0</v>
      </c>
      <c r="N91" s="2824">
        <f t="shared" si="2519"/>
        <v>0</v>
      </c>
      <c r="O91" s="2823">
        <f t="shared" si="2519"/>
        <v>0</v>
      </c>
      <c r="P91" s="2535">
        <f t="shared" si="2505"/>
        <v>0</v>
      </c>
      <c r="Q91" s="2536">
        <f t="shared" si="2496"/>
        <v>1006594.78</v>
      </c>
      <c r="R91" s="2823">
        <f t="shared" si="2520"/>
        <v>0</v>
      </c>
      <c r="S91" s="2823">
        <f t="shared" si="2520"/>
        <v>0</v>
      </c>
      <c r="T91" s="2823">
        <f t="shared" si="2520"/>
        <v>0</v>
      </c>
      <c r="U91" s="2538">
        <f t="shared" si="2497"/>
        <v>0</v>
      </c>
      <c r="V91" s="2539">
        <f t="shared" si="2498"/>
        <v>1006594.78</v>
      </c>
      <c r="W91" s="2509"/>
      <c r="AC91" s="2825"/>
      <c r="AD91" s="2826">
        <f>AD8+AD10+AD12+AD14+AD16+AD20+AD22+AD18+AD24+AD28+AD34+AD36+AD40+AD42+AD44+AD46+AD48+AD50+AD52+AD54+AD56+AD61+AD63+AD65+AD67+AD90+AD26</f>
        <v>100</v>
      </c>
      <c r="AE91" s="2827">
        <f>AE70+AE89</f>
        <v>9952753.5000000019</v>
      </c>
      <c r="AF91" s="2826">
        <f>AF8+AF10+AF12+AF14+AF16+AF20+AF22+AF18+AF24+AF28+AF34+AF36+AF40+AF42+AF44+AF46+AF48+AF50+AF52+AF54+AF56+AF61+AF63+AF65+AF67+AF90+AF26</f>
        <v>99.999999999999986</v>
      </c>
      <c r="AG91" s="2827">
        <f>AG70+AG89</f>
        <v>5279511.7100000018</v>
      </c>
      <c r="AH91" s="2826">
        <f>AH8+AH10+AH12+AH14+AH16+AH20+AH22+AH18+AH24+AH28+AH34+AH36+AH40+AH42+AH44+AH46+AH48+AH50+AH52+AH54+AH56+AH61+AH63+AH65+AH67+AH90+AH26</f>
        <v>100.00000000000003</v>
      </c>
      <c r="AI91" s="2827">
        <f>AI70+AI89</f>
        <v>10294582.290000001</v>
      </c>
      <c r="AJ91" s="2828">
        <f>AJ8+AJ10+AJ12+AJ14+AJ16+AJ20+AJ22+AJ18+AJ24+AJ28+AJ34+AJ36+AJ40+AJ42+AJ44+AJ46+AJ48+AJ50+AJ52+AJ54+AJ56+AJ61+AJ63+AJ65+AJ67+AJ90+AJ93+AJ26</f>
        <v>99.999999999999972</v>
      </c>
      <c r="AK91" s="2827">
        <f>AK70+AK89</f>
        <v>0</v>
      </c>
      <c r="AL91" s="2828">
        <f>AL8+AL10+AL12+AL14+AL16+AL20+AL22+AL18+AL24+AL28+AL34+AL36+AL40+AL42+AL44+AL46+AL48+AL50+AL52+AL54+AL56+AL61+AL63+AL65+AL67+AL90+AL93+AL26</f>
        <v>100</v>
      </c>
      <c r="AM91" s="2827">
        <f>AM70+AM92+AM89</f>
        <v>1351888.1700000002</v>
      </c>
      <c r="AN91" s="2828">
        <f>AN8+AN10+AN12+AN14+AN16+AN20+AN22+AN18+AN24+AN28+AN34+AN36+AN40+AN42+AN44+AN46+AN48+AN50+AN52+AN54+AN56+AN61+AN63+AN65+AN67+AN90+AN93+AN26+AN32</f>
        <v>100.00000000000001</v>
      </c>
      <c r="AO91" s="2827">
        <f>AO70+AO92+AO89</f>
        <v>11001189.460000001</v>
      </c>
      <c r="AP91" s="2828">
        <f>AP8+AP10+AP12+AP14+AP16+AP20+AP22+AP18+AP24+AP28+AP34+AP36+AP40+AP42+AP44+AP46+AP48+AP50+AP52+AP54+AP56+AP61+AP63+AP65+AP67+AP90+AP93+AP26</f>
        <v>100.00000000000001</v>
      </c>
      <c r="AQ91" s="2827">
        <f>AQ70+AQ92+AQ89</f>
        <v>2552097.3988854266</v>
      </c>
      <c r="AR91" s="2828">
        <f>AR8+AR10+AR12+AR14+AR16+AR20+AR22+AR18+AR24+AR28+AR34+AR36+AR40+AR42+AR44+AR46+AR48+AR50+AR52+AR54+AR56+AR61+AR63+AR65+AR67+AR90+AR93+AR26</f>
        <v>99.999999999999986</v>
      </c>
      <c r="AS91" s="2827">
        <f>AS70+AS92+AS89</f>
        <v>4005402.4299999992</v>
      </c>
      <c r="AT91" s="2828">
        <f>AT8+AT10+AT12+AT14+AT16+AT20+AT22+AT18+AT24+AT28+AT34+AT36+AT40+AT42+AT44+AT46+AT48+AT50+AT52+AT54+AT56+AT61+AT63+AT65+AT67+AT90+AT93+AT26</f>
        <v>99.999999999999972</v>
      </c>
      <c r="AU91" s="2827">
        <f>AU70+AU92+AU89</f>
        <v>5353368.8300000001</v>
      </c>
      <c r="AV91" s="2828">
        <f>AV8+AV10+AV12+AV14+AV16+AV20+AV22+AV18+AV24+AV28+AV34+AV36+AV40+AV42+AV44+AV46+AV48+AV50+AV52+AV54+AV56+AV61+AV63+AV65+AV67+AV90+AV93+AV26</f>
        <v>100</v>
      </c>
      <c r="AW91" s="2827">
        <f>AW70+AW92+AW89</f>
        <v>6492566.2199999997</v>
      </c>
      <c r="AX91" s="2828">
        <f>AX8+AX10+AX12+AX14+AX16+AX20+AX22+AX18+AX24+AX28+AX34+AX36+AX40+AX42+AX44+AX46+AX48+AX50+AX52+AX54+AX56+AX61+AX63+AX65+AX67+AX90+AX93+AX26</f>
        <v>100</v>
      </c>
      <c r="AY91" s="2827">
        <f>AY70+AY92+AY89</f>
        <v>3518332.3899999997</v>
      </c>
      <c r="AZ91" s="2828" t="e">
        <f>AZ8+AZ10+AZ12+AZ14+AZ16+AZ20+AZ22+AZ18+AZ24+AZ28+AZ34+AZ36+AZ40+AZ42+AZ44+AZ46+AZ48+AZ50+AZ52+AZ54+AZ56+AZ61+AZ63+AZ65+AZ67+AZ90+AZ93+AZ26</f>
        <v>#DIV/0!</v>
      </c>
      <c r="BA91" s="2827" t="e">
        <f>BA70+BA92+BA89</f>
        <v>#DIV/0!</v>
      </c>
      <c r="BB91" s="2828">
        <f>BB8+BB10+BB12+BB14+BB16+BB20+BB22+BB18+BB24+BB28+BB34+BB36+BB40+BB42+BB44+BB46+BB48+BB50+BB52+BB54+BB56+BB61+BB63+BB65+BB67+BB90+BB93+BB26</f>
        <v>100.00000000000001</v>
      </c>
      <c r="BC91" s="2827">
        <f>BC70+BC92+BC89</f>
        <v>1569121.2000000002</v>
      </c>
      <c r="BD91" s="2828">
        <f>BD8+BD10+BD12+BD14+BD16+BD20+BD22+BD18+BD24+BD28+BD34+BD36+BD40+BD42+BD44+BD46+BD48+BD50+BD52+BD54+BD56+BD61+BD63+BD65+BD67+BD90+BD93+BD26</f>
        <v>99.999999999999972</v>
      </c>
      <c r="BE91" s="2827">
        <f>BE70+BE92+BE89</f>
        <v>22960889.819999997</v>
      </c>
      <c r="BF91" s="2828">
        <f>BF8+BF10+BF12+BF14+BF16+BF20+BF22+BF18+BF24+BF28+BF34+BF36+BF40+BF42+BF44+BF46+BF48+BF50+BF52+BF54+BF56+BF61+BF63+BF65+BF67+BF90+BF93+BF26</f>
        <v>100.00000000000001</v>
      </c>
      <c r="BG91" s="2827">
        <f>BG70+BG92+BG89</f>
        <v>8801123.3600000013</v>
      </c>
      <c r="BH91" s="2828">
        <f>BH8+BH10+BH12+BH14+BH16+BH20+BH22+BH18+BH24+BH28+BH34+BH36+BH40+BH42+BH44+BH46+BH48+BH50+BH52+BH54+BH56+BH61+BH63+BH65+BH67+BH90+BH93+BH26</f>
        <v>100</v>
      </c>
      <c r="BI91" s="2827">
        <f>BI70+BI92+BI89</f>
        <v>9674371.3099999987</v>
      </c>
      <c r="BJ91" s="2828">
        <f>BJ8+BJ10+BJ12+BJ14+BJ16+BJ20+BJ22+BJ18+BJ24+BJ28+BJ34+BJ36+BJ40+BJ42+BJ44+BJ46+BJ48+BJ50+BJ52+BJ54+BJ56+BJ61+BJ63+BJ65+BJ67+BJ90+BJ93+BJ26</f>
        <v>100</v>
      </c>
      <c r="BK91" s="2827">
        <f>BK70+BK92+BK89</f>
        <v>11866981.109999999</v>
      </c>
      <c r="BL91" s="2828">
        <f>BL8+BL10+BL12+BL14+BL16+BL20+BL22+BL18+BL24+BL28+BL34+BL36+BL40+BL42+BL44+BL46+BL48+BL50+BL52+BL54+BL56+BL61+BL63+BL65+BL67+BL90+BL93+BL26</f>
        <v>100</v>
      </c>
      <c r="BM91" s="2827">
        <f>BM70+BM92+BM89</f>
        <v>0</v>
      </c>
      <c r="BN91" s="2828">
        <f>BN8+BN10+BN12+BN14+BN16+BN20+BN22+BN18+BN24+BN28+BN34+BN36+BN40+BN42+BN44+BN46+BN48+BN50+BN52+BN54+BN56+BN61+BN63+BN65+BN67+BN90+BN93+BN26</f>
        <v>100.00000000000003</v>
      </c>
      <c r="BO91" s="2827">
        <f>BO70+BO92+BO89</f>
        <v>8241614.3100000015</v>
      </c>
      <c r="BP91" s="2828">
        <f>BP8+BP10+BP12+BP14+BP16+BP20+BP22+BP18+BP24+BP28+BP34+BP36+BP40+BP42+BP44+BP46+BP48+BP50+BP52+BP54+BP56+BP61+BP63+BP65+BP67+BP90+BP93+BP26</f>
        <v>100</v>
      </c>
      <c r="BQ91" s="2827">
        <f>BQ70+BQ92+BQ89</f>
        <v>1001990.92</v>
      </c>
      <c r="BR91" s="2828">
        <f>BR8+BR10+BR12+BR14+BR16+BR20+BR22+BR18+BR24+BR28+BR34+BR36+BR40+BR42+BR44+BR46+BR48+BR50+BR52+BR54+BR56+BR61+BR63+BR65+BR67+BR90+BR93+BR26</f>
        <v>99.999999999999986</v>
      </c>
      <c r="BS91" s="2827">
        <f>BS70+BS92+BS89</f>
        <v>14330371.370000005</v>
      </c>
      <c r="BT91" s="2829">
        <f>BT70+BT92+BT89</f>
        <v>138248155.79888543</v>
      </c>
      <c r="BU91" s="2830">
        <f t="shared" si="2455"/>
        <v>69712524.988885432</v>
      </c>
      <c r="BV91" s="222"/>
      <c r="CB91" s="2807">
        <f>AE91+AG91+AI91+AK91+AM91+AO91+AQ91+AS91+AU91+AW91+AY91+BC91+BE91+BG91+BI91+BK91+BM91+BO91+BQ91+BS91</f>
        <v>138248155.79888546</v>
      </c>
      <c r="CC91" s="2807"/>
      <c r="CD91" s="2808">
        <v>100</v>
      </c>
      <c r="CE91" s="2807" t="e">
        <f>CE89+CE92+CE69</f>
        <v>#REF!</v>
      </c>
      <c r="CF91" s="2807" t="e">
        <f>CF89+CF92+CF69</f>
        <v>#REF!</v>
      </c>
      <c r="CG91" s="2807" t="e">
        <f>CG89+CG92+CG69</f>
        <v>#REF!</v>
      </c>
      <c r="CH91" s="2831" t="e">
        <f>CH89+CH92+CH69</f>
        <v>#REF!</v>
      </c>
      <c r="CJ91" s="2373" t="s">
        <v>909</v>
      </c>
    </row>
    <row r="92" ht="51">
      <c r="A92" s="247"/>
      <c r="B92" s="2811" t="s">
        <v>253</v>
      </c>
      <c r="C92" s="2812" t="s">
        <v>910</v>
      </c>
      <c r="D92" s="2367">
        <f t="shared" si="2514"/>
        <v>51192.639999999999</v>
      </c>
      <c r="E92" s="2367">
        <f t="shared" si="2515"/>
        <v>80023.449999999997</v>
      </c>
      <c r="F92" s="2367">
        <f t="shared" si="2515"/>
        <v>0</v>
      </c>
      <c r="G92" s="2640">
        <f t="shared" si="2516"/>
        <v>131216.09</v>
      </c>
      <c r="H92" s="2654">
        <f t="shared" si="2517"/>
        <v>0</v>
      </c>
      <c r="I92" s="2813">
        <f t="shared" si="2518"/>
        <v>0</v>
      </c>
      <c r="J92" s="2813">
        <f t="shared" si="2518"/>
        <v>0</v>
      </c>
      <c r="K92" s="2533">
        <f t="shared" si="2513"/>
        <v>0</v>
      </c>
      <c r="L92" s="2501">
        <f t="shared" si="2506"/>
        <v>131216.09</v>
      </c>
      <c r="M92" s="2640">
        <f t="shared" si="2519"/>
        <v>0</v>
      </c>
      <c r="N92" s="2814">
        <f t="shared" si="2519"/>
        <v>0</v>
      </c>
      <c r="O92" s="2640">
        <f t="shared" si="2519"/>
        <v>0</v>
      </c>
      <c r="P92" s="2739">
        <f t="shared" si="2505"/>
        <v>0</v>
      </c>
      <c r="Q92" s="2770">
        <f t="shared" si="2496"/>
        <v>131216.09</v>
      </c>
      <c r="R92" s="2640">
        <f t="shared" si="2520"/>
        <v>0</v>
      </c>
      <c r="S92" s="2640">
        <f t="shared" si="2520"/>
        <v>0</v>
      </c>
      <c r="T92" s="2640">
        <f>T158+T163+T169+T175</f>
        <v>0</v>
      </c>
      <c r="U92" s="2771">
        <f t="shared" si="2497"/>
        <v>0</v>
      </c>
      <c r="V92" s="2745">
        <f t="shared" si="2498"/>
        <v>131216.09</v>
      </c>
      <c r="W92" s="2509"/>
      <c r="AC92" s="2483" t="s">
        <v>235</v>
      </c>
      <c r="AD92" s="2753">
        <f>АНАЛИЗ!G96</f>
        <v>0</v>
      </c>
      <c r="AE92" s="2512">
        <f t="shared" ref="AE92:BS92" si="2521">AD$1*AD93/100</f>
        <v>0</v>
      </c>
      <c r="AF92" s="2753">
        <f>АНАЛИЗ!I96</f>
        <v>0</v>
      </c>
      <c r="AG92" s="2512">
        <f t="shared" si="2521"/>
        <v>0</v>
      </c>
      <c r="AH92" s="2753">
        <f>АНАЛИЗ!K96</f>
        <v>0</v>
      </c>
      <c r="AI92" s="2512">
        <f t="shared" si="2521"/>
        <v>0</v>
      </c>
      <c r="AJ92" s="2753">
        <f>АНАЛИЗ!M96</f>
        <v>295797.73833703122</v>
      </c>
      <c r="AK92" s="2512">
        <f t="shared" si="2521"/>
        <v>0</v>
      </c>
      <c r="AL92" s="2753">
        <f>АНАЛИЗ!O96</f>
        <v>16198.017911692174</v>
      </c>
      <c r="AM92" s="2512">
        <f t="shared" si="2521"/>
        <v>79230.660748444439</v>
      </c>
      <c r="AN92" s="2753">
        <f>АНАЛИЗ!Q96</f>
        <v>886955.72130764497</v>
      </c>
      <c r="AO92" s="2512">
        <f t="shared" si="2521"/>
        <v>2049151.7832605832</v>
      </c>
      <c r="AP92" s="2753">
        <f>АНАЛИЗ!S96</f>
        <v>0</v>
      </c>
      <c r="AQ92" s="2512">
        <f>AP$1*AP93/100</f>
        <v>0</v>
      </c>
      <c r="AR92" s="2753">
        <f>АНАЛИЗ!U96</f>
        <v>0</v>
      </c>
      <c r="AS92" s="2512">
        <f t="shared" si="2521"/>
        <v>0</v>
      </c>
      <c r="AT92" s="2753">
        <f>АНАЛИЗ!W96</f>
        <v>0</v>
      </c>
      <c r="AU92" s="2512">
        <f t="shared" si="2521"/>
        <v>0</v>
      </c>
      <c r="AV92" s="2753">
        <f>АНАЛИЗ!Y96</f>
        <v>0</v>
      </c>
      <c r="AW92" s="2512">
        <f t="shared" si="2521"/>
        <v>0</v>
      </c>
      <c r="AX92" s="2753">
        <f>АНАЛИЗ!AA96</f>
        <v>0</v>
      </c>
      <c r="AY92" s="2512">
        <f t="shared" si="2521"/>
        <v>0</v>
      </c>
      <c r="AZ92" s="2753">
        <f>АНАЛИЗ!AC96</f>
        <v>0</v>
      </c>
      <c r="BA92" s="2512">
        <f t="shared" si="2521"/>
        <v>0</v>
      </c>
      <c r="BB92" s="2753">
        <f>АНАЛИЗ!AE96</f>
        <v>0</v>
      </c>
      <c r="BC92" s="2512">
        <f t="shared" si="2521"/>
        <v>0</v>
      </c>
      <c r="BD92" s="2753">
        <f>АНАЛИЗ!AG96</f>
        <v>0</v>
      </c>
      <c r="BE92" s="2512">
        <f t="shared" si="2521"/>
        <v>0</v>
      </c>
      <c r="BF92" s="2753">
        <f>АНАЛИЗ!AI96</f>
        <v>0</v>
      </c>
      <c r="BG92" s="2512">
        <f t="shared" si="2521"/>
        <v>0</v>
      </c>
      <c r="BH92" s="2753">
        <f>АНАЛИЗ!AK96</f>
        <v>0</v>
      </c>
      <c r="BI92" s="2512">
        <f t="shared" si="2521"/>
        <v>0</v>
      </c>
      <c r="BJ92" s="2753">
        <f>АНАЛИЗ!AM96</f>
        <v>0</v>
      </c>
      <c r="BK92" s="2512">
        <f t="shared" si="2521"/>
        <v>0</v>
      </c>
      <c r="BL92" s="2753">
        <f>АНАЛИЗ!AO96</f>
        <v>0</v>
      </c>
      <c r="BM92" s="2512">
        <f t="shared" si="2521"/>
        <v>0</v>
      </c>
      <c r="BN92" s="2753">
        <f>АНАЛИЗ!AQ96</f>
        <v>0</v>
      </c>
      <c r="BO92" s="2512">
        <f t="shared" si="2521"/>
        <v>0</v>
      </c>
      <c r="BP92" s="2753">
        <f>АНАЛИЗ!AS96</f>
        <v>5309.6722101513878</v>
      </c>
      <c r="BQ92" s="2512">
        <f t="shared" si="2521"/>
        <v>32798.607318727176</v>
      </c>
      <c r="BR92" s="2753">
        <f>АНАЛИЗ!AU96</f>
        <v>0</v>
      </c>
      <c r="BS92" s="2514">
        <f t="shared" si="2521"/>
        <v>0</v>
      </c>
      <c r="BT92" s="2496">
        <f>AE92+AG92+AI92+AK92+AM92+AO92+AQ92+AS92+AU92+AW92+AY92+BA92+BC92+BE92+BG92+BI92+BK92+BM92+BO92+BQ92+BS92</f>
        <v>2161181.0513277547</v>
      </c>
      <c r="BU92" s="2497">
        <f t="shared" ref="BU92:BU94" si="2522">BT92-AE92-AG92-BE92-BG92-BI92-BK92</f>
        <v>2161181.0513277547</v>
      </c>
      <c r="BV92" s="222"/>
      <c r="BW92" s="2832">
        <f>BT1-BT91</f>
        <v>3828950.1011145711</v>
      </c>
      <c r="BX92" s="2373" t="s">
        <v>911</v>
      </c>
      <c r="CB92" s="2367">
        <f t="shared" ref="CB92:CB95" si="2523">AE92+AG92+AI92+AK92+AM92+AO92+AQ92+AS92+AU92+AW92+AY92+BA92+BC92+BE92+BG92+BI92+BK92+BM92+BO92+BQ92+BS92</f>
        <v>2161181.0513277547</v>
      </c>
      <c r="CD92" s="2377">
        <f>CB92*100/$CB$91</f>
        <v>1.5632621200905581</v>
      </c>
      <c r="CE92" s="2369">
        <f>CD92*$CE$5/100</f>
        <v>2303975.0001804149</v>
      </c>
      <c r="CF92" s="2418">
        <f>CB92+V94</f>
        <v>22930874.901327755</v>
      </c>
      <c r="CG92" s="2418">
        <f>V94+CB92+CE92</f>
        <v>25234849.901508171</v>
      </c>
      <c r="CH92" s="2462">
        <f>CE92+CF92</f>
        <v>25234849.901508171</v>
      </c>
      <c r="CI92" s="2762">
        <v>89.049999999999997</v>
      </c>
      <c r="CJ92" s="2833">
        <f t="shared" ref="CJ92:CJ95" si="2524">$CH$92*CI92/100</f>
        <v>22471633.837293025</v>
      </c>
      <c r="CK92" s="2811" t="s">
        <v>252</v>
      </c>
    </row>
    <row r="93" ht="51">
      <c r="A93" s="247"/>
      <c r="B93" s="2811" t="s">
        <v>266</v>
      </c>
      <c r="C93" s="2812" t="s">
        <v>912</v>
      </c>
      <c r="D93" s="2752">
        <f t="shared" si="2514"/>
        <v>0</v>
      </c>
      <c r="E93" s="2752">
        <f t="shared" si="2515"/>
        <v>0</v>
      </c>
      <c r="F93" s="2752">
        <f t="shared" si="2515"/>
        <v>0</v>
      </c>
      <c r="G93" s="2640">
        <f t="shared" si="2516"/>
        <v>0</v>
      </c>
      <c r="H93" s="2742">
        <f t="shared" si="2517"/>
        <v>0</v>
      </c>
      <c r="I93" s="2822">
        <f t="shared" si="2517"/>
        <v>0</v>
      </c>
      <c r="J93" s="2822">
        <f>J158+J164+J170+J176</f>
        <v>0</v>
      </c>
      <c r="K93" s="2732">
        <f t="shared" si="2513"/>
        <v>0</v>
      </c>
      <c r="L93" s="2735">
        <f t="shared" si="2506"/>
        <v>0</v>
      </c>
      <c r="M93" s="2823">
        <f t="shared" si="2519"/>
        <v>0</v>
      </c>
      <c r="N93" s="2824">
        <f t="shared" si="2519"/>
        <v>0</v>
      </c>
      <c r="O93" s="2823">
        <f t="shared" si="2519"/>
        <v>0</v>
      </c>
      <c r="P93" s="2535">
        <f t="shared" si="2505"/>
        <v>0</v>
      </c>
      <c r="Q93" s="2536">
        <f t="shared" si="2496"/>
        <v>0</v>
      </c>
      <c r="R93" s="2823">
        <f t="shared" si="2520"/>
        <v>0</v>
      </c>
      <c r="S93" s="2823">
        <f t="shared" si="2520"/>
        <v>0</v>
      </c>
      <c r="T93" s="2823">
        <f>T158+T164+T170+T176</f>
        <v>0</v>
      </c>
      <c r="U93" s="2538">
        <f t="shared" si="2497"/>
        <v>0</v>
      </c>
      <c r="V93" s="2745">
        <f t="shared" si="2498"/>
        <v>0</v>
      </c>
      <c r="W93" s="2509"/>
      <c r="AC93" s="2483"/>
      <c r="AD93" s="2834"/>
      <c r="AE93" s="2835"/>
      <c r="AF93" s="2836"/>
      <c r="AG93" s="2837"/>
      <c r="AH93" s="2511"/>
      <c r="AI93" s="2512"/>
      <c r="AJ93" s="2513">
        <f>AJ92*100/AJ$98</f>
        <v>20.946876684434329</v>
      </c>
      <c r="AK93" s="2514"/>
      <c r="AL93" s="2511">
        <f>AL92*100/AL$98</f>
        <v>5.8607407407407406</v>
      </c>
      <c r="AM93" s="2512"/>
      <c r="AN93" s="2513">
        <f>AN92*100/AN$98</f>
        <v>18.626638425883296</v>
      </c>
      <c r="AO93" s="2514"/>
      <c r="AP93" s="2511"/>
      <c r="AQ93" s="2512"/>
      <c r="AR93" s="2513"/>
      <c r="AS93" s="2514"/>
      <c r="AT93" s="2511"/>
      <c r="AU93" s="2512"/>
      <c r="AV93" s="2513">
        <f>AV92*100/AV$98</f>
        <v>0</v>
      </c>
      <c r="AW93" s="2514"/>
      <c r="AX93" s="2511"/>
      <c r="AY93" s="2512"/>
      <c r="AZ93" s="2513"/>
      <c r="BA93" s="2514"/>
      <c r="BB93" s="2511"/>
      <c r="BC93" s="2512"/>
      <c r="BD93" s="2513"/>
      <c r="BE93" s="2514"/>
      <c r="BF93" s="2511"/>
      <c r="BG93" s="2512"/>
      <c r="BH93" s="2513"/>
      <c r="BI93" s="2514"/>
      <c r="BJ93" s="2511"/>
      <c r="BK93" s="2512"/>
      <c r="BL93" s="2513"/>
      <c r="BM93" s="2516"/>
      <c r="BN93" s="2511"/>
      <c r="BO93" s="2512"/>
      <c r="BP93" s="2513">
        <f>BP92*100/BP$98</f>
        <v>3.273343766301513</v>
      </c>
      <c r="BQ93" s="2514"/>
      <c r="BR93" s="2838"/>
      <c r="BS93" s="2839"/>
      <c r="BT93" s="2496"/>
      <c r="BU93" s="2497"/>
      <c r="BV93" s="222"/>
      <c r="BW93" s="2575"/>
      <c r="CB93" s="2367">
        <f t="shared" si="2523"/>
        <v>0</v>
      </c>
      <c r="CH93" s="2443"/>
      <c r="CI93" s="2762">
        <v>8.3499999999999996</v>
      </c>
      <c r="CJ93" s="2833">
        <f t="shared" si="2524"/>
        <v>2107109.9667759323</v>
      </c>
      <c r="CK93" s="2811" t="s">
        <v>262</v>
      </c>
    </row>
    <row r="94" ht="15.75">
      <c r="A94" s="247"/>
      <c r="B94" s="2483"/>
      <c r="C94" s="2498"/>
      <c r="D94" s="2367">
        <f t="shared" ref="D94:J94" si="2525">SUM(D90:D93)</f>
        <v>8215206.7400000002</v>
      </c>
      <c r="E94" s="2367">
        <f t="shared" si="2525"/>
        <v>12554487.109999998</v>
      </c>
      <c r="F94" s="2367">
        <f>SUM(F90:F93)</f>
        <v>0</v>
      </c>
      <c r="G94" s="2840">
        <f>SUM(G90:G93)</f>
        <v>20769693.850000001</v>
      </c>
      <c r="H94" s="2841">
        <f t="shared" si="2525"/>
        <v>0</v>
      </c>
      <c r="I94" s="2842">
        <f>SUM(I90:I93)</f>
        <v>0</v>
      </c>
      <c r="J94" s="2841">
        <f t="shared" si="2525"/>
        <v>0</v>
      </c>
      <c r="K94" s="2843">
        <f t="shared" si="2513"/>
        <v>0</v>
      </c>
      <c r="L94" s="2844">
        <f t="shared" si="2506"/>
        <v>20769693.850000001</v>
      </c>
      <c r="M94" s="2841">
        <f>SUM(M90:M93)</f>
        <v>0</v>
      </c>
      <c r="N94" s="2841">
        <f>SUM(N90:N93)</f>
        <v>0</v>
      </c>
      <c r="O94" s="2840">
        <f>SUM(O90:O93)</f>
        <v>0</v>
      </c>
      <c r="P94" s="2535">
        <f t="shared" si="2505"/>
        <v>0</v>
      </c>
      <c r="Q94" s="2536">
        <f t="shared" si="2496"/>
        <v>20769693.850000001</v>
      </c>
      <c r="R94" s="2840">
        <f>SUM(R90:R93)</f>
        <v>0</v>
      </c>
      <c r="S94" s="2840">
        <f>SUM(S90:S93)</f>
        <v>0</v>
      </c>
      <c r="T94" s="2840">
        <f>SUM(T90:T93)</f>
        <v>0</v>
      </c>
      <c r="U94" s="2538">
        <f t="shared" si="2497"/>
        <v>0</v>
      </c>
      <c r="V94" s="2845">
        <f t="shared" si="2498"/>
        <v>20769693.850000001</v>
      </c>
      <c r="W94" s="2509"/>
      <c r="AC94" s="2483"/>
      <c r="AD94" s="2468"/>
      <c r="AE94" s="2469"/>
      <c r="AF94" s="2470"/>
      <c r="AG94" s="2471"/>
      <c r="AH94" s="2643"/>
      <c r="AI94" s="2644"/>
      <c r="AJ94" s="2645"/>
      <c r="AK94" s="2646"/>
      <c r="AL94" s="2643"/>
      <c r="AM94" s="2644"/>
      <c r="AN94" s="2647"/>
      <c r="AO94" s="2648"/>
      <c r="AP94" s="2649"/>
      <c r="AQ94" s="2787"/>
      <c r="AR94" s="2647"/>
      <c r="AS94" s="2648"/>
      <c r="AT94" s="2643"/>
      <c r="AU94" s="2644"/>
      <c r="AV94" s="2647"/>
      <c r="AW94" s="2648"/>
      <c r="AX94" s="2643"/>
      <c r="AY94" s="2644"/>
      <c r="AZ94" s="2476"/>
      <c r="BA94" s="2477"/>
      <c r="BB94" s="2643"/>
      <c r="BC94" s="2644"/>
      <c r="BD94" s="2470"/>
      <c r="BE94" s="2471"/>
      <c r="BF94" s="2649"/>
      <c r="BG94" s="2787"/>
      <c r="BH94" s="2647"/>
      <c r="BI94" s="2648"/>
      <c r="BJ94" s="2643"/>
      <c r="BK94" s="2644"/>
      <c r="BL94" s="2513"/>
      <c r="BM94" s="2516"/>
      <c r="BN94" s="2511"/>
      <c r="BO94" s="2512"/>
      <c r="BP94" s="2513"/>
      <c r="BQ94" s="2514"/>
      <c r="BR94" s="2478"/>
      <c r="BS94" s="2475"/>
      <c r="BT94" s="2517">
        <v>99.999999999999986</v>
      </c>
      <c r="BU94" s="2518">
        <f t="shared" si="2522"/>
        <v>99.999999999999986</v>
      </c>
      <c r="BV94" s="222"/>
      <c r="CB94" s="2367">
        <f t="shared" si="2523"/>
        <v>0</v>
      </c>
      <c r="CD94" s="2377">
        <f>CD92+CD89+CD69</f>
        <v>97.939367196240369</v>
      </c>
      <c r="CH94" s="2443"/>
      <c r="CI94" s="2762">
        <v>1.0900000000000001</v>
      </c>
      <c r="CJ94" s="2833">
        <f t="shared" si="2524"/>
        <v>275059.86392643908</v>
      </c>
      <c r="CK94" s="2811" t="s">
        <v>253</v>
      </c>
    </row>
    <row r="95" ht="15.75">
      <c r="A95" s="2846" t="s">
        <v>913</v>
      </c>
      <c r="B95" s="2847"/>
      <c r="C95" s="2519"/>
      <c r="G95" s="2640"/>
      <c r="H95" s="2641"/>
      <c r="I95" s="2642"/>
      <c r="J95" s="2641"/>
      <c r="K95" s="2533">
        <f t="shared" si="2513"/>
        <v>0</v>
      </c>
      <c r="L95" s="2501">
        <f t="shared" si="2506"/>
        <v>0</v>
      </c>
      <c r="M95" s="2502"/>
      <c r="N95" s="2848"/>
      <c r="O95" s="2503"/>
      <c r="P95" s="2504">
        <f t="shared" si="2505"/>
        <v>0</v>
      </c>
      <c r="Q95" s="2505">
        <f t="shared" si="2496"/>
        <v>0</v>
      </c>
      <c r="R95" s="2502"/>
      <c r="S95" s="2582"/>
      <c r="T95" s="2502"/>
      <c r="U95" s="2507">
        <f t="shared" si="2497"/>
        <v>0</v>
      </c>
      <c r="V95" s="2508">
        <f t="shared" si="2498"/>
        <v>0</v>
      </c>
      <c r="W95" s="2509"/>
      <c r="AC95" s="2483"/>
      <c r="AD95" s="2468"/>
      <c r="AE95" s="2469"/>
      <c r="AF95" s="2470"/>
      <c r="AG95" s="2471"/>
      <c r="AH95" s="2643"/>
      <c r="AI95" s="2644"/>
      <c r="AJ95" s="2645"/>
      <c r="AK95" s="2646"/>
      <c r="AL95" s="2643"/>
      <c r="AM95" s="2644"/>
      <c r="AN95" s="2647"/>
      <c r="AO95" s="2648"/>
      <c r="AP95" s="2649"/>
      <c r="AQ95" s="2787"/>
      <c r="AR95" s="2647"/>
      <c r="AS95" s="2648"/>
      <c r="AT95" s="2643"/>
      <c r="AU95" s="2644"/>
      <c r="AV95" s="2647"/>
      <c r="AW95" s="2648"/>
      <c r="AX95" s="2643"/>
      <c r="AY95" s="2644"/>
      <c r="AZ95" s="2476"/>
      <c r="BA95" s="2477"/>
      <c r="BB95" s="2643"/>
      <c r="BC95" s="2644"/>
      <c r="BD95" s="2470"/>
      <c r="BE95" s="2471"/>
      <c r="BF95" s="2649"/>
      <c r="BG95" s="2787"/>
      <c r="BH95" s="2647"/>
      <c r="BI95" s="2648"/>
      <c r="BJ95" s="2643"/>
      <c r="BK95" s="2644"/>
      <c r="BL95" s="2513"/>
      <c r="BM95" s="2516"/>
      <c r="BN95" s="2511"/>
      <c r="BO95" s="2512"/>
      <c r="BP95" s="2513"/>
      <c r="BQ95" s="2514"/>
      <c r="BR95" s="2478"/>
      <c r="BS95" s="2475"/>
      <c r="BT95" s="2517"/>
      <c r="BU95" s="2518"/>
      <c r="BV95" s="222"/>
      <c r="BW95" s="2418"/>
      <c r="CB95" s="2367">
        <f t="shared" si="2523"/>
        <v>0</v>
      </c>
      <c r="CH95" s="2443"/>
      <c r="CI95" s="2762">
        <v>1.51</v>
      </c>
      <c r="CJ95" s="2833">
        <f t="shared" si="2524"/>
        <v>381046.23351277335</v>
      </c>
      <c r="CK95" s="2811" t="s">
        <v>266</v>
      </c>
    </row>
    <row r="96" ht="25.5">
      <c r="A96" s="2849"/>
      <c r="B96" s="2847"/>
      <c r="C96" s="2498"/>
      <c r="D96" s="2499"/>
      <c r="E96" s="2499"/>
      <c r="F96" s="2499"/>
      <c r="G96" s="2652"/>
      <c r="H96" s="2655"/>
      <c r="I96" s="2487"/>
      <c r="J96" s="2655"/>
      <c r="K96" s="2488">
        <f t="shared" si="2513"/>
        <v>0</v>
      </c>
      <c r="L96" s="2489">
        <f t="shared" si="2506"/>
        <v>0</v>
      </c>
      <c r="M96" s="2525"/>
      <c r="N96" s="2850"/>
      <c r="O96" s="2668"/>
      <c r="P96" s="2527">
        <f t="shared" si="2505"/>
        <v>0</v>
      </c>
      <c r="Q96" s="2528">
        <f t="shared" si="2496"/>
        <v>0</v>
      </c>
      <c r="R96" s="2525"/>
      <c r="S96" s="2585"/>
      <c r="T96" s="2525"/>
      <c r="U96" s="2530">
        <f t="shared" si="2497"/>
        <v>0</v>
      </c>
      <c r="V96" s="2531">
        <f t="shared" si="2498"/>
        <v>0</v>
      </c>
      <c r="W96" s="2509"/>
      <c r="AC96" s="2483" t="s">
        <v>273</v>
      </c>
      <c r="AD96" s="2834"/>
      <c r="AE96" s="2835"/>
      <c r="AF96" s="2836"/>
      <c r="AG96" s="2837"/>
      <c r="AH96" s="2851"/>
      <c r="AI96" s="2852"/>
      <c r="AJ96" s="2853"/>
      <c r="AK96" s="2854"/>
      <c r="AL96" s="2637"/>
      <c r="AM96" s="2638"/>
      <c r="AN96" s="2632"/>
      <c r="AO96" s="2633"/>
      <c r="AP96" s="2838"/>
      <c r="AQ96" s="2855"/>
      <c r="AR96" s="2856"/>
      <c r="AS96" s="2839"/>
      <c r="AT96" s="2838"/>
      <c r="AU96" s="2855"/>
      <c r="AV96" s="2636"/>
      <c r="AW96" s="2635"/>
      <c r="AX96" s="2838"/>
      <c r="AY96" s="2855"/>
      <c r="AZ96" s="2856"/>
      <c r="BA96" s="2839"/>
      <c r="BB96" s="2838"/>
      <c r="BC96" s="2855"/>
      <c r="BD96" s="2857"/>
      <c r="BE96" s="2858"/>
      <c r="BF96" s="2838"/>
      <c r="BG96" s="2855"/>
      <c r="BH96" s="2856"/>
      <c r="BI96" s="2839"/>
      <c r="BJ96" s="2838"/>
      <c r="BK96" s="2855"/>
      <c r="BL96" s="2859"/>
      <c r="BM96" s="2860"/>
      <c r="BN96" s="2861"/>
      <c r="BO96" s="2862"/>
      <c r="BP96" s="2785"/>
      <c r="BQ96" s="2786"/>
      <c r="BR96" s="2838"/>
      <c r="BS96" s="2839"/>
      <c r="BT96" s="2496"/>
      <c r="BU96" s="2497"/>
      <c r="BV96" s="222"/>
      <c r="CB96" s="2367"/>
      <c r="CC96" s="2367"/>
      <c r="CE96" s="2367"/>
      <c r="CF96" s="2863" t="e">
        <f>CF89+CF69+CF92</f>
        <v>#REF!</v>
      </c>
      <c r="CG96" s="2863"/>
      <c r="CH96" s="2864" t="e">
        <f>CH89+CH69+CH92</f>
        <v>#REF!</v>
      </c>
      <c r="CI96" s="2865">
        <f>SUM(CI92:CI95)</f>
        <v>100</v>
      </c>
      <c r="CJ96" s="2742">
        <f>SUM(CJ92:CJ95)</f>
        <v>25234849.901508171</v>
      </c>
    </row>
    <row r="97" ht="15.75">
      <c r="A97" s="826" t="s">
        <v>65</v>
      </c>
      <c r="B97" s="2866"/>
      <c r="C97" s="2519"/>
      <c r="D97" s="2520"/>
      <c r="E97" s="2520"/>
      <c r="F97" s="2520"/>
      <c r="G97" s="2625"/>
      <c r="H97" s="2626"/>
      <c r="I97" s="2523"/>
      <c r="J97" s="2626"/>
      <c r="K97" s="2524">
        <f t="shared" si="2513"/>
        <v>0</v>
      </c>
      <c r="L97" s="2540">
        <f t="shared" si="2506"/>
        <v>0</v>
      </c>
      <c r="N97" s="2368"/>
      <c r="O97" s="2534"/>
      <c r="P97" s="2535">
        <f t="shared" si="2505"/>
        <v>0</v>
      </c>
      <c r="Q97" s="2536">
        <f t="shared" si="2496"/>
        <v>0</v>
      </c>
      <c r="S97" s="2537"/>
      <c r="U97" s="2538">
        <f t="shared" si="2497"/>
        <v>0</v>
      </c>
      <c r="V97" s="2539">
        <f t="shared" si="2498"/>
        <v>0</v>
      </c>
      <c r="W97" s="2509"/>
      <c r="AC97" s="2483"/>
      <c r="AD97" s="2867"/>
      <c r="AE97" s="2795"/>
      <c r="AF97" s="2796"/>
      <c r="AG97" s="2797"/>
      <c r="AH97" s="2649"/>
      <c r="AI97" s="2644"/>
      <c r="AJ97" s="2645"/>
      <c r="AK97" s="2646"/>
      <c r="AL97" s="2649"/>
      <c r="AM97" s="2787"/>
      <c r="AN97" s="2645"/>
      <c r="AO97" s="2646"/>
      <c r="AP97" s="2649"/>
      <c r="AQ97" s="2787"/>
      <c r="AR97" s="2645"/>
      <c r="AS97" s="2646"/>
      <c r="AT97" s="2649"/>
      <c r="AU97" s="2787"/>
      <c r="AV97" s="2645"/>
      <c r="AW97" s="2646"/>
      <c r="AX97" s="2649"/>
      <c r="AY97" s="2787"/>
      <c r="AZ97" s="2474"/>
      <c r="BA97" s="2475"/>
      <c r="BB97" s="2649"/>
      <c r="BC97" s="2787"/>
      <c r="BD97" s="2796"/>
      <c r="BE97" s="2797"/>
      <c r="BF97" s="2649"/>
      <c r="BG97" s="2787"/>
      <c r="BH97" s="2645"/>
      <c r="BI97" s="2646"/>
      <c r="BJ97" s="2649"/>
      <c r="BK97" s="2787"/>
      <c r="BL97" s="2513"/>
      <c r="BM97" s="2516"/>
      <c r="BN97" s="2868"/>
      <c r="BO97" s="2802"/>
      <c r="BP97" s="2788"/>
      <c r="BQ97" s="2789"/>
      <c r="BR97" s="2478"/>
      <c r="BS97" s="2475"/>
      <c r="BT97" s="2517"/>
      <c r="BU97" s="2518"/>
      <c r="BV97" s="222"/>
      <c r="CB97" s="2367"/>
      <c r="CC97" s="2367"/>
      <c r="CE97" s="2367"/>
      <c r="CH97" s="2443"/>
    </row>
    <row r="98" ht="15.75">
      <c r="A98" s="552"/>
      <c r="B98" s="2731"/>
      <c r="C98" s="2498"/>
      <c r="G98" s="2640"/>
      <c r="H98" s="2641"/>
      <c r="I98" s="2642"/>
      <c r="J98" s="2641"/>
      <c r="K98" s="2533">
        <f t="shared" si="2513"/>
        <v>0</v>
      </c>
      <c r="L98" s="2501">
        <f t="shared" si="2506"/>
        <v>0</v>
      </c>
      <c r="N98" s="2368"/>
      <c r="O98" s="2534"/>
      <c r="P98" s="2535">
        <f t="shared" si="2505"/>
        <v>0</v>
      </c>
      <c r="Q98" s="2536">
        <f t="shared" si="2496"/>
        <v>0</v>
      </c>
      <c r="S98" s="2537"/>
      <c r="U98" s="2538">
        <f t="shared" si="2497"/>
        <v>0</v>
      </c>
      <c r="V98" s="2539">
        <f t="shared" si="2498"/>
        <v>0</v>
      </c>
      <c r="W98" s="2509"/>
      <c r="AC98" s="2866" t="s">
        <v>65</v>
      </c>
      <c r="AD98" s="2753">
        <f>АНАЛИЗ!G102</f>
        <v>6065419.6615461046</v>
      </c>
      <c r="AE98" s="2817"/>
      <c r="AF98" s="2753">
        <f>АНАЛИЗ!I102</f>
        <v>22643118.877121355</v>
      </c>
      <c r="AG98" s="2817"/>
      <c r="AH98" s="2753">
        <f>АНАЛИЗ!K102</f>
        <v>576017.11685492774</v>
      </c>
      <c r="AI98" s="2817"/>
      <c r="AJ98" s="2753">
        <f>АНАЛИЗ!M102</f>
        <v>1412132.9055077657</v>
      </c>
      <c r="AK98" s="2817"/>
      <c r="AL98" s="2753">
        <f>АНАЛИЗ!O102</f>
        <v>276381.751526598</v>
      </c>
      <c r="AM98" s="2817"/>
      <c r="AN98" s="2753">
        <f>АНАЛИЗ!Q102</f>
        <v>4761759.4813841702</v>
      </c>
      <c r="AO98" s="2817"/>
      <c r="AP98" s="2753">
        <f>АНАЛИЗ!S102</f>
        <v>28662.685717921988</v>
      </c>
      <c r="AQ98" s="2817"/>
      <c r="AR98" s="2753">
        <f>АНАЛИЗ!U102</f>
        <v>302951.19545389689</v>
      </c>
      <c r="AS98" s="2817"/>
      <c r="AT98" s="2753">
        <f>АНАЛИЗ!W102</f>
        <v>13251.011840322681</v>
      </c>
      <c r="AU98" s="2817"/>
      <c r="AV98" s="2753">
        <f>АНАЛИЗ!Y102</f>
        <v>67666.870809031592</v>
      </c>
      <c r="AW98" s="2817"/>
      <c r="AX98" s="2753">
        <f>АНАЛИЗ!AA102</f>
        <v>39846.18</v>
      </c>
      <c r="AY98" s="2817"/>
      <c r="AZ98" s="2753">
        <f>АНАЛИЗ!AC102</f>
        <v>0</v>
      </c>
      <c r="BA98" s="2817"/>
      <c r="BB98" s="2753">
        <f>АНАЛИЗ!AE102</f>
        <v>1410850.6878849282</v>
      </c>
      <c r="BC98" s="2817"/>
      <c r="BD98" s="2753">
        <f>АНАЛИЗ!AG102</f>
        <v>8154298.8378253877</v>
      </c>
      <c r="BE98" s="2817"/>
      <c r="BF98" s="2753">
        <f>АНАЛИЗ!AI102</f>
        <v>848947.90142517164</v>
      </c>
      <c r="BG98" s="2817"/>
      <c r="BH98" s="2753">
        <f>АНАЛИЗ!AK102</f>
        <v>1872186.1896896202</v>
      </c>
      <c r="BI98" s="2817"/>
      <c r="BJ98" s="2753">
        <f>АНАЛИЗ!AM102</f>
        <v>1945635.7313555088</v>
      </c>
      <c r="BK98" s="2817"/>
      <c r="BL98" s="2753">
        <f>АНАЛИЗ!AO102</f>
        <v>65791.671099999992</v>
      </c>
      <c r="BM98" s="2817"/>
      <c r="BN98" s="2753">
        <f>АНАЛИЗ!AQ102</f>
        <v>339459.13004890154</v>
      </c>
      <c r="BO98" s="2817"/>
      <c r="BP98" s="2753">
        <f>АНАЛИЗ!AS102</f>
        <v>162209.42831649736</v>
      </c>
      <c r="BQ98" s="2817"/>
      <c r="BR98" s="2753">
        <f>АНАЛИЗ!AU102</f>
        <v>1646466.4264457086</v>
      </c>
      <c r="BS98" s="2818"/>
      <c r="BT98" s="2869">
        <f>AE98+AG98+AI98+AK98+AM98+AO98+AQ98+AS98+AU98+AW98+AY98+BA98+BC98+BE98+BG98+BI98+BK98+BM98+BO98+BQ98+BS98</f>
        <v>0</v>
      </c>
      <c r="BU98" s="2869"/>
      <c r="BV98" s="2869">
        <f>AF98+AH98+AJ98+AL98+AN98+AP98+AR98+AT98+AV98+AX98+AZ98+BB98+BD98+BF98+BH98+BJ98+BL98+BN98+BP98+BR98+BT98</f>
        <v>46567634.0803077</v>
      </c>
      <c r="CB98" s="2367"/>
      <c r="CH98" s="2443"/>
    </row>
    <row r="99" ht="15.75">
      <c r="C99" s="2519"/>
      <c r="G99" s="2640"/>
      <c r="H99" s="2641"/>
      <c r="I99" s="2642"/>
      <c r="J99" s="2641"/>
      <c r="K99" s="2533">
        <f t="shared" si="2513"/>
        <v>0</v>
      </c>
      <c r="L99" s="2501">
        <f t="shared" si="2506"/>
        <v>0</v>
      </c>
      <c r="M99" s="2768"/>
      <c r="N99" s="2870"/>
      <c r="O99" s="2738"/>
      <c r="P99" s="2739">
        <f t="shared" si="2505"/>
        <v>0</v>
      </c>
      <c r="Q99" s="2770">
        <f t="shared" si="2496"/>
        <v>0</v>
      </c>
      <c r="R99" s="2768"/>
      <c r="S99" s="2743"/>
      <c r="T99" s="2768"/>
      <c r="U99" s="2771">
        <f t="shared" si="2497"/>
        <v>0</v>
      </c>
      <c r="V99" s="2745">
        <f t="shared" si="2498"/>
        <v>0</v>
      </c>
      <c r="W99" s="2509"/>
      <c r="AC99" s="2731"/>
      <c r="AD99" s="2676">
        <f>AD98*100/$AD$98</f>
        <v>100.00000000000001</v>
      </c>
      <c r="AE99" s="2871"/>
      <c r="AF99" s="2872"/>
      <c r="AG99" s="2873"/>
      <c r="AH99" s="2874"/>
      <c r="AI99" s="2875"/>
      <c r="AJ99" s="2876"/>
      <c r="AK99" s="2877"/>
      <c r="AL99" s="2874"/>
      <c r="AM99" s="2878"/>
      <c r="AN99" s="2876"/>
      <c r="AO99" s="2877"/>
      <c r="AP99" s="2874"/>
      <c r="AQ99" s="2878"/>
      <c r="AR99" s="2876"/>
      <c r="AS99" s="2877"/>
      <c r="AT99" s="2874"/>
      <c r="AU99" s="2878"/>
      <c r="AV99" s="2876"/>
      <c r="AW99" s="2877"/>
      <c r="AX99" s="2874"/>
      <c r="AY99" s="2878"/>
      <c r="AZ99" s="2876"/>
      <c r="BA99" s="2877"/>
      <c r="BB99" s="2874"/>
      <c r="BC99" s="2878"/>
      <c r="BD99" s="2872"/>
      <c r="BE99" s="2873"/>
      <c r="BF99" s="2874"/>
      <c r="BG99" s="2878"/>
      <c r="BH99" s="2876"/>
      <c r="BI99" s="2877"/>
      <c r="BJ99" s="2874"/>
      <c r="BK99" s="2878"/>
      <c r="BL99" s="2513"/>
      <c r="BM99" s="2516"/>
      <c r="BN99" s="2879"/>
      <c r="BO99" s="2880"/>
      <c r="BP99" s="2872"/>
      <c r="BQ99" s="2873"/>
      <c r="BR99" s="2874"/>
      <c r="BS99" s="2881"/>
      <c r="BT99" s="2820"/>
      <c r="BU99" s="2821"/>
      <c r="BV99" s="222"/>
      <c r="CB99" s="2367"/>
      <c r="CH99" s="2443"/>
    </row>
    <row r="100" ht="15.75">
      <c r="A100" s="854" t="s">
        <v>242</v>
      </c>
      <c r="B100" s="2882"/>
      <c r="C100" s="2721"/>
      <c r="D100" s="2883">
        <f t="shared" ref="D100:J100" si="2526">D94+D88+D71</f>
        <v>92975192.030000001</v>
      </c>
      <c r="E100" s="2883">
        <f t="shared" si="2526"/>
        <v>83418495.11999999</v>
      </c>
      <c r="F100" s="2883">
        <f t="shared" si="2526"/>
        <v>0</v>
      </c>
      <c r="G100" s="2884">
        <f t="shared" si="2526"/>
        <v>176393687.15000001</v>
      </c>
      <c r="H100" s="2884">
        <f t="shared" si="2526"/>
        <v>0</v>
      </c>
      <c r="I100" s="2883">
        <f t="shared" si="2526"/>
        <v>0</v>
      </c>
      <c r="J100" s="2885">
        <f t="shared" si="2526"/>
        <v>0</v>
      </c>
      <c r="K100" s="2886">
        <f>H100+I100+J100</f>
        <v>0</v>
      </c>
      <c r="L100" s="2887">
        <f t="shared" si="2506"/>
        <v>176393687.15000001</v>
      </c>
      <c r="M100" s="2885">
        <f>M94+M88+M71</f>
        <v>0</v>
      </c>
      <c r="N100" s="2888">
        <f>N94+N88+N71</f>
        <v>0</v>
      </c>
      <c r="O100" s="2885">
        <f>O94+O88+O71</f>
        <v>0</v>
      </c>
      <c r="P100" s="2535">
        <f t="shared" si="2505"/>
        <v>0</v>
      </c>
      <c r="Q100" s="2536">
        <f>L100+P100</f>
        <v>176393687.15000001</v>
      </c>
      <c r="R100" s="2885">
        <f>R94+R88+R71</f>
        <v>0</v>
      </c>
      <c r="S100" s="2885">
        <f>S94+S88+S71</f>
        <v>0</v>
      </c>
      <c r="T100" s="2885">
        <f>T94+T88+T71</f>
        <v>0</v>
      </c>
      <c r="U100" s="2538">
        <f t="shared" si="2497"/>
        <v>0</v>
      </c>
      <c r="V100" s="2716">
        <f t="shared" si="2498"/>
        <v>176393687.15000001</v>
      </c>
      <c r="W100" s="2509"/>
      <c r="AC100" s="2"/>
      <c r="AD100" s="5"/>
      <c r="AE100" s="5"/>
      <c r="AF100" s="5"/>
      <c r="AG100" s="5"/>
      <c r="AH100" s="1"/>
      <c r="AI100" s="1"/>
      <c r="AJ100" s="4"/>
      <c r="AK100" s="4"/>
      <c r="AL100" s="1"/>
      <c r="AM100" s="1"/>
      <c r="AN100" s="1"/>
      <c r="AO100" s="2889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5"/>
      <c r="BE100" s="5"/>
      <c r="BF100" s="1"/>
      <c r="BG100" s="1"/>
      <c r="BH100" s="1"/>
      <c r="BI100" s="1"/>
      <c r="BJ100" s="1"/>
      <c r="BK100" s="1"/>
      <c r="BL100" s="5"/>
      <c r="BM100" s="5"/>
      <c r="BN100" s="5"/>
      <c r="BO100" s="5"/>
      <c r="BP100" s="5"/>
      <c r="BQ100" s="5"/>
      <c r="BR100" s="1"/>
      <c r="BS100" s="1"/>
      <c r="BT100" s="2890"/>
      <c r="BU100" s="2891"/>
      <c r="BV100" s="2371"/>
      <c r="BW100" s="2371"/>
      <c r="CB100" s="2367">
        <f>CB92+CB89+CB69</f>
        <v>138248155.79888543</v>
      </c>
      <c r="CD100" s="2377">
        <f>CD69+CD73+CD84+CD87+CD92</f>
        <v>97.939367196240369</v>
      </c>
      <c r="CH100" s="2443"/>
      <c r="CI100" s="2832" t="e">
        <f>CH96-V150</f>
        <v>#REF!</v>
      </c>
    </row>
    <row r="101" ht="25.5">
      <c r="C101" s="2519"/>
      <c r="G101" s="2640"/>
      <c r="H101" s="2641"/>
      <c r="I101" s="2642"/>
      <c r="J101" s="2892"/>
      <c r="K101" s="2533">
        <f t="shared" si="2513"/>
        <v>0</v>
      </c>
      <c r="L101" s="2501">
        <f t="shared" si="2506"/>
        <v>0</v>
      </c>
      <c r="M101" s="2502"/>
      <c r="N101" s="2848"/>
      <c r="O101" s="2503"/>
      <c r="P101" s="2504">
        <f t="shared" si="2505"/>
        <v>0</v>
      </c>
      <c r="Q101" s="2505">
        <f t="shared" si="2496"/>
        <v>0</v>
      </c>
      <c r="R101" s="2502"/>
      <c r="S101" s="2582"/>
      <c r="T101" s="2502"/>
      <c r="U101" s="2507">
        <f t="shared" si="2497"/>
        <v>0</v>
      </c>
      <c r="V101" s="2508">
        <f t="shared" si="2498"/>
        <v>0</v>
      </c>
      <c r="W101" s="2509"/>
      <c r="AC101" s="853" t="s">
        <v>242</v>
      </c>
      <c r="AN101" s="2893"/>
      <c r="BV101" s="2371"/>
      <c r="BW101" s="2371"/>
      <c r="CH101" s="2894"/>
    </row>
    <row r="102">
      <c r="C102" s="2498"/>
      <c r="D102" s="2499"/>
      <c r="E102" s="2499"/>
      <c r="F102" s="2499"/>
      <c r="G102" s="2652"/>
      <c r="H102" s="2655"/>
      <c r="I102" s="2487"/>
      <c r="J102" s="2895"/>
      <c r="K102" s="2488">
        <f t="shared" si="2513"/>
        <v>0</v>
      </c>
      <c r="L102" s="2489">
        <f t="shared" si="2506"/>
        <v>0</v>
      </c>
      <c r="M102" s="2525"/>
      <c r="N102" s="2850"/>
      <c r="O102" s="2668"/>
      <c r="P102" s="2527">
        <f t="shared" si="2505"/>
        <v>0</v>
      </c>
      <c r="Q102" s="2528">
        <f t="shared" si="2496"/>
        <v>0</v>
      </c>
      <c r="R102" s="2525"/>
      <c r="S102" s="2585"/>
      <c r="T102" s="2525"/>
      <c r="U102" s="2530">
        <f t="shared" si="2497"/>
        <v>0</v>
      </c>
      <c r="V102" s="2531">
        <f t="shared" si="2498"/>
        <v>0</v>
      </c>
      <c r="W102" s="2509"/>
      <c r="BV102" s="2371"/>
      <c r="BW102" s="2371"/>
    </row>
    <row r="103" ht="23.25">
      <c r="A103" s="2896" t="s">
        <v>225</v>
      </c>
      <c r="C103" s="2519"/>
      <c r="D103" s="2520">
        <v>2938682.5099999998</v>
      </c>
      <c r="E103" s="2520">
        <f>191534.14+2186508.53</f>
        <v>2378042.6699999999</v>
      </c>
      <c r="F103" s="2520"/>
      <c r="G103" s="2897">
        <f>D103+E103+F103</f>
        <v>5316725.1799999997</v>
      </c>
      <c r="H103" s="2522"/>
      <c r="I103" s="2523"/>
      <c r="J103" s="2626"/>
      <c r="K103" s="2524">
        <f t="shared" si="2513"/>
        <v>0</v>
      </c>
      <c r="L103" s="2540">
        <f t="shared" si="2506"/>
        <v>5316725.1799999997</v>
      </c>
      <c r="N103" s="2534"/>
      <c r="O103" s="2534"/>
      <c r="P103" s="2535">
        <f t="shared" si="2505"/>
        <v>0</v>
      </c>
      <c r="Q103" s="2536">
        <f t="shared" si="2496"/>
        <v>5316725.1799999997</v>
      </c>
      <c r="S103" s="2537"/>
      <c r="U103" s="2538">
        <f t="shared" si="2497"/>
        <v>0</v>
      </c>
      <c r="V103" s="2539">
        <f t="shared" si="2498"/>
        <v>5316725.1799999997</v>
      </c>
      <c r="W103" s="2509"/>
      <c r="BV103" s="2371"/>
      <c r="BW103" s="2371"/>
    </row>
    <row r="104">
      <c r="C104" s="2498"/>
      <c r="G104" s="2640"/>
      <c r="H104" s="2641"/>
      <c r="I104" s="2642"/>
      <c r="J104" s="2892"/>
      <c r="K104" s="2533">
        <f t="shared" si="2513"/>
        <v>0</v>
      </c>
      <c r="L104" s="2501">
        <f t="shared" si="2506"/>
        <v>0</v>
      </c>
      <c r="N104" s="2368"/>
      <c r="O104" s="2370"/>
      <c r="P104" s="2535">
        <f t="shared" si="2505"/>
        <v>0</v>
      </c>
      <c r="Q104" s="2536">
        <f t="shared" si="2496"/>
        <v>0</v>
      </c>
      <c r="S104" s="2537"/>
      <c r="U104" s="2538">
        <f t="shared" si="2497"/>
        <v>0</v>
      </c>
      <c r="V104" s="2539">
        <f t="shared" si="2498"/>
        <v>0</v>
      </c>
      <c r="W104" s="2509"/>
    </row>
    <row r="105">
      <c r="C105" s="2519"/>
      <c r="G105" s="2640"/>
      <c r="H105" s="2641"/>
      <c r="I105" s="2642"/>
      <c r="J105" s="2892"/>
      <c r="K105" s="2533">
        <f t="shared" si="2513"/>
        <v>0</v>
      </c>
      <c r="L105" s="2501">
        <f t="shared" ref="L105:L168" si="2527">G105+K105</f>
        <v>0</v>
      </c>
      <c r="M105" s="2502"/>
      <c r="N105" s="2656"/>
      <c r="O105" s="2656"/>
      <c r="P105" s="2504">
        <f t="shared" si="2505"/>
        <v>0</v>
      </c>
      <c r="Q105" s="2505">
        <f t="shared" si="2496"/>
        <v>0</v>
      </c>
      <c r="R105" s="2502"/>
      <c r="S105" s="2582"/>
      <c r="T105" s="2502"/>
      <c r="U105" s="2507">
        <f t="shared" si="2497"/>
        <v>0</v>
      </c>
      <c r="V105" s="2508">
        <f t="shared" si="2498"/>
        <v>0</v>
      </c>
      <c r="W105" s="2509"/>
    </row>
    <row r="106">
      <c r="C106" s="2498"/>
      <c r="D106" s="2499"/>
      <c r="E106" s="2499"/>
      <c r="F106" s="2499"/>
      <c r="G106" s="2652"/>
      <c r="H106" s="2655"/>
      <c r="I106" s="2487"/>
      <c r="J106" s="2486"/>
      <c r="K106" s="2488">
        <f t="shared" si="2513"/>
        <v>0</v>
      </c>
      <c r="L106" s="2489">
        <f t="shared" si="2527"/>
        <v>0</v>
      </c>
      <c r="M106" s="2525"/>
      <c r="N106" s="2526"/>
      <c r="O106" s="2526"/>
      <c r="P106" s="2527">
        <f t="shared" si="2505"/>
        <v>0</v>
      </c>
      <c r="Q106" s="2528">
        <f t="shared" si="2496"/>
        <v>0</v>
      </c>
      <c r="R106" s="2525"/>
      <c r="S106" s="2585"/>
      <c r="T106" s="2525"/>
      <c r="U106" s="2530">
        <f t="shared" si="2497"/>
        <v>0</v>
      </c>
      <c r="V106" s="2531">
        <f t="shared" si="2498"/>
        <v>0</v>
      </c>
      <c r="W106" s="2509"/>
    </row>
    <row r="107">
      <c r="C107" s="2519"/>
      <c r="D107" s="2520"/>
      <c r="E107" s="2520"/>
      <c r="F107" s="2520"/>
      <c r="G107" s="2625"/>
      <c r="H107" s="2626"/>
      <c r="I107" s="2523"/>
      <c r="J107" s="2522"/>
      <c r="K107" s="2524"/>
      <c r="L107" s="2540"/>
      <c r="N107" s="2370"/>
      <c r="O107" s="2370"/>
      <c r="P107" s="2535">
        <f t="shared" ref="P107:P170" si="2528">M107+N107+O107</f>
        <v>0</v>
      </c>
      <c r="Q107" s="2536">
        <f t="shared" ref="Q107:Q170" si="2529">L107+P107</f>
        <v>0</v>
      </c>
      <c r="S107" s="2537"/>
      <c r="U107" s="2538">
        <f t="shared" ref="U107:U170" si="2530">R107+S107+T107</f>
        <v>0</v>
      </c>
      <c r="V107" s="2539">
        <f t="shared" si="2498"/>
        <v>0</v>
      </c>
      <c r="W107" s="2509"/>
    </row>
    <row r="108" ht="38.25">
      <c r="A108" s="2731" t="s">
        <v>251</v>
      </c>
      <c r="B108" s="2898"/>
      <c r="C108" s="2498" t="s">
        <v>914</v>
      </c>
      <c r="D108" s="2899">
        <v>12263122.619999999</v>
      </c>
      <c r="E108" s="2899">
        <f>9140117.07</f>
        <v>9140117.0700000003</v>
      </c>
      <c r="F108" s="2900"/>
      <c r="G108" s="2823">
        <f t="shared" ref="G108:G150" si="2531">D108+E108+F108</f>
        <v>21403239.689999998</v>
      </c>
      <c r="H108" s="2650"/>
      <c r="I108" s="2642"/>
      <c r="J108" s="2650"/>
      <c r="K108" s="2533">
        <f t="shared" si="2513"/>
        <v>0</v>
      </c>
      <c r="L108" s="2501">
        <f t="shared" si="2527"/>
        <v>21403239.689999998</v>
      </c>
      <c r="M108" s="2768"/>
      <c r="N108" s="2738"/>
      <c r="O108" s="2738"/>
      <c r="P108" s="2739">
        <f t="shared" si="2528"/>
        <v>0</v>
      </c>
      <c r="Q108" s="2770">
        <f t="shared" si="2529"/>
        <v>21403239.689999998</v>
      </c>
      <c r="R108" s="2736"/>
      <c r="S108" s="2743"/>
      <c r="T108" s="2736"/>
      <c r="U108" s="2771">
        <f t="shared" si="2530"/>
        <v>0</v>
      </c>
      <c r="V108" s="2745">
        <f t="shared" si="2498"/>
        <v>21403239.689999998</v>
      </c>
      <c r="W108" s="2509"/>
    </row>
    <row r="109">
      <c r="A109" s="2731" t="s">
        <v>80</v>
      </c>
      <c r="B109" s="2901"/>
      <c r="C109" s="2773">
        <v>180</v>
      </c>
      <c r="D109" s="2902">
        <v>840435.01000000001</v>
      </c>
      <c r="E109" s="2902">
        <v>717215.12</v>
      </c>
      <c r="F109" s="2903"/>
      <c r="G109" s="2823">
        <f t="shared" si="2531"/>
        <v>1557650.1299999999</v>
      </c>
      <c r="H109" s="2733"/>
      <c r="I109" s="2734"/>
      <c r="J109" s="2733"/>
      <c r="K109" s="2732">
        <f t="shared" si="2513"/>
        <v>0</v>
      </c>
      <c r="L109" s="2735">
        <f t="shared" si="2527"/>
        <v>1557650.1299999999</v>
      </c>
      <c r="M109" s="2768"/>
      <c r="N109" s="2738"/>
      <c r="O109" s="2738"/>
      <c r="P109" s="2739">
        <f t="shared" si="2528"/>
        <v>0</v>
      </c>
      <c r="Q109" s="2770">
        <f t="shared" si="2529"/>
        <v>1557650.1299999999</v>
      </c>
      <c r="R109" s="2736"/>
      <c r="S109" s="2743"/>
      <c r="T109" s="2736"/>
      <c r="U109" s="2771">
        <f t="shared" si="2530"/>
        <v>0</v>
      </c>
      <c r="V109" s="2745">
        <f>Q109+U109</f>
        <v>1557650.1299999999</v>
      </c>
      <c r="W109" s="2509"/>
    </row>
    <row r="110" ht="38.25">
      <c r="A110" s="2904" t="s">
        <v>265</v>
      </c>
      <c r="B110" s="2905"/>
      <c r="C110" s="2498" t="s">
        <v>915</v>
      </c>
      <c r="D110" s="2902">
        <v>6913151.7599999998</v>
      </c>
      <c r="E110" s="2902">
        <f>4953829.35</f>
        <v>4953829.3499999996</v>
      </c>
      <c r="F110" s="2903"/>
      <c r="G110" s="2823">
        <f t="shared" si="2531"/>
        <v>11866981.109999999</v>
      </c>
      <c r="H110" s="2733"/>
      <c r="I110" s="2734"/>
      <c r="J110" s="2733"/>
      <c r="K110" s="2732">
        <f t="shared" si="2513"/>
        <v>0</v>
      </c>
      <c r="L110" s="2735">
        <f t="shared" si="2527"/>
        <v>11866981.109999999</v>
      </c>
      <c r="M110" s="2768"/>
      <c r="N110" s="2738"/>
      <c r="O110" s="2738"/>
      <c r="P110" s="2739">
        <f t="shared" si="2528"/>
        <v>0</v>
      </c>
      <c r="Q110" s="2770">
        <f t="shared" si="2529"/>
        <v>11866981.109999999</v>
      </c>
      <c r="R110" s="2736"/>
      <c r="S110" s="2743"/>
      <c r="T110" s="2736"/>
      <c r="U110" s="2771">
        <f t="shared" si="2530"/>
        <v>0</v>
      </c>
      <c r="V110" s="2745">
        <f t="shared" si="2498"/>
        <v>11866981.109999999</v>
      </c>
      <c r="W110" s="2509"/>
    </row>
    <row r="111" ht="38.25">
      <c r="A111" s="2731" t="s">
        <v>267</v>
      </c>
      <c r="B111" s="2901"/>
      <c r="C111" s="2721" t="s">
        <v>916</v>
      </c>
      <c r="D111" s="2902">
        <v>4717516.0300000003</v>
      </c>
      <c r="E111" s="2902">
        <f>4083607.33</f>
        <v>4083607.3300000001</v>
      </c>
      <c r="F111" s="2903"/>
      <c r="G111" s="2823">
        <f t="shared" si="2531"/>
        <v>8801123.3599999994</v>
      </c>
      <c r="H111" s="2733"/>
      <c r="I111" s="2734"/>
      <c r="J111" s="2733"/>
      <c r="K111" s="2732">
        <f t="shared" si="2513"/>
        <v>0</v>
      </c>
      <c r="L111" s="2735">
        <f t="shared" si="2527"/>
        <v>8801123.3599999994</v>
      </c>
      <c r="N111" s="2534"/>
      <c r="O111" s="2534"/>
      <c r="P111" s="2535">
        <f t="shared" si="2528"/>
        <v>0</v>
      </c>
      <c r="Q111" s="2770">
        <f t="shared" si="2529"/>
        <v>8801123.3599999994</v>
      </c>
      <c r="R111" s="2653"/>
      <c r="S111" s="2491"/>
      <c r="T111" s="2906"/>
      <c r="U111" s="2538">
        <f t="shared" si="2530"/>
        <v>0</v>
      </c>
      <c r="V111" s="2539">
        <f t="shared" si="2498"/>
        <v>8801123.3599999994</v>
      </c>
      <c r="W111" s="2509"/>
    </row>
    <row r="112" ht="38.25">
      <c r="A112" s="2731" t="s">
        <v>270</v>
      </c>
      <c r="B112" s="2901"/>
      <c r="C112" s="2907" t="s">
        <v>917</v>
      </c>
      <c r="D112" s="2899">
        <v>5610611.5099999998</v>
      </c>
      <c r="E112" s="2899">
        <f>4063759.8</f>
        <v>4063759.7999999998</v>
      </c>
      <c r="F112" s="2900"/>
      <c r="G112" s="2823">
        <f t="shared" si="2531"/>
        <v>9674371.3099999987</v>
      </c>
      <c r="H112" s="2650"/>
      <c r="I112" s="2642"/>
      <c r="J112" s="2650"/>
      <c r="K112" s="2533">
        <f t="shared" si="2513"/>
        <v>0</v>
      </c>
      <c r="L112" s="2501">
        <f t="shared" si="2527"/>
        <v>9674371.3099999987</v>
      </c>
      <c r="M112" s="2768"/>
      <c r="N112" s="2738"/>
      <c r="O112" s="2738"/>
      <c r="P112" s="2739">
        <f t="shared" si="2528"/>
        <v>0</v>
      </c>
      <c r="Q112" s="2770">
        <f t="shared" si="2529"/>
        <v>9674371.3099999987</v>
      </c>
      <c r="R112" s="2736"/>
      <c r="S112" s="2743"/>
      <c r="T112" s="2736"/>
      <c r="U112" s="2771">
        <f t="shared" si="2530"/>
        <v>0</v>
      </c>
      <c r="V112" s="2908">
        <f t="shared" si="2498"/>
        <v>9674371.3099999987</v>
      </c>
      <c r="W112" s="2509"/>
    </row>
    <row r="113">
      <c r="A113" s="2731" t="s">
        <v>286</v>
      </c>
      <c r="B113" s="2901"/>
      <c r="C113" s="2721" t="s">
        <v>918</v>
      </c>
      <c r="D113" s="2902"/>
      <c r="E113" s="2902"/>
      <c r="F113" s="2903"/>
      <c r="G113" s="2823">
        <f t="shared" si="2531"/>
        <v>0</v>
      </c>
      <c r="H113" s="2733"/>
      <c r="I113" s="2734"/>
      <c r="J113" s="2733"/>
      <c r="K113" s="2732">
        <f t="shared" si="2513"/>
        <v>0</v>
      </c>
      <c r="L113" s="2735">
        <f t="shared" si="2527"/>
        <v>0</v>
      </c>
      <c r="N113" s="2534"/>
      <c r="O113" s="2534"/>
      <c r="P113" s="2535">
        <f t="shared" si="2528"/>
        <v>0</v>
      </c>
      <c r="Q113" s="2770">
        <f t="shared" si="2529"/>
        <v>0</v>
      </c>
      <c r="S113" s="2537"/>
      <c r="U113" s="2538">
        <f t="shared" si="2530"/>
        <v>0</v>
      </c>
      <c r="V113" s="2908">
        <f t="shared" si="2498"/>
        <v>0</v>
      </c>
      <c r="W113" s="2509"/>
    </row>
    <row r="114">
      <c r="A114" s="2483"/>
      <c r="B114" s="2909"/>
      <c r="C114" s="2910"/>
      <c r="D114" s="2899"/>
      <c r="E114" s="2899"/>
      <c r="F114" s="2900"/>
      <c r="G114" s="2823">
        <f t="shared" si="2531"/>
        <v>0</v>
      </c>
      <c r="H114" s="2641"/>
      <c r="I114" s="2642"/>
      <c r="J114" s="2650"/>
      <c r="K114" s="2533">
        <f t="shared" si="2513"/>
        <v>0</v>
      </c>
      <c r="L114" s="2501">
        <f t="shared" si="2527"/>
        <v>0</v>
      </c>
      <c r="N114" s="2370"/>
      <c r="O114" s="2370"/>
      <c r="P114" s="2535">
        <f t="shared" si="2528"/>
        <v>0</v>
      </c>
      <c r="Q114" s="2770">
        <f t="shared" si="2529"/>
        <v>0</v>
      </c>
      <c r="S114" s="2537"/>
      <c r="U114" s="2538">
        <f t="shared" si="2530"/>
        <v>0</v>
      </c>
      <c r="V114" s="2908">
        <f t="shared" si="2498"/>
        <v>0</v>
      </c>
      <c r="W114" s="2509"/>
    </row>
    <row r="115">
      <c r="A115" s="2731"/>
      <c r="B115" s="2901"/>
      <c r="C115" s="2907"/>
      <c r="D115" s="2899"/>
      <c r="E115" s="2899"/>
      <c r="F115" s="2900"/>
      <c r="G115" s="2823">
        <f t="shared" si="2531"/>
        <v>0</v>
      </c>
      <c r="H115" s="2641"/>
      <c r="I115" s="2642"/>
      <c r="J115" s="2650"/>
      <c r="K115" s="2533">
        <f t="shared" si="2513"/>
        <v>0</v>
      </c>
      <c r="L115" s="2501">
        <f t="shared" si="2527"/>
        <v>0</v>
      </c>
      <c r="N115" s="2370"/>
      <c r="O115" s="2370"/>
      <c r="P115" s="2535">
        <f t="shared" si="2528"/>
        <v>0</v>
      </c>
      <c r="Q115" s="2770">
        <f t="shared" si="2529"/>
        <v>0</v>
      </c>
      <c r="S115" s="2537"/>
      <c r="U115" s="2538">
        <f t="shared" si="2530"/>
        <v>0</v>
      </c>
      <c r="V115" s="2911">
        <f t="shared" si="2498"/>
        <v>0</v>
      </c>
      <c r="W115" s="2509"/>
    </row>
    <row r="116">
      <c r="A116" s="2731"/>
      <c r="B116" s="2901"/>
      <c r="C116" s="2907"/>
      <c r="D116" s="2899"/>
      <c r="E116" s="2899"/>
      <c r="F116" s="2900"/>
      <c r="G116" s="2823">
        <f t="shared" si="2531"/>
        <v>0</v>
      </c>
      <c r="H116" s="2641"/>
      <c r="I116" s="2642"/>
      <c r="J116" s="2419"/>
      <c r="K116" s="2533">
        <f t="shared" si="2513"/>
        <v>0</v>
      </c>
      <c r="L116" s="2501">
        <f t="shared" si="2527"/>
        <v>0</v>
      </c>
      <c r="N116" s="2370"/>
      <c r="O116" s="2370"/>
      <c r="P116" s="2535">
        <f t="shared" si="2528"/>
        <v>0</v>
      </c>
      <c r="Q116" s="2770">
        <f t="shared" si="2529"/>
        <v>0</v>
      </c>
      <c r="S116" s="2537"/>
      <c r="U116" s="2538">
        <f t="shared" si="2530"/>
        <v>0</v>
      </c>
      <c r="V116" s="2908">
        <f t="shared" si="2498"/>
        <v>0</v>
      </c>
      <c r="W116" s="2509"/>
    </row>
    <row r="117">
      <c r="A117" s="2731"/>
      <c r="B117" s="2901"/>
      <c r="C117" s="2907"/>
      <c r="D117" s="2899"/>
      <c r="E117" s="2899"/>
      <c r="F117" s="2900"/>
      <c r="G117" s="2823">
        <f t="shared" si="2531"/>
        <v>0</v>
      </c>
      <c r="H117" s="2641"/>
      <c r="I117" s="2642"/>
      <c r="J117" s="2419"/>
      <c r="K117" s="2533">
        <f t="shared" si="2513"/>
        <v>0</v>
      </c>
      <c r="L117" s="2501">
        <f t="shared" si="2527"/>
        <v>0</v>
      </c>
      <c r="N117" s="2370"/>
      <c r="O117" s="2370"/>
      <c r="P117" s="2535">
        <f t="shared" si="2528"/>
        <v>0</v>
      </c>
      <c r="Q117" s="2770">
        <f t="shared" si="2529"/>
        <v>0</v>
      </c>
      <c r="S117" s="2537"/>
      <c r="U117" s="2538">
        <f t="shared" si="2530"/>
        <v>0</v>
      </c>
      <c r="V117" s="2908">
        <f t="shared" si="2498"/>
        <v>0</v>
      </c>
      <c r="W117" s="2509"/>
    </row>
    <row r="118">
      <c r="A118" s="2731"/>
      <c r="B118" s="2901"/>
      <c r="C118" s="2907"/>
      <c r="D118" s="2899"/>
      <c r="E118" s="2899"/>
      <c r="F118" s="2900"/>
      <c r="G118" s="2823">
        <f t="shared" si="2531"/>
        <v>0</v>
      </c>
      <c r="H118" s="2641"/>
      <c r="I118" s="2642"/>
      <c r="J118" s="2419"/>
      <c r="K118" s="2533">
        <f t="shared" si="2513"/>
        <v>0</v>
      </c>
      <c r="L118" s="2501">
        <f t="shared" si="2527"/>
        <v>0</v>
      </c>
      <c r="N118" s="2370"/>
      <c r="O118" s="2370"/>
      <c r="P118" s="2535">
        <f t="shared" si="2528"/>
        <v>0</v>
      </c>
      <c r="Q118" s="2770">
        <f t="shared" si="2529"/>
        <v>0</v>
      </c>
      <c r="S118" s="2537"/>
      <c r="U118" s="2538">
        <f t="shared" si="2530"/>
        <v>0</v>
      </c>
      <c r="V118" s="2911">
        <f t="shared" si="2498"/>
        <v>0</v>
      </c>
      <c r="W118" s="2509"/>
    </row>
    <row r="119">
      <c r="A119" s="2731"/>
      <c r="B119" s="2901"/>
      <c r="C119" s="2907"/>
      <c r="D119" s="2899"/>
      <c r="E119" s="2899"/>
      <c r="F119" s="2900"/>
      <c r="G119" s="2823">
        <f t="shared" si="2531"/>
        <v>0</v>
      </c>
      <c r="H119" s="2641"/>
      <c r="I119" s="2642"/>
      <c r="J119" s="2419"/>
      <c r="K119" s="2533">
        <f t="shared" si="2513"/>
        <v>0</v>
      </c>
      <c r="L119" s="2501">
        <f t="shared" si="2527"/>
        <v>0</v>
      </c>
      <c r="M119" s="2768"/>
      <c r="N119" s="2769"/>
      <c r="O119" s="2769"/>
      <c r="P119" s="2739">
        <f t="shared" si="2528"/>
        <v>0</v>
      </c>
      <c r="Q119" s="2770">
        <f t="shared" si="2529"/>
        <v>0</v>
      </c>
      <c r="R119" s="2768"/>
      <c r="S119" s="2743"/>
      <c r="T119" s="2768"/>
      <c r="U119" s="2771">
        <f t="shared" si="2530"/>
        <v>0</v>
      </c>
      <c r="V119" s="2745">
        <f t="shared" si="2498"/>
        <v>0</v>
      </c>
      <c r="W119" s="2509"/>
      <c r="AC119" s="2912">
        <f t="shared" ref="AC119:AC120" si="2532">V112+V120+V138+V140+V144+V149</f>
        <v>33804577.700000003</v>
      </c>
    </row>
    <row r="120">
      <c r="A120" s="2731" t="s">
        <v>26</v>
      </c>
      <c r="B120" s="2901"/>
      <c r="C120" s="2907">
        <v>103</v>
      </c>
      <c r="D120" s="2902">
        <f>8259614.9</f>
        <v>8259614.9000000004</v>
      </c>
      <c r="E120" s="2902">
        <v>6070756.4699999997</v>
      </c>
      <c r="F120" s="2903"/>
      <c r="G120" s="2823">
        <f t="shared" si="2531"/>
        <v>14330371.370000001</v>
      </c>
      <c r="H120" s="2733"/>
      <c r="I120" s="2734"/>
      <c r="J120" s="2733"/>
      <c r="K120" s="2732">
        <f t="shared" si="2513"/>
        <v>0</v>
      </c>
      <c r="L120" s="2735">
        <f t="shared" si="2527"/>
        <v>14330371.370000001</v>
      </c>
      <c r="N120" s="2534"/>
      <c r="O120" s="2534"/>
      <c r="P120" s="2535">
        <f t="shared" si="2528"/>
        <v>0</v>
      </c>
      <c r="Q120" s="2770">
        <f t="shared" si="2529"/>
        <v>14330371.370000001</v>
      </c>
      <c r="S120" s="2537"/>
      <c r="U120" s="2538">
        <f t="shared" si="2530"/>
        <v>0</v>
      </c>
      <c r="V120" s="2911">
        <f t="shared" ref="V120:V150" si="2533">Q120+U120</f>
        <v>14330371.370000001</v>
      </c>
      <c r="W120" s="2509"/>
      <c r="AC120" s="2912">
        <f t="shared" si="2532"/>
        <v>147382513.18000004</v>
      </c>
    </row>
    <row r="121">
      <c r="A121" s="2913" t="s">
        <v>276</v>
      </c>
      <c r="B121" s="2914"/>
      <c r="C121" s="2907">
        <v>193</v>
      </c>
      <c r="D121" s="2899">
        <v>2036323.6699999999</v>
      </c>
      <c r="E121" s="2899">
        <v>1555837.74</v>
      </c>
      <c r="F121" s="2900"/>
      <c r="G121" s="2823">
        <f t="shared" si="2531"/>
        <v>3592161.4100000001</v>
      </c>
      <c r="H121" s="2641"/>
      <c r="I121" s="2642"/>
      <c r="J121" s="2650"/>
      <c r="K121" s="2533">
        <f t="shared" si="2513"/>
        <v>0</v>
      </c>
      <c r="L121" s="2501">
        <f t="shared" si="2527"/>
        <v>3592161.4100000001</v>
      </c>
      <c r="M121" s="2768"/>
      <c r="N121" s="2738"/>
      <c r="O121" s="2738"/>
      <c r="P121" s="2739">
        <f t="shared" si="2528"/>
        <v>0</v>
      </c>
      <c r="Q121" s="2770">
        <f t="shared" si="2529"/>
        <v>3592161.4100000001</v>
      </c>
      <c r="R121" s="2768"/>
      <c r="S121" s="2743"/>
      <c r="T121" s="2768"/>
      <c r="U121" s="2771">
        <f t="shared" si="2530"/>
        <v>0</v>
      </c>
      <c r="V121" s="2745">
        <f t="shared" si="2533"/>
        <v>3592161.4100000001</v>
      </c>
      <c r="W121" s="2509"/>
    </row>
    <row r="122">
      <c r="A122" s="2731" t="s">
        <v>78</v>
      </c>
      <c r="B122" s="2901"/>
      <c r="C122" s="2721">
        <v>163</v>
      </c>
      <c r="D122" s="2902"/>
      <c r="E122" s="2902"/>
      <c r="F122" s="2903"/>
      <c r="G122" s="2823">
        <f t="shared" si="2531"/>
        <v>0</v>
      </c>
      <c r="H122" s="2733"/>
      <c r="I122" s="2734"/>
      <c r="J122" s="2733"/>
      <c r="K122" s="2732">
        <f t="shared" si="2513"/>
        <v>0</v>
      </c>
      <c r="L122" s="2735">
        <f t="shared" si="2527"/>
        <v>0</v>
      </c>
      <c r="N122" s="2534"/>
      <c r="O122" s="2534"/>
      <c r="P122" s="2535">
        <f t="shared" si="2528"/>
        <v>0</v>
      </c>
      <c r="Q122" s="2770">
        <f t="shared" si="2529"/>
        <v>0</v>
      </c>
      <c r="S122" s="2491"/>
      <c r="T122" s="2764"/>
      <c r="U122" s="2538">
        <f t="shared" si="2530"/>
        <v>0</v>
      </c>
      <c r="V122" s="2539">
        <f t="shared" si="2533"/>
        <v>0</v>
      </c>
      <c r="W122" s="2509"/>
    </row>
    <row r="123">
      <c r="A123" s="2731" t="s">
        <v>277</v>
      </c>
      <c r="B123" s="2901"/>
      <c r="C123" s="2907">
        <v>137</v>
      </c>
      <c r="D123" s="2899">
        <v>4479784.3799999999</v>
      </c>
      <c r="E123" s="2899">
        <f>3975711.62</f>
        <v>3975711.6200000001</v>
      </c>
      <c r="F123" s="2900"/>
      <c r="G123" s="2823">
        <f t="shared" si="2531"/>
        <v>8455496</v>
      </c>
      <c r="H123" s="2650"/>
      <c r="I123" s="2642"/>
      <c r="J123" s="2650"/>
      <c r="K123" s="2533">
        <f t="shared" si="2513"/>
        <v>0</v>
      </c>
      <c r="L123" s="2501">
        <f t="shared" si="2527"/>
        <v>8455496</v>
      </c>
      <c r="M123" s="2768"/>
      <c r="N123" s="2738"/>
      <c r="O123" s="2738"/>
      <c r="P123" s="2739">
        <f t="shared" si="2528"/>
        <v>0</v>
      </c>
      <c r="Q123" s="2770">
        <f t="shared" si="2529"/>
        <v>8455496</v>
      </c>
      <c r="R123" s="2768"/>
      <c r="S123" s="2743"/>
      <c r="T123" s="2768"/>
      <c r="U123" s="2771">
        <f t="shared" si="2530"/>
        <v>0</v>
      </c>
      <c r="V123" s="2745">
        <f t="shared" si="2533"/>
        <v>8455496</v>
      </c>
      <c r="W123" s="2509"/>
    </row>
    <row r="124" ht="25.5">
      <c r="A124" s="2915" t="s">
        <v>278</v>
      </c>
      <c r="B124" s="2916"/>
      <c r="C124" s="2721" t="s">
        <v>919</v>
      </c>
      <c r="D124" s="2902">
        <f>315344.72+687853.86</f>
        <v>1003198.58</v>
      </c>
      <c r="E124" s="2902">
        <f>8204.48+557718.14</f>
        <v>565922.62</v>
      </c>
      <c r="F124" s="2903"/>
      <c r="G124" s="2823">
        <f t="shared" si="2531"/>
        <v>1569121.2</v>
      </c>
      <c r="H124" s="2733"/>
      <c r="I124" s="2734"/>
      <c r="J124" s="2733"/>
      <c r="K124" s="2732">
        <f t="shared" si="2513"/>
        <v>0</v>
      </c>
      <c r="L124" s="2735">
        <f t="shared" si="2527"/>
        <v>1569121.2</v>
      </c>
      <c r="N124" s="2534"/>
      <c r="O124" s="2534"/>
      <c r="P124" s="2535">
        <f t="shared" si="2528"/>
        <v>0</v>
      </c>
      <c r="Q124" s="2770">
        <f t="shared" si="2529"/>
        <v>1569121.2</v>
      </c>
      <c r="S124" s="2537"/>
      <c r="U124" s="2538">
        <f t="shared" si="2530"/>
        <v>0</v>
      </c>
      <c r="V124" s="2911">
        <f t="shared" si="2533"/>
        <v>1569121.2</v>
      </c>
      <c r="W124" s="2509"/>
    </row>
    <row r="125">
      <c r="A125" s="2731" t="s">
        <v>279</v>
      </c>
      <c r="B125" s="2901"/>
      <c r="C125" s="2907"/>
      <c r="D125" s="2899"/>
      <c r="E125" s="2899"/>
      <c r="F125" s="2900"/>
      <c r="G125" s="2823">
        <f t="shared" si="2531"/>
        <v>0</v>
      </c>
      <c r="H125" s="2641"/>
      <c r="I125" s="2642"/>
      <c r="J125" s="2650"/>
      <c r="K125" s="2533">
        <f t="shared" si="2513"/>
        <v>0</v>
      </c>
      <c r="L125" s="2501">
        <f t="shared" si="2527"/>
        <v>0</v>
      </c>
      <c r="N125" s="2370"/>
      <c r="O125" s="2370"/>
      <c r="P125" s="2535">
        <f t="shared" si="2528"/>
        <v>0</v>
      </c>
      <c r="Q125" s="2770">
        <f t="shared" si="2529"/>
        <v>0</v>
      </c>
      <c r="S125" s="2537"/>
      <c r="U125" s="2538">
        <f t="shared" si="2530"/>
        <v>0</v>
      </c>
      <c r="V125" s="2911">
        <f t="shared" si="2533"/>
        <v>0</v>
      </c>
      <c r="W125" s="2509"/>
    </row>
    <row r="126">
      <c r="A126" s="2775" t="s">
        <v>281</v>
      </c>
      <c r="B126" s="2917"/>
      <c r="C126" s="2918"/>
      <c r="D126" s="2899"/>
      <c r="E126" s="2899"/>
      <c r="F126" s="2900"/>
      <c r="G126" s="2823">
        <f t="shared" si="2531"/>
        <v>0</v>
      </c>
      <c r="H126" s="2641"/>
      <c r="I126" s="2642"/>
      <c r="J126" s="2650"/>
      <c r="K126" s="2533">
        <f t="shared" si="2513"/>
        <v>0</v>
      </c>
      <c r="L126" s="2501">
        <f t="shared" si="2527"/>
        <v>0</v>
      </c>
      <c r="N126" s="2370"/>
      <c r="O126" s="2370"/>
      <c r="P126" s="2535">
        <f t="shared" si="2528"/>
        <v>0</v>
      </c>
      <c r="Q126" s="2770">
        <f t="shared" si="2529"/>
        <v>0</v>
      </c>
      <c r="S126" s="2537"/>
      <c r="U126" s="2538">
        <f t="shared" si="2530"/>
        <v>0</v>
      </c>
      <c r="V126" s="2911">
        <f t="shared" si="2533"/>
        <v>0</v>
      </c>
      <c r="W126" s="2509"/>
    </row>
    <row r="127">
      <c r="A127" s="2731"/>
      <c r="B127" s="2901"/>
      <c r="C127" s="2907"/>
      <c r="D127" s="2899"/>
      <c r="E127" s="2899"/>
      <c r="F127" s="2900"/>
      <c r="G127" s="2823">
        <f t="shared" si="2531"/>
        <v>0</v>
      </c>
      <c r="H127" s="2641"/>
      <c r="I127" s="2642"/>
      <c r="J127" s="2650"/>
      <c r="K127" s="2533">
        <f t="shared" si="2513"/>
        <v>0</v>
      </c>
      <c r="L127" s="2501">
        <f t="shared" si="2527"/>
        <v>0</v>
      </c>
      <c r="M127" s="2768"/>
      <c r="N127" s="2769"/>
      <c r="O127" s="2769"/>
      <c r="P127" s="2739">
        <f t="shared" si="2528"/>
        <v>0</v>
      </c>
      <c r="Q127" s="2770">
        <f t="shared" si="2529"/>
        <v>0</v>
      </c>
      <c r="R127" s="2768"/>
      <c r="S127" s="2743"/>
      <c r="T127" s="2768"/>
      <c r="U127" s="2771">
        <f t="shared" si="2530"/>
        <v>0</v>
      </c>
      <c r="V127" s="2745">
        <f t="shared" si="2533"/>
        <v>0</v>
      </c>
      <c r="W127" s="2509"/>
    </row>
    <row r="128">
      <c r="A128" s="2919" t="s">
        <v>84</v>
      </c>
      <c r="B128" s="2920"/>
      <c r="C128" s="2721">
        <v>124</v>
      </c>
      <c r="D128" s="2902">
        <v>4524264.1299999999</v>
      </c>
      <c r="E128" s="2902">
        <v>3717350.1800000002</v>
      </c>
      <c r="F128" s="2903"/>
      <c r="G128" s="2823">
        <f t="shared" si="2531"/>
        <v>8241614.3100000005</v>
      </c>
      <c r="H128" s="2733"/>
      <c r="I128" s="2734"/>
      <c r="J128" s="2733"/>
      <c r="K128" s="2732">
        <f t="shared" si="2513"/>
        <v>0</v>
      </c>
      <c r="L128" s="2735">
        <f t="shared" si="2527"/>
        <v>8241614.3100000005</v>
      </c>
      <c r="N128" s="2534"/>
      <c r="O128" s="2534"/>
      <c r="P128" s="2535">
        <f t="shared" si="2528"/>
        <v>0</v>
      </c>
      <c r="Q128" s="2770">
        <f t="shared" si="2529"/>
        <v>8241614.3100000005</v>
      </c>
      <c r="S128" s="2537"/>
      <c r="U128" s="2538">
        <f t="shared" si="2530"/>
        <v>0</v>
      </c>
      <c r="V128" s="2539">
        <f t="shared" si="2533"/>
        <v>8241614.3100000005</v>
      </c>
      <c r="W128" s="2509"/>
    </row>
    <row r="129">
      <c r="A129" s="2921" t="s">
        <v>75</v>
      </c>
      <c r="B129" s="2922"/>
      <c r="C129" s="2907">
        <v>134</v>
      </c>
      <c r="D129" s="2899">
        <f>2786083.68+1100</f>
        <v>2787183.6800000002</v>
      </c>
      <c r="E129" s="2899">
        <v>2566185.1499999999</v>
      </c>
      <c r="F129" s="2900"/>
      <c r="G129" s="2823">
        <f t="shared" si="2531"/>
        <v>5353368.8300000001</v>
      </c>
      <c r="H129" s="2650"/>
      <c r="I129" s="2642"/>
      <c r="J129" s="2650"/>
      <c r="K129" s="2533">
        <f t="shared" si="2513"/>
        <v>0</v>
      </c>
      <c r="L129" s="2501">
        <f t="shared" si="2527"/>
        <v>5353368.8300000001</v>
      </c>
      <c r="M129" s="2768"/>
      <c r="N129" s="2738"/>
      <c r="O129" s="2738"/>
      <c r="P129" s="2739">
        <f t="shared" si="2528"/>
        <v>0</v>
      </c>
      <c r="Q129" s="2770">
        <f t="shared" si="2529"/>
        <v>5353368.8300000001</v>
      </c>
      <c r="R129" s="2768"/>
      <c r="S129" s="2743"/>
      <c r="T129" s="2768"/>
      <c r="U129" s="2771">
        <f t="shared" si="2530"/>
        <v>0</v>
      </c>
      <c r="V129" s="2745">
        <f t="shared" si="2533"/>
        <v>5353368.8300000001</v>
      </c>
      <c r="W129" s="2509"/>
    </row>
    <row r="130">
      <c r="A130" s="2731" t="s">
        <v>285</v>
      </c>
      <c r="B130" s="2901"/>
      <c r="C130" s="2721">
        <v>145</v>
      </c>
      <c r="D130" s="2902">
        <v>2295089.8100000001</v>
      </c>
      <c r="E130" s="2902">
        <v>1710312.6200000001</v>
      </c>
      <c r="F130" s="2903"/>
      <c r="G130" s="2823">
        <f t="shared" si="2531"/>
        <v>4005402.4300000002</v>
      </c>
      <c r="H130" s="2733"/>
      <c r="I130" s="2734"/>
      <c r="J130" s="2733"/>
      <c r="K130" s="2732">
        <f t="shared" si="2513"/>
        <v>0</v>
      </c>
      <c r="L130" s="2735">
        <f t="shared" si="2527"/>
        <v>4005402.4300000002</v>
      </c>
      <c r="N130" s="2534"/>
      <c r="O130" s="2534"/>
      <c r="P130" s="2535">
        <f t="shared" si="2528"/>
        <v>0</v>
      </c>
      <c r="Q130" s="2770">
        <f t="shared" si="2529"/>
        <v>4005402.4300000002</v>
      </c>
      <c r="S130" s="2537"/>
      <c r="U130" s="2538">
        <f t="shared" si="2530"/>
        <v>0</v>
      </c>
      <c r="V130" s="2539">
        <f t="shared" si="2533"/>
        <v>4005402.4300000002</v>
      </c>
      <c r="W130" s="2509"/>
    </row>
    <row r="131">
      <c r="A131" s="2731" t="s">
        <v>73</v>
      </c>
      <c r="B131" s="2901"/>
      <c r="C131" s="2907">
        <v>126</v>
      </c>
      <c r="D131" s="2899">
        <f>1020.71+3532292.3</f>
        <v>3533313.0099999998</v>
      </c>
      <c r="E131" s="2899">
        <f>2847734.49</f>
        <v>2847734.4900000002</v>
      </c>
      <c r="F131" s="2900"/>
      <c r="G131" s="2823">
        <f t="shared" si="2531"/>
        <v>6381047.5</v>
      </c>
      <c r="H131" s="2650"/>
      <c r="I131" s="2642"/>
      <c r="J131" s="2650"/>
      <c r="K131" s="2732">
        <f>H131+I131+J131</f>
        <v>0</v>
      </c>
      <c r="L131" s="2735">
        <f t="shared" si="2527"/>
        <v>6381047.5</v>
      </c>
      <c r="N131" s="2534"/>
      <c r="O131" s="2534"/>
      <c r="P131" s="2535">
        <f t="shared" si="2528"/>
        <v>0</v>
      </c>
      <c r="Q131" s="2770">
        <f t="shared" si="2529"/>
        <v>6381047.5</v>
      </c>
      <c r="S131" s="2537"/>
      <c r="U131" s="2538">
        <f t="shared" si="2530"/>
        <v>0</v>
      </c>
      <c r="V131" s="2539">
        <f t="shared" si="2533"/>
        <v>6381047.5</v>
      </c>
      <c r="W131" s="2509"/>
    </row>
    <row r="132">
      <c r="A132" s="2731" t="s">
        <v>289</v>
      </c>
      <c r="B132" s="2901"/>
      <c r="C132" s="2498">
        <v>273</v>
      </c>
      <c r="D132" s="2923">
        <v>6507434.5499999998</v>
      </c>
      <c r="E132" s="2923">
        <v>4493754.9100000001</v>
      </c>
      <c r="F132" s="2924"/>
      <c r="G132" s="2823">
        <f t="shared" si="2531"/>
        <v>11001189.460000001</v>
      </c>
      <c r="H132" s="2486"/>
      <c r="I132" s="2487"/>
      <c r="J132" s="2486"/>
      <c r="K132" s="2488">
        <f t="shared" si="2513"/>
        <v>0</v>
      </c>
      <c r="L132" s="2489">
        <f t="shared" si="2527"/>
        <v>11001189.460000001</v>
      </c>
      <c r="M132" s="2768"/>
      <c r="N132" s="2738"/>
      <c r="O132" s="2738"/>
      <c r="P132" s="2739">
        <f t="shared" si="2528"/>
        <v>0</v>
      </c>
      <c r="Q132" s="2770">
        <f t="shared" si="2529"/>
        <v>11001189.460000001</v>
      </c>
      <c r="R132" s="2768"/>
      <c r="S132" s="2743"/>
      <c r="T132" s="2768"/>
      <c r="U132" s="2771">
        <f t="shared" si="2530"/>
        <v>0</v>
      </c>
      <c r="V132" s="2745">
        <f t="shared" si="2533"/>
        <v>11001189.460000001</v>
      </c>
      <c r="W132" s="2509"/>
    </row>
    <row r="133">
      <c r="A133" s="2731" t="s">
        <v>291</v>
      </c>
      <c r="B133" s="2901"/>
      <c r="C133" s="2773">
        <v>107</v>
      </c>
      <c r="D133" s="2902">
        <v>678548.18000000005</v>
      </c>
      <c r="E133" s="2902">
        <f>673339.99</f>
        <v>673339.98999999999</v>
      </c>
      <c r="F133" s="2903"/>
      <c r="G133" s="2823">
        <f t="shared" si="2531"/>
        <v>1351888.1699999999</v>
      </c>
      <c r="H133" s="2733"/>
      <c r="I133" s="2734"/>
      <c r="J133" s="2733"/>
      <c r="K133" s="2732">
        <f t="shared" si="2513"/>
        <v>0</v>
      </c>
      <c r="L133" s="2735">
        <f t="shared" si="2527"/>
        <v>1351888.1699999999</v>
      </c>
      <c r="N133" s="2534"/>
      <c r="O133" s="2534"/>
      <c r="P133" s="2535">
        <f t="shared" si="2528"/>
        <v>0</v>
      </c>
      <c r="Q133" s="2770">
        <f t="shared" si="2529"/>
        <v>1351888.1699999999</v>
      </c>
      <c r="S133" s="2537"/>
      <c r="U133" s="2538">
        <f t="shared" si="2530"/>
        <v>0</v>
      </c>
      <c r="V133" s="2539">
        <f t="shared" si="2533"/>
        <v>1351888.1699999999</v>
      </c>
      <c r="W133" s="2509"/>
    </row>
    <row r="134">
      <c r="A134" s="2731" t="s">
        <v>292</v>
      </c>
      <c r="B134" s="2901"/>
      <c r="C134" s="2907"/>
      <c r="D134" s="2899"/>
      <c r="E134" s="2899"/>
      <c r="F134" s="2900"/>
      <c r="G134" s="2823">
        <f t="shared" si="2531"/>
        <v>0</v>
      </c>
      <c r="H134" s="2641"/>
      <c r="I134" s="2642"/>
      <c r="J134" s="2650"/>
      <c r="K134" s="2533">
        <f t="shared" si="2513"/>
        <v>0</v>
      </c>
      <c r="L134" s="2501">
        <f t="shared" si="2527"/>
        <v>0</v>
      </c>
      <c r="N134" s="2370"/>
      <c r="O134" s="2370"/>
      <c r="P134" s="2535">
        <f t="shared" si="2528"/>
        <v>0</v>
      </c>
      <c r="Q134" s="2770">
        <f t="shared" si="2529"/>
        <v>0</v>
      </c>
      <c r="S134" s="2537"/>
      <c r="U134" s="2538">
        <f t="shared" si="2530"/>
        <v>0</v>
      </c>
      <c r="V134" s="2539">
        <f t="shared" si="2533"/>
        <v>0</v>
      </c>
      <c r="W134" s="2509"/>
    </row>
    <row r="135" ht="28.5" customHeight="1">
      <c r="A135" s="2731" t="s">
        <v>305</v>
      </c>
      <c r="B135" s="2901"/>
      <c r="C135" s="2519"/>
      <c r="D135" s="2899"/>
      <c r="E135" s="2899"/>
      <c r="F135" s="2900"/>
      <c r="G135" s="2823">
        <f t="shared" si="2531"/>
        <v>0</v>
      </c>
      <c r="H135" s="2641"/>
      <c r="I135" s="2642"/>
      <c r="J135" s="2650"/>
      <c r="K135" s="2533">
        <f t="shared" si="2513"/>
        <v>0</v>
      </c>
      <c r="L135" s="2501">
        <f t="shared" si="2527"/>
        <v>0</v>
      </c>
      <c r="N135" s="2370"/>
      <c r="O135" s="2370"/>
      <c r="P135" s="2535">
        <f t="shared" si="2528"/>
        <v>0</v>
      </c>
      <c r="Q135" s="2770">
        <f t="shared" si="2529"/>
        <v>0</v>
      </c>
      <c r="S135" s="2537"/>
      <c r="U135" s="2538">
        <f t="shared" si="2530"/>
        <v>0</v>
      </c>
      <c r="V135" s="2911">
        <f t="shared" si="2533"/>
        <v>0</v>
      </c>
      <c r="W135" s="2509"/>
    </row>
    <row r="136">
      <c r="A136" s="2731" t="s">
        <v>294</v>
      </c>
      <c r="B136" s="2901"/>
      <c r="C136" s="2498"/>
      <c r="D136" s="2899"/>
      <c r="E136" s="2899"/>
      <c r="F136" s="2900"/>
      <c r="G136" s="2823">
        <f t="shared" si="2531"/>
        <v>0</v>
      </c>
      <c r="H136" s="2641"/>
      <c r="I136" s="2642"/>
      <c r="J136" s="2650"/>
      <c r="K136" s="2533">
        <f t="shared" si="2513"/>
        <v>0</v>
      </c>
      <c r="L136" s="2501">
        <f t="shared" si="2527"/>
        <v>0</v>
      </c>
      <c r="M136" s="2768"/>
      <c r="N136" s="2769"/>
      <c r="O136" s="2769"/>
      <c r="P136" s="2739">
        <f t="shared" si="2528"/>
        <v>0</v>
      </c>
      <c r="Q136" s="2770">
        <f t="shared" si="2529"/>
        <v>0</v>
      </c>
      <c r="R136" s="2768"/>
      <c r="S136" s="2743"/>
      <c r="T136" s="2768"/>
      <c r="U136" s="2771">
        <f t="shared" si="2530"/>
        <v>0</v>
      </c>
      <c r="V136" s="2745">
        <f t="shared" si="2533"/>
        <v>0</v>
      </c>
      <c r="W136" s="2509"/>
    </row>
    <row r="137" ht="30.75" customHeight="1">
      <c r="A137" s="2731" t="s">
        <v>296</v>
      </c>
      <c r="B137" s="2901"/>
      <c r="C137" s="2773" t="s">
        <v>920</v>
      </c>
      <c r="D137" s="2925">
        <f>4576608.96+201465.94+938638.02</f>
        <v>5716712.9199999999</v>
      </c>
      <c r="E137" s="2925">
        <f>3548017.92+752981.61+76162.45+200707.39</f>
        <v>4577869.3700000001</v>
      </c>
      <c r="F137" s="2926"/>
      <c r="G137" s="2823">
        <f t="shared" si="2531"/>
        <v>10294582.289999999</v>
      </c>
      <c r="H137" s="2733"/>
      <c r="I137" s="2734"/>
      <c r="J137" s="2733"/>
      <c r="K137" s="2732">
        <f t="shared" si="2513"/>
        <v>0</v>
      </c>
      <c r="L137" s="2735">
        <f t="shared" si="2527"/>
        <v>10294582.289999999</v>
      </c>
      <c r="M137" s="2491"/>
      <c r="N137" s="2927"/>
      <c r="O137" s="2927"/>
      <c r="P137" s="2535">
        <f t="shared" si="2528"/>
        <v>0</v>
      </c>
      <c r="Q137" s="2770">
        <f t="shared" si="2529"/>
        <v>10294582.289999999</v>
      </c>
      <c r="R137" s="2491"/>
      <c r="S137" s="2537"/>
      <c r="T137" s="2653"/>
      <c r="U137" s="2538">
        <f t="shared" si="2530"/>
        <v>0</v>
      </c>
      <c r="V137" s="2539">
        <f t="shared" si="2533"/>
        <v>10294582.289999999</v>
      </c>
      <c r="W137" s="2509"/>
    </row>
    <row r="138" ht="25.5">
      <c r="A138" s="2775" t="s">
        <v>68</v>
      </c>
      <c r="B138" s="2917"/>
      <c r="C138" s="2907" t="s">
        <v>921</v>
      </c>
      <c r="D138" s="2928">
        <v>2781910.9700000002</v>
      </c>
      <c r="E138" s="2928">
        <f>2497600.74</f>
        <v>2497600.7400000002</v>
      </c>
      <c r="F138" s="2929"/>
      <c r="G138" s="2823">
        <f t="shared" si="2531"/>
        <v>5279511.7100000009</v>
      </c>
      <c r="H138" s="2650"/>
      <c r="I138" s="2642"/>
      <c r="J138" s="2650"/>
      <c r="K138" s="2533">
        <f t="shared" si="2513"/>
        <v>0</v>
      </c>
      <c r="L138" s="2501">
        <f t="shared" si="2527"/>
        <v>5279511.7100000009</v>
      </c>
      <c r="M138" s="2768"/>
      <c r="N138" s="2738"/>
      <c r="O138" s="2738"/>
      <c r="P138" s="2739">
        <f t="shared" si="2528"/>
        <v>0</v>
      </c>
      <c r="Q138" s="2770">
        <f t="shared" si="2529"/>
        <v>5279511.7100000009</v>
      </c>
      <c r="R138" s="2768"/>
      <c r="S138" s="2743"/>
      <c r="T138" s="2768"/>
      <c r="U138" s="2771">
        <f t="shared" si="2530"/>
        <v>0</v>
      </c>
      <c r="V138" s="2908">
        <f t="shared" si="2533"/>
        <v>5279511.7100000009</v>
      </c>
      <c r="W138" s="2509"/>
    </row>
    <row r="139">
      <c r="A139" s="2731" t="s">
        <v>922</v>
      </c>
      <c r="B139" s="2901"/>
      <c r="C139" s="2773" t="s">
        <v>923</v>
      </c>
      <c r="D139" s="2902">
        <v>708703.29000000004</v>
      </c>
      <c r="E139" s="2902">
        <f>788554.21</f>
        <v>788554.20999999996</v>
      </c>
      <c r="F139" s="2903"/>
      <c r="G139" s="2823">
        <f t="shared" si="2531"/>
        <v>1497257.5</v>
      </c>
      <c r="H139" s="2733"/>
      <c r="I139" s="2734"/>
      <c r="J139" s="2733"/>
      <c r="K139" s="2732">
        <f t="shared" si="2513"/>
        <v>0</v>
      </c>
      <c r="L139" s="2735">
        <f t="shared" si="2527"/>
        <v>1497257.5</v>
      </c>
      <c r="N139" s="2534"/>
      <c r="O139" s="2534"/>
      <c r="P139" s="2535">
        <f t="shared" si="2528"/>
        <v>0</v>
      </c>
      <c r="Q139" s="2770">
        <f t="shared" si="2529"/>
        <v>1497257.5</v>
      </c>
      <c r="S139" s="2537"/>
      <c r="U139" s="2538">
        <f t="shared" si="2530"/>
        <v>0</v>
      </c>
      <c r="V139" s="2539">
        <f t="shared" si="2533"/>
        <v>1497257.5</v>
      </c>
      <c r="W139" s="2509"/>
    </row>
    <row r="140">
      <c r="A140" s="2930" t="s">
        <v>308</v>
      </c>
      <c r="B140" s="2931"/>
      <c r="C140" s="2907">
        <v>238</v>
      </c>
      <c r="D140" s="2899">
        <v>495882.92999999999</v>
      </c>
      <c r="E140" s="2899">
        <v>506107.98999999999</v>
      </c>
      <c r="F140" s="2900"/>
      <c r="G140" s="2823">
        <f t="shared" si="2531"/>
        <v>1001990.9199999999</v>
      </c>
      <c r="H140" s="2650"/>
      <c r="I140" s="2642"/>
      <c r="J140" s="2650"/>
      <c r="K140" s="2533">
        <f t="shared" si="2513"/>
        <v>0</v>
      </c>
      <c r="L140" s="2501">
        <f t="shared" si="2527"/>
        <v>1001990.9199999999</v>
      </c>
      <c r="M140" s="2768"/>
      <c r="N140" s="2738"/>
      <c r="O140" s="2738"/>
      <c r="P140" s="2739">
        <f t="shared" si="2528"/>
        <v>0</v>
      </c>
      <c r="Q140" s="2770">
        <f t="shared" si="2529"/>
        <v>1001990.9199999999</v>
      </c>
      <c r="R140" s="2768"/>
      <c r="S140" s="2743"/>
      <c r="T140" s="2768"/>
      <c r="U140" s="2771">
        <f t="shared" si="2530"/>
        <v>0</v>
      </c>
      <c r="V140" s="2908">
        <f t="shared" si="2533"/>
        <v>1001990.9199999999</v>
      </c>
      <c r="W140" s="2509"/>
    </row>
    <row r="141">
      <c r="A141" s="2731" t="s">
        <v>299</v>
      </c>
      <c r="B141" s="2901"/>
      <c r="C141" s="2773">
        <v>450</v>
      </c>
      <c r="D141" s="2902">
        <v>445757.03000000003</v>
      </c>
      <c r="E141" s="2902">
        <v>398799.39000000001</v>
      </c>
      <c r="F141" s="2903"/>
      <c r="G141" s="2823">
        <f t="shared" si="2531"/>
        <v>844556.42000000004</v>
      </c>
      <c r="H141" s="2733"/>
      <c r="I141" s="2734"/>
      <c r="J141" s="2733"/>
      <c r="K141" s="2732">
        <f t="shared" si="2513"/>
        <v>0</v>
      </c>
      <c r="L141" s="2735">
        <f t="shared" si="2527"/>
        <v>844556.42000000004</v>
      </c>
      <c r="N141" s="2534"/>
      <c r="O141" s="2534"/>
      <c r="P141" s="2535">
        <f t="shared" si="2528"/>
        <v>0</v>
      </c>
      <c r="Q141" s="2770">
        <f t="shared" si="2529"/>
        <v>844556.42000000004</v>
      </c>
      <c r="S141" s="2537"/>
      <c r="U141" s="2538">
        <f t="shared" si="2530"/>
        <v>0</v>
      </c>
      <c r="V141" s="2911">
        <f t="shared" si="2533"/>
        <v>844556.42000000004</v>
      </c>
      <c r="W141" s="2509"/>
    </row>
    <row r="142">
      <c r="A142" s="2932" t="s">
        <v>309</v>
      </c>
      <c r="B142" s="2933"/>
      <c r="C142" s="2907"/>
      <c r="D142" s="2899"/>
      <c r="E142" s="2899"/>
      <c r="F142" s="2900"/>
      <c r="G142" s="2823">
        <f t="shared" si="2531"/>
        <v>0</v>
      </c>
      <c r="H142" s="2641"/>
      <c r="I142" s="2642"/>
      <c r="J142" s="2650"/>
      <c r="K142" s="2533">
        <f t="shared" si="2513"/>
        <v>0</v>
      </c>
      <c r="L142" s="2501">
        <f t="shared" si="2527"/>
        <v>0</v>
      </c>
      <c r="M142" s="2768"/>
      <c r="N142" s="2769"/>
      <c r="O142" s="2769"/>
      <c r="P142" s="2739">
        <f t="shared" si="2528"/>
        <v>0</v>
      </c>
      <c r="Q142" s="2770">
        <f t="shared" si="2529"/>
        <v>0</v>
      </c>
      <c r="R142" s="2768"/>
      <c r="S142" s="2743"/>
      <c r="T142" s="2768"/>
      <c r="U142" s="2771">
        <f t="shared" si="2530"/>
        <v>0</v>
      </c>
      <c r="V142" s="2745">
        <f t="shared" si="2533"/>
        <v>0</v>
      </c>
      <c r="W142" s="2509"/>
    </row>
    <row r="143" ht="25.5">
      <c r="A143" s="2731" t="s">
        <v>301</v>
      </c>
      <c r="B143" s="2901"/>
      <c r="C143" s="2773" t="s">
        <v>924</v>
      </c>
      <c r="D143" s="2902">
        <v>3371860.0099999998</v>
      </c>
      <c r="E143" s="2902">
        <v>3120706.21</v>
      </c>
      <c r="F143" s="2903"/>
      <c r="G143" s="2823">
        <f t="shared" si="2531"/>
        <v>6492566.2199999997</v>
      </c>
      <c r="H143" s="2733"/>
      <c r="I143" s="2734"/>
      <c r="J143" s="2733"/>
      <c r="K143" s="2732">
        <f t="shared" si="2513"/>
        <v>0</v>
      </c>
      <c r="L143" s="2735">
        <f t="shared" si="2527"/>
        <v>6492566.2199999997</v>
      </c>
      <c r="N143" s="2534"/>
      <c r="O143" s="2534"/>
      <c r="P143" s="2535">
        <f t="shared" si="2528"/>
        <v>0</v>
      </c>
      <c r="Q143" s="2770">
        <f t="shared" si="2529"/>
        <v>6492566.2199999997</v>
      </c>
      <c r="S143" s="2537"/>
      <c r="U143" s="2538">
        <f t="shared" si="2530"/>
        <v>0</v>
      </c>
      <c r="V143" s="2539">
        <f t="shared" si="2533"/>
        <v>6492566.2199999997</v>
      </c>
      <c r="W143" s="2509"/>
    </row>
    <row r="144" ht="25.5">
      <c r="A144" s="2731" t="s">
        <v>302</v>
      </c>
      <c r="B144" s="2901"/>
      <c r="C144" s="2907" t="s">
        <v>925</v>
      </c>
      <c r="D144" s="2899">
        <v>1881336.49</v>
      </c>
      <c r="E144" s="2899">
        <f>1634020.82+2975.08</f>
        <v>1636995.9000000001</v>
      </c>
      <c r="F144" s="2900"/>
      <c r="G144" s="2823">
        <f t="shared" si="2531"/>
        <v>3518332.3900000001</v>
      </c>
      <c r="H144" s="2650"/>
      <c r="I144" s="2642"/>
      <c r="J144" s="2650"/>
      <c r="K144" s="2533">
        <f t="shared" si="2513"/>
        <v>0</v>
      </c>
      <c r="L144" s="2501">
        <f t="shared" si="2527"/>
        <v>3518332.3900000001</v>
      </c>
      <c r="M144" s="2768"/>
      <c r="N144" s="2738"/>
      <c r="O144" s="2738"/>
      <c r="P144" s="2739">
        <f t="shared" si="2528"/>
        <v>0</v>
      </c>
      <c r="Q144" s="2770">
        <f t="shared" si="2529"/>
        <v>3518332.3900000001</v>
      </c>
      <c r="R144" s="2768"/>
      <c r="S144" s="2743"/>
      <c r="T144" s="2768"/>
      <c r="U144" s="2771">
        <f t="shared" si="2530"/>
        <v>0</v>
      </c>
      <c r="V144" s="2908">
        <f t="shared" si="2533"/>
        <v>3518332.3900000001</v>
      </c>
      <c r="W144" s="2509"/>
    </row>
    <row r="145" ht="31.5" customHeight="1">
      <c r="A145" s="2731" t="s">
        <v>310</v>
      </c>
      <c r="B145" s="2901"/>
      <c r="C145" s="2773">
        <v>198</v>
      </c>
      <c r="D145" s="2902"/>
      <c r="E145" s="2902"/>
      <c r="F145" s="2903"/>
      <c r="G145" s="2823">
        <f t="shared" si="2531"/>
        <v>0</v>
      </c>
      <c r="H145" s="2767"/>
      <c r="I145" s="2734"/>
      <c r="J145" s="2733"/>
      <c r="K145" s="2732">
        <f t="shared" si="2513"/>
        <v>0</v>
      </c>
      <c r="L145" s="2735">
        <f t="shared" si="2527"/>
        <v>0</v>
      </c>
      <c r="N145" s="2370"/>
      <c r="O145" s="2370"/>
      <c r="P145" s="2535">
        <f t="shared" si="2528"/>
        <v>0</v>
      </c>
      <c r="Q145" s="2770">
        <f t="shared" si="2529"/>
        <v>0</v>
      </c>
      <c r="S145" s="2491"/>
      <c r="T145" s="2934"/>
      <c r="U145" s="2538">
        <f t="shared" si="2530"/>
        <v>0</v>
      </c>
      <c r="V145" s="2911">
        <f t="shared" si="2533"/>
        <v>0</v>
      </c>
      <c r="W145" s="2509"/>
      <c r="X145" s="2418"/>
    </row>
    <row r="146" ht="30" customHeight="1">
      <c r="A146" s="2731" t="s">
        <v>312</v>
      </c>
      <c r="B146" s="2901"/>
      <c r="C146" s="2907"/>
      <c r="D146" s="2899"/>
      <c r="E146" s="2899"/>
      <c r="F146" s="2900"/>
      <c r="G146" s="2823">
        <f t="shared" si="2531"/>
        <v>0</v>
      </c>
      <c r="H146" s="2641"/>
      <c r="I146" s="2642"/>
      <c r="J146" s="2419"/>
      <c r="K146" s="2533">
        <f t="shared" si="2513"/>
        <v>0</v>
      </c>
      <c r="L146" s="2501">
        <f t="shared" si="2527"/>
        <v>0</v>
      </c>
      <c r="M146" s="1691"/>
      <c r="N146" s="2656"/>
      <c r="O146" s="2935"/>
      <c r="P146" s="2535">
        <f t="shared" si="2528"/>
        <v>0</v>
      </c>
      <c r="Q146" s="2770">
        <f t="shared" si="2529"/>
        <v>0</v>
      </c>
      <c r="S146" s="2491"/>
      <c r="T146" s="2936"/>
      <c r="U146" s="2538">
        <f t="shared" si="2530"/>
        <v>0</v>
      </c>
      <c r="V146" s="2911">
        <f t="shared" si="2533"/>
        <v>0</v>
      </c>
      <c r="W146" s="2509"/>
    </row>
    <row r="147">
      <c r="A147" s="942"/>
      <c r="B147" s="2909"/>
      <c r="C147" s="2519"/>
      <c r="D147" s="2899"/>
      <c r="E147" s="2899"/>
      <c r="F147" s="2900"/>
      <c r="G147" s="2823">
        <f t="shared" si="2531"/>
        <v>0</v>
      </c>
      <c r="H147" s="2641"/>
      <c r="I147" s="2642"/>
      <c r="J147" s="2419"/>
      <c r="K147" s="2533">
        <f t="shared" si="2513"/>
        <v>0</v>
      </c>
      <c r="L147" s="2501">
        <f t="shared" si="2527"/>
        <v>0</v>
      </c>
      <c r="M147" s="2937"/>
      <c r="N147" s="2370"/>
      <c r="O147" s="2938"/>
      <c r="P147" s="2535">
        <f t="shared" si="2528"/>
        <v>0</v>
      </c>
      <c r="Q147" s="2770">
        <f t="shared" si="2529"/>
        <v>0</v>
      </c>
      <c r="S147" s="2491"/>
      <c r="T147" s="2936"/>
      <c r="U147" s="2538">
        <f t="shared" si="2530"/>
        <v>0</v>
      </c>
      <c r="V147" s="2911">
        <f t="shared" si="2533"/>
        <v>0</v>
      </c>
      <c r="W147" s="2509"/>
      <c r="AC147" s="2912">
        <f>SUM(V107:V150)</f>
        <v>287962361.58000004</v>
      </c>
    </row>
    <row r="148">
      <c r="B148" s="2939"/>
      <c r="C148" s="2907"/>
      <c r="D148" s="2899"/>
      <c r="E148" s="2899"/>
      <c r="F148" s="2900"/>
      <c r="G148" s="2823">
        <f t="shared" si="2531"/>
        <v>0</v>
      </c>
      <c r="H148" s="2641"/>
      <c r="I148" s="2642"/>
      <c r="J148" s="2419"/>
      <c r="K148" s="2533">
        <f t="shared" si="2513"/>
        <v>0</v>
      </c>
      <c r="L148" s="2501">
        <f t="shared" si="2527"/>
        <v>0</v>
      </c>
      <c r="M148" s="2937"/>
      <c r="N148" s="2370"/>
      <c r="O148" s="2938"/>
      <c r="P148" s="2535">
        <f t="shared" si="2528"/>
        <v>0</v>
      </c>
      <c r="Q148" s="2770">
        <f t="shared" si="2529"/>
        <v>0</v>
      </c>
      <c r="S148" s="2491"/>
      <c r="T148" s="2936"/>
      <c r="U148" s="2538">
        <f t="shared" si="2530"/>
        <v>0</v>
      </c>
      <c r="V148" s="2911">
        <f t="shared" si="2533"/>
        <v>0</v>
      </c>
      <c r="W148" s="2509"/>
    </row>
    <row r="149" ht="15.75">
      <c r="A149" s="955"/>
      <c r="B149" s="955"/>
      <c r="C149" s="2940"/>
      <c r="D149" s="2899"/>
      <c r="E149" s="2899"/>
      <c r="F149" s="2900"/>
      <c r="G149" s="2823">
        <f t="shared" si="2531"/>
        <v>0</v>
      </c>
      <c r="H149" s="2641"/>
      <c r="I149" s="2642"/>
      <c r="J149" s="2419"/>
      <c r="K149" s="2533">
        <f t="shared" si="2513"/>
        <v>0</v>
      </c>
      <c r="L149" s="2501">
        <f t="shared" si="2527"/>
        <v>0</v>
      </c>
      <c r="M149" s="2553"/>
      <c r="N149" s="2526"/>
      <c r="O149" s="2554"/>
      <c r="P149" s="2535">
        <f t="shared" si="2528"/>
        <v>0</v>
      </c>
      <c r="Q149" s="2770">
        <f t="shared" si="2529"/>
        <v>0</v>
      </c>
      <c r="S149" s="2491"/>
      <c r="T149" s="2936"/>
      <c r="V149" s="2911">
        <f t="shared" si="2533"/>
        <v>0</v>
      </c>
      <c r="W149" s="2509"/>
    </row>
    <row r="150" ht="136.5" customHeight="1">
      <c r="A150" s="283" t="s">
        <v>321</v>
      </c>
      <c r="B150" s="2388"/>
      <c r="C150" s="2498" t="s">
        <v>926</v>
      </c>
      <c r="D150" s="2941">
        <f>D159+D171+D177+D165+165683.04+1563532.04+122261.28+232220.38+211587.94+164709.47+3400406.83+1293010.5+1213086.03+873898.16+345921.36+835128.61+401960.84+770246.89+202102.99+1336278.48+154679.09+784680.62+308714.02+1451277.43+503749.66+514783.02+3060518+3727397.25+695754.77+270673.79+631331.91+225424.22+4310922.3+690811.93+600623.78+2610306.4+1381372.9+123506.37+547272.9+1787852.2+314474.18</f>
        <v>40743115.269999996</v>
      </c>
      <c r="E150" s="2941">
        <f>E159+E171+E177+E165+109162.68+211587.94+224033.61+139568.16+1675988.65+344174.28+89867.15+1240524.83+2404770+852796.34+4164287.06+463043.28+606123.89+2424493.76+146275.97+744990.9+335440.6+1558521.9+63114305+290375.59+774549.52+4169751.97+2381789.51+507714.05+373839.24+1159193.25+158791.15+916403.61+139376.68+1253952.96+179927.26+815108.99+320759.54+752137.42+291919.48+751048.07+234779.09+1249647.23</f>
        <v>100705422.58000001</v>
      </c>
      <c r="F150" s="2941">
        <f>F159+F171+F177+F165</f>
        <v>0</v>
      </c>
      <c r="G150" s="2823">
        <f t="shared" si="2531"/>
        <v>141448537.85000002</v>
      </c>
      <c r="H150" s="2500">
        <f>H159+H165+H171+H177</f>
        <v>0</v>
      </c>
      <c r="I150" s="2500">
        <f>I159+I165+I171+I177</f>
        <v>0</v>
      </c>
      <c r="J150" s="2500">
        <f>J159+J165+J171+J177</f>
        <v>0</v>
      </c>
      <c r="K150" s="2488">
        <f t="shared" ref="K150:K151" si="2534">H150+I150+J150</f>
        <v>0</v>
      </c>
      <c r="L150" s="2489">
        <f t="shared" si="2527"/>
        <v>141448537.85000002</v>
      </c>
      <c r="M150" s="2927">
        <f>M159+M165+M171+M177</f>
        <v>0</v>
      </c>
      <c r="N150" s="2927">
        <f>N159+N165+N171+N177</f>
        <v>0</v>
      </c>
      <c r="O150" s="2927">
        <f>O159+O165+O171+O177</f>
        <v>0</v>
      </c>
      <c r="P150" s="2538">
        <f t="shared" si="2528"/>
        <v>0</v>
      </c>
      <c r="Q150" s="2505">
        <f t="shared" si="2529"/>
        <v>141448537.85000002</v>
      </c>
      <c r="R150" s="2942">
        <f>R159+R165+R171+R177</f>
        <v>0</v>
      </c>
      <c r="S150" s="2942">
        <f>S159+S165+S171+S177</f>
        <v>0</v>
      </c>
      <c r="T150" s="2942">
        <f>T159+T165+T171+T177</f>
        <v>0</v>
      </c>
      <c r="U150" s="2507">
        <f>R149+S149+T149</f>
        <v>0</v>
      </c>
      <c r="V150" s="2911">
        <f t="shared" si="2533"/>
        <v>141448537.85000002</v>
      </c>
      <c r="W150" s="2509"/>
      <c r="X150" s="2943">
        <f>SUM(V107:V150)</f>
        <v>287962361.58000004</v>
      </c>
      <c r="Y150" s="2944">
        <f>V150+V145+V141+V139+V121+V113</f>
        <v>147382513.18000001</v>
      </c>
      <c r="Z150" s="2373" t="s">
        <v>927</v>
      </c>
      <c r="AB150" s="2945"/>
    </row>
    <row r="151" s="2946" customFormat="1" ht="25.5">
      <c r="A151" s="2947" t="s">
        <v>22</v>
      </c>
      <c r="B151" s="2948"/>
      <c r="C151" s="2949"/>
      <c r="D151" s="2950">
        <f>SUM(D30,D58,D69,D88,D94,D103:D150)</f>
        <v>218508745.26999998</v>
      </c>
      <c r="E151" s="2950">
        <f>SUM(E30,E58,E69,E88,E94,E108:E150)</f>
        <v>248785985.97000006</v>
      </c>
      <c r="F151" s="2950">
        <f>SUM(F30,F58,F69,F88,F94,F108:F150)</f>
        <v>0</v>
      </c>
      <c r="G151" s="2951">
        <f>SUM(G30,G58,G69,G88,G94,G108:G150)</f>
        <v>464356048.73000008</v>
      </c>
      <c r="H151" s="2951">
        <f>SUM(H30,H58,H69,H88,H94,H108:H150)</f>
        <v>0</v>
      </c>
      <c r="I151" s="2952">
        <f>SUM(I8:I29,I32:I57,I61:I68,I72,I83:I86,I90:I93,I108:I150)+I103</f>
        <v>0</v>
      </c>
      <c r="J151" s="2951">
        <f>SUM(J8:J29,J32:J57,J61:J68,J72,J83:J86,J90:J93,J103:J150)</f>
        <v>0</v>
      </c>
      <c r="K151" s="2951">
        <f t="shared" si="2534"/>
        <v>0</v>
      </c>
      <c r="L151" s="2953">
        <f t="shared" si="2527"/>
        <v>464356048.73000008</v>
      </c>
      <c r="M151" s="2951">
        <f>SUM(M8:M29,M32:M57,M61:M68,M72,M83:M86,M90:M93,M108:M150)</f>
        <v>0</v>
      </c>
      <c r="N151" s="2951">
        <f>SUM(N8:N29,N32:N57,N61:N68,N72,N83:N86,N90:N93,N108:N150,N103)</f>
        <v>0</v>
      </c>
      <c r="O151" s="2951">
        <f>SUM(O8:O29,O32:O57,O61:O68,O72,O83:O86,O90:O93,O108:O150)</f>
        <v>0</v>
      </c>
      <c r="P151" s="2954">
        <f t="shared" si="2528"/>
        <v>0</v>
      </c>
      <c r="Q151" s="2955">
        <f t="shared" si="2529"/>
        <v>464356048.73000008</v>
      </c>
      <c r="R151" s="2956">
        <f>SUM(R7:R150)</f>
        <v>0</v>
      </c>
      <c r="S151" s="2956">
        <f>SUM(S7:S150)</f>
        <v>0</v>
      </c>
      <c r="T151" s="2951">
        <f>SUM(T8:T29,T32:T57,T61:T68,T72,T83:T86,T90:T93,T108:T150)</f>
        <v>0</v>
      </c>
      <c r="U151" s="2957">
        <f>SUM(U7:U150)</f>
        <v>0</v>
      </c>
      <c r="V151" s="2958">
        <f>SUM(V7:V150)-V30-V58-V69-V71-V72-V88-V94-V100</f>
        <v>469672773.90999985</v>
      </c>
      <c r="W151" s="2959"/>
      <c r="Y151" s="2960">
        <f>V150+V145+V141+V139+V121+V113</f>
        <v>147382513.18000001</v>
      </c>
      <c r="AB151" s="2945"/>
      <c r="AC151" s="2961"/>
      <c r="AD151" s="2961"/>
      <c r="AE151" s="2961"/>
      <c r="AF151" s="2961"/>
      <c r="AG151" s="2961"/>
      <c r="AH151" s="2961"/>
      <c r="AI151" s="2961"/>
      <c r="AJ151" s="2961"/>
      <c r="AK151" s="2961"/>
      <c r="AL151" s="2961"/>
      <c r="AM151" s="2961"/>
      <c r="AN151" s="2961"/>
      <c r="AO151" s="2961"/>
      <c r="AP151" s="2961"/>
      <c r="AQ151" s="2961"/>
      <c r="AR151" s="2961"/>
      <c r="AS151" s="2961"/>
      <c r="AT151" s="2961"/>
      <c r="AU151" s="2961"/>
      <c r="AV151" s="2961"/>
      <c r="AW151" s="2961"/>
      <c r="AX151" s="2961"/>
      <c r="AY151" s="2961"/>
      <c r="AZ151" s="2961"/>
      <c r="BA151" s="2961"/>
      <c r="BB151" s="2961"/>
      <c r="BC151" s="2961"/>
      <c r="BD151" s="2961"/>
      <c r="BE151" s="2961"/>
      <c r="BF151" s="2961"/>
      <c r="BG151" s="2961"/>
      <c r="BH151" s="2961"/>
      <c r="BI151" s="2961"/>
      <c r="BJ151" s="2961"/>
      <c r="BK151" s="2961"/>
      <c r="BL151" s="2961"/>
      <c r="BM151" s="2961"/>
      <c r="BN151" s="2961"/>
      <c r="BO151" s="2961"/>
      <c r="BP151" s="2961"/>
      <c r="BQ151" s="2961"/>
      <c r="BR151" s="2961"/>
      <c r="BS151" s="2961"/>
      <c r="BT151" s="2962"/>
      <c r="BU151" s="2963"/>
      <c r="BZ151" s="2964"/>
      <c r="CD151" s="2965"/>
      <c r="CH151" s="2966"/>
    </row>
    <row r="152">
      <c r="G152" s="2641">
        <f>SUM(G106:G150)</f>
        <v>287962361.58000004</v>
      </c>
      <c r="H152" s="2491"/>
      <c r="I152" s="2642"/>
      <c r="J152" s="2650"/>
      <c r="K152" s="2491">
        <f t="shared" si="2513"/>
        <v>0</v>
      </c>
      <c r="L152" s="2967">
        <f t="shared" si="2527"/>
        <v>287962361.58000004</v>
      </c>
      <c r="M152" s="2650">
        <f>SUM(M106:M150)</f>
        <v>0</v>
      </c>
      <c r="N152" s="2650">
        <f>SUM(N103:N150)</f>
        <v>0</v>
      </c>
      <c r="O152" s="2650">
        <f>SUM(O106:O150)</f>
        <v>0</v>
      </c>
      <c r="P152" s="2493">
        <f t="shared" si="2528"/>
        <v>0</v>
      </c>
      <c r="Q152" s="2968">
        <f t="shared" si="2529"/>
        <v>287962361.58000004</v>
      </c>
      <c r="S152" s="2491"/>
      <c r="T152" s="2491"/>
      <c r="U152" s="2509"/>
      <c r="V152" s="2509">
        <f>Q153+U153</f>
        <v>464356048.73000002</v>
      </c>
      <c r="W152" s="2509"/>
    </row>
    <row r="153">
      <c r="D153" s="2367">
        <f>D152-D151</f>
        <v>-218508745.26999998</v>
      </c>
      <c r="E153" s="2367">
        <f>E152-E151</f>
        <v>-248785985.97000006</v>
      </c>
      <c r="F153" s="2367">
        <f>F152-F151</f>
        <v>0</v>
      </c>
      <c r="G153" s="2641">
        <f>G152+G100</f>
        <v>464356048.73000002</v>
      </c>
      <c r="H153" s="2367">
        <f>H152-H151</f>
        <v>0</v>
      </c>
      <c r="I153" s="2969">
        <f>I152+I100</f>
        <v>0</v>
      </c>
      <c r="J153" s="2641">
        <f>J152+J100</f>
        <v>0</v>
      </c>
      <c r="K153" s="2491">
        <f t="shared" ref="K153:K178" si="2535">H153+I153+J153</f>
        <v>0</v>
      </c>
      <c r="L153" s="2967">
        <f t="shared" si="2527"/>
        <v>464356048.73000002</v>
      </c>
      <c r="M153" s="2641">
        <f>M152+M100</f>
        <v>0</v>
      </c>
      <c r="N153" s="2641">
        <f>N152+N100</f>
        <v>0</v>
      </c>
      <c r="O153" s="2650">
        <f>O152+O100</f>
        <v>0</v>
      </c>
      <c r="P153" s="2493">
        <f t="shared" si="2528"/>
        <v>0</v>
      </c>
      <c r="Q153" s="2968">
        <f t="shared" si="2529"/>
        <v>464356048.73000002</v>
      </c>
      <c r="R153" s="2369">
        <f>R151</f>
        <v>0</v>
      </c>
      <c r="S153" s="2369">
        <f>S151</f>
        <v>0</v>
      </c>
      <c r="T153" s="2369">
        <f>T151</f>
        <v>0</v>
      </c>
      <c r="U153" s="2509">
        <f t="shared" si="2530"/>
        <v>0</v>
      </c>
      <c r="W153" s="2509"/>
    </row>
    <row r="154" ht="21.75" customHeight="1">
      <c r="A154" s="2970"/>
      <c r="B154" s="2970"/>
      <c r="C154" s="2971"/>
      <c r="D154" s="2972"/>
      <c r="E154" s="2972"/>
      <c r="F154" s="2972"/>
      <c r="G154" s="2973">
        <v>381897305.76999998</v>
      </c>
      <c r="H154" s="2973"/>
      <c r="I154" s="2974"/>
      <c r="J154" s="2975"/>
      <c r="K154" s="2976"/>
      <c r="L154" s="2977"/>
      <c r="M154" s="2978"/>
      <c r="N154" s="2979"/>
      <c r="O154" s="2980"/>
      <c r="P154" s="2981"/>
      <c r="Q154" s="2982"/>
      <c r="R154" s="2978"/>
      <c r="S154" s="2976"/>
      <c r="T154" s="2978"/>
      <c r="U154" s="2983">
        <f t="shared" si="2530"/>
        <v>0</v>
      </c>
      <c r="V154" s="2983">
        <f t="shared" ref="V154:V184" si="2536">Q154+U154</f>
        <v>0</v>
      </c>
      <c r="W154" s="2509"/>
      <c r="Y154" s="2575">
        <f>SUM(S107:S149)</f>
        <v>0</v>
      </c>
    </row>
    <row r="155" ht="75.75" customHeight="1">
      <c r="A155" s="982" t="s">
        <v>316</v>
      </c>
      <c r="B155" s="2984" t="s">
        <v>252</v>
      </c>
      <c r="C155" s="2366" t="s">
        <v>928</v>
      </c>
      <c r="D155" s="2367">
        <f>154863.54+1255285.5+97402.36+97402.36+43538.24+54230.23+200454.91+100445.41+196337.62+1694889.68+1142024.91+58787.69+46745.08+3025.48+105703.73+22435.46+83645.35+71025.65+8609.97+385442.01+125926.44+169299.72+21800.69+63746.45+345051.85</f>
        <v>6548120.330000001</v>
      </c>
      <c r="E155" s="2367">
        <f>4369314.52+104401.08+85656.15+100166.26+30459.94+972573.66+86786.04+86786.04+89563.64+51903.72+66260.22+1934929.73+1246703.69+250297.98+37953.79+69865.36+51210.26+56185.58+101977.71+66905.6+12444.51+477653.84+100161.41+145370.58+304820.49+150061.65+21800.69</f>
        <v>11072214.139999999</v>
      </c>
      <c r="G155" s="2823"/>
      <c r="H155" s="2650"/>
      <c r="I155" s="2642"/>
      <c r="J155" s="2650"/>
      <c r="K155" s="2742">
        <f t="shared" si="2535"/>
        <v>0</v>
      </c>
      <c r="L155" s="2735">
        <f t="shared" si="2527"/>
        <v>0</v>
      </c>
      <c r="N155" s="2534"/>
      <c r="O155" s="2534"/>
      <c r="P155" s="2493">
        <f t="shared" si="2528"/>
        <v>0</v>
      </c>
      <c r="Q155" s="2968">
        <f t="shared" si="2529"/>
        <v>0</v>
      </c>
      <c r="S155" s="2491"/>
      <c r="U155" s="2509">
        <f t="shared" si="2530"/>
        <v>0</v>
      </c>
      <c r="V155" s="2509">
        <f t="shared" si="2536"/>
        <v>0</v>
      </c>
      <c r="W155" s="2509"/>
    </row>
    <row r="156" ht="25.5">
      <c r="A156" s="984"/>
      <c r="B156" s="2985" t="s">
        <v>262</v>
      </c>
      <c r="C156" s="2366" t="s">
        <v>929</v>
      </c>
      <c r="D156" s="2367">
        <f>131561.28+36034.81</f>
        <v>167596.09</v>
      </c>
      <c r="E156" s="2367">
        <f>45212.04+128183.95</f>
        <v>173395.98999999999</v>
      </c>
      <c r="G156" s="2823"/>
      <c r="H156" s="2650"/>
      <c r="I156" s="2642"/>
      <c r="J156" s="2650"/>
      <c r="K156" s="2742">
        <f t="shared" si="2535"/>
        <v>0</v>
      </c>
      <c r="L156" s="2735">
        <f t="shared" si="2527"/>
        <v>0</v>
      </c>
      <c r="N156" s="2534"/>
      <c r="O156" s="2534"/>
      <c r="P156" s="2493">
        <f t="shared" si="2528"/>
        <v>0</v>
      </c>
      <c r="Q156" s="2968">
        <f t="shared" si="2529"/>
        <v>0</v>
      </c>
      <c r="S156" s="2491"/>
      <c r="U156" s="2509">
        <f t="shared" si="2530"/>
        <v>0</v>
      </c>
      <c r="V156" s="2509">
        <f t="shared" si="2536"/>
        <v>0</v>
      </c>
      <c r="W156" s="2509"/>
    </row>
    <row r="157">
      <c r="A157" s="984"/>
      <c r="B157" s="2985" t="s">
        <v>253</v>
      </c>
      <c r="C157" s="2366">
        <v>686</v>
      </c>
      <c r="D157" s="2367">
        <f>51192.64</f>
        <v>51192.639999999999</v>
      </c>
      <c r="E157" s="2367">
        <f>63414.76+16608.69</f>
        <v>80023.449999999997</v>
      </c>
      <c r="G157" s="2823"/>
      <c r="H157" s="2650"/>
      <c r="I157" s="2642"/>
      <c r="J157" s="2650"/>
      <c r="K157" s="2742">
        <f t="shared" si="2535"/>
        <v>0</v>
      </c>
      <c r="L157" s="2735">
        <f t="shared" si="2527"/>
        <v>0</v>
      </c>
      <c r="N157" s="2534"/>
      <c r="O157" s="2534"/>
      <c r="P157" s="2493">
        <f t="shared" si="2528"/>
        <v>0</v>
      </c>
      <c r="Q157" s="2968">
        <f t="shared" si="2529"/>
        <v>0</v>
      </c>
      <c r="S157" s="2491"/>
      <c r="U157" s="2509">
        <f t="shared" ref="U157:U158" si="2537">R157+S157+T158</f>
        <v>0</v>
      </c>
      <c r="V157" s="2509">
        <f t="shared" si="2536"/>
        <v>0</v>
      </c>
      <c r="W157" s="2509"/>
    </row>
    <row r="158">
      <c r="A158" s="984"/>
      <c r="B158" s="2986" t="s">
        <v>266</v>
      </c>
      <c r="C158" s="2366">
        <v>651</v>
      </c>
      <c r="G158" s="2823"/>
      <c r="H158" s="2650"/>
      <c r="I158" s="2642"/>
      <c r="J158" s="2650"/>
      <c r="K158" s="2742">
        <f t="shared" si="2535"/>
        <v>0</v>
      </c>
      <c r="L158" s="2735">
        <f t="shared" si="2527"/>
        <v>0</v>
      </c>
      <c r="N158" s="2534"/>
      <c r="O158" s="2534"/>
      <c r="P158" s="2493">
        <f t="shared" si="2528"/>
        <v>0</v>
      </c>
      <c r="Q158" s="2968">
        <f t="shared" si="2529"/>
        <v>0</v>
      </c>
      <c r="S158" s="2491"/>
      <c r="U158" s="2509">
        <f t="shared" si="2537"/>
        <v>0</v>
      </c>
      <c r="V158" s="2509">
        <f t="shared" si="2536"/>
        <v>0</v>
      </c>
      <c r="W158" s="2509"/>
    </row>
    <row r="159" ht="25.5">
      <c r="A159" s="987"/>
      <c r="B159" s="2987" t="s">
        <v>317</v>
      </c>
      <c r="C159" s="2366" t="s">
        <v>930</v>
      </c>
      <c r="D159" s="2367">
        <f>87169.16+195515.51+916867.79+500097.3</f>
        <v>1699649.76</v>
      </c>
      <c r="E159" s="2367">
        <f>1001839.7+250297.98+542190.27</f>
        <v>1794327.95</v>
      </c>
      <c r="G159" s="2823"/>
      <c r="H159" s="2650"/>
      <c r="I159" s="2642"/>
      <c r="J159" s="2650"/>
      <c r="K159" s="2742">
        <f t="shared" si="2535"/>
        <v>0</v>
      </c>
      <c r="L159" s="2735">
        <f t="shared" si="2527"/>
        <v>0</v>
      </c>
      <c r="N159" s="2534"/>
      <c r="O159" s="2534"/>
      <c r="P159" s="2493">
        <f t="shared" si="2528"/>
        <v>0</v>
      </c>
      <c r="Q159" s="2968">
        <f t="shared" si="2529"/>
        <v>0</v>
      </c>
      <c r="S159" s="2491"/>
      <c r="U159" s="2509">
        <f t="shared" si="2530"/>
        <v>0</v>
      </c>
      <c r="V159" s="2509">
        <f t="shared" si="2536"/>
        <v>0</v>
      </c>
      <c r="W159" s="2509"/>
      <c r="X159" s="2418">
        <f>S157+S163+S169+S175</f>
        <v>0</v>
      </c>
      <c r="Y159" s="2418">
        <f>T158+T163+T169+T175</f>
        <v>0</v>
      </c>
    </row>
    <row r="160" ht="20.25" customHeight="1">
      <c r="A160" s="2970"/>
      <c r="B160" s="2988"/>
      <c r="C160" s="2971"/>
      <c r="D160" s="2972"/>
      <c r="E160" s="2972"/>
      <c r="F160" s="2972"/>
      <c r="G160" s="2973"/>
      <c r="H160" s="2973"/>
      <c r="I160" s="2974"/>
      <c r="J160" s="2973"/>
      <c r="K160" s="2976">
        <f t="shared" si="2535"/>
        <v>0</v>
      </c>
      <c r="L160" s="2977">
        <f t="shared" si="2527"/>
        <v>0</v>
      </c>
      <c r="M160" s="2978"/>
      <c r="N160" s="2989"/>
      <c r="O160" s="2980"/>
      <c r="P160" s="2981">
        <f t="shared" si="2528"/>
        <v>0</v>
      </c>
      <c r="Q160" s="2982">
        <f t="shared" si="2529"/>
        <v>0</v>
      </c>
      <c r="R160" s="2978"/>
      <c r="S160" s="2976"/>
      <c r="T160" s="2978"/>
      <c r="U160" s="2983">
        <f t="shared" si="2530"/>
        <v>0</v>
      </c>
      <c r="V160" s="2983">
        <f t="shared" si="2536"/>
        <v>0</v>
      </c>
      <c r="W160" s="2509"/>
    </row>
    <row r="161" ht="89.25">
      <c r="A161" s="990" t="s">
        <v>318</v>
      </c>
      <c r="B161" s="2990" t="s">
        <v>252</v>
      </c>
      <c r="C161" s="2366" t="s">
        <v>931</v>
      </c>
      <c r="D161" s="2367">
        <f>97402.36+24822.43+97402.36+10837.21+87881.93+83636.36+97402.36+49473.08</f>
        <v>548858.08999999997</v>
      </c>
      <c r="E161" s="2367">
        <f>87540.45+70571.14+87881.93+10837.21+86786.04+25993.16+92965.66+85167.08</f>
        <v>547742.66999999993</v>
      </c>
      <c r="G161" s="2823"/>
      <c r="H161" s="2650"/>
      <c r="I161" s="2642"/>
      <c r="J161" s="2650"/>
      <c r="K161" s="2742">
        <f t="shared" si="2535"/>
        <v>0</v>
      </c>
      <c r="L161" s="2735">
        <f t="shared" si="2527"/>
        <v>0</v>
      </c>
      <c r="N161" s="2534"/>
      <c r="O161" s="2534"/>
      <c r="P161" s="2493">
        <f t="shared" si="2528"/>
        <v>0</v>
      </c>
      <c r="Q161" s="2968">
        <f t="shared" si="2529"/>
        <v>0</v>
      </c>
      <c r="S161" s="2491"/>
      <c r="U161" s="2509">
        <f t="shared" si="2530"/>
        <v>0</v>
      </c>
      <c r="V161" s="2509">
        <f t="shared" si="2536"/>
        <v>0</v>
      </c>
      <c r="W161" s="2509"/>
    </row>
    <row r="162" ht="25.5">
      <c r="B162" s="414" t="s">
        <v>262</v>
      </c>
      <c r="C162" s="2366" t="s">
        <v>932</v>
      </c>
      <c r="D162" s="2367">
        <f>44693.21+174531.7</f>
        <v>219224.91</v>
      </c>
      <c r="E162" s="2367">
        <f>58206.58+42917.35</f>
        <v>101123.92999999999</v>
      </c>
      <c r="G162" s="2823"/>
      <c r="H162" s="2650"/>
      <c r="I162" s="2642"/>
      <c r="J162" s="2650"/>
      <c r="K162" s="2742">
        <f t="shared" si="2535"/>
        <v>0</v>
      </c>
      <c r="L162" s="2735">
        <f t="shared" si="2527"/>
        <v>0</v>
      </c>
      <c r="N162" s="2534"/>
      <c r="O162" s="2534"/>
      <c r="P162" s="2493">
        <f t="shared" si="2528"/>
        <v>0</v>
      </c>
      <c r="Q162" s="2968">
        <f t="shared" si="2529"/>
        <v>0</v>
      </c>
      <c r="S162" s="2491"/>
      <c r="U162" s="2509">
        <f t="shared" si="2530"/>
        <v>0</v>
      </c>
      <c r="V162" s="2509">
        <f t="shared" si="2536"/>
        <v>0</v>
      </c>
      <c r="W162" s="2509"/>
    </row>
    <row r="163">
      <c r="B163" s="414" t="s">
        <v>253</v>
      </c>
      <c r="C163" s="2366">
        <v>741</v>
      </c>
      <c r="G163" s="2824"/>
      <c r="H163" s="2641"/>
      <c r="I163" s="2642"/>
      <c r="J163" s="2650"/>
      <c r="K163" s="2742">
        <f t="shared" si="2535"/>
        <v>0</v>
      </c>
      <c r="L163" s="2735">
        <f t="shared" si="2527"/>
        <v>0</v>
      </c>
      <c r="N163" s="2534"/>
      <c r="O163" s="2370"/>
      <c r="P163" s="2493">
        <f t="shared" si="2528"/>
        <v>0</v>
      </c>
      <c r="Q163" s="2968">
        <f t="shared" si="2529"/>
        <v>0</v>
      </c>
      <c r="S163" s="2491"/>
      <c r="U163" s="2509">
        <f t="shared" si="2530"/>
        <v>0</v>
      </c>
      <c r="V163" s="2509">
        <f t="shared" si="2536"/>
        <v>0</v>
      </c>
      <c r="W163" s="2509"/>
    </row>
    <row r="164">
      <c r="B164" s="2986" t="s">
        <v>266</v>
      </c>
      <c r="C164" s="2366">
        <v>742</v>
      </c>
      <c r="G164" s="2823"/>
      <c r="H164" s="2650"/>
      <c r="I164" s="2642"/>
      <c r="J164" s="2650"/>
      <c r="K164" s="2742">
        <f t="shared" si="2535"/>
        <v>0</v>
      </c>
      <c r="L164" s="2735">
        <f t="shared" si="2527"/>
        <v>0</v>
      </c>
      <c r="N164" s="2534"/>
      <c r="O164" s="2534"/>
      <c r="P164" s="2493">
        <f t="shared" si="2528"/>
        <v>0</v>
      </c>
      <c r="Q164" s="2968">
        <f t="shared" si="2529"/>
        <v>0</v>
      </c>
      <c r="S164" s="2491"/>
      <c r="U164" s="2509">
        <f t="shared" si="2530"/>
        <v>0</v>
      </c>
      <c r="V164" s="2509">
        <f t="shared" si="2536"/>
        <v>0</v>
      </c>
      <c r="W164" s="2509"/>
    </row>
    <row r="165" ht="25.5">
      <c r="B165" s="2987" t="s">
        <v>317</v>
      </c>
      <c r="C165" s="2366" t="s">
        <v>933</v>
      </c>
      <c r="D165" s="2367">
        <f>303970.78+298801.77</f>
        <v>602772.55000000005</v>
      </c>
      <c r="E165" s="2367">
        <f>338369.6+333695.08</f>
        <v>672064.67999999993</v>
      </c>
      <c r="G165" s="2823"/>
      <c r="H165" s="2650"/>
      <c r="I165" s="2642"/>
      <c r="J165" s="2650"/>
      <c r="K165" s="2742">
        <f t="shared" si="2535"/>
        <v>0</v>
      </c>
      <c r="L165" s="2735">
        <f t="shared" si="2527"/>
        <v>0</v>
      </c>
      <c r="N165" s="2534"/>
      <c r="O165" s="2534"/>
      <c r="P165" s="2493">
        <f t="shared" si="2528"/>
        <v>0</v>
      </c>
      <c r="Q165" s="2968">
        <f t="shared" si="2529"/>
        <v>0</v>
      </c>
      <c r="S165" s="2491"/>
      <c r="U165" s="2509">
        <f t="shared" si="2530"/>
        <v>0</v>
      </c>
      <c r="V165" s="2509">
        <f t="shared" si="2536"/>
        <v>0</v>
      </c>
      <c r="W165" s="2509"/>
    </row>
    <row r="166" ht="15.75" customHeight="1">
      <c r="A166" s="2970"/>
      <c r="B166" s="2991"/>
      <c r="C166" s="2971"/>
      <c r="D166" s="2972"/>
      <c r="E166" s="2972"/>
      <c r="F166" s="2972"/>
      <c r="G166" s="2973"/>
      <c r="H166" s="2973"/>
      <c r="I166" s="2974"/>
      <c r="J166" s="2973"/>
      <c r="K166" s="2976">
        <f t="shared" si="2535"/>
        <v>0</v>
      </c>
      <c r="L166" s="2977">
        <f t="shared" si="2527"/>
        <v>0</v>
      </c>
      <c r="M166" s="2978"/>
      <c r="N166" s="2989"/>
      <c r="O166" s="2980"/>
      <c r="P166" s="2981">
        <f t="shared" si="2528"/>
        <v>0</v>
      </c>
      <c r="Q166" s="2982">
        <f t="shared" si="2529"/>
        <v>0</v>
      </c>
      <c r="R166" s="2978"/>
      <c r="S166" s="2976"/>
      <c r="T166" s="2978"/>
      <c r="U166" s="2983">
        <f t="shared" si="2530"/>
        <v>0</v>
      </c>
      <c r="V166" s="2983">
        <f t="shared" si="2536"/>
        <v>0</v>
      </c>
      <c r="W166" s="2509"/>
    </row>
    <row r="167" ht="36.75" customHeight="1">
      <c r="A167" s="982" t="s">
        <v>319</v>
      </c>
      <c r="B167" s="2984" t="s">
        <v>252</v>
      </c>
      <c r="C167" s="2366" t="s">
        <v>934</v>
      </c>
      <c r="D167" s="2367">
        <f>171340.09+98014.25+57922.68</f>
        <v>327277.01999999996</v>
      </c>
      <c r="E167" s="2367">
        <f>74860.64+83641.21+56496.64</f>
        <v>214998.48999999999</v>
      </c>
      <c r="G167" s="2823"/>
      <c r="H167" s="2650"/>
      <c r="I167" s="2642"/>
      <c r="J167" s="2650"/>
      <c r="K167" s="2742">
        <f t="shared" si="2535"/>
        <v>0</v>
      </c>
      <c r="L167" s="2735">
        <f t="shared" si="2527"/>
        <v>0</v>
      </c>
      <c r="N167" s="2534"/>
      <c r="O167" s="2534"/>
      <c r="P167" s="2493">
        <f t="shared" si="2528"/>
        <v>0</v>
      </c>
      <c r="Q167" s="2968">
        <f t="shared" si="2529"/>
        <v>0</v>
      </c>
      <c r="S167" s="2491"/>
      <c r="U167" s="2509">
        <f t="shared" si="2530"/>
        <v>0</v>
      </c>
      <c r="V167" s="2509">
        <f t="shared" si="2536"/>
        <v>0</v>
      </c>
      <c r="W167" s="2509"/>
    </row>
    <row r="168">
      <c r="A168" s="984"/>
      <c r="B168" s="2985" t="s">
        <v>262</v>
      </c>
      <c r="C168" s="2366">
        <v>769</v>
      </c>
      <c r="D168" s="2367">
        <f>53678.42</f>
        <v>53678.419999999998</v>
      </c>
      <c r="E168" s="2367">
        <f>113291.38</f>
        <v>113291.38</v>
      </c>
      <c r="G168" s="2823"/>
      <c r="H168" s="2650"/>
      <c r="I168" s="2642"/>
      <c r="J168" s="2650"/>
      <c r="K168" s="2742">
        <f t="shared" si="2535"/>
        <v>0</v>
      </c>
      <c r="L168" s="2735">
        <f t="shared" si="2527"/>
        <v>0</v>
      </c>
      <c r="N168" s="2534"/>
      <c r="O168" s="2534"/>
      <c r="P168" s="2493">
        <f t="shared" si="2528"/>
        <v>0</v>
      </c>
      <c r="Q168" s="2968">
        <f t="shared" si="2529"/>
        <v>0</v>
      </c>
      <c r="S168" s="2491"/>
      <c r="U168" s="2509">
        <f t="shared" si="2530"/>
        <v>0</v>
      </c>
      <c r="V168" s="2509">
        <f t="shared" si="2536"/>
        <v>0</v>
      </c>
      <c r="W168" s="2509"/>
    </row>
    <row r="169">
      <c r="A169" s="996"/>
      <c r="B169" s="2985" t="s">
        <v>253</v>
      </c>
      <c r="C169" s="2992"/>
      <c r="G169" s="2824"/>
      <c r="H169" s="2641"/>
      <c r="I169" s="2642"/>
      <c r="J169" s="2650"/>
      <c r="K169" s="2742">
        <f t="shared" si="2535"/>
        <v>0</v>
      </c>
      <c r="L169" s="2735">
        <f t="shared" ref="L169:L178" si="2538">G169+K169</f>
        <v>0</v>
      </c>
      <c r="N169" s="2534"/>
      <c r="O169" s="2370"/>
      <c r="P169" s="2493">
        <f t="shared" si="2528"/>
        <v>0</v>
      </c>
      <c r="Q169" s="2968">
        <f t="shared" si="2529"/>
        <v>0</v>
      </c>
      <c r="S169" s="2491"/>
      <c r="U169" s="2509">
        <f t="shared" si="2530"/>
        <v>0</v>
      </c>
      <c r="V169" s="2509">
        <f t="shared" si="2536"/>
        <v>0</v>
      </c>
      <c r="W169" s="2509"/>
    </row>
    <row r="170">
      <c r="A170" s="996"/>
      <c r="B170" s="2986" t="s">
        <v>266</v>
      </c>
      <c r="C170" s="2992">
        <v>756</v>
      </c>
      <c r="G170" s="2823"/>
      <c r="H170" s="2650"/>
      <c r="I170" s="2642"/>
      <c r="J170" s="2650"/>
      <c r="K170" s="2742">
        <f t="shared" si="2535"/>
        <v>0</v>
      </c>
      <c r="L170" s="2735">
        <f t="shared" si="2538"/>
        <v>0</v>
      </c>
      <c r="N170" s="2534"/>
      <c r="O170" s="2534"/>
      <c r="P170" s="2493">
        <f t="shared" si="2528"/>
        <v>0</v>
      </c>
      <c r="Q170" s="2968">
        <f t="shared" si="2529"/>
        <v>0</v>
      </c>
      <c r="S170" s="2491"/>
      <c r="U170" s="2509">
        <f t="shared" si="2530"/>
        <v>0</v>
      </c>
      <c r="V170" s="2509">
        <f t="shared" si="2536"/>
        <v>0</v>
      </c>
      <c r="W170" s="2509"/>
    </row>
    <row r="171" ht="25.5">
      <c r="A171" s="987"/>
      <c r="B171" s="2987" t="s">
        <v>317</v>
      </c>
      <c r="C171" s="2366" t="s">
        <v>935</v>
      </c>
      <c r="D171" s="2367">
        <f>184153.02+251168.15</f>
        <v>435321.16999999998</v>
      </c>
      <c r="E171" s="2367">
        <f>255095.21+249279.14</f>
        <v>504374.34999999998</v>
      </c>
      <c r="G171" s="2823"/>
      <c r="H171" s="2650"/>
      <c r="I171" s="2642"/>
      <c r="J171" s="2650"/>
      <c r="K171" s="2742">
        <f t="shared" si="2535"/>
        <v>0</v>
      </c>
      <c r="L171" s="2735">
        <f t="shared" si="2538"/>
        <v>0</v>
      </c>
      <c r="N171" s="2534"/>
      <c r="O171" s="2534"/>
      <c r="P171" s="2493">
        <f t="shared" ref="P171:P180" si="2539">M171+N171+O171</f>
        <v>0</v>
      </c>
      <c r="Q171" s="2968">
        <f t="shared" ref="Q171:Q184" si="2540">L171+P171</f>
        <v>0</v>
      </c>
      <c r="S171" s="2491"/>
      <c r="U171" s="2509">
        <f t="shared" ref="U171:U184" si="2541">R171+S171+T171</f>
        <v>0</v>
      </c>
      <c r="V171" s="2509">
        <f t="shared" si="2536"/>
        <v>0</v>
      </c>
      <c r="W171" s="2509"/>
    </row>
    <row r="172" ht="18" customHeight="1">
      <c r="A172" s="2970"/>
      <c r="B172" s="2988"/>
      <c r="C172" s="2971"/>
      <c r="D172" s="2972"/>
      <c r="E172" s="2972"/>
      <c r="F172" s="2972"/>
      <c r="G172" s="2993"/>
      <c r="H172" s="2973"/>
      <c r="I172" s="2974"/>
      <c r="J172" s="2973"/>
      <c r="K172" s="2976">
        <f t="shared" si="2535"/>
        <v>0</v>
      </c>
      <c r="L172" s="2977">
        <f t="shared" si="2538"/>
        <v>0</v>
      </c>
      <c r="M172" s="2978"/>
      <c r="N172" s="2989"/>
      <c r="O172" s="2980"/>
      <c r="P172" s="2981">
        <f t="shared" si="2539"/>
        <v>0</v>
      </c>
      <c r="Q172" s="2982">
        <f t="shared" si="2540"/>
        <v>0</v>
      </c>
      <c r="R172" s="2978"/>
      <c r="S172" s="2976"/>
      <c r="T172" s="2978"/>
      <c r="U172" s="2983">
        <f t="shared" si="2541"/>
        <v>0</v>
      </c>
      <c r="V172" s="2983">
        <f t="shared" si="2536"/>
        <v>0</v>
      </c>
      <c r="W172" s="2509"/>
    </row>
    <row r="173" ht="42" customHeight="1">
      <c r="A173" s="990" t="s">
        <v>320</v>
      </c>
      <c r="B173" s="2990" t="s">
        <v>252</v>
      </c>
      <c r="C173" s="2366" t="s">
        <v>936</v>
      </c>
      <c r="D173" s="2367">
        <f>22286.29+102081.18+87908.03</f>
        <v>212275.5</v>
      </c>
      <c r="E173" s="2367">
        <f>22286.29+102905.53+35204.92</f>
        <v>160396.73999999999</v>
      </c>
      <c r="G173" s="2823"/>
      <c r="H173" s="2650"/>
      <c r="I173" s="2642"/>
      <c r="J173" s="2650"/>
      <c r="K173" s="2742">
        <f t="shared" si="2535"/>
        <v>0</v>
      </c>
      <c r="L173" s="2735">
        <f t="shared" si="2538"/>
        <v>0</v>
      </c>
      <c r="M173" s="2653"/>
      <c r="N173" s="2927"/>
      <c r="O173" s="2534"/>
      <c r="P173" s="2493">
        <f t="shared" si="2539"/>
        <v>0</v>
      </c>
      <c r="Q173" s="2968">
        <f t="shared" si="2540"/>
        <v>0</v>
      </c>
      <c r="S173" s="2491"/>
      <c r="U173" s="2509">
        <f t="shared" si="2541"/>
        <v>0</v>
      </c>
      <c r="V173" s="2509">
        <f t="shared" si="2536"/>
        <v>0</v>
      </c>
      <c r="W173" s="2509"/>
    </row>
    <row r="174">
      <c r="B174" s="414" t="s">
        <v>262</v>
      </c>
      <c r="C174" s="2366">
        <v>639</v>
      </c>
      <c r="D174" s="2367">
        <f>86983.74</f>
        <v>86983.740000000005</v>
      </c>
      <c r="E174" s="2367">
        <f>91300.32</f>
        <v>91300.320000000007</v>
      </c>
      <c r="G174" s="2823"/>
      <c r="H174" s="2650"/>
      <c r="I174" s="2642"/>
      <c r="J174" s="2650"/>
      <c r="K174" s="2742">
        <f t="shared" si="2535"/>
        <v>0</v>
      </c>
      <c r="L174" s="2735">
        <f t="shared" si="2538"/>
        <v>0</v>
      </c>
      <c r="N174" s="2534"/>
      <c r="O174" s="2534"/>
      <c r="P174" s="2493">
        <f t="shared" si="2539"/>
        <v>0</v>
      </c>
      <c r="Q174" s="2968">
        <f t="shared" si="2540"/>
        <v>0</v>
      </c>
      <c r="S174" s="2491"/>
      <c r="U174" s="2509">
        <f t="shared" si="2541"/>
        <v>0</v>
      </c>
      <c r="V174" s="2509">
        <f t="shared" si="2536"/>
        <v>0</v>
      </c>
      <c r="W174" s="2509"/>
    </row>
    <row r="175">
      <c r="B175" s="414" t="s">
        <v>253</v>
      </c>
      <c r="G175" s="2824"/>
      <c r="H175" s="2641"/>
      <c r="I175" s="2642"/>
      <c r="J175" s="2650"/>
      <c r="K175" s="2742">
        <f t="shared" si="2535"/>
        <v>0</v>
      </c>
      <c r="L175" s="2735">
        <f t="shared" si="2538"/>
        <v>0</v>
      </c>
      <c r="N175" s="2534"/>
      <c r="O175" s="2370"/>
      <c r="P175" s="2493">
        <f t="shared" si="2539"/>
        <v>0</v>
      </c>
      <c r="Q175" s="2968">
        <f t="shared" si="2540"/>
        <v>0</v>
      </c>
      <c r="S175" s="2491"/>
      <c r="U175" s="2509">
        <f t="shared" si="2541"/>
        <v>0</v>
      </c>
      <c r="V175" s="2509">
        <f t="shared" si="2536"/>
        <v>0</v>
      </c>
      <c r="W175" s="2509"/>
    </row>
    <row r="176">
      <c r="B176" s="2986" t="s">
        <v>266</v>
      </c>
      <c r="C176" s="2366">
        <v>644</v>
      </c>
      <c r="G176" s="2824"/>
      <c r="H176" s="2650"/>
      <c r="I176" s="2642"/>
      <c r="J176" s="2650"/>
      <c r="K176" s="2742">
        <f t="shared" si="2535"/>
        <v>0</v>
      </c>
      <c r="L176" s="2735">
        <f t="shared" si="2538"/>
        <v>0</v>
      </c>
      <c r="N176" s="2534"/>
      <c r="O176" s="2534"/>
      <c r="P176" s="2493">
        <f t="shared" si="2539"/>
        <v>0</v>
      </c>
      <c r="Q176" s="2968">
        <f t="shared" si="2540"/>
        <v>0</v>
      </c>
      <c r="S176" s="2491"/>
      <c r="U176" s="2509">
        <f t="shared" si="2541"/>
        <v>0</v>
      </c>
      <c r="V176" s="2509">
        <f t="shared" si="2536"/>
        <v>0</v>
      </c>
      <c r="W176" s="2509"/>
    </row>
    <row r="177" ht="38.25">
      <c r="B177" s="2987" t="s">
        <v>317</v>
      </c>
      <c r="C177" s="2366" t="s">
        <v>937</v>
      </c>
      <c r="D177" s="2367">
        <v>177210.20999999999</v>
      </c>
      <c r="E177" s="2367">
        <f>163634.99</f>
        <v>163634.98999999999</v>
      </c>
      <c r="G177" s="2823"/>
      <c r="H177" s="2650"/>
      <c r="I177" s="2642"/>
      <c r="J177" s="2650"/>
      <c r="K177" s="2742">
        <f t="shared" si="2535"/>
        <v>0</v>
      </c>
      <c r="L177" s="2735">
        <f t="shared" si="2538"/>
        <v>0</v>
      </c>
      <c r="N177" s="2534"/>
      <c r="O177" s="2534"/>
      <c r="P177" s="2493">
        <f t="shared" si="2539"/>
        <v>0</v>
      </c>
      <c r="Q177" s="2968">
        <f t="shared" si="2540"/>
        <v>0</v>
      </c>
      <c r="S177" s="2491"/>
      <c r="U177" s="2509">
        <f t="shared" si="2541"/>
        <v>0</v>
      </c>
      <c r="V177" s="2509">
        <f t="shared" si="2536"/>
        <v>0</v>
      </c>
      <c r="W177" s="2509"/>
    </row>
    <row r="178">
      <c r="A178" s="2970"/>
      <c r="B178" s="2970"/>
      <c r="C178" s="2971"/>
      <c r="D178" s="2972"/>
      <c r="E178" s="2972"/>
      <c r="F178" s="2972"/>
      <c r="G178" s="2973"/>
      <c r="H178" s="2973"/>
      <c r="I178" s="2974"/>
      <c r="J178" s="2976"/>
      <c r="K178" s="2976">
        <f t="shared" si="2535"/>
        <v>0</v>
      </c>
      <c r="L178" s="2977">
        <f t="shared" si="2538"/>
        <v>0</v>
      </c>
      <c r="M178" s="2978"/>
      <c r="N178" s="2994"/>
      <c r="O178" s="2980"/>
      <c r="P178" s="2979"/>
      <c r="Q178" s="2980"/>
      <c r="R178" s="2978"/>
      <c r="S178" s="2978"/>
      <c r="T178" s="2978"/>
      <c r="U178" s="2979"/>
      <c r="V178" s="2979"/>
      <c r="W178" s="2509"/>
    </row>
    <row r="179" ht="18.949999999999999" customHeight="1">
      <c r="G179" s="2641"/>
      <c r="H179" s="2491"/>
      <c r="I179" s="2493"/>
      <c r="J179" s="2493"/>
      <c r="K179" s="2491"/>
      <c r="L179" s="2967"/>
      <c r="P179" s="2493">
        <f t="shared" si="2539"/>
        <v>0</v>
      </c>
      <c r="Q179" s="2968">
        <f t="shared" si="2540"/>
        <v>0</v>
      </c>
      <c r="U179" s="2509">
        <f t="shared" si="2541"/>
        <v>0</v>
      </c>
      <c r="V179" s="2418">
        <f t="shared" si="2536"/>
        <v>0</v>
      </c>
    </row>
    <row r="180">
      <c r="G180" s="2370"/>
      <c r="H180" s="2369"/>
      <c r="J180" s="2575"/>
      <c r="K180" s="2369"/>
      <c r="L180" s="2370"/>
      <c r="P180" s="2493">
        <f t="shared" si="2539"/>
        <v>0</v>
      </c>
      <c r="Q180" s="2968">
        <f t="shared" si="2540"/>
        <v>0</v>
      </c>
      <c r="U180" s="2509">
        <f t="shared" si="2541"/>
        <v>0</v>
      </c>
      <c r="V180" s="2418">
        <f t="shared" si="2536"/>
        <v>0</v>
      </c>
      <c r="W180" s="2418"/>
    </row>
    <row r="181">
      <c r="H181" s="2369"/>
      <c r="W181" s="2418"/>
    </row>
    <row r="182">
      <c r="H182" s="2418"/>
    </row>
    <row r="183" ht="31.5">
      <c r="A183" s="980" t="s">
        <v>938</v>
      </c>
      <c r="Q183" s="2995" t="s">
        <v>176</v>
      </c>
      <c r="R183" s="2996" t="s">
        <v>18</v>
      </c>
      <c r="S183" s="1938" t="s">
        <v>19</v>
      </c>
      <c r="T183" s="1938" t="s">
        <v>20</v>
      </c>
      <c r="U183" s="1953" t="s">
        <v>177</v>
      </c>
      <c r="V183" s="2467" t="s">
        <v>939</v>
      </c>
    </row>
    <row r="184" ht="342.75" customHeight="1">
      <c r="A184" s="2997" t="s">
        <v>940</v>
      </c>
      <c r="B184" s="552"/>
      <c r="C184" s="2998"/>
      <c r="D184" s="2999"/>
      <c r="E184" s="2999"/>
      <c r="F184" s="2999"/>
      <c r="G184" s="2761"/>
      <c r="H184" s="2762"/>
      <c r="I184" s="2762"/>
      <c r="J184" s="2762"/>
      <c r="K184" s="2762"/>
      <c r="L184" s="2761"/>
      <c r="M184" s="2764"/>
      <c r="N184" s="2762"/>
      <c r="O184" s="2762"/>
      <c r="P184" s="2764">
        <f>4022368.99+5214107.16+15910625.83+6939669.02+3816204.61+1825945.62+3915945.89+2099394.02+522.86+2204.17+2480488.48+6020385.74+7465747.23+1035286.93+5750563.74+9511099.96+1606867.88+5789571.34+4309537.16+2823583.99+6344356.42+30988943.46+6738793.41+1064721.22+11586407.25+1086870.35+12054562.88+18494565.47</f>
        <v>178899341.07999998</v>
      </c>
      <c r="Q184" s="3000">
        <f t="shared" si="2540"/>
        <v>178899341.07999998</v>
      </c>
      <c r="R184" s="3000">
        <f>1657334.39+1236225.07+202518.25+1872966+167236.01+816154.5+2858225.01+711759.86+296359.4+579751.78+202705.48+558673.71+187828.53+1264640.59+121321.07+643993.64+114852.41+908869.17+555129+403441.51+2693204.79+635631.6+4522.46+239897.1+574577.13+255840.65+428708.55+867751.49+2040087.85+588541.13+368902.89</f>
        <v>24057651.020000003</v>
      </c>
      <c r="S184" s="3000">
        <f>1859798.63+1245693.97+179098.72+1340939.4+96397.73+3008857.92+834535.9+691114.97+318774.91+584462.92+192680.57+592848.51+175742.41+995133.49+118449.21+624542.6+163225.49+1002760.73+623545.73+343524.43+2466432.41+632443.38+226643.6+277159.74+237212.37+406758.22+803724.23+1971524.02+624884.51+402222.65</f>
        <v>23041133.370000001</v>
      </c>
      <c r="T184" s="3000">
        <f>3259907.83+2029103.59+334784.4+2738812.33+1647740.28+5053707.83+1304509.07+647729.92+1133314.47+341321.73+1099035.58+299568.06+1987444.91+219813.37+1064538.35+171266.45+1576414.53+1062068.35+579444.17+131714.18+1175683.77+435579.59+788605.96+482247.99+864339.1+1329895.51+3377937.62+1097381.9+1002588.92</f>
        <v>37236499.760000005</v>
      </c>
      <c r="U184" s="3001">
        <f t="shared" si="2541"/>
        <v>84335284.150000006</v>
      </c>
      <c r="V184" s="3001">
        <f t="shared" si="2536"/>
        <v>263234625.22999999</v>
      </c>
    </row>
    <row r="185">
      <c r="Q185" s="2968"/>
    </row>
  </sheetData>
  <mergeCells count="51">
    <mergeCell ref="A72:A81"/>
    <mergeCell ref="A83:A84"/>
    <mergeCell ref="AC84:AC85"/>
    <mergeCell ref="A86:A87"/>
    <mergeCell ref="AC87:AC88"/>
    <mergeCell ref="A88:A89"/>
    <mergeCell ref="AC89:AC90"/>
    <mergeCell ref="A61:A62"/>
    <mergeCell ref="A63:A64"/>
    <mergeCell ref="A65:A66"/>
    <mergeCell ref="A67:A68"/>
    <mergeCell ref="AC68:AC69"/>
    <mergeCell ref="A69:A70"/>
    <mergeCell ref="A50:A51"/>
    <mergeCell ref="A52:A53"/>
    <mergeCell ref="A54:A55"/>
    <mergeCell ref="A56:A57"/>
    <mergeCell ref="A58:A59"/>
    <mergeCell ref="A40:A41"/>
    <mergeCell ref="A42:A43"/>
    <mergeCell ref="A44:A45"/>
    <mergeCell ref="A46:A47"/>
    <mergeCell ref="A48:A49"/>
    <mergeCell ref="A30:A31"/>
    <mergeCell ref="A32:A33"/>
    <mergeCell ref="A34:A35"/>
    <mergeCell ref="A36:A37"/>
    <mergeCell ref="A38:A39"/>
    <mergeCell ref="AC19:AC20"/>
    <mergeCell ref="A20:A21"/>
    <mergeCell ref="AC21:AC22"/>
    <mergeCell ref="A22:A23"/>
    <mergeCell ref="A26:A27"/>
    <mergeCell ref="AC27:AC28"/>
    <mergeCell ref="A28:A29"/>
    <mergeCell ref="A2:A5"/>
    <mergeCell ref="BT2:BT3"/>
    <mergeCell ref="BU2:BU3"/>
    <mergeCell ref="D5:V5"/>
    <mergeCell ref="AC7:AC8"/>
    <mergeCell ref="A8:A9"/>
    <mergeCell ref="AC9:AC10"/>
    <mergeCell ref="A10:A11"/>
    <mergeCell ref="AC11:AC12"/>
    <mergeCell ref="A12:A13"/>
    <mergeCell ref="AC13:AC14"/>
    <mergeCell ref="A14:A15"/>
    <mergeCell ref="AC15:AC16"/>
    <mergeCell ref="A16:A17"/>
    <mergeCell ref="AC17:AC18"/>
    <mergeCell ref="A18:A19"/>
  </mergeCells>
  <printOptions headings="0" gridLines="0"/>
  <pageMargins left="0.70866141732283472" right="0.70866141732283472" top="0.54000000000000004" bottom="0.19000000000000003" header="0.31496062992125984" footer="0.31496062992125984"/>
  <pageSetup paperSize="9" scale="10" fitToWidth="1" fitToHeight="0" pageOrder="downThenOver" orientation="landscape" usePrinterDefaults="1" blackAndWhite="0" draft="0" cellComments="none" useFirstPageNumber="0" errors="displayed" horizontalDpi="600" verticalDpi="0" copies="1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 codeName="Лист7">
    <outlinePr applyStyles="0" summaryBelow="1" summaryRight="1" showOutlineSymbols="1"/>
    <pageSetUpPr autoPageBreaks="1" fitToPage="1"/>
  </sheetPr>
  <sheetViews>
    <sheetView zoomScale="70" workbookViewId="0">
      <pane xSplit="1" ySplit="3" topLeftCell="B4" activePane="bottomRight" state="frozen"/>
      <selection activeCell="B4" activeCellId="0" sqref="B4"/>
    </sheetView>
  </sheetViews>
  <sheetFormatPr defaultRowHeight="12.75"/>
  <cols>
    <col customWidth="1" min="1" max="1" width="32"/>
    <col bestFit="1" customWidth="1" min="2" max="2" width="5.28515625"/>
    <col bestFit="1" customWidth="1" min="3" max="3" width="6.5703125"/>
    <col bestFit="1" customWidth="1" min="4" max="4" width="5.28515625"/>
    <col customWidth="1" min="5" max="5" width="6.140625"/>
    <col bestFit="1" customWidth="1" min="6" max="6" width="5.28515625"/>
    <col customWidth="1" min="7" max="7" width="6.5703125"/>
    <col bestFit="1" customWidth="1" min="8" max="8" width="5.28515625"/>
    <col customWidth="1" min="9" max="9" width="7.28515625"/>
    <col bestFit="1" customWidth="1" min="10" max="10" width="5.28515625"/>
    <col customWidth="1" min="11" max="11" width="7"/>
    <col bestFit="1" customWidth="1" min="12" max="12" width="5.28515625"/>
    <col customWidth="1" min="13" max="13" width="7.28515625"/>
    <col bestFit="1" customWidth="1" min="14" max="14" width="5.28515625"/>
    <col customWidth="1" min="15" max="15" width="6.28515625"/>
    <col bestFit="1" customWidth="1" min="16" max="16" width="5.28515625"/>
    <col customWidth="1" min="17" max="17" width="6.42578125"/>
    <col bestFit="1" customWidth="1" min="18" max="18" width="5.28515625"/>
    <col customWidth="1" min="19" max="19" width="7"/>
    <col customWidth="1" min="20" max="20" width="5.28515625"/>
    <col customWidth="1" min="21" max="21" width="6.42578125"/>
    <col customWidth="1" min="22" max="22" width="5.28515625"/>
    <col customWidth="1" min="23" max="23" width="6.7109375"/>
    <col customWidth="1" min="24" max="24" width="5.28515625"/>
    <col customWidth="1" min="25" max="25" width="6.5703125"/>
    <col customWidth="1" min="26" max="26" width="7.7109375"/>
    <col customWidth="1" min="27" max="27" width="9.85546875"/>
    <col customWidth="1" min="31" max="31" width="39.28515625"/>
    <col customWidth="1" min="32" max="32" width="15.28515625"/>
    <col customWidth="1" min="33" max="33" width="16.140625"/>
    <col customWidth="1" min="34" max="34" width="17.140625"/>
    <col customWidth="1" min="35" max="35" width="18.42578125"/>
    <col customWidth="1" min="36" max="36" width="27.5703125"/>
    <col customWidth="1" min="37" max="37" width="29.85546875"/>
    <col customWidth="1" min="38" max="38" width="26.85546875"/>
    <col customWidth="1" min="39" max="39" width="20.7109375"/>
    <col customWidth="1" min="40" max="40" width="20"/>
    <col customWidth="1" min="41" max="41" width="22.85546875"/>
    <col customWidth="1" min="42" max="42" width="21.140625"/>
  </cols>
  <sheetData>
    <row r="1" ht="39.75" customHeight="1">
      <c r="A1" s="3002"/>
    </row>
    <row r="2" ht="15">
      <c r="A2" s="3003" t="s">
        <v>536</v>
      </c>
      <c r="B2" s="3004" t="s">
        <v>6</v>
      </c>
      <c r="C2" s="3005"/>
      <c r="D2" s="3004" t="s">
        <v>7</v>
      </c>
      <c r="E2" s="3006"/>
      <c r="F2" s="3007" t="s">
        <v>8</v>
      </c>
      <c r="G2" s="3008"/>
      <c r="H2" s="3007" t="s">
        <v>10</v>
      </c>
      <c r="I2" s="3008"/>
      <c r="J2" s="3007" t="s">
        <v>11</v>
      </c>
      <c r="K2" s="3008"/>
      <c r="L2" s="3007" t="s">
        <v>12</v>
      </c>
      <c r="M2" s="3008"/>
      <c r="N2" s="3009" t="s">
        <v>14</v>
      </c>
      <c r="O2" s="3010"/>
      <c r="P2" s="3007" t="s">
        <v>15</v>
      </c>
      <c r="Q2" s="3008"/>
      <c r="R2" s="3009" t="s">
        <v>16</v>
      </c>
      <c r="S2" s="3010"/>
      <c r="T2" s="3007" t="s">
        <v>18</v>
      </c>
      <c r="U2" s="3008"/>
      <c r="V2" s="3009" t="s">
        <v>19</v>
      </c>
      <c r="W2" s="3010"/>
      <c r="X2" s="3007" t="s">
        <v>788</v>
      </c>
      <c r="Y2" s="3008"/>
      <c r="Z2" s="3009" t="s">
        <v>22</v>
      </c>
      <c r="AA2" s="3008"/>
    </row>
    <row r="3">
      <c r="A3" s="3011"/>
      <c r="B3" s="3012"/>
      <c r="C3" s="3013" t="s">
        <v>311</v>
      </c>
      <c r="D3" s="3012"/>
      <c r="E3" s="3014" t="s">
        <v>311</v>
      </c>
      <c r="F3" s="3015"/>
      <c r="G3" s="3016" t="s">
        <v>311</v>
      </c>
      <c r="H3" s="3015"/>
      <c r="I3" s="3016" t="s">
        <v>311</v>
      </c>
      <c r="J3" s="3015"/>
      <c r="K3" s="3016" t="s">
        <v>311</v>
      </c>
      <c r="L3" s="3015"/>
      <c r="M3" s="3016" t="s">
        <v>311</v>
      </c>
      <c r="N3" s="3017"/>
      <c r="O3" s="3018" t="s">
        <v>311</v>
      </c>
      <c r="P3" s="3015"/>
      <c r="Q3" s="3016" t="s">
        <v>311</v>
      </c>
      <c r="R3" s="3017"/>
      <c r="S3" s="3018" t="s">
        <v>311</v>
      </c>
      <c r="T3" s="3015"/>
      <c r="U3" s="3016" t="s">
        <v>311</v>
      </c>
      <c r="V3" s="3017"/>
      <c r="W3" s="3018" t="s">
        <v>311</v>
      </c>
      <c r="X3" s="3015"/>
      <c r="Y3" s="3016" t="s">
        <v>311</v>
      </c>
      <c r="Z3" s="3019"/>
      <c r="AA3" s="3020" t="s">
        <v>311</v>
      </c>
    </row>
    <row r="4" s="2371" customFormat="1">
      <c r="A4" s="3021"/>
      <c r="B4" s="2541"/>
      <c r="C4" s="2541"/>
      <c r="D4" s="3022"/>
      <c r="E4" s="3022"/>
      <c r="F4" s="3023"/>
      <c r="G4" s="3023"/>
      <c r="H4" s="3023"/>
      <c r="I4" s="3023"/>
      <c r="J4" s="3023"/>
      <c r="K4" s="3023"/>
      <c r="L4" s="3022"/>
      <c r="M4" s="3022"/>
      <c r="N4" s="3023"/>
      <c r="O4" s="3023"/>
      <c r="P4" s="3023"/>
      <c r="Q4" s="3023"/>
      <c r="R4" s="3023"/>
      <c r="S4" s="3023"/>
      <c r="T4" s="3023"/>
      <c r="U4" s="3023"/>
      <c r="V4" s="3023"/>
      <c r="W4" s="3023"/>
      <c r="X4" s="3023"/>
      <c r="Y4" s="3023"/>
      <c r="Z4" s="2541"/>
      <c r="AA4" s="2541"/>
    </row>
    <row r="5">
      <c r="D5" s="2368"/>
      <c r="E5" s="2368"/>
      <c r="F5" s="2368"/>
      <c r="G5" s="2368"/>
      <c r="H5" s="2368"/>
      <c r="I5" s="2368"/>
      <c r="J5" s="2368"/>
      <c r="K5" s="2368"/>
      <c r="L5" s="2368"/>
      <c r="M5" s="2368"/>
      <c r="N5" s="2368"/>
      <c r="O5" s="2368"/>
      <c r="P5" s="2368"/>
      <c r="Q5" s="2368"/>
      <c r="R5" s="2368"/>
      <c r="S5" s="2368"/>
      <c r="T5" s="2368"/>
      <c r="U5" s="2368"/>
      <c r="V5" s="2368"/>
      <c r="W5" s="2368"/>
      <c r="X5" s="2368"/>
      <c r="Y5" s="2368"/>
    </row>
    <row r="6">
      <c r="D6" s="2368"/>
      <c r="E6" s="2368"/>
      <c r="F6" s="2368"/>
      <c r="G6" s="2368"/>
      <c r="H6" s="2368"/>
      <c r="I6" s="2368"/>
      <c r="J6" s="2368"/>
      <c r="K6" s="2368"/>
      <c r="L6" s="2368"/>
      <c r="M6" s="2368"/>
      <c r="N6" s="2368"/>
      <c r="O6" s="2368"/>
      <c r="P6" s="2368"/>
      <c r="Q6" s="2368"/>
      <c r="R6" s="2368"/>
      <c r="S6" s="2368"/>
      <c r="T6" s="2368"/>
      <c r="U6" s="2368"/>
      <c r="V6" s="2368"/>
      <c r="W6" s="2368"/>
      <c r="X6" s="2368"/>
      <c r="Y6" s="2368"/>
    </row>
    <row r="7" ht="39.75" customHeight="1">
      <c r="A7" s="3002" t="s">
        <v>941</v>
      </c>
      <c r="D7" s="2368"/>
      <c r="E7" s="2368"/>
      <c r="F7" s="2368"/>
      <c r="G7" s="2368"/>
      <c r="H7" s="2368"/>
      <c r="I7" s="2368"/>
      <c r="J7" s="2368"/>
      <c r="K7" s="2368"/>
      <c r="L7" s="2368"/>
      <c r="M7" s="2368"/>
      <c r="N7" s="2368"/>
      <c r="O7" s="2368"/>
      <c r="P7" s="2368"/>
      <c r="Q7" s="2368"/>
      <c r="R7" s="2368"/>
      <c r="S7" s="2368"/>
      <c r="T7" s="2368"/>
      <c r="U7" s="2368"/>
      <c r="V7" s="2368"/>
      <c r="W7" s="2368"/>
      <c r="X7" s="2368"/>
      <c r="Y7" s="2368"/>
    </row>
    <row r="8" ht="15">
      <c r="A8" s="3024" t="s">
        <v>536</v>
      </c>
      <c r="B8" s="3004" t="s">
        <v>6</v>
      </c>
      <c r="C8" s="3005"/>
      <c r="D8" s="3004" t="s">
        <v>7</v>
      </c>
      <c r="E8" s="3006"/>
      <c r="F8" s="3007" t="s">
        <v>8</v>
      </c>
      <c r="G8" s="3008"/>
      <c r="H8" s="3007" t="s">
        <v>10</v>
      </c>
      <c r="I8" s="3008"/>
      <c r="J8" s="3007" t="s">
        <v>11</v>
      </c>
      <c r="K8" s="3008"/>
      <c r="L8" s="3007" t="s">
        <v>12</v>
      </c>
      <c r="M8" s="3008"/>
      <c r="N8" s="3009" t="s">
        <v>14</v>
      </c>
      <c r="O8" s="3010"/>
      <c r="P8" s="3007" t="s">
        <v>15</v>
      </c>
      <c r="Q8" s="3008"/>
      <c r="R8" s="3009" t="s">
        <v>16</v>
      </c>
      <c r="S8" s="3010"/>
      <c r="T8" s="3007" t="s">
        <v>18</v>
      </c>
      <c r="U8" s="3008"/>
      <c r="V8" s="3009" t="s">
        <v>19</v>
      </c>
      <c r="W8" s="3010"/>
      <c r="X8" s="3007" t="s">
        <v>788</v>
      </c>
      <c r="Y8" s="3008"/>
      <c r="Z8" s="3009" t="s">
        <v>22</v>
      </c>
      <c r="AA8" s="3008"/>
    </row>
    <row r="9">
      <c r="A9" s="3025"/>
      <c r="B9" s="3026" t="s">
        <v>127</v>
      </c>
      <c r="C9" s="3027" t="s">
        <v>311</v>
      </c>
      <c r="D9" s="3026" t="s">
        <v>127</v>
      </c>
      <c r="E9" s="3028" t="s">
        <v>311</v>
      </c>
      <c r="F9" s="3029" t="s">
        <v>127</v>
      </c>
      <c r="G9" s="3030" t="s">
        <v>311</v>
      </c>
      <c r="H9" s="3029" t="s">
        <v>127</v>
      </c>
      <c r="I9" s="3030" t="s">
        <v>311</v>
      </c>
      <c r="J9" s="3029" t="s">
        <v>127</v>
      </c>
      <c r="K9" s="3030" t="s">
        <v>311</v>
      </c>
      <c r="L9" s="3029" t="s">
        <v>127</v>
      </c>
      <c r="M9" s="3030" t="s">
        <v>311</v>
      </c>
      <c r="N9" s="3031" t="s">
        <v>127</v>
      </c>
      <c r="O9" s="3032" t="s">
        <v>311</v>
      </c>
      <c r="P9" s="3029" t="s">
        <v>127</v>
      </c>
      <c r="Q9" s="3030" t="s">
        <v>311</v>
      </c>
      <c r="R9" s="3031" t="s">
        <v>127</v>
      </c>
      <c r="S9" s="3032" t="s">
        <v>311</v>
      </c>
      <c r="T9" s="3029" t="s">
        <v>127</v>
      </c>
      <c r="U9" s="3030" t="s">
        <v>311</v>
      </c>
      <c r="V9" s="3031" t="s">
        <v>127</v>
      </c>
      <c r="W9" s="3032" t="s">
        <v>311</v>
      </c>
      <c r="X9" s="3029" t="s">
        <v>127</v>
      </c>
      <c r="Y9" s="3030" t="s">
        <v>311</v>
      </c>
      <c r="Z9" s="3031" t="s">
        <v>127</v>
      </c>
      <c r="AA9" s="3030" t="s">
        <v>311</v>
      </c>
    </row>
    <row r="10">
      <c r="A10" s="3033" t="s">
        <v>942</v>
      </c>
      <c r="B10" s="3034"/>
      <c r="C10" s="3035"/>
      <c r="D10" s="3036"/>
      <c r="E10" s="3037"/>
      <c r="F10" s="3036"/>
      <c r="G10" s="3037"/>
      <c r="H10" s="3036"/>
      <c r="I10" s="3037"/>
      <c r="J10" s="3036"/>
      <c r="K10" s="3037"/>
      <c r="L10" s="3036"/>
      <c r="M10" s="3037"/>
      <c r="N10" s="3038"/>
      <c r="O10" s="3039"/>
      <c r="P10" s="3036"/>
      <c r="Q10" s="3037"/>
      <c r="R10" s="3038"/>
      <c r="S10" s="3039"/>
      <c r="T10" s="3036"/>
      <c r="U10" s="3037"/>
      <c r="V10" s="3038"/>
      <c r="W10" s="3039"/>
      <c r="X10" s="3036"/>
      <c r="Y10" s="3037"/>
      <c r="Z10" s="3040">
        <f t="shared" ref="Z10:AA56" si="2542">X10+V10+T10+R10+P10+N10+L10+J10+H10+F10+D10+B10</f>
        <v>0</v>
      </c>
      <c r="AA10" s="3041">
        <f>Y10+W10+U10+S10+Q10+O10+M10+K10+I10+G10+E10+C10</f>
        <v>0</v>
      </c>
    </row>
    <row r="11" ht="15.75" customHeight="1">
      <c r="A11" s="3033" t="s">
        <v>943</v>
      </c>
      <c r="B11" s="3042"/>
      <c r="C11" s="3043"/>
      <c r="D11" s="3026"/>
      <c r="E11" s="3028"/>
      <c r="F11" s="3026"/>
      <c r="G11" s="3028"/>
      <c r="H11" s="3026"/>
      <c r="I11" s="3028"/>
      <c r="J11" s="3026"/>
      <c r="K11" s="3028"/>
      <c r="L11" s="3026"/>
      <c r="M11" s="3028"/>
      <c r="N11" s="3044"/>
      <c r="O11" s="3027"/>
      <c r="P11" s="3026"/>
      <c r="Q11" s="3028"/>
      <c r="R11" s="3044"/>
      <c r="S11" s="3027"/>
      <c r="T11" s="3026"/>
      <c r="U11" s="3028"/>
      <c r="V11" s="3044"/>
      <c r="W11" s="3027"/>
      <c r="X11" s="3026"/>
      <c r="Y11" s="3028"/>
      <c r="Z11" s="3045">
        <f t="shared" si="2542"/>
        <v>0</v>
      </c>
      <c r="AA11" s="3046">
        <f t="shared" si="2542"/>
        <v>0</v>
      </c>
    </row>
    <row r="12">
      <c r="A12" s="3033" t="s">
        <v>944</v>
      </c>
      <c r="B12" s="3042"/>
      <c r="C12" s="3043"/>
      <c r="D12" s="3026"/>
      <c r="E12" s="3028"/>
      <c r="F12" s="3026"/>
      <c r="G12" s="3028"/>
      <c r="H12" s="3026"/>
      <c r="I12" s="3028"/>
      <c r="J12" s="3026"/>
      <c r="K12" s="3028"/>
      <c r="L12" s="3026"/>
      <c r="M12" s="3028"/>
      <c r="N12" s="3044"/>
      <c r="O12" s="3027"/>
      <c r="P12" s="3026"/>
      <c r="Q12" s="3028"/>
      <c r="R12" s="3044"/>
      <c r="S12" s="3027"/>
      <c r="T12" s="3026"/>
      <c r="U12" s="3028"/>
      <c r="V12" s="3044"/>
      <c r="W12" s="3027"/>
      <c r="X12" s="3026"/>
      <c r="Y12" s="3028"/>
      <c r="Z12" s="3045">
        <f t="shared" si="2542"/>
        <v>0</v>
      </c>
      <c r="AA12" s="3046">
        <f t="shared" si="2542"/>
        <v>0</v>
      </c>
    </row>
    <row r="13" ht="14.25" customHeight="1">
      <c r="A13" s="3033" t="s">
        <v>945</v>
      </c>
      <c r="B13" s="3042"/>
      <c r="C13" s="3043"/>
      <c r="D13" s="3026"/>
      <c r="E13" s="3028"/>
      <c r="F13" s="3026"/>
      <c r="G13" s="3028"/>
      <c r="H13" s="3026"/>
      <c r="I13" s="3028"/>
      <c r="J13" s="3026"/>
      <c r="K13" s="3028"/>
      <c r="L13" s="3026"/>
      <c r="M13" s="3028"/>
      <c r="N13" s="3044"/>
      <c r="O13" s="3027"/>
      <c r="P13" s="3026"/>
      <c r="Q13" s="3028"/>
      <c r="R13" s="3044"/>
      <c r="S13" s="3027"/>
      <c r="T13" s="3026"/>
      <c r="U13" s="3028"/>
      <c r="V13" s="3044"/>
      <c r="W13" s="3027"/>
      <c r="X13" s="3026"/>
      <c r="Y13" s="3028"/>
      <c r="Z13" s="3045">
        <f t="shared" si="2542"/>
        <v>0</v>
      </c>
      <c r="AA13" s="3046">
        <f t="shared" si="2542"/>
        <v>0</v>
      </c>
    </row>
    <row r="14">
      <c r="A14" s="3033" t="s">
        <v>946</v>
      </c>
      <c r="B14" s="3042"/>
      <c r="C14" s="3043"/>
      <c r="D14" s="3026"/>
      <c r="E14" s="3028"/>
      <c r="F14" s="3026"/>
      <c r="G14" s="3028"/>
      <c r="H14" s="3026"/>
      <c r="I14" s="3028"/>
      <c r="J14" s="3026"/>
      <c r="K14" s="3028"/>
      <c r="L14" s="3026"/>
      <c r="M14" s="3028"/>
      <c r="N14" s="3044"/>
      <c r="O14" s="3027"/>
      <c r="P14" s="3026"/>
      <c r="Q14" s="3028"/>
      <c r="R14" s="3044"/>
      <c r="S14" s="3027"/>
      <c r="T14" s="3026"/>
      <c r="U14" s="3028"/>
      <c r="V14" s="3044"/>
      <c r="W14" s="3027"/>
      <c r="X14" s="3026"/>
      <c r="Y14" s="3028"/>
      <c r="Z14" s="3045">
        <f t="shared" si="2542"/>
        <v>0</v>
      </c>
      <c r="AA14" s="3046">
        <f t="shared" si="2542"/>
        <v>0</v>
      </c>
    </row>
    <row r="15">
      <c r="A15" s="3047" t="s">
        <v>947</v>
      </c>
      <c r="B15" s="3042"/>
      <c r="C15" s="3043"/>
      <c r="D15" s="3026"/>
      <c r="E15" s="3028"/>
      <c r="F15" s="3026"/>
      <c r="G15" s="3028"/>
      <c r="H15" s="3026"/>
      <c r="I15" s="3028"/>
      <c r="J15" s="3026"/>
      <c r="K15" s="3028"/>
      <c r="L15" s="3026"/>
      <c r="M15" s="3028"/>
      <c r="N15" s="3044"/>
      <c r="O15" s="3027"/>
      <c r="P15" s="3026"/>
      <c r="Q15" s="3028"/>
      <c r="R15" s="3044"/>
      <c r="S15" s="3027"/>
      <c r="T15" s="3026"/>
      <c r="U15" s="3028"/>
      <c r="V15" s="3044"/>
      <c r="W15" s="3027"/>
      <c r="X15" s="3026"/>
      <c r="Y15" s="3028"/>
      <c r="Z15" s="3045">
        <f t="shared" si="2542"/>
        <v>0</v>
      </c>
      <c r="AA15" s="3046">
        <f t="shared" ref="AA15:AA16" si="2543">Y15+W15+U15+S15+Q15+O15+M15+K15+I15+G15+E15+C15</f>
        <v>0</v>
      </c>
    </row>
    <row r="16">
      <c r="A16" s="3047" t="s">
        <v>948</v>
      </c>
      <c r="B16" s="3042"/>
      <c r="C16" s="3043"/>
      <c r="D16" s="3026"/>
      <c r="E16" s="3028"/>
      <c r="F16" s="3026"/>
      <c r="G16" s="3028"/>
      <c r="H16" s="3026"/>
      <c r="I16" s="3028"/>
      <c r="J16" s="3026"/>
      <c r="K16" s="3028"/>
      <c r="L16" s="3026"/>
      <c r="M16" s="3028"/>
      <c r="N16" s="3044"/>
      <c r="O16" s="3027"/>
      <c r="P16" s="3026"/>
      <c r="Q16" s="3028"/>
      <c r="R16" s="3044"/>
      <c r="S16" s="3027"/>
      <c r="T16" s="3026"/>
      <c r="U16" s="3028"/>
      <c r="V16" s="3044"/>
      <c r="W16" s="3027"/>
      <c r="X16" s="3026"/>
      <c r="Y16" s="3028"/>
      <c r="Z16" s="3045">
        <f t="shared" si="2542"/>
        <v>0</v>
      </c>
      <c r="AA16" s="3046">
        <f t="shared" si="2543"/>
        <v>0</v>
      </c>
    </row>
    <row r="17">
      <c r="A17" s="3033" t="s">
        <v>949</v>
      </c>
      <c r="B17" s="3042"/>
      <c r="C17" s="3043"/>
      <c r="D17" s="3026"/>
      <c r="E17" s="3028"/>
      <c r="F17" s="3026"/>
      <c r="G17" s="3028"/>
      <c r="H17" s="3026"/>
      <c r="I17" s="3028"/>
      <c r="J17" s="3026"/>
      <c r="K17" s="3028"/>
      <c r="L17" s="3026"/>
      <c r="M17" s="3028"/>
      <c r="N17" s="3044"/>
      <c r="O17" s="3027"/>
      <c r="P17" s="3026"/>
      <c r="Q17" s="3028"/>
      <c r="R17" s="3044"/>
      <c r="S17" s="3027"/>
      <c r="T17" s="3026"/>
      <c r="U17" s="3028"/>
      <c r="V17" s="3044"/>
      <c r="W17" s="3027"/>
      <c r="X17" s="3026"/>
      <c r="Y17" s="3028"/>
      <c r="Z17" s="3045">
        <f t="shared" si="2542"/>
        <v>0</v>
      </c>
      <c r="AA17" s="3046">
        <f t="shared" si="2542"/>
        <v>0</v>
      </c>
    </row>
    <row r="18">
      <c r="A18" s="3033" t="s">
        <v>950</v>
      </c>
      <c r="B18" s="3042"/>
      <c r="C18" s="3043"/>
      <c r="D18" s="3026"/>
      <c r="E18" s="3028"/>
      <c r="F18" s="3026"/>
      <c r="G18" s="3028"/>
      <c r="H18" s="3026"/>
      <c r="I18" s="3028"/>
      <c r="J18" s="3026"/>
      <c r="K18" s="3028"/>
      <c r="L18" s="3026"/>
      <c r="M18" s="3028"/>
      <c r="N18" s="3044"/>
      <c r="O18" s="3027"/>
      <c r="P18" s="3026"/>
      <c r="Q18" s="3028"/>
      <c r="R18" s="3044"/>
      <c r="S18" s="3027"/>
      <c r="T18" s="3026"/>
      <c r="U18" s="3028"/>
      <c r="V18" s="3044"/>
      <c r="W18" s="3027"/>
      <c r="X18" s="3026"/>
      <c r="Y18" s="3028"/>
      <c r="Z18" s="3045">
        <f t="shared" si="2542"/>
        <v>0</v>
      </c>
      <c r="AA18" s="3046">
        <f t="shared" si="2542"/>
        <v>0</v>
      </c>
    </row>
    <row r="19">
      <c r="A19" s="3033" t="s">
        <v>951</v>
      </c>
      <c r="B19" s="3042"/>
      <c r="C19" s="3043"/>
      <c r="D19" s="3026"/>
      <c r="E19" s="3028"/>
      <c r="F19" s="3026"/>
      <c r="G19" s="3028"/>
      <c r="H19" s="3026"/>
      <c r="I19" s="3028"/>
      <c r="J19" s="3026"/>
      <c r="K19" s="3028"/>
      <c r="L19" s="3026"/>
      <c r="M19" s="3028"/>
      <c r="N19" s="3044"/>
      <c r="O19" s="3027"/>
      <c r="P19" s="3026"/>
      <c r="Q19" s="3028"/>
      <c r="R19" s="3044"/>
      <c r="S19" s="3027"/>
      <c r="T19" s="3026"/>
      <c r="U19" s="3028"/>
      <c r="V19" s="3044"/>
      <c r="W19" s="3027"/>
      <c r="X19" s="3026"/>
      <c r="Y19" s="3028"/>
      <c r="Z19" s="3045">
        <f t="shared" si="2542"/>
        <v>0</v>
      </c>
      <c r="AA19" s="3046">
        <f t="shared" si="2542"/>
        <v>0</v>
      </c>
    </row>
    <row r="20">
      <c r="A20" s="3033" t="s">
        <v>952</v>
      </c>
      <c r="B20" s="3042"/>
      <c r="C20" s="3043"/>
      <c r="D20" s="3026"/>
      <c r="E20" s="3028"/>
      <c r="F20" s="3026"/>
      <c r="G20" s="3028"/>
      <c r="H20" s="3026"/>
      <c r="I20" s="3028"/>
      <c r="J20" s="3026"/>
      <c r="K20" s="3028"/>
      <c r="L20" s="3026"/>
      <c r="M20" s="3028"/>
      <c r="N20" s="3044"/>
      <c r="O20" s="3027"/>
      <c r="P20" s="3026"/>
      <c r="Q20" s="3028"/>
      <c r="R20" s="3044"/>
      <c r="S20" s="3027"/>
      <c r="T20" s="3026"/>
      <c r="U20" s="3028"/>
      <c r="V20" s="3044"/>
      <c r="W20" s="3027"/>
      <c r="X20" s="3026"/>
      <c r="Y20" s="3028"/>
      <c r="Z20" s="3045">
        <f t="shared" si="2542"/>
        <v>0</v>
      </c>
      <c r="AA20" s="3046">
        <f>Y20+W20+U20+S20+Q20+O20+M20+K20+I20+G20+E20+C20</f>
        <v>0</v>
      </c>
    </row>
    <row r="21">
      <c r="A21" s="3033" t="s">
        <v>953</v>
      </c>
      <c r="B21" s="3042"/>
      <c r="C21" s="3043"/>
      <c r="D21" s="3026"/>
      <c r="E21" s="3028"/>
      <c r="F21" s="3026"/>
      <c r="G21" s="3028"/>
      <c r="H21" s="3026"/>
      <c r="I21" s="3028"/>
      <c r="J21" s="3026"/>
      <c r="K21" s="3028"/>
      <c r="L21" s="3026"/>
      <c r="M21" s="3028"/>
      <c r="N21" s="3044"/>
      <c r="O21" s="3027"/>
      <c r="P21" s="3026"/>
      <c r="Q21" s="3028"/>
      <c r="R21" s="3044"/>
      <c r="S21" s="3027"/>
      <c r="T21" s="3026"/>
      <c r="U21" s="3028"/>
      <c r="V21" s="3044"/>
      <c r="W21" s="3027"/>
      <c r="X21" s="3026"/>
      <c r="Y21" s="3028"/>
      <c r="Z21" s="3045">
        <f t="shared" si="2542"/>
        <v>0</v>
      </c>
      <c r="AA21" s="3046">
        <f t="shared" si="2542"/>
        <v>0</v>
      </c>
    </row>
    <row r="22">
      <c r="A22" s="3033" t="s">
        <v>954</v>
      </c>
      <c r="B22" s="3042">
        <v>6</v>
      </c>
      <c r="C22" s="3043">
        <v>0</v>
      </c>
      <c r="D22" s="3026">
        <v>6</v>
      </c>
      <c r="E22" s="3028">
        <v>0</v>
      </c>
      <c r="F22" s="3026"/>
      <c r="G22" s="3028"/>
      <c r="H22" s="3026"/>
      <c r="I22" s="3028"/>
      <c r="J22" s="3026"/>
      <c r="K22" s="3028"/>
      <c r="L22" s="3026"/>
      <c r="M22" s="3028"/>
      <c r="N22" s="3044"/>
      <c r="O22" s="3027"/>
      <c r="P22" s="3026"/>
      <c r="Q22" s="3028"/>
      <c r="R22" s="3044"/>
      <c r="S22" s="3027"/>
      <c r="T22" s="3026"/>
      <c r="U22" s="3028"/>
      <c r="V22" s="3044"/>
      <c r="W22" s="3027"/>
      <c r="X22" s="3026"/>
      <c r="Y22" s="3028"/>
      <c r="Z22" s="3045">
        <f t="shared" si="2542"/>
        <v>12</v>
      </c>
      <c r="AA22" s="3046">
        <f t="shared" si="2542"/>
        <v>0</v>
      </c>
    </row>
    <row r="23">
      <c r="A23" s="3033" t="s">
        <v>955</v>
      </c>
      <c r="B23" s="3042"/>
      <c r="C23" s="3043"/>
      <c r="D23" s="3026"/>
      <c r="E23" s="3028"/>
      <c r="F23" s="3026"/>
      <c r="G23" s="3028"/>
      <c r="H23" s="3026"/>
      <c r="I23" s="3028"/>
      <c r="J23" s="3026"/>
      <c r="K23" s="3028"/>
      <c r="L23" s="3026"/>
      <c r="M23" s="3028"/>
      <c r="N23" s="3044"/>
      <c r="O23" s="3027"/>
      <c r="P23" s="3026"/>
      <c r="Q23" s="3028"/>
      <c r="R23" s="3044"/>
      <c r="S23" s="3027"/>
      <c r="T23" s="3026"/>
      <c r="U23" s="3028"/>
      <c r="V23" s="3044"/>
      <c r="W23" s="3027"/>
      <c r="X23" s="3026"/>
      <c r="Y23" s="3028"/>
      <c r="Z23" s="3045">
        <f t="shared" si="2542"/>
        <v>0</v>
      </c>
      <c r="AA23" s="3046">
        <f t="shared" si="2542"/>
        <v>0</v>
      </c>
    </row>
    <row r="24">
      <c r="A24" s="3048" t="s">
        <v>956</v>
      </c>
      <c r="B24" s="3042"/>
      <c r="C24" s="3049"/>
      <c r="D24" s="3026"/>
      <c r="E24" s="3050"/>
      <c r="F24" s="3026"/>
      <c r="G24" s="3050"/>
      <c r="H24" s="3026"/>
      <c r="I24" s="3050"/>
      <c r="J24" s="3026"/>
      <c r="K24" s="3050"/>
      <c r="L24" s="3026"/>
      <c r="M24" s="3050"/>
      <c r="N24" s="3044"/>
      <c r="O24" s="3051"/>
      <c r="P24" s="3026"/>
      <c r="Q24" s="3050"/>
      <c r="R24" s="3044"/>
      <c r="S24" s="3051"/>
      <c r="T24" s="3026"/>
      <c r="U24" s="3050"/>
      <c r="V24" s="3044"/>
      <c r="W24" s="3051"/>
      <c r="X24" s="3026"/>
      <c r="Y24" s="3050"/>
      <c r="Z24" s="3045">
        <f t="shared" si="2542"/>
        <v>0</v>
      </c>
      <c r="AA24" s="3046">
        <f t="shared" si="2542"/>
        <v>0</v>
      </c>
    </row>
    <row r="25" ht="15" customHeight="1">
      <c r="A25" s="3033" t="s">
        <v>957</v>
      </c>
      <c r="B25" s="3042"/>
      <c r="C25" s="3043">
        <f>10+8</f>
        <v>18</v>
      </c>
      <c r="D25" s="3026"/>
      <c r="E25" s="3028">
        <f>9+3</f>
        <v>12</v>
      </c>
      <c r="F25" s="3026"/>
      <c r="G25" s="3028"/>
      <c r="H25" s="3026"/>
      <c r="I25" s="3028"/>
      <c r="J25" s="3026"/>
      <c r="K25" s="3028"/>
      <c r="L25" s="3026"/>
      <c r="M25" s="3028"/>
      <c r="N25" s="3044"/>
      <c r="O25" s="3027"/>
      <c r="P25" s="3026"/>
      <c r="Q25" s="3028"/>
      <c r="R25" s="3044"/>
      <c r="S25" s="3027"/>
      <c r="T25" s="3026"/>
      <c r="U25" s="3028"/>
      <c r="V25" s="3044"/>
      <c r="W25" s="3027"/>
      <c r="X25" s="3026"/>
      <c r="Y25" s="3028"/>
      <c r="Z25" s="3045">
        <f t="shared" si="2542"/>
        <v>0</v>
      </c>
      <c r="AA25" s="3046">
        <f t="shared" si="2542"/>
        <v>30</v>
      </c>
    </row>
    <row r="26">
      <c r="A26" s="3033" t="s">
        <v>958</v>
      </c>
      <c r="B26" s="3042"/>
      <c r="C26" s="3043">
        <v>3</v>
      </c>
      <c r="D26" s="3026"/>
      <c r="E26" s="3028"/>
      <c r="F26" s="3026"/>
      <c r="G26" s="3028"/>
      <c r="H26" s="3026"/>
      <c r="I26" s="3028"/>
      <c r="J26" s="3026"/>
      <c r="K26" s="3028"/>
      <c r="L26" s="3026"/>
      <c r="M26" s="3028"/>
      <c r="N26" s="3044"/>
      <c r="O26" s="3027"/>
      <c r="P26" s="3026"/>
      <c r="Q26" s="3028"/>
      <c r="R26" s="3044"/>
      <c r="S26" s="3027"/>
      <c r="T26" s="3026"/>
      <c r="U26" s="3028"/>
      <c r="V26" s="3044"/>
      <c r="W26" s="3027"/>
      <c r="X26" s="3026"/>
      <c r="Y26" s="3028"/>
      <c r="Z26" s="3045">
        <f t="shared" si="2542"/>
        <v>0</v>
      </c>
      <c r="AA26" s="3046">
        <f t="shared" si="2542"/>
        <v>3</v>
      </c>
    </row>
    <row r="27">
      <c r="A27" s="3033" t="s">
        <v>959</v>
      </c>
      <c r="B27" s="3042">
        <v>1</v>
      </c>
      <c r="C27" s="3043">
        <v>4</v>
      </c>
      <c r="D27" s="3026"/>
      <c r="E27" s="3028">
        <v>170</v>
      </c>
      <c r="F27" s="3026"/>
      <c r="G27" s="3028"/>
      <c r="H27" s="3026"/>
      <c r="I27" s="3028"/>
      <c r="J27" s="3026"/>
      <c r="K27" s="3028"/>
      <c r="L27" s="3026"/>
      <c r="M27" s="3028"/>
      <c r="N27" s="3044"/>
      <c r="O27" s="3027"/>
      <c r="P27" s="3026"/>
      <c r="Q27" s="3028"/>
      <c r="R27" s="3044"/>
      <c r="S27" s="3027"/>
      <c r="T27" s="3026"/>
      <c r="U27" s="3028"/>
      <c r="V27" s="3044"/>
      <c r="W27" s="3027"/>
      <c r="X27" s="3026"/>
      <c r="Y27" s="3028"/>
      <c r="Z27" s="3045">
        <f t="shared" si="2542"/>
        <v>1</v>
      </c>
      <c r="AA27" s="3046">
        <f t="shared" si="2542"/>
        <v>174</v>
      </c>
    </row>
    <row r="28">
      <c r="A28" s="3033" t="s">
        <v>960</v>
      </c>
      <c r="B28" s="3042"/>
      <c r="C28" s="3043"/>
      <c r="D28" s="3026">
        <v>0</v>
      </c>
      <c r="E28" s="3028">
        <v>1</v>
      </c>
      <c r="F28" s="3026"/>
      <c r="G28" s="3028"/>
      <c r="H28" s="3026"/>
      <c r="I28" s="3028"/>
      <c r="J28" s="3026"/>
      <c r="K28" s="3028"/>
      <c r="L28" s="3026"/>
      <c r="M28" s="3028"/>
      <c r="N28" s="3044"/>
      <c r="O28" s="3027"/>
      <c r="P28" s="3026"/>
      <c r="Q28" s="3028"/>
      <c r="R28" s="3044"/>
      <c r="S28" s="3027"/>
      <c r="T28" s="3026"/>
      <c r="U28" s="3028"/>
      <c r="V28" s="3044"/>
      <c r="W28" s="3027"/>
      <c r="X28" s="3026"/>
      <c r="Y28" s="3028"/>
      <c r="Z28" s="3045">
        <f t="shared" si="2542"/>
        <v>0</v>
      </c>
      <c r="AA28" s="3046">
        <f t="shared" si="2542"/>
        <v>1</v>
      </c>
    </row>
    <row r="29">
      <c r="A29" s="3033" t="s">
        <v>961</v>
      </c>
      <c r="B29" s="3042">
        <v>0</v>
      </c>
      <c r="C29" s="3043">
        <v>58</v>
      </c>
      <c r="D29" s="3026">
        <v>10</v>
      </c>
      <c r="E29" s="3028">
        <f>2+3</f>
        <v>5</v>
      </c>
      <c r="F29" s="3026"/>
      <c r="G29" s="3028"/>
      <c r="H29" s="3026"/>
      <c r="I29" s="3028"/>
      <c r="J29" s="3026"/>
      <c r="K29" s="3028"/>
      <c r="L29" s="3026"/>
      <c r="M29" s="3028"/>
      <c r="N29" s="3044"/>
      <c r="O29" s="3027"/>
      <c r="P29" s="3026"/>
      <c r="Q29" s="3028"/>
      <c r="R29" s="3044"/>
      <c r="S29" s="3027"/>
      <c r="T29" s="3026"/>
      <c r="U29" s="3028"/>
      <c r="V29" s="3044"/>
      <c r="W29" s="3027"/>
      <c r="X29" s="3026"/>
      <c r="Y29" s="3028"/>
      <c r="Z29" s="3045">
        <f t="shared" si="2542"/>
        <v>10</v>
      </c>
      <c r="AA29" s="3046">
        <f t="shared" si="2542"/>
        <v>63</v>
      </c>
    </row>
    <row r="30">
      <c r="A30" s="3033" t="s">
        <v>962</v>
      </c>
      <c r="B30" s="3042"/>
      <c r="C30" s="3043"/>
      <c r="D30" s="3026"/>
      <c r="E30" s="3028"/>
      <c r="F30" s="3026"/>
      <c r="G30" s="3028"/>
      <c r="H30" s="3026"/>
      <c r="I30" s="3028"/>
      <c r="J30" s="3026"/>
      <c r="K30" s="3028"/>
      <c r="L30" s="3026"/>
      <c r="M30" s="3028"/>
      <c r="N30" s="3044"/>
      <c r="O30" s="3027"/>
      <c r="P30" s="3026"/>
      <c r="Q30" s="3028"/>
      <c r="R30" s="3044"/>
      <c r="S30" s="3027"/>
      <c r="T30" s="3026"/>
      <c r="U30" s="3028"/>
      <c r="V30" s="3044"/>
      <c r="W30" s="3027"/>
      <c r="X30" s="3026"/>
      <c r="Y30" s="3028"/>
      <c r="Z30" s="3045">
        <f t="shared" si="2542"/>
        <v>0</v>
      </c>
      <c r="AA30" s="3046">
        <f t="shared" si="2542"/>
        <v>0</v>
      </c>
    </row>
    <row r="31">
      <c r="A31" s="3033" t="s">
        <v>963</v>
      </c>
      <c r="B31" s="3042"/>
      <c r="C31" s="3043"/>
      <c r="D31" s="3026"/>
      <c r="E31" s="3028"/>
      <c r="F31" s="3026"/>
      <c r="G31" s="3028"/>
      <c r="H31" s="3026"/>
      <c r="I31" s="3028"/>
      <c r="J31" s="3026"/>
      <c r="K31" s="3028"/>
      <c r="L31" s="3026"/>
      <c r="M31" s="3028"/>
      <c r="N31" s="3044"/>
      <c r="O31" s="3027"/>
      <c r="P31" s="3026"/>
      <c r="Q31" s="3028"/>
      <c r="R31" s="3044"/>
      <c r="S31" s="3027"/>
      <c r="T31" s="3026"/>
      <c r="U31" s="3028"/>
      <c r="V31" s="3044"/>
      <c r="W31" s="3027"/>
      <c r="X31" s="3026"/>
      <c r="Y31" s="3028"/>
      <c r="Z31" s="3045">
        <f t="shared" si="2542"/>
        <v>0</v>
      </c>
      <c r="AA31" s="3046">
        <f t="shared" si="2542"/>
        <v>0</v>
      </c>
    </row>
    <row r="32">
      <c r="A32" s="3052" t="s">
        <v>964</v>
      </c>
      <c r="B32" s="3053"/>
      <c r="C32" s="3054"/>
      <c r="D32" s="3055"/>
      <c r="E32" s="3056"/>
      <c r="F32" s="3055"/>
      <c r="G32" s="3056"/>
      <c r="H32" s="3055"/>
      <c r="I32" s="3056"/>
      <c r="J32" s="3055"/>
      <c r="K32" s="3056"/>
      <c r="L32" s="3055"/>
      <c r="M32" s="3056"/>
      <c r="N32" s="3057"/>
      <c r="O32" s="3058"/>
      <c r="P32" s="3055"/>
      <c r="Q32" s="3056"/>
      <c r="R32" s="3057"/>
      <c r="S32" s="3058"/>
      <c r="T32" s="3026"/>
      <c r="U32" s="3028"/>
      <c r="V32" s="3044"/>
      <c r="W32" s="3027"/>
      <c r="X32" s="3026"/>
      <c r="Y32" s="3028"/>
      <c r="Z32" s="3045">
        <f t="shared" si="2542"/>
        <v>0</v>
      </c>
      <c r="AA32" s="3046">
        <f t="shared" si="2542"/>
        <v>0</v>
      </c>
    </row>
    <row r="33">
      <c r="A33" s="3052" t="s">
        <v>965</v>
      </c>
      <c r="B33" s="3053"/>
      <c r="C33" s="3054"/>
      <c r="D33" s="3055"/>
      <c r="E33" s="3056"/>
      <c r="F33" s="3055"/>
      <c r="G33" s="3056"/>
      <c r="H33" s="3055"/>
      <c r="I33" s="3056"/>
      <c r="J33" s="3055"/>
      <c r="K33" s="3056"/>
      <c r="L33" s="3055"/>
      <c r="M33" s="3056"/>
      <c r="N33" s="3057"/>
      <c r="O33" s="3058"/>
      <c r="P33" s="3055"/>
      <c r="Q33" s="3056"/>
      <c r="R33" s="3057"/>
      <c r="S33" s="3058"/>
      <c r="T33" s="3026"/>
      <c r="U33" s="3028"/>
      <c r="V33" s="3044"/>
      <c r="W33" s="3027"/>
      <c r="X33" s="3026"/>
      <c r="Y33" s="3028"/>
      <c r="Z33" s="3045">
        <f t="shared" si="2542"/>
        <v>0</v>
      </c>
      <c r="AA33" s="3046">
        <f t="shared" si="2542"/>
        <v>0</v>
      </c>
    </row>
    <row r="34">
      <c r="A34" s="3052" t="s">
        <v>966</v>
      </c>
      <c r="B34" s="3053"/>
      <c r="C34" s="3054"/>
      <c r="D34" s="3055"/>
      <c r="E34" s="3056"/>
      <c r="F34" s="3055"/>
      <c r="G34" s="3056"/>
      <c r="H34" s="3055"/>
      <c r="I34" s="3056"/>
      <c r="J34" s="3055"/>
      <c r="K34" s="3056"/>
      <c r="L34" s="3055"/>
      <c r="M34" s="3056"/>
      <c r="N34" s="3057"/>
      <c r="O34" s="3058"/>
      <c r="P34" s="3055"/>
      <c r="Q34" s="3056"/>
      <c r="R34" s="3057"/>
      <c r="S34" s="3058"/>
      <c r="T34" s="3026"/>
      <c r="U34" s="3028"/>
      <c r="V34" s="3044"/>
      <c r="W34" s="3027"/>
      <c r="X34" s="3026"/>
      <c r="Y34" s="3028"/>
      <c r="Z34" s="3045">
        <f t="shared" si="2542"/>
        <v>0</v>
      </c>
      <c r="AA34" s="3046">
        <f t="shared" si="2542"/>
        <v>0</v>
      </c>
    </row>
    <row r="35">
      <c r="A35" s="3052" t="s">
        <v>967</v>
      </c>
      <c r="B35" s="3053"/>
      <c r="C35" s="3054"/>
      <c r="D35" s="3055"/>
      <c r="E35" s="3056"/>
      <c r="F35" s="3055"/>
      <c r="G35" s="3056"/>
      <c r="H35" s="3055"/>
      <c r="I35" s="3056"/>
      <c r="J35" s="3055"/>
      <c r="K35" s="3056"/>
      <c r="L35" s="3055"/>
      <c r="M35" s="3056"/>
      <c r="N35" s="3057"/>
      <c r="O35" s="3058"/>
      <c r="P35" s="3055"/>
      <c r="Q35" s="3056"/>
      <c r="R35" s="3057"/>
      <c r="S35" s="3058"/>
      <c r="T35" s="3026"/>
      <c r="U35" s="3028"/>
      <c r="V35" s="3044"/>
      <c r="W35" s="3027"/>
      <c r="X35" s="3026"/>
      <c r="Y35" s="3028"/>
      <c r="Z35" s="3045">
        <f t="shared" si="2542"/>
        <v>0</v>
      </c>
      <c r="AA35" s="3046">
        <f t="shared" si="2542"/>
        <v>0</v>
      </c>
    </row>
    <row r="36">
      <c r="A36" s="3052" t="s">
        <v>968</v>
      </c>
      <c r="B36" s="3053">
        <v>0</v>
      </c>
      <c r="C36" s="3054">
        <v>5</v>
      </c>
      <c r="D36" s="3055">
        <v>1</v>
      </c>
      <c r="E36" s="3056">
        <v>5</v>
      </c>
      <c r="F36" s="3055"/>
      <c r="G36" s="3056"/>
      <c r="H36" s="3055"/>
      <c r="I36" s="3056"/>
      <c r="J36" s="3055"/>
      <c r="K36" s="3056"/>
      <c r="L36" s="3055"/>
      <c r="M36" s="3056"/>
      <c r="N36" s="3057"/>
      <c r="O36" s="3058"/>
      <c r="P36" s="3055"/>
      <c r="Q36" s="3056"/>
      <c r="R36" s="3057"/>
      <c r="S36" s="3058"/>
      <c r="T36" s="3026"/>
      <c r="U36" s="3028"/>
      <c r="V36" s="3044"/>
      <c r="W36" s="3027"/>
      <c r="X36" s="3026"/>
      <c r="Y36" s="3028"/>
      <c r="Z36" s="3045">
        <f t="shared" si="2542"/>
        <v>1</v>
      </c>
      <c r="AA36" s="3046">
        <f t="shared" si="2542"/>
        <v>10</v>
      </c>
    </row>
    <row r="37">
      <c r="A37" s="3059" t="s">
        <v>969</v>
      </c>
      <c r="B37" s="3053"/>
      <c r="C37" s="3054"/>
      <c r="D37" s="3055"/>
      <c r="E37" s="3056"/>
      <c r="F37" s="3055"/>
      <c r="G37" s="3056"/>
      <c r="H37" s="3055"/>
      <c r="I37" s="3056"/>
      <c r="J37" s="3055"/>
      <c r="K37" s="3056"/>
      <c r="L37" s="3055"/>
      <c r="M37" s="3056"/>
      <c r="N37" s="3057"/>
      <c r="O37" s="3058"/>
      <c r="P37" s="3055"/>
      <c r="Q37" s="3056"/>
      <c r="R37" s="3057"/>
      <c r="S37" s="3058"/>
      <c r="T37" s="3026"/>
      <c r="U37" s="3028"/>
      <c r="V37" s="3044"/>
      <c r="W37" s="3027"/>
      <c r="X37" s="3026"/>
      <c r="Y37" s="3028"/>
      <c r="Z37" s="3045">
        <f t="shared" si="2542"/>
        <v>0</v>
      </c>
      <c r="AA37" s="3046">
        <f t="shared" si="2542"/>
        <v>0</v>
      </c>
    </row>
    <row r="38">
      <c r="A38" s="3052" t="s">
        <v>970</v>
      </c>
      <c r="B38" s="3053"/>
      <c r="C38" s="3054"/>
      <c r="D38" s="3055"/>
      <c r="E38" s="3056"/>
      <c r="F38" s="3055"/>
      <c r="G38" s="3056"/>
      <c r="H38" s="3055"/>
      <c r="I38" s="3056"/>
      <c r="J38" s="3055"/>
      <c r="K38" s="3056"/>
      <c r="L38" s="3055"/>
      <c r="M38" s="3056"/>
      <c r="N38" s="3057"/>
      <c r="O38" s="3058"/>
      <c r="P38" s="3055"/>
      <c r="Q38" s="3056"/>
      <c r="R38" s="3057"/>
      <c r="S38" s="3058"/>
      <c r="T38" s="3026"/>
      <c r="U38" s="3028"/>
      <c r="V38" s="3044"/>
      <c r="W38" s="3027"/>
      <c r="X38" s="3026"/>
      <c r="Y38" s="3028"/>
      <c r="Z38" s="3045">
        <f t="shared" si="2542"/>
        <v>0</v>
      </c>
      <c r="AA38" s="3046">
        <f>Y38+W38+U38+S38+Q38+O38+M38+K38+I38+G38+E38+C38</f>
        <v>0</v>
      </c>
    </row>
    <row r="39">
      <c r="A39" s="3052" t="s">
        <v>971</v>
      </c>
      <c r="B39" s="3053">
        <v>0</v>
      </c>
      <c r="C39" s="3054">
        <v>16</v>
      </c>
      <c r="D39" s="3055"/>
      <c r="E39" s="3056">
        <v>25</v>
      </c>
      <c r="F39" s="3055"/>
      <c r="G39" s="3056"/>
      <c r="H39" s="3055"/>
      <c r="I39" s="3056"/>
      <c r="J39" s="3055"/>
      <c r="K39" s="3056"/>
      <c r="L39" s="3055"/>
      <c r="M39" s="3056"/>
      <c r="N39" s="3057"/>
      <c r="O39" s="3058"/>
      <c r="P39" s="3055"/>
      <c r="Q39" s="3056"/>
      <c r="R39" s="3057"/>
      <c r="S39" s="3058"/>
      <c r="T39" s="3026"/>
      <c r="U39" s="3028"/>
      <c r="V39" s="3044"/>
      <c r="W39" s="3027"/>
      <c r="X39" s="3026"/>
      <c r="Y39" s="3028"/>
      <c r="Z39" s="3045">
        <f t="shared" si="2542"/>
        <v>0</v>
      </c>
      <c r="AA39" s="3046">
        <f t="shared" si="2542"/>
        <v>41</v>
      </c>
    </row>
    <row r="40">
      <c r="A40" s="3052" t="s">
        <v>972</v>
      </c>
      <c r="B40" s="3053"/>
      <c r="C40" s="3054"/>
      <c r="D40" s="3055"/>
      <c r="E40" s="3056"/>
      <c r="F40" s="3055"/>
      <c r="G40" s="3056"/>
      <c r="H40" s="3055"/>
      <c r="I40" s="3056"/>
      <c r="J40" s="3055"/>
      <c r="K40" s="3056"/>
      <c r="L40" s="3055"/>
      <c r="M40" s="3056"/>
      <c r="N40" s="3057"/>
      <c r="O40" s="3058"/>
      <c r="P40" s="3055"/>
      <c r="Q40" s="3056"/>
      <c r="R40" s="3057"/>
      <c r="S40" s="3058"/>
      <c r="T40" s="3026"/>
      <c r="U40" s="3028"/>
      <c r="V40" s="3044"/>
      <c r="W40" s="3027"/>
      <c r="X40" s="3026"/>
      <c r="Y40" s="3028"/>
      <c r="Z40" s="3045">
        <f t="shared" si="2542"/>
        <v>0</v>
      </c>
      <c r="AA40" s="3046">
        <f t="shared" si="2542"/>
        <v>0</v>
      </c>
    </row>
    <row r="41" ht="25.5">
      <c r="A41" s="3047" t="s">
        <v>973</v>
      </c>
      <c r="B41" s="3060"/>
      <c r="C41" s="2739"/>
      <c r="D41" s="3061"/>
      <c r="E41" s="3062"/>
      <c r="F41" s="3061"/>
      <c r="G41" s="3062"/>
      <c r="H41" s="3061"/>
      <c r="I41" s="3062"/>
      <c r="J41" s="3061"/>
      <c r="K41" s="3062"/>
      <c r="L41" s="3061"/>
      <c r="M41" s="3062"/>
      <c r="N41" s="3063"/>
      <c r="O41" s="3064"/>
      <c r="P41" s="3061"/>
      <c r="Q41" s="3062"/>
      <c r="R41" s="3063"/>
      <c r="S41" s="3064"/>
      <c r="T41" s="3061"/>
      <c r="U41" s="3062"/>
      <c r="V41" s="3063"/>
      <c r="W41" s="3064"/>
      <c r="X41" s="3061"/>
      <c r="Y41" s="3062"/>
      <c r="Z41" s="3065">
        <f t="shared" si="2542"/>
        <v>0</v>
      </c>
      <c r="AA41" s="3066">
        <f t="shared" si="2542"/>
        <v>0</v>
      </c>
    </row>
    <row r="42">
      <c r="A42" s="3052" t="s">
        <v>974</v>
      </c>
      <c r="B42" s="3053">
        <v>99</v>
      </c>
      <c r="C42" s="3054">
        <v>1</v>
      </c>
      <c r="D42" s="3055">
        <v>140</v>
      </c>
      <c r="E42" s="3056">
        <v>5</v>
      </c>
      <c r="F42" s="3055"/>
      <c r="G42" s="3056"/>
      <c r="H42" s="3055"/>
      <c r="I42" s="3056"/>
      <c r="J42" s="3055"/>
      <c r="K42" s="3056"/>
      <c r="L42" s="3055"/>
      <c r="M42" s="3056"/>
      <c r="N42" s="3057"/>
      <c r="O42" s="3058"/>
      <c r="P42" s="3055"/>
      <c r="Q42" s="3056"/>
      <c r="R42" s="3057"/>
      <c r="S42" s="3058"/>
      <c r="T42" s="3026"/>
      <c r="U42" s="3028"/>
      <c r="V42" s="3044"/>
      <c r="W42" s="3027"/>
      <c r="X42" s="3026"/>
      <c r="Y42" s="3028"/>
      <c r="Z42" s="3045">
        <f t="shared" si="2542"/>
        <v>239</v>
      </c>
      <c r="AA42" s="3046">
        <f t="shared" si="2542"/>
        <v>6</v>
      </c>
    </row>
    <row r="43">
      <c r="A43" s="3052" t="s">
        <v>975</v>
      </c>
      <c r="B43" s="3053">
        <v>0</v>
      </c>
      <c r="C43" s="3054">
        <v>4</v>
      </c>
      <c r="D43" s="3055"/>
      <c r="E43" s="3056">
        <v>1</v>
      </c>
      <c r="F43" s="3055"/>
      <c r="G43" s="3056"/>
      <c r="H43" s="3055"/>
      <c r="I43" s="3056"/>
      <c r="J43" s="3055"/>
      <c r="K43" s="3056"/>
      <c r="L43" s="3055"/>
      <c r="M43" s="3056"/>
      <c r="N43" s="3057"/>
      <c r="O43" s="3058"/>
      <c r="P43" s="3055"/>
      <c r="Q43" s="3056"/>
      <c r="R43" s="3057"/>
      <c r="S43" s="3058"/>
      <c r="T43" s="3026"/>
      <c r="U43" s="3028"/>
      <c r="V43" s="3044"/>
      <c r="W43" s="3027"/>
      <c r="X43" s="3026"/>
      <c r="Y43" s="3028"/>
      <c r="Z43" s="3045">
        <f t="shared" si="2542"/>
        <v>0</v>
      </c>
      <c r="AA43" s="3046">
        <f t="shared" si="2542"/>
        <v>5</v>
      </c>
    </row>
    <row r="44" ht="22.5" customHeight="1">
      <c r="A44" s="3059" t="s">
        <v>976</v>
      </c>
      <c r="B44" s="3053"/>
      <c r="C44" s="3054"/>
      <c r="D44" s="3055"/>
      <c r="E44" s="3056"/>
      <c r="F44" s="3055"/>
      <c r="G44" s="3056"/>
      <c r="H44" s="3055"/>
      <c r="I44" s="3056"/>
      <c r="J44" s="3055"/>
      <c r="K44" s="3056"/>
      <c r="L44" s="3055"/>
      <c r="M44" s="3056"/>
      <c r="N44" s="3057"/>
      <c r="O44" s="3058"/>
      <c r="P44" s="3055"/>
      <c r="Q44" s="3056"/>
      <c r="R44" s="3057"/>
      <c r="S44" s="3058"/>
      <c r="T44" s="3026"/>
      <c r="U44" s="3028"/>
      <c r="V44" s="3044"/>
      <c r="W44" s="3027"/>
      <c r="X44" s="3026"/>
      <c r="Y44" s="3028"/>
      <c r="Z44" s="3045">
        <f t="shared" si="2542"/>
        <v>0</v>
      </c>
      <c r="AA44" s="3046">
        <f t="shared" si="2542"/>
        <v>0</v>
      </c>
    </row>
    <row r="45" ht="14.25" customHeight="1">
      <c r="A45" s="3052" t="s">
        <v>977</v>
      </c>
      <c r="B45" s="3053"/>
      <c r="C45" s="3054"/>
      <c r="D45" s="3055"/>
      <c r="E45" s="3056"/>
      <c r="F45" s="3055"/>
      <c r="G45" s="3056"/>
      <c r="H45" s="3055"/>
      <c r="I45" s="3056"/>
      <c r="J45" s="3055"/>
      <c r="K45" s="3056"/>
      <c r="L45" s="3055"/>
      <c r="M45" s="3056"/>
      <c r="N45" s="3057"/>
      <c r="O45" s="3058"/>
      <c r="P45" s="3055"/>
      <c r="Q45" s="3056"/>
      <c r="R45" s="3057"/>
      <c r="S45" s="3058"/>
      <c r="T45" s="3055"/>
      <c r="U45" s="3056"/>
      <c r="V45" s="3057"/>
      <c r="W45" s="3058"/>
      <c r="X45" s="3055"/>
      <c r="Y45" s="3056"/>
      <c r="Z45" s="3045">
        <f t="shared" si="2542"/>
        <v>0</v>
      </c>
      <c r="AA45" s="3046">
        <f t="shared" si="2542"/>
        <v>0</v>
      </c>
    </row>
    <row r="46">
      <c r="A46" s="3052" t="s">
        <v>978</v>
      </c>
      <c r="B46" s="3053"/>
      <c r="C46" s="3054"/>
      <c r="D46" s="3055"/>
      <c r="E46" s="3056"/>
      <c r="F46" s="3055"/>
      <c r="G46" s="3056"/>
      <c r="H46" s="3055"/>
      <c r="I46" s="3056"/>
      <c r="J46" s="3055"/>
      <c r="K46" s="3056"/>
      <c r="L46" s="3055"/>
      <c r="M46" s="3056"/>
      <c r="N46" s="3057"/>
      <c r="O46" s="3058"/>
      <c r="P46" s="3055"/>
      <c r="Q46" s="3056"/>
      <c r="R46" s="3057"/>
      <c r="S46" s="3058"/>
      <c r="T46" s="3055"/>
      <c r="U46" s="3056"/>
      <c r="V46" s="3057"/>
      <c r="W46" s="3058"/>
      <c r="X46" s="3055"/>
      <c r="Y46" s="3056"/>
      <c r="Z46" s="3045">
        <f t="shared" si="2542"/>
        <v>0</v>
      </c>
      <c r="AA46" s="3046">
        <f t="shared" ref="AA46:AA56" si="2544">Y46+W46+U46+S46+Q46+O46+M46+K46+I46+G46+E46+C46</f>
        <v>0</v>
      </c>
    </row>
    <row r="47">
      <c r="A47" s="3052" t="s">
        <v>979</v>
      </c>
      <c r="B47" s="3053"/>
      <c r="C47" s="3054"/>
      <c r="D47" s="3055"/>
      <c r="E47" s="3056"/>
      <c r="F47" s="3055"/>
      <c r="G47" s="3056"/>
      <c r="H47" s="3055"/>
      <c r="I47" s="3056"/>
      <c r="J47" s="3055"/>
      <c r="K47" s="3056"/>
      <c r="L47" s="3055"/>
      <c r="M47" s="3056"/>
      <c r="N47" s="3057"/>
      <c r="O47" s="3058"/>
      <c r="P47" s="3055"/>
      <c r="Q47" s="3056"/>
      <c r="R47" s="3057"/>
      <c r="S47" s="3058"/>
      <c r="T47" s="3055"/>
      <c r="U47" s="3056"/>
      <c r="V47" s="3057"/>
      <c r="W47" s="3058"/>
      <c r="X47" s="3055"/>
      <c r="Y47" s="3056"/>
      <c r="Z47" s="3045">
        <f t="shared" si="2542"/>
        <v>0</v>
      </c>
      <c r="AA47" s="3046">
        <f t="shared" si="2544"/>
        <v>0</v>
      </c>
    </row>
    <row r="48" ht="38.25">
      <c r="A48" s="3059" t="s">
        <v>980</v>
      </c>
      <c r="B48" s="3053">
        <v>0</v>
      </c>
      <c r="C48" s="3054">
        <v>5</v>
      </c>
      <c r="D48" s="3055"/>
      <c r="E48" s="3056">
        <v>3</v>
      </c>
      <c r="F48" s="3055"/>
      <c r="G48" s="3056"/>
      <c r="H48" s="3055"/>
      <c r="I48" s="3056"/>
      <c r="J48" s="3055"/>
      <c r="K48" s="3056"/>
      <c r="L48" s="3055"/>
      <c r="M48" s="3056"/>
      <c r="N48" s="3057"/>
      <c r="O48" s="3058"/>
      <c r="P48" s="3055"/>
      <c r="Q48" s="3056"/>
      <c r="R48" s="3057"/>
      <c r="S48" s="3058"/>
      <c r="T48" s="3055"/>
      <c r="U48" s="3056"/>
      <c r="V48" s="3057"/>
      <c r="W48" s="3058"/>
      <c r="X48" s="3055"/>
      <c r="Y48" s="3056"/>
      <c r="Z48" s="3045">
        <f t="shared" si="2542"/>
        <v>0</v>
      </c>
      <c r="AA48" s="3046">
        <f t="shared" si="2544"/>
        <v>8</v>
      </c>
    </row>
    <row r="49" ht="25.5">
      <c r="A49" s="3059" t="s">
        <v>981</v>
      </c>
      <c r="B49" s="3053"/>
      <c r="C49" s="3054"/>
      <c r="D49" s="3055">
        <v>2</v>
      </c>
      <c r="E49" s="3056">
        <v>3</v>
      </c>
      <c r="F49" s="3055"/>
      <c r="G49" s="3056"/>
      <c r="H49" s="3055"/>
      <c r="I49" s="3056"/>
      <c r="J49" s="3055"/>
      <c r="K49" s="3056"/>
      <c r="L49" s="3055"/>
      <c r="M49" s="3056"/>
      <c r="N49" s="3057"/>
      <c r="O49" s="3058"/>
      <c r="P49" s="3055"/>
      <c r="Q49" s="3056"/>
      <c r="R49" s="3057"/>
      <c r="S49" s="3058"/>
      <c r="T49" s="3055"/>
      <c r="U49" s="3056"/>
      <c r="V49" s="3057"/>
      <c r="W49" s="3058"/>
      <c r="X49" s="3055"/>
      <c r="Y49" s="3056"/>
      <c r="Z49" s="3045">
        <f t="shared" si="2542"/>
        <v>2</v>
      </c>
      <c r="AA49" s="3046">
        <f t="shared" si="2544"/>
        <v>3</v>
      </c>
    </row>
    <row r="50" ht="63.75">
      <c r="A50" s="3059" t="s">
        <v>982</v>
      </c>
      <c r="B50" s="3053"/>
      <c r="C50" s="3054"/>
      <c r="D50" s="3067"/>
      <c r="E50" s="3068"/>
      <c r="F50" s="3055"/>
      <c r="G50" s="3056"/>
      <c r="H50" s="3055"/>
      <c r="I50" s="3056"/>
      <c r="J50" s="3055"/>
      <c r="K50" s="3056"/>
      <c r="L50" s="3055"/>
      <c r="M50" s="3056"/>
      <c r="N50" s="3057"/>
      <c r="O50" s="3058"/>
      <c r="P50" s="3055"/>
      <c r="Q50" s="3056"/>
      <c r="R50" s="3057"/>
      <c r="S50" s="3058"/>
      <c r="T50" s="3055"/>
      <c r="U50" s="3056"/>
      <c r="V50" s="3057"/>
      <c r="W50" s="3058"/>
      <c r="X50" s="3055"/>
      <c r="Y50" s="3056"/>
      <c r="Z50" s="3045">
        <f t="shared" si="2542"/>
        <v>0</v>
      </c>
      <c r="AA50" s="3046">
        <f t="shared" si="2544"/>
        <v>0</v>
      </c>
    </row>
    <row r="51" ht="38.25">
      <c r="A51" s="3059" t="s">
        <v>983</v>
      </c>
      <c r="B51" s="3053">
        <v>0</v>
      </c>
      <c r="C51" s="3054">
        <v>1</v>
      </c>
      <c r="D51" s="3067"/>
      <c r="E51" s="3068">
        <v>1</v>
      </c>
      <c r="F51" s="3055"/>
      <c r="G51" s="3056"/>
      <c r="H51" s="3055"/>
      <c r="I51" s="3056"/>
      <c r="J51" s="3055"/>
      <c r="K51" s="3056"/>
      <c r="L51" s="3055"/>
      <c r="M51" s="3056"/>
      <c r="N51" s="3057"/>
      <c r="O51" s="3058"/>
      <c r="P51" s="3055"/>
      <c r="Q51" s="3056"/>
      <c r="R51" s="3057"/>
      <c r="S51" s="3058"/>
      <c r="T51" s="3055"/>
      <c r="U51" s="3056"/>
      <c r="V51" s="3057"/>
      <c r="W51" s="3058"/>
      <c r="X51" s="3055"/>
      <c r="Y51" s="3056"/>
      <c r="Z51" s="3045">
        <f t="shared" si="2542"/>
        <v>0</v>
      </c>
      <c r="AA51" s="3046">
        <f t="shared" si="2544"/>
        <v>2</v>
      </c>
    </row>
    <row r="52" ht="25.5">
      <c r="A52" s="3059" t="s">
        <v>984</v>
      </c>
      <c r="B52" s="3053"/>
      <c r="C52" s="3054"/>
      <c r="D52" s="3067"/>
      <c r="E52" s="3068"/>
      <c r="F52" s="3055"/>
      <c r="G52" s="3056"/>
      <c r="H52" s="3055"/>
      <c r="I52" s="3056"/>
      <c r="J52" s="3055"/>
      <c r="K52" s="3056"/>
      <c r="L52" s="3055"/>
      <c r="M52" s="3056"/>
      <c r="N52" s="3057"/>
      <c r="O52" s="3058"/>
      <c r="P52" s="3055"/>
      <c r="Q52" s="3056"/>
      <c r="R52" s="3057"/>
      <c r="S52" s="3058"/>
      <c r="T52" s="3055"/>
      <c r="U52" s="3056"/>
      <c r="V52" s="3057"/>
      <c r="W52" s="3058"/>
      <c r="X52" s="3055"/>
      <c r="Y52" s="3056"/>
      <c r="Z52" s="3045">
        <f t="shared" si="2542"/>
        <v>0</v>
      </c>
      <c r="AA52" s="3046">
        <f t="shared" si="2544"/>
        <v>0</v>
      </c>
    </row>
    <row r="53" ht="35.25" customHeight="1">
      <c r="A53" s="3059" t="s">
        <v>985</v>
      </c>
      <c r="B53" s="3053">
        <v>0</v>
      </c>
      <c r="C53" s="3054">
        <v>1</v>
      </c>
      <c r="D53" s="3067"/>
      <c r="E53" s="3068">
        <v>3</v>
      </c>
      <c r="F53" s="3055"/>
      <c r="G53" s="3056"/>
      <c r="H53" s="3055"/>
      <c r="I53" s="3056"/>
      <c r="J53" s="3055"/>
      <c r="K53" s="3056"/>
      <c r="L53" s="3055"/>
      <c r="M53" s="3056"/>
      <c r="N53" s="3057"/>
      <c r="O53" s="3058"/>
      <c r="P53" s="3055"/>
      <c r="Q53" s="3056"/>
      <c r="R53" s="3057"/>
      <c r="S53" s="3058"/>
      <c r="T53" s="3055"/>
      <c r="U53" s="3056"/>
      <c r="V53" s="3057"/>
      <c r="W53" s="3058"/>
      <c r="X53" s="3055"/>
      <c r="Y53" s="3056"/>
      <c r="Z53" s="3045">
        <f t="shared" si="2542"/>
        <v>0</v>
      </c>
      <c r="AA53" s="3046">
        <f t="shared" si="2544"/>
        <v>4</v>
      </c>
    </row>
    <row r="54" ht="25.5">
      <c r="A54" s="3059" t="s">
        <v>986</v>
      </c>
      <c r="B54" s="3053"/>
      <c r="C54" s="3054"/>
      <c r="D54" s="3067">
        <v>15</v>
      </c>
      <c r="E54" s="3068"/>
      <c r="F54" s="3055"/>
      <c r="G54" s="3056"/>
      <c r="H54" s="3055"/>
      <c r="I54" s="3056"/>
      <c r="J54" s="3055"/>
      <c r="K54" s="3056"/>
      <c r="L54" s="3055"/>
      <c r="M54" s="3056"/>
      <c r="N54" s="3057"/>
      <c r="O54" s="3058"/>
      <c r="P54" s="3055"/>
      <c r="Q54" s="3056"/>
      <c r="R54" s="3057"/>
      <c r="S54" s="3058"/>
      <c r="T54" s="3055"/>
      <c r="U54" s="3056"/>
      <c r="V54" s="3057"/>
      <c r="W54" s="3058"/>
      <c r="X54" s="3055"/>
      <c r="Y54" s="3056"/>
      <c r="Z54" s="3045">
        <f t="shared" si="2542"/>
        <v>15</v>
      </c>
      <c r="AA54" s="3046">
        <f t="shared" si="2544"/>
        <v>0</v>
      </c>
    </row>
    <row r="55" ht="24">
      <c r="A55" s="3059" t="s">
        <v>987</v>
      </c>
      <c r="B55" s="3053"/>
      <c r="C55" s="3054"/>
      <c r="D55" s="3067"/>
      <c r="E55" s="3068"/>
      <c r="F55" s="3055"/>
      <c r="G55" s="3056"/>
      <c r="H55" s="3055"/>
      <c r="I55" s="3056"/>
      <c r="J55" s="3055"/>
      <c r="K55" s="3056"/>
      <c r="L55" s="3055"/>
      <c r="M55" s="3056"/>
      <c r="N55" s="3057"/>
      <c r="O55" s="3058"/>
      <c r="P55" s="3055"/>
      <c r="Q55" s="3056"/>
      <c r="R55" s="3057"/>
      <c r="S55" s="3058"/>
      <c r="T55" s="3055"/>
      <c r="U55" s="3056"/>
      <c r="V55" s="3057"/>
      <c r="W55" s="3058"/>
      <c r="X55" s="3055"/>
      <c r="Y55" s="3056"/>
      <c r="Z55" s="3045">
        <f t="shared" si="2542"/>
        <v>0</v>
      </c>
      <c r="AA55" s="3046">
        <f t="shared" si="2544"/>
        <v>0</v>
      </c>
    </row>
    <row r="56" s="2378" customFormat="1">
      <c r="A56" s="3059" t="s">
        <v>988</v>
      </c>
      <c r="B56" s="3053">
        <v>4</v>
      </c>
      <c r="C56" s="3054">
        <v>1</v>
      </c>
      <c r="D56" s="3055">
        <v>15</v>
      </c>
      <c r="E56" s="3056">
        <v>1</v>
      </c>
      <c r="F56" s="3055"/>
      <c r="G56" s="3056"/>
      <c r="H56" s="3055"/>
      <c r="I56" s="3056"/>
      <c r="J56" s="3055"/>
      <c r="K56" s="3056"/>
      <c r="L56" s="3055"/>
      <c r="M56" s="3056"/>
      <c r="N56" s="3057"/>
      <c r="O56" s="3058"/>
      <c r="P56" s="3055"/>
      <c r="Q56" s="3056"/>
      <c r="R56" s="3057"/>
      <c r="S56" s="3058"/>
      <c r="T56" s="3055"/>
      <c r="U56" s="3056"/>
      <c r="V56" s="3057"/>
      <c r="W56" s="3058"/>
      <c r="X56" s="3055"/>
      <c r="Y56" s="3056"/>
      <c r="Z56" s="3045">
        <f t="shared" si="2542"/>
        <v>19</v>
      </c>
      <c r="AA56" s="3046">
        <f t="shared" si="2544"/>
        <v>2</v>
      </c>
    </row>
    <row r="57">
      <c r="A57" s="3069" t="s">
        <v>27</v>
      </c>
      <c r="B57" s="3070">
        <f t="shared" ref="B57:AA57" si="2545">SUM(B10:B56)</f>
        <v>110</v>
      </c>
      <c r="C57" s="3071">
        <f t="shared" si="2545"/>
        <v>117</v>
      </c>
      <c r="D57" s="3070">
        <f t="shared" si="2545"/>
        <v>189</v>
      </c>
      <c r="E57" s="3072">
        <f t="shared" si="2545"/>
        <v>235</v>
      </c>
      <c r="F57" s="3070">
        <f t="shared" si="2545"/>
        <v>0</v>
      </c>
      <c r="G57" s="3072">
        <f t="shared" si="2545"/>
        <v>0</v>
      </c>
      <c r="H57" s="3070">
        <f t="shared" si="2545"/>
        <v>0</v>
      </c>
      <c r="I57" s="3072">
        <f t="shared" si="2545"/>
        <v>0</v>
      </c>
      <c r="J57" s="3070">
        <f t="shared" si="2545"/>
        <v>0</v>
      </c>
      <c r="K57" s="3072">
        <f t="shared" si="2545"/>
        <v>0</v>
      </c>
      <c r="L57" s="3070">
        <f t="shared" si="2545"/>
        <v>0</v>
      </c>
      <c r="M57" s="3072">
        <f t="shared" si="2545"/>
        <v>0</v>
      </c>
      <c r="N57" s="3073">
        <f t="shared" si="2545"/>
        <v>0</v>
      </c>
      <c r="O57" s="3071">
        <f t="shared" si="2545"/>
        <v>0</v>
      </c>
      <c r="P57" s="3070">
        <f t="shared" si="2545"/>
        <v>0</v>
      </c>
      <c r="Q57" s="3072">
        <f t="shared" si="2545"/>
        <v>0</v>
      </c>
      <c r="R57" s="3073">
        <f t="shared" si="2545"/>
        <v>0</v>
      </c>
      <c r="S57" s="3071">
        <f t="shared" si="2545"/>
        <v>0</v>
      </c>
      <c r="T57" s="3070">
        <f t="shared" si="2545"/>
        <v>0</v>
      </c>
      <c r="U57" s="3072">
        <f t="shared" si="2545"/>
        <v>0</v>
      </c>
      <c r="V57" s="3073">
        <f t="shared" si="2545"/>
        <v>0</v>
      </c>
      <c r="W57" s="3071">
        <f t="shared" si="2545"/>
        <v>0</v>
      </c>
      <c r="X57" s="3070">
        <f t="shared" si="2545"/>
        <v>0</v>
      </c>
      <c r="Y57" s="3072">
        <f t="shared" si="2545"/>
        <v>0</v>
      </c>
      <c r="Z57" s="3073">
        <f t="shared" si="2545"/>
        <v>299</v>
      </c>
      <c r="AA57" s="3072">
        <f t="shared" si="2545"/>
        <v>352</v>
      </c>
    </row>
    <row r="58">
      <c r="A58" s="2373" t="s">
        <v>989</v>
      </c>
      <c r="D58" s="2373"/>
      <c r="E58" s="2373"/>
      <c r="F58" s="2373"/>
      <c r="G58" s="2373"/>
      <c r="H58" s="2373"/>
      <c r="I58" s="2373"/>
      <c r="J58" s="2373"/>
      <c r="K58" s="2373"/>
      <c r="L58" s="2373"/>
      <c r="M58" s="2373"/>
      <c r="N58" s="2373"/>
      <c r="O58" s="2373"/>
      <c r="P58" s="2373"/>
      <c r="Q58" s="2373"/>
      <c r="R58" s="2373"/>
      <c r="S58" s="2373"/>
      <c r="T58" s="2373"/>
      <c r="U58" s="2373"/>
      <c r="V58" s="2373"/>
      <c r="W58" s="2373"/>
      <c r="X58" s="2373"/>
      <c r="Y58" s="2373"/>
    </row>
    <row r="59">
      <c r="B59" s="3074">
        <f>B57+C57</f>
        <v>227</v>
      </c>
      <c r="C59" s="3074"/>
      <c r="D59" s="3075">
        <f>D57+E57</f>
        <v>424</v>
      </c>
      <c r="E59" s="3075"/>
      <c r="F59" s="3075">
        <f>F57+G57</f>
        <v>0</v>
      </c>
      <c r="G59" s="3075"/>
      <c r="H59" s="3075">
        <f>H57+I57</f>
        <v>0</v>
      </c>
      <c r="I59" s="3075"/>
      <c r="J59" s="3075">
        <f>J57+K57</f>
        <v>0</v>
      </c>
      <c r="K59" s="3075"/>
      <c r="L59" s="3075">
        <f>L57+M57</f>
        <v>0</v>
      </c>
      <c r="M59" s="3075"/>
      <c r="N59" s="3075">
        <f>N57+O57</f>
        <v>0</v>
      </c>
      <c r="O59" s="3075"/>
      <c r="P59" s="3075">
        <f>P57+Q57</f>
        <v>0</v>
      </c>
      <c r="Q59" s="3075"/>
      <c r="R59" s="3075">
        <f>R57+S57</f>
        <v>0</v>
      </c>
      <c r="S59" s="3075"/>
      <c r="T59" s="3075">
        <f>T57+U57</f>
        <v>0</v>
      </c>
      <c r="U59" s="3075"/>
      <c r="V59" s="3075">
        <f>V57+W57</f>
        <v>0</v>
      </c>
      <c r="W59" s="3075"/>
      <c r="X59" s="3075">
        <f>X57+Y57</f>
        <v>0</v>
      </c>
      <c r="Y59" s="3027"/>
      <c r="Z59" s="3076">
        <f>Z57+AA57</f>
        <v>651</v>
      </c>
      <c r="AA59" s="3077"/>
    </row>
    <row r="60">
      <c r="D60" s="2373"/>
      <c r="E60" s="2373"/>
      <c r="F60" s="2368"/>
      <c r="G60" s="2368"/>
      <c r="H60" s="2368"/>
      <c r="I60" s="2368"/>
      <c r="J60" s="2368"/>
      <c r="K60" s="2368"/>
      <c r="L60" s="2368"/>
      <c r="M60" s="2368"/>
      <c r="N60" s="2373"/>
      <c r="O60" s="2373"/>
      <c r="P60" s="2373"/>
      <c r="Q60" s="2373"/>
      <c r="R60" s="2373"/>
      <c r="S60" s="2373"/>
      <c r="T60" s="2368"/>
      <c r="U60" s="2368"/>
      <c r="V60" s="2368"/>
      <c r="W60" s="2368"/>
      <c r="X60" s="2368"/>
      <c r="Y60" s="2368"/>
    </row>
    <row r="61" ht="23.25">
      <c r="A61" s="3002" t="s">
        <v>75</v>
      </c>
      <c r="D61" s="2368"/>
      <c r="E61" s="2368"/>
      <c r="F61" s="2368"/>
      <c r="G61" s="2368"/>
      <c r="H61" s="2368"/>
      <c r="I61" s="2368"/>
      <c r="J61" s="2368"/>
      <c r="K61" s="2368"/>
      <c r="L61" s="2368"/>
      <c r="M61" s="2368"/>
      <c r="N61" s="2368"/>
      <c r="O61" s="2368"/>
      <c r="P61" s="2368"/>
      <c r="Q61" s="2368"/>
      <c r="R61" s="2368"/>
      <c r="S61" s="2368"/>
      <c r="T61" s="2368"/>
      <c r="U61" s="2368"/>
      <c r="V61" s="2368"/>
      <c r="W61" s="2368"/>
      <c r="X61" s="2368"/>
      <c r="Y61" s="2368"/>
    </row>
    <row r="62" ht="15">
      <c r="A62" s="3078" t="s">
        <v>990</v>
      </c>
      <c r="B62" s="3079" t="s">
        <v>6</v>
      </c>
      <c r="C62" s="3005"/>
      <c r="D62" s="3004" t="s">
        <v>7</v>
      </c>
      <c r="E62" s="3006"/>
      <c r="F62" s="3007" t="s">
        <v>8</v>
      </c>
      <c r="G62" s="3008"/>
      <c r="H62" s="3007" t="s">
        <v>10</v>
      </c>
      <c r="I62" s="3008"/>
      <c r="J62" s="3007" t="s">
        <v>11</v>
      </c>
      <c r="K62" s="3008"/>
      <c r="L62" s="3007" t="s">
        <v>12</v>
      </c>
      <c r="M62" s="3008"/>
      <c r="N62" s="3009" t="s">
        <v>14</v>
      </c>
      <c r="O62" s="3010"/>
      <c r="P62" s="3007" t="s">
        <v>15</v>
      </c>
      <c r="Q62" s="3008"/>
      <c r="R62" s="3009" t="s">
        <v>16</v>
      </c>
      <c r="S62" s="3010"/>
      <c r="T62" s="3007" t="s">
        <v>18</v>
      </c>
      <c r="U62" s="3008"/>
      <c r="V62" s="3009" t="s">
        <v>19</v>
      </c>
      <c r="W62" s="3010"/>
      <c r="X62" s="3007" t="s">
        <v>788</v>
      </c>
      <c r="Y62" s="3008"/>
      <c r="Z62" s="3009" t="s">
        <v>22</v>
      </c>
      <c r="AA62" s="3008"/>
    </row>
    <row r="63">
      <c r="A63" s="3080"/>
      <c r="B63" s="3057" t="s">
        <v>127</v>
      </c>
      <c r="C63" s="3058" t="s">
        <v>311</v>
      </c>
      <c r="D63" s="3055" t="s">
        <v>127</v>
      </c>
      <c r="E63" s="3056" t="s">
        <v>311</v>
      </c>
      <c r="F63" s="3081" t="s">
        <v>127</v>
      </c>
      <c r="G63" s="3082" t="s">
        <v>311</v>
      </c>
      <c r="H63" s="3081" t="s">
        <v>127</v>
      </c>
      <c r="I63" s="3082" t="s">
        <v>311</v>
      </c>
      <c r="J63" s="3081" t="s">
        <v>127</v>
      </c>
      <c r="K63" s="3082" t="s">
        <v>311</v>
      </c>
      <c r="L63" s="3081" t="s">
        <v>127</v>
      </c>
      <c r="M63" s="3082" t="s">
        <v>311</v>
      </c>
      <c r="N63" s="3083" t="s">
        <v>127</v>
      </c>
      <c r="O63" s="3084" t="s">
        <v>311</v>
      </c>
      <c r="P63" s="3081" t="s">
        <v>127</v>
      </c>
      <c r="Q63" s="3082" t="s">
        <v>311</v>
      </c>
      <c r="R63" s="3083" t="s">
        <v>127</v>
      </c>
      <c r="S63" s="3084" t="s">
        <v>311</v>
      </c>
      <c r="T63" s="3081" t="s">
        <v>127</v>
      </c>
      <c r="U63" s="3082" t="s">
        <v>311</v>
      </c>
      <c r="V63" s="3083" t="s">
        <v>127</v>
      </c>
      <c r="W63" s="3084" t="s">
        <v>311</v>
      </c>
      <c r="X63" s="3081" t="s">
        <v>127</v>
      </c>
      <c r="Y63" s="3082" t="s">
        <v>311</v>
      </c>
      <c r="Z63" s="3083" t="s">
        <v>127</v>
      </c>
      <c r="AA63" s="3082" t="s">
        <v>311</v>
      </c>
    </row>
    <row r="64" ht="19.5" customHeight="1">
      <c r="A64" s="3085" t="s">
        <v>991</v>
      </c>
      <c r="B64" s="3086"/>
      <c r="C64" s="3087">
        <v>76</v>
      </c>
      <c r="D64" s="3088"/>
      <c r="E64" s="3088">
        <v>95</v>
      </c>
      <c r="F64" s="3088"/>
      <c r="G64" s="3088"/>
      <c r="H64" s="3088"/>
      <c r="I64" s="3088"/>
      <c r="J64" s="3088"/>
      <c r="K64" s="3088"/>
      <c r="L64" s="3088"/>
      <c r="M64" s="3088"/>
      <c r="N64" s="3088"/>
      <c r="O64" s="3088"/>
      <c r="P64" s="3088"/>
      <c r="Q64" s="3088"/>
      <c r="R64" s="3088"/>
      <c r="S64" s="3088"/>
      <c r="T64" s="3088"/>
      <c r="U64" s="3088"/>
      <c r="V64" s="3088"/>
      <c r="W64" s="3088"/>
      <c r="X64" s="3088"/>
      <c r="Y64" s="3089"/>
      <c r="Z64" s="3086"/>
      <c r="AA64" s="3090">
        <f t="shared" ref="AA64:AA66" si="2546">SUM(B64:Z64)</f>
        <v>171</v>
      </c>
    </row>
    <row r="65" ht="17.25" customHeight="1">
      <c r="A65" s="3091" t="s">
        <v>992</v>
      </c>
      <c r="B65" s="3092"/>
      <c r="C65" s="2762">
        <v>549</v>
      </c>
      <c r="D65" s="3093"/>
      <c r="E65" s="3093">
        <v>814</v>
      </c>
      <c r="F65" s="3093"/>
      <c r="G65" s="3093"/>
      <c r="H65" s="3093"/>
      <c r="I65" s="3093"/>
      <c r="J65" s="3093"/>
      <c r="K65" s="3093"/>
      <c r="L65" s="3093"/>
      <c r="M65" s="3093"/>
      <c r="N65" s="3093"/>
      <c r="O65" s="3093"/>
      <c r="P65" s="3093"/>
      <c r="Q65" s="3093"/>
      <c r="R65" s="3093"/>
      <c r="S65" s="3093"/>
      <c r="T65" s="3093"/>
      <c r="U65" s="3093"/>
      <c r="V65" s="3093"/>
      <c r="W65" s="3093"/>
      <c r="X65" s="3093"/>
      <c r="Y65" s="3094"/>
      <c r="Z65" s="3092"/>
      <c r="AA65" s="3066">
        <f t="shared" si="2546"/>
        <v>1363</v>
      </c>
    </row>
    <row r="66" ht="17.25" customHeight="1">
      <c r="A66" s="3091" t="s">
        <v>993</v>
      </c>
      <c r="B66" s="3095"/>
      <c r="C66" s="3096"/>
      <c r="D66" s="3097"/>
      <c r="E66" s="3098"/>
      <c r="F66" s="3097"/>
      <c r="G66" s="3099"/>
      <c r="H66" s="3097"/>
      <c r="I66" s="3097"/>
      <c r="J66" s="3097"/>
      <c r="K66" s="3097"/>
      <c r="L66" s="3097"/>
      <c r="M66" s="3097"/>
      <c r="N66" s="3097"/>
      <c r="O66" s="3097"/>
      <c r="P66" s="3097"/>
      <c r="Q66" s="3097"/>
      <c r="R66" s="3097"/>
      <c r="S66" s="3097"/>
      <c r="T66" s="3097"/>
      <c r="U66" s="3097"/>
      <c r="V66" s="3100"/>
      <c r="W66" s="3100"/>
      <c r="X66" s="3100"/>
      <c r="Y66" s="3101"/>
      <c r="Z66" s="3095"/>
      <c r="AA66" s="3102">
        <f t="shared" si="2546"/>
        <v>0</v>
      </c>
    </row>
    <row r="67" ht="18" customHeight="1">
      <c r="A67" s="3103"/>
      <c r="B67" s="3104"/>
      <c r="C67" s="3105">
        <f>SUM(C64:C66)</f>
        <v>625</v>
      </c>
      <c r="D67" s="3105"/>
      <c r="E67" s="3105">
        <f>SUM(E64:E66)</f>
        <v>909</v>
      </c>
      <c r="F67" s="3105"/>
      <c r="G67" s="3105">
        <f>SUM(G64:G66)</f>
        <v>0</v>
      </c>
      <c r="H67" s="3105"/>
      <c r="I67" s="3105">
        <f>SUM(I64:I66)</f>
        <v>0</v>
      </c>
      <c r="J67" s="3105"/>
      <c r="K67" s="3105">
        <f>SUM(K64:K66)</f>
        <v>0</v>
      </c>
      <c r="L67" s="3105"/>
      <c r="M67" s="3105">
        <f>SUM(M64:M66)</f>
        <v>0</v>
      </c>
      <c r="N67" s="3105"/>
      <c r="O67" s="3105">
        <f>SUM(O64:O66)</f>
        <v>0</v>
      </c>
      <c r="P67" s="3105"/>
      <c r="Q67" s="3105">
        <f>SUM(Q64:Q66)</f>
        <v>0</v>
      </c>
      <c r="R67" s="3105"/>
      <c r="S67" s="3105">
        <f>SUM(S64:S66)</f>
        <v>0</v>
      </c>
      <c r="T67" s="3105"/>
      <c r="U67" s="3105">
        <f>SUM(U64:U66)</f>
        <v>0</v>
      </c>
      <c r="V67" s="3105"/>
      <c r="W67" s="3105">
        <f>SUM(W64:W66)</f>
        <v>0</v>
      </c>
      <c r="X67" s="3105"/>
      <c r="Y67" s="3105">
        <f>SUM(Y64:Y66)</f>
        <v>0</v>
      </c>
      <c r="Z67" s="3104"/>
      <c r="AA67" s="3106">
        <f>SUM(AA64:AA66)</f>
        <v>1534</v>
      </c>
    </row>
    <row r="68">
      <c r="D68" s="2368"/>
      <c r="E68" s="2368"/>
      <c r="F68" s="2368"/>
      <c r="G68" s="2368"/>
      <c r="H68" s="2368"/>
      <c r="I68" s="2368"/>
      <c r="J68" s="2368"/>
      <c r="K68" s="2368"/>
      <c r="L68" s="2368"/>
      <c r="M68" s="2368"/>
      <c r="N68" s="2368"/>
      <c r="O68" s="2368"/>
      <c r="P68" s="2368"/>
      <c r="Q68" s="2368"/>
      <c r="R68" s="2368"/>
      <c r="S68" s="2368"/>
      <c r="T68" s="2368"/>
      <c r="U68" s="2368"/>
      <c r="V68" s="2368"/>
      <c r="W68" s="2368"/>
      <c r="X68" s="2368"/>
      <c r="Y68" s="2368"/>
    </row>
    <row r="69">
      <c r="D69" s="2368"/>
      <c r="E69" s="2368"/>
      <c r="F69" s="2368"/>
      <c r="G69" s="2368"/>
      <c r="H69" s="2368"/>
      <c r="I69" s="2368"/>
      <c r="J69" s="2368"/>
      <c r="K69" s="2368"/>
      <c r="L69" s="2368"/>
      <c r="M69" s="2368"/>
      <c r="N69" s="2368"/>
      <c r="O69" s="2368"/>
      <c r="P69" s="2368"/>
      <c r="Q69" s="2368"/>
      <c r="R69" s="2368"/>
      <c r="S69" s="2368"/>
      <c r="T69" s="2368"/>
      <c r="U69" s="2368"/>
      <c r="V69" s="2368"/>
      <c r="W69" s="2368"/>
      <c r="X69" s="2368"/>
      <c r="Y69" s="2368"/>
    </row>
    <row r="70" ht="23.25">
      <c r="A70" s="3107" t="s">
        <v>994</v>
      </c>
      <c r="B70" s="3079" t="s">
        <v>6</v>
      </c>
      <c r="C70" s="3005"/>
      <c r="D70" s="3004" t="s">
        <v>7</v>
      </c>
      <c r="E70" s="3006"/>
      <c r="F70" s="3009" t="s">
        <v>8</v>
      </c>
      <c r="G70" s="3010"/>
      <c r="H70" s="3007" t="s">
        <v>10</v>
      </c>
      <c r="I70" s="3008"/>
      <c r="J70" s="3009" t="s">
        <v>11</v>
      </c>
      <c r="K70" s="3010"/>
      <c r="L70" s="3007" t="s">
        <v>12</v>
      </c>
      <c r="M70" s="3008"/>
      <c r="N70" s="3009" t="s">
        <v>14</v>
      </c>
      <c r="O70" s="3010"/>
      <c r="P70" s="3007" t="s">
        <v>15</v>
      </c>
      <c r="Q70" s="3008"/>
      <c r="R70" s="3009" t="s">
        <v>16</v>
      </c>
      <c r="S70" s="3010"/>
      <c r="T70" s="3007" t="s">
        <v>18</v>
      </c>
      <c r="U70" s="3008"/>
      <c r="V70" s="3009" t="s">
        <v>19</v>
      </c>
      <c r="W70" s="3010"/>
      <c r="X70" s="3007" t="s">
        <v>788</v>
      </c>
      <c r="Y70" s="3008"/>
      <c r="Z70" s="3007" t="s">
        <v>22</v>
      </c>
      <c r="AA70" s="3008"/>
    </row>
    <row r="71" ht="15.75" customHeight="1">
      <c r="A71" s="3108"/>
      <c r="B71" s="3109"/>
      <c r="C71" s="3109"/>
      <c r="D71" s="3110"/>
      <c r="E71" s="3111"/>
      <c r="F71" s="3109"/>
      <c r="G71" s="3109"/>
      <c r="H71" s="3110"/>
      <c r="I71" s="3111"/>
      <c r="J71" s="3109"/>
      <c r="K71" s="3109"/>
      <c r="L71" s="3110"/>
      <c r="M71" s="3111"/>
      <c r="N71" s="3109"/>
      <c r="O71" s="3109"/>
      <c r="P71" s="3110"/>
      <c r="Q71" s="3111"/>
      <c r="R71" s="3109"/>
      <c r="S71" s="3109"/>
      <c r="T71" s="3110"/>
      <c r="U71" s="3111"/>
      <c r="V71" s="3109"/>
      <c r="W71" s="3109"/>
      <c r="X71" s="3110"/>
      <c r="Y71" s="3111"/>
      <c r="Z71" s="3110"/>
      <c r="AA71" s="3111"/>
    </row>
    <row r="72">
      <c r="A72" s="3112" t="s">
        <v>995</v>
      </c>
      <c r="B72" s="2760"/>
      <c r="C72" s="1482"/>
      <c r="D72" s="3113"/>
      <c r="E72" s="3114"/>
      <c r="F72" s="3115"/>
      <c r="G72" s="3094"/>
      <c r="H72" s="3113"/>
      <c r="I72" s="3114"/>
      <c r="J72" s="3115"/>
      <c r="K72" s="3094"/>
      <c r="L72" s="3113"/>
      <c r="M72" s="3114"/>
      <c r="N72" s="3115"/>
      <c r="O72" s="3094"/>
      <c r="P72" s="3113"/>
      <c r="Q72" s="3114"/>
      <c r="R72" s="3115"/>
      <c r="S72" s="3094"/>
      <c r="T72" s="3113"/>
      <c r="U72" s="3114"/>
      <c r="V72" s="3115"/>
      <c r="W72" s="3094"/>
      <c r="X72" s="3113"/>
      <c r="Y72" s="3114"/>
      <c r="Z72" s="3113"/>
      <c r="AA72" s="3114">
        <f t="shared" ref="AA72:AA82" si="2547">SUM(C72:Z72)</f>
        <v>0</v>
      </c>
    </row>
    <row r="73">
      <c r="A73" s="3112" t="s">
        <v>996</v>
      </c>
      <c r="B73" s="2760"/>
      <c r="C73" s="1482"/>
      <c r="D73" s="3113"/>
      <c r="E73" s="3114"/>
      <c r="F73" s="3115"/>
      <c r="G73" s="3094"/>
      <c r="H73" s="3113"/>
      <c r="I73" s="3114"/>
      <c r="J73" s="3115"/>
      <c r="K73" s="3094"/>
      <c r="L73" s="3113"/>
      <c r="M73" s="3114"/>
      <c r="N73" s="3115"/>
      <c r="O73" s="3094"/>
      <c r="P73" s="3113"/>
      <c r="Q73" s="3114"/>
      <c r="R73" s="3115"/>
      <c r="S73" s="3094"/>
      <c r="T73" s="3113"/>
      <c r="U73" s="3114"/>
      <c r="V73" s="3115"/>
      <c r="W73" s="3094"/>
      <c r="X73" s="3113"/>
      <c r="Y73" s="3114"/>
      <c r="Z73" s="3113"/>
      <c r="AA73" s="3114">
        <f t="shared" si="2547"/>
        <v>0</v>
      </c>
    </row>
    <row r="74">
      <c r="A74" s="3112" t="s">
        <v>997</v>
      </c>
      <c r="B74" s="2760"/>
      <c r="C74" s="1482"/>
      <c r="D74" s="3113"/>
      <c r="E74" s="3114"/>
      <c r="F74" s="3115"/>
      <c r="G74" s="3094"/>
      <c r="H74" s="3113"/>
      <c r="I74" s="3114"/>
      <c r="J74" s="3115"/>
      <c r="K74" s="3094"/>
      <c r="L74" s="3113"/>
      <c r="M74" s="3114"/>
      <c r="N74" s="3115"/>
      <c r="O74" s="3094"/>
      <c r="P74" s="3113"/>
      <c r="Q74" s="3114"/>
      <c r="R74" s="3115"/>
      <c r="S74" s="3094"/>
      <c r="T74" s="3113"/>
      <c r="U74" s="3114"/>
      <c r="V74" s="3115"/>
      <c r="W74" s="3094"/>
      <c r="X74" s="3113"/>
      <c r="Y74" s="3114"/>
      <c r="Z74" s="3092"/>
      <c r="AA74" s="1535">
        <f t="shared" si="2547"/>
        <v>0</v>
      </c>
    </row>
    <row r="75">
      <c r="A75" s="3112" t="s">
        <v>998</v>
      </c>
      <c r="B75" s="2760"/>
      <c r="C75" s="1482">
        <v>32</v>
      </c>
      <c r="D75" s="3113"/>
      <c r="E75" s="3114">
        <v>45</v>
      </c>
      <c r="F75" s="3115"/>
      <c r="G75" s="3094"/>
      <c r="H75" s="3113"/>
      <c r="I75" s="3114"/>
      <c r="J75" s="3115"/>
      <c r="K75" s="3094"/>
      <c r="L75" s="3113"/>
      <c r="M75" s="3114"/>
      <c r="N75" s="3115"/>
      <c r="O75" s="3094"/>
      <c r="P75" s="3113"/>
      <c r="Q75" s="3114"/>
      <c r="R75" s="3115"/>
      <c r="S75" s="3094"/>
      <c r="T75" s="3113"/>
      <c r="U75" s="3114"/>
      <c r="V75" s="3115"/>
      <c r="W75" s="3094"/>
      <c r="X75" s="3113"/>
      <c r="Y75" s="3114"/>
      <c r="Z75" s="3092"/>
      <c r="AA75" s="1535">
        <f t="shared" si="2547"/>
        <v>77</v>
      </c>
    </row>
    <row r="76">
      <c r="A76" s="3112" t="s">
        <v>999</v>
      </c>
      <c r="B76" s="2760"/>
      <c r="C76" s="1482">
        <v>29</v>
      </c>
      <c r="D76" s="3113"/>
      <c r="E76" s="3114">
        <v>41</v>
      </c>
      <c r="F76" s="3115"/>
      <c r="G76" s="3094"/>
      <c r="H76" s="3113"/>
      <c r="I76" s="3114"/>
      <c r="J76" s="3115"/>
      <c r="K76" s="3094"/>
      <c r="L76" s="3113"/>
      <c r="M76" s="3114"/>
      <c r="N76" s="3115"/>
      <c r="O76" s="3094"/>
      <c r="P76" s="3113"/>
      <c r="Q76" s="3114"/>
      <c r="R76" s="3115"/>
      <c r="S76" s="3094"/>
      <c r="T76" s="3113"/>
      <c r="U76" s="3114"/>
      <c r="V76" s="3115"/>
      <c r="W76" s="3094"/>
      <c r="X76" s="3113"/>
      <c r="Y76" s="3114"/>
      <c r="Z76" s="3092"/>
      <c r="AA76" s="1535">
        <f t="shared" si="2547"/>
        <v>70</v>
      </c>
    </row>
    <row r="77">
      <c r="A77" s="3116" t="s">
        <v>1000</v>
      </c>
      <c r="B77" s="2545"/>
      <c r="C77" s="1507"/>
      <c r="D77" s="3117"/>
      <c r="E77" s="3118"/>
      <c r="F77" s="3119"/>
      <c r="G77" s="3101"/>
      <c r="H77" s="3117"/>
      <c r="I77" s="3118"/>
      <c r="J77" s="3119"/>
      <c r="K77" s="3101"/>
      <c r="L77" s="3117"/>
      <c r="M77" s="3118"/>
      <c r="N77" s="3119"/>
      <c r="O77" s="3101"/>
      <c r="P77" s="3117"/>
      <c r="Q77" s="3118"/>
      <c r="R77" s="3119"/>
      <c r="S77" s="3101"/>
      <c r="T77" s="3117"/>
      <c r="U77" s="3118"/>
      <c r="V77" s="3119"/>
      <c r="W77" s="3101"/>
      <c r="X77" s="3117"/>
      <c r="Y77" s="3118"/>
      <c r="Z77" s="3095"/>
      <c r="AA77" s="1535">
        <f t="shared" si="2547"/>
        <v>0</v>
      </c>
    </row>
    <row r="78">
      <c r="A78" s="3116" t="s">
        <v>1001</v>
      </c>
      <c r="B78" s="2545"/>
      <c r="C78" s="1507">
        <v>7</v>
      </c>
      <c r="D78" s="3117"/>
      <c r="E78" s="3118">
        <v>48</v>
      </c>
      <c r="F78" s="3119"/>
      <c r="G78" s="3101"/>
      <c r="H78" s="3117"/>
      <c r="I78" s="3118"/>
      <c r="J78" s="3119"/>
      <c r="K78" s="3101"/>
      <c r="L78" s="3117"/>
      <c r="M78" s="3118"/>
      <c r="N78" s="3119"/>
      <c r="O78" s="3101"/>
      <c r="P78" s="3117"/>
      <c r="Q78" s="3118"/>
      <c r="R78" s="3119"/>
      <c r="S78" s="3101"/>
      <c r="T78" s="3117"/>
      <c r="U78" s="3118"/>
      <c r="V78" s="3119"/>
      <c r="W78" s="3101"/>
      <c r="X78" s="3117"/>
      <c r="Y78" s="3118"/>
      <c r="Z78" s="3095"/>
      <c r="AA78" s="1535">
        <f t="shared" si="2547"/>
        <v>55</v>
      </c>
    </row>
    <row r="79">
      <c r="A79" s="3116" t="s">
        <v>1002</v>
      </c>
      <c r="B79" s="2545"/>
      <c r="C79" s="1507"/>
      <c r="D79" s="3117"/>
      <c r="E79" s="3118"/>
      <c r="F79" s="3119"/>
      <c r="G79" s="3101"/>
      <c r="H79" s="3117"/>
      <c r="I79" s="3118"/>
      <c r="J79" s="3119"/>
      <c r="K79" s="3101"/>
      <c r="L79" s="3117"/>
      <c r="M79" s="3118"/>
      <c r="N79" s="3119"/>
      <c r="O79" s="3101"/>
      <c r="P79" s="3117"/>
      <c r="Q79" s="3118"/>
      <c r="R79" s="3119"/>
      <c r="S79" s="3101"/>
      <c r="T79" s="3117"/>
      <c r="U79" s="3118"/>
      <c r="V79" s="3119"/>
      <c r="W79" s="3101"/>
      <c r="X79" s="3117"/>
      <c r="Y79" s="3118"/>
      <c r="Z79" s="3095"/>
      <c r="AA79" s="1535">
        <f t="shared" si="2547"/>
        <v>0</v>
      </c>
    </row>
    <row r="80">
      <c r="A80" s="3116" t="s">
        <v>1003</v>
      </c>
      <c r="B80" s="2545"/>
      <c r="C80" s="1507">
        <f>9+3</f>
        <v>12</v>
      </c>
      <c r="D80" s="3117"/>
      <c r="E80" s="3118">
        <f>49+35</f>
        <v>84</v>
      </c>
      <c r="F80" s="3119"/>
      <c r="G80" s="3101"/>
      <c r="H80" s="3117"/>
      <c r="I80" s="3118"/>
      <c r="J80" s="3119"/>
      <c r="K80" s="3101"/>
      <c r="L80" s="3117"/>
      <c r="M80" s="3118"/>
      <c r="N80" s="3119"/>
      <c r="O80" s="3101"/>
      <c r="P80" s="3117"/>
      <c r="Q80" s="3118"/>
      <c r="R80" s="3119"/>
      <c r="S80" s="3101"/>
      <c r="T80" s="3117"/>
      <c r="U80" s="3118"/>
      <c r="V80" s="3119"/>
      <c r="W80" s="3101"/>
      <c r="X80" s="3117"/>
      <c r="Y80" s="3118"/>
      <c r="Z80" s="3095"/>
      <c r="AA80" s="1535">
        <f t="shared" si="2547"/>
        <v>96</v>
      </c>
    </row>
    <row r="81">
      <c r="A81" s="3116"/>
      <c r="B81" s="2545"/>
      <c r="C81" s="1507"/>
      <c r="D81" s="3117"/>
      <c r="E81" s="3118"/>
      <c r="F81" s="3119"/>
      <c r="G81" s="3101"/>
      <c r="H81" s="3117"/>
      <c r="I81" s="3118"/>
      <c r="J81" s="3119"/>
      <c r="K81" s="3101"/>
      <c r="L81" s="3117"/>
      <c r="M81" s="3118"/>
      <c r="N81" s="3119"/>
      <c r="O81" s="3101"/>
      <c r="P81" s="3117"/>
      <c r="Q81" s="3118"/>
      <c r="R81" s="3119"/>
      <c r="S81" s="3101"/>
      <c r="T81" s="3117"/>
      <c r="U81" s="3118"/>
      <c r="V81" s="3119"/>
      <c r="W81" s="3101"/>
      <c r="X81" s="3117"/>
      <c r="Y81" s="3118"/>
      <c r="Z81" s="3095"/>
      <c r="AA81" s="1535">
        <f t="shared" si="2547"/>
        <v>0</v>
      </c>
    </row>
    <row r="82">
      <c r="A82" s="3120" t="s">
        <v>27</v>
      </c>
      <c r="B82" s="3121"/>
      <c r="C82" s="3121">
        <f>SUM(C72:C81)</f>
        <v>80</v>
      </c>
      <c r="D82" s="3121"/>
      <c r="E82" s="3121">
        <f>SUM(E72:E81)</f>
        <v>218</v>
      </c>
      <c r="F82" s="3121"/>
      <c r="G82" s="3121">
        <f>SUM(G72:G81)</f>
        <v>0</v>
      </c>
      <c r="H82" s="3121"/>
      <c r="I82" s="3121">
        <f>SUM(I72:I81)</f>
        <v>0</v>
      </c>
      <c r="J82" s="3121"/>
      <c r="K82" s="3121">
        <f>SUM(K72:K81)</f>
        <v>0</v>
      </c>
      <c r="L82" s="3121"/>
      <c r="M82" s="3121">
        <f>SUM(M72:M81)</f>
        <v>0</v>
      </c>
      <c r="N82" s="3121"/>
      <c r="O82" s="3121">
        <f>SUM(O72:O81)</f>
        <v>0</v>
      </c>
      <c r="P82" s="3121"/>
      <c r="Q82" s="3121">
        <f>SUM(Q72:Q81)</f>
        <v>0</v>
      </c>
      <c r="R82" s="3121"/>
      <c r="S82" s="3121">
        <f>SUM(S72:S81)</f>
        <v>0</v>
      </c>
      <c r="T82" s="3121"/>
      <c r="U82" s="3121">
        <f>SUM(U72:U81)</f>
        <v>0</v>
      </c>
      <c r="V82" s="3121"/>
      <c r="W82" s="3121">
        <f>SUM(W72:W81)</f>
        <v>0</v>
      </c>
      <c r="X82" s="3121"/>
      <c r="Y82" s="3121">
        <f>SUM(Y72:Y81)</f>
        <v>0</v>
      </c>
      <c r="Z82" s="3121">
        <f>SUM(Z72:Z81)</f>
        <v>0</v>
      </c>
      <c r="AA82" s="3122">
        <f t="shared" si="2547"/>
        <v>298</v>
      </c>
    </row>
    <row r="83">
      <c r="D83" s="2373"/>
      <c r="E83" s="2373"/>
      <c r="F83" s="2373"/>
      <c r="G83" s="2373"/>
      <c r="H83" s="2373"/>
      <c r="I83" s="2373"/>
      <c r="J83" s="2373"/>
      <c r="K83" s="2373"/>
      <c r="L83" s="2368"/>
      <c r="M83" s="2368"/>
      <c r="N83" s="2368"/>
      <c r="O83" s="2368"/>
      <c r="P83" s="2368"/>
      <c r="Q83" s="2368"/>
      <c r="R83" s="2373"/>
      <c r="S83" s="2373"/>
      <c r="T83" s="2368"/>
      <c r="U83" s="2368"/>
      <c r="V83" s="2368"/>
      <c r="W83" s="2368"/>
      <c r="X83" s="2368"/>
      <c r="Y83" s="2368"/>
    </row>
    <row r="84">
      <c r="D84" s="2368"/>
      <c r="E84" s="2368"/>
      <c r="F84" s="2368"/>
      <c r="G84" s="2368"/>
      <c r="H84" s="2368"/>
      <c r="I84" s="2368"/>
      <c r="J84" s="2368"/>
      <c r="K84" s="2368"/>
      <c r="L84" s="2368"/>
      <c r="M84" s="2368"/>
      <c r="N84" s="2368"/>
      <c r="O84" s="2368"/>
      <c r="P84" s="2368"/>
      <c r="Q84" s="2368"/>
      <c r="R84" s="2368"/>
      <c r="S84" s="2368"/>
      <c r="T84" s="2368"/>
      <c r="U84" s="2368"/>
      <c r="V84" s="2368"/>
      <c r="W84" s="2368"/>
      <c r="X84" s="2368"/>
      <c r="Y84" s="2368"/>
    </row>
    <row r="85" ht="23.25">
      <c r="A85" s="3002" t="s">
        <v>53</v>
      </c>
      <c r="D85" s="2368"/>
      <c r="E85" s="2368"/>
      <c r="F85" s="2368"/>
      <c r="G85" s="2368"/>
      <c r="H85" s="2368"/>
      <c r="I85" s="2368"/>
      <c r="J85" s="2368"/>
      <c r="K85" s="2368"/>
      <c r="L85" s="2368"/>
      <c r="M85" s="2368"/>
      <c r="N85" s="2368"/>
      <c r="O85" s="2368"/>
      <c r="P85" s="2368"/>
      <c r="Q85" s="2368"/>
      <c r="R85" s="2368"/>
      <c r="S85" s="2368"/>
      <c r="T85" s="2373"/>
      <c r="U85" s="2373"/>
      <c r="V85" s="2368"/>
      <c r="W85" s="2368"/>
      <c r="X85" s="2368"/>
      <c r="Y85" s="2368"/>
    </row>
    <row r="86" ht="15">
      <c r="A86" s="3078" t="s">
        <v>990</v>
      </c>
      <c r="B86" s="3079" t="s">
        <v>6</v>
      </c>
      <c r="C86" s="3005"/>
      <c r="D86" s="3004" t="s">
        <v>7</v>
      </c>
      <c r="E86" s="3006"/>
      <c r="F86" s="3007" t="s">
        <v>8</v>
      </c>
      <c r="G86" s="3008"/>
      <c r="H86" s="3007" t="s">
        <v>10</v>
      </c>
      <c r="I86" s="3008"/>
      <c r="J86" s="3007" t="s">
        <v>11</v>
      </c>
      <c r="K86" s="3008"/>
      <c r="L86" s="3007" t="s">
        <v>12</v>
      </c>
      <c r="M86" s="3008"/>
      <c r="N86" s="3009" t="s">
        <v>14</v>
      </c>
      <c r="O86" s="3010"/>
      <c r="P86" s="3007" t="s">
        <v>15</v>
      </c>
      <c r="Q86" s="3008"/>
      <c r="R86" s="3009" t="s">
        <v>16</v>
      </c>
      <c r="S86" s="3010"/>
      <c r="T86" s="3007" t="s">
        <v>18</v>
      </c>
      <c r="U86" s="3008"/>
      <c r="V86" s="3009" t="s">
        <v>19</v>
      </c>
      <c r="W86" s="3010"/>
      <c r="X86" s="3007" t="s">
        <v>788</v>
      </c>
      <c r="Y86" s="3008"/>
      <c r="Z86" s="3009" t="s">
        <v>22</v>
      </c>
      <c r="AA86" s="3008"/>
    </row>
    <row r="87">
      <c r="A87" s="3080"/>
      <c r="B87" s="3057"/>
      <c r="C87" s="3058" t="s">
        <v>311</v>
      </c>
      <c r="D87" s="3055"/>
      <c r="E87" s="3056" t="s">
        <v>311</v>
      </c>
      <c r="F87" s="3081"/>
      <c r="G87" s="3082" t="s">
        <v>311</v>
      </c>
      <c r="H87" s="3081"/>
      <c r="I87" s="3082" t="s">
        <v>311</v>
      </c>
      <c r="J87" s="3081"/>
      <c r="K87" s="3082" t="s">
        <v>311</v>
      </c>
      <c r="L87" s="3081"/>
      <c r="M87" s="3082" t="s">
        <v>311</v>
      </c>
      <c r="N87" s="3083"/>
      <c r="O87" s="3084" t="s">
        <v>311</v>
      </c>
      <c r="P87" s="3081"/>
      <c r="Q87" s="3082" t="s">
        <v>311</v>
      </c>
      <c r="R87" s="3083"/>
      <c r="S87" s="3084" t="s">
        <v>311</v>
      </c>
      <c r="T87" s="3081"/>
      <c r="U87" s="3082" t="s">
        <v>311</v>
      </c>
      <c r="V87" s="3083"/>
      <c r="W87" s="3084" t="s">
        <v>311</v>
      </c>
      <c r="X87" s="3081"/>
      <c r="Y87" s="3082" t="s">
        <v>311</v>
      </c>
      <c r="Z87" s="3083"/>
      <c r="AA87" s="3082" t="s">
        <v>311</v>
      </c>
    </row>
    <row r="88">
      <c r="A88" s="3123" t="s">
        <v>1004</v>
      </c>
      <c r="B88" s="3086"/>
      <c r="C88" s="3087"/>
      <c r="D88" s="3088"/>
      <c r="E88" s="3088"/>
      <c r="F88" s="3088"/>
      <c r="G88" s="3088"/>
      <c r="H88" s="3088"/>
      <c r="I88" s="3088"/>
      <c r="J88" s="3088"/>
      <c r="K88" s="3088"/>
      <c r="L88" s="3088"/>
      <c r="M88" s="3088"/>
      <c r="N88" s="3088"/>
      <c r="O88" s="3088"/>
      <c r="P88" s="3088"/>
      <c r="Q88" s="3088"/>
      <c r="R88" s="3088"/>
      <c r="S88" s="3088"/>
      <c r="T88" s="3088"/>
      <c r="U88" s="3088"/>
      <c r="V88" s="3088"/>
      <c r="W88" s="3088"/>
      <c r="X88" s="3088"/>
      <c r="Y88" s="3089"/>
      <c r="Z88" s="3086"/>
      <c r="AA88" s="3124">
        <f t="shared" ref="AA88:AA102" si="2548">SUM(B88:Z88)</f>
        <v>0</v>
      </c>
      <c r="AE88" s="2371"/>
      <c r="AF88" s="2371"/>
      <c r="AG88" s="2371"/>
      <c r="AH88" s="2371"/>
      <c r="AI88" s="2371"/>
      <c r="AJ88" s="2371"/>
      <c r="AK88" s="2371"/>
      <c r="AL88" s="2371"/>
      <c r="AM88" s="2371"/>
      <c r="AN88" s="2371"/>
      <c r="AO88" s="2371"/>
      <c r="AP88" s="2371"/>
    </row>
    <row r="89">
      <c r="A89" s="3123" t="s">
        <v>1005</v>
      </c>
      <c r="B89" s="3125"/>
      <c r="C89" s="3126">
        <v>10</v>
      </c>
      <c r="D89" s="3127"/>
      <c r="E89" s="3127">
        <v>12</v>
      </c>
      <c r="F89" s="3127"/>
      <c r="G89" s="3127"/>
      <c r="H89" s="3127"/>
      <c r="I89" s="3127"/>
      <c r="J89" s="3127"/>
      <c r="K89" s="3127"/>
      <c r="L89" s="3127"/>
      <c r="M89" s="3127"/>
      <c r="N89" s="3127"/>
      <c r="O89" s="3127"/>
      <c r="P89" s="3127"/>
      <c r="Q89" s="3127"/>
      <c r="R89" s="3127"/>
      <c r="S89" s="3127"/>
      <c r="T89" s="3127"/>
      <c r="U89" s="3127"/>
      <c r="V89" s="3127"/>
      <c r="W89" s="3127"/>
      <c r="X89" s="3127"/>
      <c r="Y89" s="3128"/>
      <c r="Z89" s="3125"/>
      <c r="AA89" s="3124">
        <f t="shared" si="2548"/>
        <v>22</v>
      </c>
      <c r="AE89" s="2371"/>
      <c r="AF89" s="2371"/>
      <c r="AG89" s="2371"/>
      <c r="AH89" s="2371"/>
      <c r="AI89" s="2371"/>
      <c r="AJ89" s="2371"/>
      <c r="AK89" s="2371"/>
      <c r="AL89" s="2371"/>
      <c r="AM89" s="2371"/>
      <c r="AN89" s="2371"/>
      <c r="AO89" s="2371"/>
      <c r="AP89" s="2371"/>
    </row>
    <row r="90">
      <c r="A90" s="3123" t="s">
        <v>1006</v>
      </c>
      <c r="B90" s="3125"/>
      <c r="C90" s="3126"/>
      <c r="D90" s="3127"/>
      <c r="E90" s="3127"/>
      <c r="F90" s="3127"/>
      <c r="G90" s="3127"/>
      <c r="H90" s="3127"/>
      <c r="I90" s="3127"/>
      <c r="J90" s="3127"/>
      <c r="K90" s="3127"/>
      <c r="L90" s="3127"/>
      <c r="M90" s="3127"/>
      <c r="N90" s="3127"/>
      <c r="O90" s="3127"/>
      <c r="P90" s="3127"/>
      <c r="Q90" s="3127"/>
      <c r="R90" s="3127"/>
      <c r="S90" s="3127"/>
      <c r="T90" s="3127"/>
      <c r="U90" s="3127"/>
      <c r="V90" s="3127"/>
      <c r="W90" s="3127"/>
      <c r="X90" s="3127"/>
      <c r="Y90" s="3128"/>
      <c r="Z90" s="3125"/>
      <c r="AA90" s="3124">
        <f t="shared" si="2548"/>
        <v>0</v>
      </c>
      <c r="AE90" s="2371"/>
      <c r="AF90" s="2371"/>
      <c r="AG90" s="2371"/>
      <c r="AH90" s="2371"/>
      <c r="AI90" s="2371"/>
      <c r="AJ90" s="2371"/>
      <c r="AK90" s="2371"/>
      <c r="AL90" s="2371"/>
      <c r="AM90" s="2371"/>
      <c r="AN90" s="2371"/>
      <c r="AO90" s="2371"/>
      <c r="AP90" s="2371"/>
    </row>
    <row r="91">
      <c r="A91" s="3123" t="s">
        <v>1007</v>
      </c>
      <c r="B91" s="3125"/>
      <c r="C91" s="3126">
        <v>9</v>
      </c>
      <c r="D91" s="3127"/>
      <c r="E91" s="3127">
        <v>15</v>
      </c>
      <c r="F91" s="3127"/>
      <c r="G91" s="3127"/>
      <c r="H91" s="3127"/>
      <c r="I91" s="3127"/>
      <c r="J91" s="3127"/>
      <c r="K91" s="3127"/>
      <c r="L91" s="3127"/>
      <c r="M91" s="3127"/>
      <c r="N91" s="3127"/>
      <c r="O91" s="3127"/>
      <c r="P91" s="3127"/>
      <c r="Q91" s="3127"/>
      <c r="R91" s="3127"/>
      <c r="S91" s="3127"/>
      <c r="T91" s="3127"/>
      <c r="U91" s="3127"/>
      <c r="V91" s="3127"/>
      <c r="W91" s="3127"/>
      <c r="X91" s="3127"/>
      <c r="Y91" s="3128"/>
      <c r="Z91" s="3125"/>
      <c r="AA91" s="3124">
        <f t="shared" si="2548"/>
        <v>24</v>
      </c>
      <c r="AE91" s="2371"/>
      <c r="AF91" s="2371"/>
      <c r="AG91" s="2371"/>
      <c r="AH91" s="2371"/>
      <c r="AI91" s="2371"/>
      <c r="AJ91" s="2371"/>
      <c r="AK91" s="2371"/>
      <c r="AL91" s="2371"/>
      <c r="AM91" s="2371"/>
      <c r="AN91" s="2371"/>
      <c r="AO91" s="2371"/>
      <c r="AP91" s="2371"/>
    </row>
    <row r="92">
      <c r="A92" s="3123" t="s">
        <v>1008</v>
      </c>
      <c r="B92" s="3125"/>
      <c r="C92" s="3126">
        <v>7</v>
      </c>
      <c r="D92" s="3127"/>
      <c r="E92" s="3127"/>
      <c r="F92" s="3127"/>
      <c r="G92" s="3127"/>
      <c r="H92" s="3127"/>
      <c r="I92" s="3127"/>
      <c r="J92" s="3127"/>
      <c r="K92" s="3127"/>
      <c r="L92" s="3127"/>
      <c r="M92" s="3127"/>
      <c r="N92" s="3127"/>
      <c r="O92" s="3127"/>
      <c r="P92" s="3127"/>
      <c r="Q92" s="3127"/>
      <c r="R92" s="3127"/>
      <c r="S92" s="3127"/>
      <c r="T92" s="3127"/>
      <c r="U92" s="3127"/>
      <c r="V92" s="3127"/>
      <c r="W92" s="3127"/>
      <c r="X92" s="3127"/>
      <c r="Y92" s="3128"/>
      <c r="Z92" s="3125"/>
      <c r="AA92" s="3124">
        <f t="shared" si="2548"/>
        <v>7</v>
      </c>
      <c r="AE92" s="2371"/>
      <c r="AF92" s="2371"/>
      <c r="AG92" s="2371"/>
      <c r="AH92" s="2371"/>
      <c r="AI92" s="2371"/>
      <c r="AJ92" s="2371"/>
      <c r="AK92" s="2371"/>
      <c r="AL92" s="2371"/>
      <c r="AM92" s="2371"/>
      <c r="AN92" s="2371"/>
      <c r="AO92" s="2371"/>
      <c r="AP92" s="2371"/>
    </row>
    <row r="93" ht="16.5" customHeight="1">
      <c r="A93" s="3123" t="s">
        <v>1009</v>
      </c>
      <c r="B93" s="3125"/>
      <c r="C93" s="3126">
        <v>26</v>
      </c>
      <c r="D93" s="3127"/>
      <c r="E93" s="3127">
        <v>38</v>
      </c>
      <c r="F93" s="3127"/>
      <c r="G93" s="3127"/>
      <c r="H93" s="3127"/>
      <c r="I93" s="3127"/>
      <c r="J93" s="3127"/>
      <c r="K93" s="3127"/>
      <c r="L93" s="3127"/>
      <c r="M93" s="3127"/>
      <c r="N93" s="3127"/>
      <c r="O93" s="3127"/>
      <c r="P93" s="3127"/>
      <c r="Q93" s="3127"/>
      <c r="R93" s="3127"/>
      <c r="S93" s="3127"/>
      <c r="T93" s="3127"/>
      <c r="U93" s="3127"/>
      <c r="V93" s="3127"/>
      <c r="W93" s="3127"/>
      <c r="X93" s="3127"/>
      <c r="Y93" s="3128"/>
      <c r="Z93" s="3125"/>
      <c r="AA93" s="3124">
        <f t="shared" si="2548"/>
        <v>64</v>
      </c>
      <c r="AE93" s="3129"/>
      <c r="AF93" s="3130"/>
      <c r="AG93" s="3130"/>
      <c r="AH93" s="1612"/>
      <c r="AI93" s="3131"/>
      <c r="AJ93" s="3132"/>
      <c r="AK93" s="3132"/>
      <c r="AL93" s="3133"/>
      <c r="AM93" s="1290"/>
      <c r="AN93" s="1290"/>
      <c r="AO93" s="1290"/>
      <c r="AP93" s="1023"/>
    </row>
    <row r="94" ht="16.5" customHeight="1">
      <c r="A94" s="3123" t="s">
        <v>1010</v>
      </c>
      <c r="B94" s="3125"/>
      <c r="C94" s="3126">
        <v>18</v>
      </c>
      <c r="D94" s="3127"/>
      <c r="E94" s="3127">
        <v>26</v>
      </c>
      <c r="F94" s="3127"/>
      <c r="G94" s="3127"/>
      <c r="H94" s="3127"/>
      <c r="I94" s="3127"/>
      <c r="J94" s="3127"/>
      <c r="K94" s="3127"/>
      <c r="L94" s="3127"/>
      <c r="M94" s="3127"/>
      <c r="N94" s="3127"/>
      <c r="O94" s="3127"/>
      <c r="P94" s="3127"/>
      <c r="Q94" s="3127"/>
      <c r="R94" s="3127"/>
      <c r="S94" s="3127"/>
      <c r="T94" s="3127"/>
      <c r="U94" s="3127"/>
      <c r="V94" s="3127"/>
      <c r="W94" s="3127"/>
      <c r="X94" s="3127"/>
      <c r="Y94" s="3128"/>
      <c r="Z94" s="3125"/>
      <c r="AA94" s="3124">
        <f t="shared" si="2548"/>
        <v>44</v>
      </c>
      <c r="AE94" s="3129"/>
      <c r="AF94" s="3130"/>
      <c r="AG94" s="3130"/>
      <c r="AH94" s="1612"/>
      <c r="AI94" s="3131"/>
      <c r="AJ94" s="3132"/>
      <c r="AK94" s="3132"/>
      <c r="AL94" s="3133"/>
      <c r="AM94" s="1290"/>
      <c r="AN94" s="1290"/>
      <c r="AO94" s="1290"/>
      <c r="AP94" s="1023"/>
    </row>
    <row r="95" ht="16.5" customHeight="1">
      <c r="A95" s="3123" t="s">
        <v>561</v>
      </c>
      <c r="B95" s="3125"/>
      <c r="C95" s="3126">
        <v>14</v>
      </c>
      <c r="D95" s="3127"/>
      <c r="E95" s="3127">
        <v>16</v>
      </c>
      <c r="F95" s="3127"/>
      <c r="G95" s="3127"/>
      <c r="H95" s="3127"/>
      <c r="I95" s="3127"/>
      <c r="J95" s="3127"/>
      <c r="K95" s="3127"/>
      <c r="L95" s="3127"/>
      <c r="M95" s="3127"/>
      <c r="N95" s="3127"/>
      <c r="O95" s="3127"/>
      <c r="P95" s="3127"/>
      <c r="Q95" s="3127"/>
      <c r="R95" s="3127"/>
      <c r="S95" s="3127"/>
      <c r="T95" s="3127"/>
      <c r="U95" s="3127"/>
      <c r="V95" s="3127"/>
      <c r="W95" s="3127"/>
      <c r="X95" s="3127"/>
      <c r="Y95" s="3128"/>
      <c r="Z95" s="3125"/>
      <c r="AA95" s="3124">
        <f t="shared" si="2548"/>
        <v>30</v>
      </c>
      <c r="AE95" s="3129"/>
      <c r="AF95" s="3130"/>
      <c r="AG95" s="3130"/>
      <c r="AH95" s="1612"/>
      <c r="AI95" s="3134"/>
      <c r="AJ95" s="3132"/>
      <c r="AK95" s="3132"/>
      <c r="AL95" s="3133"/>
      <c r="AM95" s="1292"/>
      <c r="AN95" s="1290"/>
      <c r="AO95" s="1290"/>
      <c r="AP95" s="1023"/>
    </row>
    <row r="96" ht="16.5" customHeight="1">
      <c r="A96" s="3123" t="s">
        <v>201</v>
      </c>
      <c r="B96" s="3125"/>
      <c r="C96" s="3126"/>
      <c r="D96" s="3127"/>
      <c r="E96" s="3127">
        <v>6</v>
      </c>
      <c r="F96" s="3127"/>
      <c r="G96" s="3127"/>
      <c r="H96" s="3127"/>
      <c r="I96" s="3127"/>
      <c r="J96" s="3127"/>
      <c r="K96" s="3127"/>
      <c r="L96" s="3127"/>
      <c r="M96" s="3127"/>
      <c r="N96" s="3127"/>
      <c r="O96" s="3127"/>
      <c r="P96" s="3127"/>
      <c r="Q96" s="3127"/>
      <c r="R96" s="3127"/>
      <c r="S96" s="3127"/>
      <c r="T96" s="3127"/>
      <c r="U96" s="3127"/>
      <c r="V96" s="3127"/>
      <c r="W96" s="3127"/>
      <c r="X96" s="3127"/>
      <c r="Y96" s="3128"/>
      <c r="Z96" s="3125"/>
      <c r="AA96" s="3124">
        <f t="shared" si="2548"/>
        <v>6</v>
      </c>
      <c r="AE96" s="3129"/>
      <c r="AF96" s="3130"/>
      <c r="AG96" s="3130"/>
      <c r="AH96" s="1612"/>
      <c r="AI96" s="1293"/>
      <c r="AJ96" s="3132"/>
      <c r="AK96" s="3132"/>
      <c r="AL96" s="3133"/>
      <c r="AM96" s="1292"/>
      <c r="AN96" s="1290"/>
      <c r="AO96" s="1290"/>
      <c r="AP96" s="1023"/>
    </row>
    <row r="97" ht="16.5" customHeight="1">
      <c r="A97" s="3123" t="s">
        <v>203</v>
      </c>
      <c r="B97" s="3125"/>
      <c r="C97" s="3126"/>
      <c r="D97" s="3127"/>
      <c r="E97" s="3127"/>
      <c r="F97" s="3127"/>
      <c r="G97" s="3127"/>
      <c r="H97" s="3127"/>
      <c r="I97" s="3127"/>
      <c r="J97" s="3127"/>
      <c r="K97" s="3127"/>
      <c r="L97" s="3127"/>
      <c r="M97" s="3127"/>
      <c r="N97" s="3127"/>
      <c r="O97" s="3127"/>
      <c r="P97" s="3127"/>
      <c r="Q97" s="3127"/>
      <c r="R97" s="3127"/>
      <c r="S97" s="3127"/>
      <c r="T97" s="3127"/>
      <c r="U97" s="3127"/>
      <c r="V97" s="3127"/>
      <c r="W97" s="3127"/>
      <c r="X97" s="3127"/>
      <c r="Y97" s="3128"/>
      <c r="Z97" s="3125"/>
      <c r="AA97" s="3124">
        <f t="shared" si="2548"/>
        <v>0</v>
      </c>
      <c r="AE97" s="3129"/>
      <c r="AF97" s="3130"/>
      <c r="AG97" s="3130"/>
      <c r="AH97" s="1612"/>
      <c r="AI97" s="3131"/>
      <c r="AJ97" s="3135"/>
      <c r="AK97" s="3135"/>
      <c r="AL97" s="3133"/>
      <c r="AM97" s="1292"/>
      <c r="AN97" s="1290"/>
      <c r="AO97" s="1290"/>
      <c r="AP97" s="1023"/>
    </row>
    <row r="98" ht="16.5" customHeight="1">
      <c r="A98" s="3123" t="s">
        <v>1011</v>
      </c>
      <c r="B98" s="3125"/>
      <c r="C98" s="3126"/>
      <c r="D98" s="3127"/>
      <c r="E98" s="3127"/>
      <c r="F98" s="3127"/>
      <c r="G98" s="3127"/>
      <c r="H98" s="3127"/>
      <c r="I98" s="3127"/>
      <c r="J98" s="3127"/>
      <c r="K98" s="3127"/>
      <c r="L98" s="3127"/>
      <c r="M98" s="3127"/>
      <c r="N98" s="3127"/>
      <c r="O98" s="3127"/>
      <c r="P98" s="3127"/>
      <c r="Q98" s="3127"/>
      <c r="R98" s="3127"/>
      <c r="S98" s="3127"/>
      <c r="T98" s="3127"/>
      <c r="U98" s="3127"/>
      <c r="V98" s="3127"/>
      <c r="W98" s="3127"/>
      <c r="X98" s="3127"/>
      <c r="Y98" s="3128"/>
      <c r="Z98" s="3125"/>
      <c r="AA98" s="3124">
        <f t="shared" si="2548"/>
        <v>0</v>
      </c>
      <c r="AE98" s="3129"/>
      <c r="AF98" s="3130"/>
      <c r="AG98" s="3130"/>
      <c r="AH98" s="1612"/>
      <c r="AI98" s="3131"/>
      <c r="AJ98" s="3132"/>
      <c r="AK98" s="3132"/>
      <c r="AL98" s="3133"/>
      <c r="AM98" s="1290"/>
      <c r="AN98" s="1290"/>
      <c r="AO98" s="1290"/>
      <c r="AP98" s="1023"/>
    </row>
    <row r="99" ht="16.5" customHeight="1">
      <c r="A99" s="3123" t="s">
        <v>204</v>
      </c>
      <c r="B99" s="3125"/>
      <c r="C99" s="3126"/>
      <c r="D99" s="3127"/>
      <c r="E99" s="3127">
        <v>2</v>
      </c>
      <c r="F99" s="3127"/>
      <c r="G99" s="3127"/>
      <c r="H99" s="3127"/>
      <c r="I99" s="3127"/>
      <c r="J99" s="3127"/>
      <c r="K99" s="3127"/>
      <c r="L99" s="3127"/>
      <c r="M99" s="3127"/>
      <c r="N99" s="3127"/>
      <c r="O99" s="3127"/>
      <c r="P99" s="3127"/>
      <c r="Q99" s="3127"/>
      <c r="R99" s="3127"/>
      <c r="S99" s="3127"/>
      <c r="T99" s="3127"/>
      <c r="U99" s="3127"/>
      <c r="V99" s="3127"/>
      <c r="W99" s="3127"/>
      <c r="X99" s="3127"/>
      <c r="Y99" s="3128"/>
      <c r="Z99" s="3125"/>
      <c r="AA99" s="3124">
        <f t="shared" si="2548"/>
        <v>2</v>
      </c>
      <c r="AE99" s="3129"/>
      <c r="AF99" s="3130"/>
      <c r="AG99" s="3130"/>
      <c r="AH99" s="1612"/>
      <c r="AI99" s="3131"/>
      <c r="AJ99" s="3132"/>
      <c r="AK99" s="3132"/>
      <c r="AL99" s="3133"/>
      <c r="AM99" s="1292"/>
      <c r="AN99" s="1290"/>
      <c r="AO99" s="1290"/>
      <c r="AP99" s="1023"/>
    </row>
    <row r="100" ht="16.5" customHeight="1">
      <c r="A100" s="3123"/>
      <c r="B100" s="3125"/>
      <c r="C100" s="3126"/>
      <c r="D100" s="3127"/>
      <c r="E100" s="3127"/>
      <c r="F100" s="3127"/>
      <c r="G100" s="3127"/>
      <c r="H100" s="3127"/>
      <c r="I100" s="3127"/>
      <c r="J100" s="3127"/>
      <c r="K100" s="3127"/>
      <c r="L100" s="3127"/>
      <c r="M100" s="3127"/>
      <c r="N100" s="3127"/>
      <c r="O100" s="3127"/>
      <c r="P100" s="3127"/>
      <c r="Q100" s="3127"/>
      <c r="R100" s="3127"/>
      <c r="S100" s="3127"/>
      <c r="T100" s="3127"/>
      <c r="U100" s="3127"/>
      <c r="V100" s="3127"/>
      <c r="W100" s="3127"/>
      <c r="X100" s="3127"/>
      <c r="Y100" s="3128"/>
      <c r="Z100" s="3125"/>
      <c r="AA100" s="3124">
        <f t="shared" si="2548"/>
        <v>0</v>
      </c>
      <c r="AE100" s="3129"/>
      <c r="AF100" s="3130"/>
      <c r="AG100" s="3130"/>
      <c r="AH100" s="1612"/>
      <c r="AI100" s="3131"/>
      <c r="AJ100" s="3132"/>
      <c r="AK100" s="3132"/>
      <c r="AL100" s="3133"/>
      <c r="AM100" s="1292"/>
      <c r="AN100" s="1290"/>
      <c r="AO100" s="1290"/>
      <c r="AP100" s="1292"/>
    </row>
    <row r="101" ht="16.5" customHeight="1">
      <c r="A101" s="3091"/>
      <c r="B101" s="3092"/>
      <c r="C101" s="2762"/>
      <c r="D101" s="3093"/>
      <c r="E101" s="3093"/>
      <c r="F101" s="3093"/>
      <c r="G101" s="3093"/>
      <c r="H101" s="3093"/>
      <c r="I101" s="3093"/>
      <c r="J101" s="3093"/>
      <c r="K101" s="3093"/>
      <c r="L101" s="3093"/>
      <c r="M101" s="3093"/>
      <c r="N101" s="3093"/>
      <c r="O101" s="3093"/>
      <c r="P101" s="3093"/>
      <c r="Q101" s="3093"/>
      <c r="R101" s="3093"/>
      <c r="S101" s="3093"/>
      <c r="T101" s="3093"/>
      <c r="U101" s="3093"/>
      <c r="V101" s="3093"/>
      <c r="W101" s="3093"/>
      <c r="X101" s="3093"/>
      <c r="Y101" s="3094"/>
      <c r="Z101" s="3092"/>
      <c r="AA101" s="3124">
        <f t="shared" si="2548"/>
        <v>0</v>
      </c>
      <c r="AE101" s="3129"/>
      <c r="AF101" s="1612"/>
      <c r="AG101" s="1612"/>
      <c r="AH101" s="1612"/>
      <c r="AI101" s="3131"/>
      <c r="AJ101" s="3132"/>
      <c r="AK101" s="3132"/>
      <c r="AL101" s="3132"/>
      <c r="AM101" s="1292"/>
      <c r="AN101" s="1290"/>
      <c r="AO101" s="1290"/>
      <c r="AP101" s="1292"/>
    </row>
    <row r="102" ht="16.5" customHeight="1">
      <c r="A102" s="3091"/>
      <c r="B102" s="3095"/>
      <c r="C102" s="3136"/>
      <c r="D102" s="3100"/>
      <c r="E102" s="3100"/>
      <c r="F102" s="3100"/>
      <c r="G102" s="3100"/>
      <c r="H102" s="3100"/>
      <c r="I102" s="3100"/>
      <c r="J102" s="3100"/>
      <c r="K102" s="3100"/>
      <c r="L102" s="3100"/>
      <c r="M102" s="3100"/>
      <c r="N102" s="3100"/>
      <c r="O102" s="3100"/>
      <c r="P102" s="3100"/>
      <c r="Q102" s="3100"/>
      <c r="R102" s="3100"/>
      <c r="S102" s="3100"/>
      <c r="T102" s="3100"/>
      <c r="U102" s="3100"/>
      <c r="V102" s="3100"/>
      <c r="W102" s="3100"/>
      <c r="X102" s="3100"/>
      <c r="Y102" s="3101"/>
      <c r="Z102" s="3095"/>
      <c r="AA102" s="3137">
        <f t="shared" si="2548"/>
        <v>0</v>
      </c>
      <c r="AE102" s="3129"/>
      <c r="AF102" s="1612"/>
      <c r="AG102" s="1612"/>
      <c r="AH102" s="1612"/>
      <c r="AI102" s="3131"/>
      <c r="AJ102" s="1005"/>
      <c r="AK102" s="1005"/>
      <c r="AL102" s="3133"/>
      <c r="AM102" s="1290"/>
      <c r="AN102" s="1290"/>
      <c r="AO102" s="1290"/>
      <c r="AP102" s="1292"/>
    </row>
    <row r="103">
      <c r="A103" s="3120" t="s">
        <v>27</v>
      </c>
      <c r="B103" s="3104"/>
      <c r="C103" s="3105">
        <f>SUM(C88:C102)</f>
        <v>84</v>
      </c>
      <c r="D103" s="3104"/>
      <c r="E103" s="3105">
        <f>SUM(E88:E102)</f>
        <v>115</v>
      </c>
      <c r="F103" s="3104"/>
      <c r="G103" s="3105">
        <f>SUM(G88:G102)</f>
        <v>0</v>
      </c>
      <c r="H103" s="3105"/>
      <c r="I103" s="3105">
        <f>SUM(I88:I102)</f>
        <v>0</v>
      </c>
      <c r="J103" s="3105"/>
      <c r="K103" s="3105">
        <f>SUM(K88:K102)</f>
        <v>0</v>
      </c>
      <c r="L103" s="3105"/>
      <c r="M103" s="3105">
        <f>SUM(M88:M102)</f>
        <v>0</v>
      </c>
      <c r="N103" s="3105"/>
      <c r="O103" s="3105">
        <f>SUM(O88:O102)</f>
        <v>0</v>
      </c>
      <c r="P103" s="3105"/>
      <c r="Q103" s="3105">
        <f>SUM(Q88:Q102)</f>
        <v>0</v>
      </c>
      <c r="R103" s="3105"/>
      <c r="S103" s="3105">
        <f>SUM(S88:S102)</f>
        <v>0</v>
      </c>
      <c r="T103" s="3105"/>
      <c r="U103" s="3105">
        <f>SUM(U88:U102)</f>
        <v>0</v>
      </c>
      <c r="V103" s="3105"/>
      <c r="W103" s="3105">
        <f>SUM(W88:W102)</f>
        <v>0</v>
      </c>
      <c r="X103" s="3105"/>
      <c r="Y103" s="3105">
        <f>SUM(Y88:Y102)</f>
        <v>0</v>
      </c>
      <c r="Z103" s="3138"/>
      <c r="AA103" s="3139">
        <f>SUM(AA88:AA102)</f>
        <v>199</v>
      </c>
      <c r="AE103" s="2371"/>
      <c r="AF103" s="2371"/>
      <c r="AG103" s="2371"/>
      <c r="AH103" s="2371"/>
      <c r="AI103" s="2371"/>
      <c r="AJ103" s="2371"/>
      <c r="AK103" s="2371"/>
      <c r="AL103" s="2371"/>
      <c r="AM103" s="2371"/>
      <c r="AN103" s="2371"/>
      <c r="AO103" s="2371"/>
      <c r="AP103" s="2371"/>
    </row>
    <row r="104">
      <c r="D104" s="2373"/>
      <c r="E104" s="2373"/>
      <c r="F104" s="2368"/>
      <c r="G104" s="2368"/>
      <c r="H104" s="2368"/>
      <c r="I104" s="2368"/>
      <c r="J104" s="2368"/>
      <c r="K104" s="2368"/>
      <c r="L104" s="2373"/>
      <c r="M104" s="2373"/>
      <c r="N104" s="2368"/>
      <c r="O104" s="2368"/>
      <c r="P104" s="2373"/>
      <c r="Q104" s="2373"/>
      <c r="R104" s="2368"/>
      <c r="S104" s="2368"/>
      <c r="T104" s="2368"/>
      <c r="U104" s="2368"/>
      <c r="V104" s="2368"/>
      <c r="W104" s="2368"/>
      <c r="X104" s="2368"/>
      <c r="Y104" s="2368"/>
      <c r="AE104" s="2371"/>
      <c r="AF104" s="2371"/>
      <c r="AG104" s="2371"/>
      <c r="AH104" s="2371"/>
      <c r="AI104" s="2371"/>
      <c r="AJ104" s="2371"/>
      <c r="AK104" s="2371"/>
      <c r="AL104" s="2371"/>
      <c r="AM104" s="2371"/>
      <c r="AN104" s="2371"/>
      <c r="AO104" s="2371"/>
      <c r="AP104" s="2371"/>
    </row>
    <row r="105">
      <c r="D105" s="2368"/>
      <c r="E105" s="2368"/>
      <c r="F105" s="2368"/>
      <c r="G105" s="2368"/>
      <c r="H105" s="2368"/>
      <c r="I105" s="2368"/>
      <c r="J105" s="2368"/>
      <c r="K105" s="2368"/>
      <c r="L105" s="2368"/>
      <c r="M105" s="2368"/>
      <c r="N105" s="2368"/>
      <c r="O105" s="2368"/>
      <c r="P105" s="2368"/>
      <c r="Q105" s="2368"/>
      <c r="R105" s="2368"/>
      <c r="S105" s="2368"/>
      <c r="T105" s="2368"/>
      <c r="U105" s="2368"/>
      <c r="V105" s="2368"/>
      <c r="W105" s="2368"/>
      <c r="X105" s="2368"/>
      <c r="Y105" s="2368"/>
      <c r="AE105" s="2371"/>
      <c r="AF105" s="2371"/>
      <c r="AG105" s="2371"/>
      <c r="AH105" s="2371"/>
      <c r="AI105" s="2371"/>
      <c r="AJ105" s="2371"/>
      <c r="AK105" s="2371"/>
      <c r="AL105" s="2371"/>
      <c r="AM105" s="2371"/>
      <c r="AN105" s="2371"/>
      <c r="AO105" s="2371"/>
      <c r="AP105" s="2371"/>
    </row>
    <row r="106" ht="23.25">
      <c r="A106" s="3002" t="s">
        <v>1012</v>
      </c>
      <c r="D106" s="2368"/>
      <c r="E106" s="2368"/>
      <c r="F106" s="2368"/>
      <c r="G106" s="2368"/>
      <c r="H106" s="2368"/>
      <c r="I106" s="2368"/>
      <c r="J106" s="2368"/>
      <c r="K106" s="2368"/>
      <c r="L106" s="2368"/>
      <c r="M106" s="2368"/>
      <c r="N106" s="2368"/>
      <c r="O106" s="2368"/>
      <c r="P106" s="2368"/>
      <c r="Q106" s="2368"/>
      <c r="R106" s="2368"/>
      <c r="S106" s="2368"/>
      <c r="T106" s="2368"/>
      <c r="U106" s="2368"/>
      <c r="V106" s="2368"/>
      <c r="W106" s="2368"/>
      <c r="X106" s="2368"/>
      <c r="Y106" s="2368"/>
    </row>
    <row r="107" ht="15">
      <c r="A107" s="3078" t="s">
        <v>536</v>
      </c>
      <c r="B107" s="3079" t="s">
        <v>6</v>
      </c>
      <c r="C107" s="3005"/>
      <c r="D107" s="3004" t="s">
        <v>7</v>
      </c>
      <c r="E107" s="3006"/>
      <c r="F107" s="3007" t="s">
        <v>8</v>
      </c>
      <c r="G107" s="3008"/>
      <c r="H107" s="3007" t="s">
        <v>10</v>
      </c>
      <c r="I107" s="3008"/>
      <c r="J107" s="3007" t="s">
        <v>11</v>
      </c>
      <c r="K107" s="3008"/>
      <c r="L107" s="3007" t="s">
        <v>12</v>
      </c>
      <c r="M107" s="3008"/>
      <c r="N107" s="3009" t="s">
        <v>14</v>
      </c>
      <c r="O107" s="3010"/>
      <c r="P107" s="3007" t="s">
        <v>15</v>
      </c>
      <c r="Q107" s="3008"/>
      <c r="R107" s="3009" t="s">
        <v>16</v>
      </c>
      <c r="S107" s="3010"/>
      <c r="T107" s="3007" t="s">
        <v>18</v>
      </c>
      <c r="U107" s="3008"/>
      <c r="V107" s="3009" t="s">
        <v>19</v>
      </c>
      <c r="W107" s="3010"/>
      <c r="X107" s="3007" t="s">
        <v>788</v>
      </c>
      <c r="Y107" s="3008"/>
      <c r="Z107" s="3009" t="s">
        <v>22</v>
      </c>
      <c r="AA107" s="3008"/>
    </row>
    <row r="108">
      <c r="A108" s="3080"/>
      <c r="B108" s="3057"/>
      <c r="C108" s="3058" t="s">
        <v>311</v>
      </c>
      <c r="D108" s="3055"/>
      <c r="E108" s="3056" t="s">
        <v>311</v>
      </c>
      <c r="F108" s="3081"/>
      <c r="G108" s="3082" t="s">
        <v>311</v>
      </c>
      <c r="H108" s="3081"/>
      <c r="I108" s="3082" t="s">
        <v>311</v>
      </c>
      <c r="J108" s="3081"/>
      <c r="K108" s="3082" t="s">
        <v>311</v>
      </c>
      <c r="L108" s="3081"/>
      <c r="M108" s="3082" t="s">
        <v>311</v>
      </c>
      <c r="N108" s="3083"/>
      <c r="O108" s="3084" t="s">
        <v>311</v>
      </c>
      <c r="P108" s="3081"/>
      <c r="Q108" s="3082" t="s">
        <v>311</v>
      </c>
      <c r="R108" s="3083"/>
      <c r="S108" s="3084" t="s">
        <v>311</v>
      </c>
      <c r="T108" s="3081"/>
      <c r="U108" s="3082" t="s">
        <v>311</v>
      </c>
      <c r="V108" s="3083"/>
      <c r="W108" s="3084" t="s">
        <v>311</v>
      </c>
      <c r="X108" s="3081"/>
      <c r="Y108" s="3082" t="s">
        <v>311</v>
      </c>
      <c r="Z108" s="3083"/>
      <c r="AA108" s="3082" t="s">
        <v>311</v>
      </c>
    </row>
    <row r="109">
      <c r="A109" s="3123"/>
      <c r="B109" s="3086"/>
      <c r="C109" s="3087"/>
      <c r="D109" s="3088"/>
      <c r="E109" s="3088"/>
      <c r="F109" s="3088"/>
      <c r="G109" s="3088"/>
      <c r="H109" s="3088"/>
      <c r="I109" s="3088"/>
      <c r="J109" s="3088"/>
      <c r="K109" s="3088"/>
      <c r="L109" s="3088"/>
      <c r="M109" s="3088"/>
      <c r="N109" s="3088"/>
      <c r="O109" s="3088"/>
      <c r="P109" s="3088"/>
      <c r="Q109" s="3088"/>
      <c r="R109" s="3088"/>
      <c r="S109" s="3088"/>
      <c r="T109" s="3088"/>
      <c r="U109" s="3088"/>
      <c r="V109" s="3088"/>
      <c r="W109" s="3088"/>
      <c r="X109" s="3088"/>
      <c r="Y109" s="3089"/>
      <c r="Z109" s="3140"/>
      <c r="AA109" s="3124">
        <f t="shared" ref="AA109:AA112" si="2549">SUM(B109:Z109)</f>
        <v>0</v>
      </c>
    </row>
    <row r="110">
      <c r="A110" s="3123" t="s">
        <v>1013</v>
      </c>
      <c r="B110" s="3125"/>
      <c r="C110" s="3141"/>
      <c r="D110" s="3127"/>
      <c r="E110" s="3127"/>
      <c r="F110" s="3127"/>
      <c r="G110" s="3127"/>
      <c r="H110" s="3127"/>
      <c r="I110" s="3127"/>
      <c r="J110" s="3127"/>
      <c r="K110" s="3127"/>
      <c r="L110" s="3127"/>
      <c r="M110" s="3127"/>
      <c r="N110" s="3127"/>
      <c r="O110" s="3127"/>
      <c r="P110" s="3127"/>
      <c r="Q110" s="3127"/>
      <c r="R110" s="3127"/>
      <c r="S110" s="3127"/>
      <c r="T110" s="3127"/>
      <c r="U110" s="3127"/>
      <c r="V110" s="3127"/>
      <c r="W110" s="3127"/>
      <c r="X110" s="3127"/>
      <c r="Y110" s="3128"/>
      <c r="Z110" s="3125"/>
      <c r="AA110" s="3124">
        <f t="shared" si="2549"/>
        <v>0</v>
      </c>
    </row>
    <row r="111">
      <c r="A111" s="3142" t="s">
        <v>1014</v>
      </c>
      <c r="B111" s="3143"/>
      <c r="C111" s="3127">
        <v>9</v>
      </c>
      <c r="D111" s="3127" t="s">
        <v>1015</v>
      </c>
      <c r="E111" s="3127">
        <v>6</v>
      </c>
      <c r="F111" s="3127"/>
      <c r="G111" s="3127"/>
      <c r="H111" s="3127"/>
      <c r="I111" s="3127"/>
      <c r="J111" s="3127"/>
      <c r="K111" s="3127"/>
      <c r="L111" s="3127"/>
      <c r="M111" s="3127"/>
      <c r="N111" s="3127"/>
      <c r="O111" s="3127"/>
      <c r="P111" s="3127"/>
      <c r="Q111" s="3127"/>
      <c r="R111" s="3127"/>
      <c r="S111" s="3127"/>
      <c r="T111" s="3127"/>
      <c r="U111" s="3127"/>
      <c r="V111" s="3127"/>
      <c r="W111" s="3127"/>
      <c r="X111" s="3127"/>
      <c r="Y111" s="3128"/>
      <c r="Z111" s="3125"/>
      <c r="AA111" s="3144">
        <f t="shared" si="2549"/>
        <v>15</v>
      </c>
    </row>
    <row r="112">
      <c r="A112" s="3145" t="s">
        <v>1016</v>
      </c>
      <c r="B112" s="3117"/>
      <c r="C112" s="3136">
        <v>5</v>
      </c>
      <c r="D112" s="3100" t="s">
        <v>1017</v>
      </c>
      <c r="E112" s="3100">
        <v>3</v>
      </c>
      <c r="F112" s="3100"/>
      <c r="G112" s="3100"/>
      <c r="H112" s="3100"/>
      <c r="I112" s="3100"/>
      <c r="J112" s="3100"/>
      <c r="K112" s="3100"/>
      <c r="L112" s="3100"/>
      <c r="M112" s="3100"/>
      <c r="N112" s="3100"/>
      <c r="O112" s="3100"/>
      <c r="P112" s="3100"/>
      <c r="Q112" s="3100"/>
      <c r="R112" s="3100"/>
      <c r="S112" s="3100"/>
      <c r="T112" s="3100"/>
      <c r="U112" s="3100"/>
      <c r="V112" s="3100"/>
      <c r="W112" s="3100"/>
      <c r="X112" s="3100"/>
      <c r="Y112" s="3101"/>
      <c r="Z112" s="3095"/>
      <c r="AA112" s="3146">
        <f t="shared" si="2549"/>
        <v>8</v>
      </c>
    </row>
    <row r="113" ht="15.75">
      <c r="A113" s="3120" t="s">
        <v>27</v>
      </c>
      <c r="B113" s="3147"/>
      <c r="C113" s="3148">
        <f>SUM(C109:C112)</f>
        <v>14</v>
      </c>
      <c r="D113" s="3147"/>
      <c r="E113" s="3148">
        <f>SUM(E109:E112)</f>
        <v>9</v>
      </c>
      <c r="F113" s="3147"/>
      <c r="G113" s="3148">
        <f>SUM(G109:G112)</f>
        <v>0</v>
      </c>
      <c r="H113" s="3148"/>
      <c r="I113" s="3148">
        <f t="shared" ref="I113:O113" si="2550">SUM(I109:I112)</f>
        <v>0</v>
      </c>
      <c r="J113" s="3148"/>
      <c r="K113" s="3148">
        <f>SUM(K109:K112)</f>
        <v>0</v>
      </c>
      <c r="L113" s="3148"/>
      <c r="M113" s="3148">
        <f t="shared" si="2550"/>
        <v>0</v>
      </c>
      <c r="N113" s="3148"/>
      <c r="O113" s="3148">
        <f t="shared" si="2550"/>
        <v>0</v>
      </c>
      <c r="P113" s="3148"/>
      <c r="Q113" s="3148">
        <f>SUM(Q109:Q112)</f>
        <v>0</v>
      </c>
      <c r="R113" s="3148"/>
      <c r="S113" s="3148">
        <f>SUM(S109:S112)</f>
        <v>0</v>
      </c>
      <c r="T113" s="3148"/>
      <c r="U113" s="3148">
        <f>SUM(U109:U112)</f>
        <v>0</v>
      </c>
      <c r="V113" s="3148"/>
      <c r="W113" s="3148">
        <f>SUM(W109:W112)</f>
        <v>0</v>
      </c>
      <c r="X113" s="3148"/>
      <c r="Y113" s="3148">
        <f>SUM(Y109:Y112)</f>
        <v>0</v>
      </c>
      <c r="Z113" s="3138"/>
      <c r="AA113" s="3149">
        <f>SUM(AA109:AA112)</f>
        <v>23</v>
      </c>
    </row>
    <row r="114">
      <c r="D114" s="2368"/>
      <c r="E114" s="2368"/>
      <c r="F114" s="2368"/>
      <c r="G114" s="2368"/>
      <c r="H114" s="2368"/>
      <c r="I114" s="2368"/>
      <c r="J114" s="2368"/>
      <c r="K114" s="2368"/>
      <c r="L114" s="2368"/>
      <c r="M114" s="2368"/>
      <c r="N114" s="2368"/>
      <c r="O114" s="2368"/>
      <c r="P114" s="2373"/>
      <c r="Q114" s="2373"/>
      <c r="R114" s="2368"/>
      <c r="S114" s="2368"/>
      <c r="T114" s="2368"/>
      <c r="U114" s="2368"/>
      <c r="V114" s="2368"/>
      <c r="W114" s="2368"/>
      <c r="X114" s="2368"/>
      <c r="Y114" s="2368"/>
    </row>
    <row r="115">
      <c r="D115" s="2368"/>
      <c r="E115" s="2368"/>
      <c r="F115" s="2368"/>
      <c r="G115" s="2368"/>
      <c r="H115" s="2368"/>
      <c r="I115" s="2368"/>
      <c r="J115" s="2368"/>
      <c r="K115" s="2368"/>
      <c r="L115" s="2368"/>
      <c r="M115" s="2368"/>
      <c r="N115" s="2368"/>
      <c r="O115" s="2368"/>
      <c r="P115" s="2368"/>
      <c r="Q115" s="2368"/>
      <c r="R115" s="2368"/>
      <c r="S115" s="2368"/>
      <c r="T115" s="2368"/>
      <c r="U115" s="2368"/>
      <c r="V115" s="2368"/>
      <c r="W115" s="2368"/>
      <c r="X115" s="2368"/>
      <c r="Y115" s="2368"/>
    </row>
    <row r="116" ht="23.25">
      <c r="A116" s="3002" t="s">
        <v>73</v>
      </c>
      <c r="D116" s="2373"/>
      <c r="E116" s="2373"/>
      <c r="F116" s="2373"/>
      <c r="G116" s="2373"/>
      <c r="H116" s="2373"/>
      <c r="I116" s="2373"/>
      <c r="J116" s="2368"/>
      <c r="K116" s="2368"/>
      <c r="L116" s="2368"/>
      <c r="M116" s="2368"/>
      <c r="N116" s="2368"/>
      <c r="O116" s="2368"/>
      <c r="P116" s="2368"/>
      <c r="Q116" s="2368"/>
      <c r="R116" s="2368"/>
      <c r="S116" s="2368"/>
      <c r="T116" s="2368"/>
      <c r="U116" s="2368"/>
      <c r="V116" s="2368"/>
      <c r="W116" s="2368"/>
      <c r="X116" s="2368"/>
      <c r="Y116" s="2368"/>
    </row>
    <row r="117" ht="15">
      <c r="A117" s="3078" t="s">
        <v>536</v>
      </c>
      <c r="B117" s="3079" t="s">
        <v>6</v>
      </c>
      <c r="C117" s="3005"/>
      <c r="D117" s="3004" t="s">
        <v>7</v>
      </c>
      <c r="E117" s="3006"/>
      <c r="F117" s="3007" t="s">
        <v>8</v>
      </c>
      <c r="G117" s="3008"/>
      <c r="H117" s="3007" t="s">
        <v>10</v>
      </c>
      <c r="I117" s="3008"/>
      <c r="J117" s="3007" t="s">
        <v>11</v>
      </c>
      <c r="K117" s="3008"/>
      <c r="L117" s="3007" t="s">
        <v>12</v>
      </c>
      <c r="M117" s="3008"/>
      <c r="N117" s="3009" t="s">
        <v>14</v>
      </c>
      <c r="O117" s="3010"/>
      <c r="P117" s="3007" t="s">
        <v>15</v>
      </c>
      <c r="Q117" s="3008"/>
      <c r="R117" s="3009" t="s">
        <v>16</v>
      </c>
      <c r="S117" s="3010"/>
      <c r="T117" s="3007" t="s">
        <v>18</v>
      </c>
      <c r="U117" s="3008"/>
      <c r="V117" s="3009" t="s">
        <v>19</v>
      </c>
      <c r="W117" s="3010"/>
      <c r="X117" s="3007" t="s">
        <v>788</v>
      </c>
      <c r="Y117" s="3008"/>
      <c r="Z117" s="3009" t="s">
        <v>22</v>
      </c>
      <c r="AA117" s="3008"/>
    </row>
    <row r="118">
      <c r="A118" s="3080"/>
      <c r="B118" s="3057"/>
      <c r="C118" s="3058" t="s">
        <v>311</v>
      </c>
      <c r="D118" s="3055"/>
      <c r="E118" s="3056" t="s">
        <v>311</v>
      </c>
      <c r="F118" s="3081"/>
      <c r="G118" s="3082" t="s">
        <v>311</v>
      </c>
      <c r="H118" s="3081"/>
      <c r="I118" s="3082" t="s">
        <v>311</v>
      </c>
      <c r="J118" s="3081"/>
      <c r="K118" s="3082" t="s">
        <v>311</v>
      </c>
      <c r="L118" s="3081"/>
      <c r="M118" s="3082" t="s">
        <v>311</v>
      </c>
      <c r="N118" s="3083"/>
      <c r="O118" s="3084" t="s">
        <v>311</v>
      </c>
      <c r="P118" s="3081"/>
      <c r="Q118" s="3082" t="s">
        <v>311</v>
      </c>
      <c r="R118" s="3083"/>
      <c r="S118" s="3084" t="s">
        <v>311</v>
      </c>
      <c r="T118" s="3081"/>
      <c r="U118" s="3082" t="s">
        <v>311</v>
      </c>
      <c r="V118" s="3083"/>
      <c r="W118" s="3084" t="s">
        <v>311</v>
      </c>
      <c r="X118" s="3081"/>
      <c r="Y118" s="3082" t="s">
        <v>311</v>
      </c>
      <c r="Z118" s="3083"/>
      <c r="AA118" s="3082" t="s">
        <v>311</v>
      </c>
    </row>
    <row r="119">
      <c r="A119" s="3123" t="s">
        <v>1018</v>
      </c>
      <c r="B119" s="3140"/>
      <c r="C119" s="3088">
        <v>165</v>
      </c>
      <c r="D119" s="3088"/>
      <c r="E119" s="3088">
        <v>99</v>
      </c>
      <c r="F119" s="3088"/>
      <c r="G119" s="3088"/>
      <c r="H119" s="3088"/>
      <c r="I119" s="3088"/>
      <c r="J119" s="3088"/>
      <c r="K119" s="3088"/>
      <c r="L119" s="3088"/>
      <c r="M119" s="3088"/>
      <c r="N119" s="3088"/>
      <c r="O119" s="3088"/>
      <c r="P119" s="3088"/>
      <c r="Q119" s="3088"/>
      <c r="R119" s="3088"/>
      <c r="S119" s="3088"/>
      <c r="T119" s="3088"/>
      <c r="U119" s="3088"/>
      <c r="V119" s="3088"/>
      <c r="W119" s="3088"/>
      <c r="X119" s="3088"/>
      <c r="Y119" s="3089"/>
      <c r="Z119" s="3086"/>
      <c r="AA119" s="3124">
        <f t="shared" ref="AA119:AA135" si="2551">SUM(B119:Z119)</f>
        <v>264</v>
      </c>
      <c r="AC119" s="2373"/>
    </row>
    <row r="120">
      <c r="A120" s="3123" t="s">
        <v>1019</v>
      </c>
      <c r="B120" s="3125"/>
      <c r="C120" s="3126">
        <f>5+5</f>
        <v>10</v>
      </c>
      <c r="D120" s="3127"/>
      <c r="E120" s="3127">
        <f>6+2</f>
        <v>8</v>
      </c>
      <c r="F120" s="3127"/>
      <c r="G120" s="3127"/>
      <c r="H120" s="3127"/>
      <c r="I120" s="3127"/>
      <c r="J120" s="3127"/>
      <c r="K120" s="3127"/>
      <c r="L120" s="3127"/>
      <c r="M120" s="3127"/>
      <c r="N120" s="3127"/>
      <c r="O120" s="3127"/>
      <c r="P120" s="3127"/>
      <c r="Q120" s="3127"/>
      <c r="R120" s="3127"/>
      <c r="S120" s="3127"/>
      <c r="T120" s="3127"/>
      <c r="U120" s="3127"/>
      <c r="V120" s="3127"/>
      <c r="W120" s="3127"/>
      <c r="X120" s="3127"/>
      <c r="Y120" s="3128"/>
      <c r="Z120" s="3125"/>
      <c r="AA120" s="3124">
        <f t="shared" si="2551"/>
        <v>18</v>
      </c>
    </row>
    <row r="121">
      <c r="A121" s="3123" t="s">
        <v>1020</v>
      </c>
      <c r="B121" s="3125"/>
      <c r="C121" s="3126"/>
      <c r="D121" s="3127"/>
      <c r="E121" s="3127"/>
      <c r="F121" s="3127"/>
      <c r="G121" s="3127"/>
      <c r="H121" s="3127"/>
      <c r="I121" s="3127"/>
      <c r="J121" s="3127"/>
      <c r="K121" s="3127"/>
      <c r="L121" s="3127"/>
      <c r="M121" s="3127"/>
      <c r="N121" s="3127"/>
      <c r="O121" s="3127"/>
      <c r="P121" s="3127"/>
      <c r="Q121" s="3127"/>
      <c r="R121" s="3127"/>
      <c r="S121" s="3127"/>
      <c r="T121" s="3127"/>
      <c r="U121" s="3127"/>
      <c r="V121" s="3127"/>
      <c r="W121" s="3127"/>
      <c r="X121" s="3127"/>
      <c r="Y121" s="3128"/>
      <c r="Z121" s="3125"/>
      <c r="AA121" s="3124">
        <f t="shared" si="2551"/>
        <v>0</v>
      </c>
    </row>
    <row r="122">
      <c r="A122" s="3123" t="s">
        <v>1021</v>
      </c>
      <c r="B122" s="3125"/>
      <c r="C122" s="3126"/>
      <c r="D122" s="3127"/>
      <c r="E122" s="3127"/>
      <c r="F122" s="3127"/>
      <c r="G122" s="3127"/>
      <c r="H122" s="3126"/>
      <c r="I122" s="3126"/>
      <c r="J122" s="3126"/>
      <c r="K122" s="3126"/>
      <c r="L122" s="3126"/>
      <c r="M122" s="3126"/>
      <c r="N122" s="3126"/>
      <c r="O122" s="3126"/>
      <c r="P122" s="3126"/>
      <c r="Q122" s="3126"/>
      <c r="R122" s="3126"/>
      <c r="S122" s="3126"/>
      <c r="T122" s="3127"/>
      <c r="U122" s="3127"/>
      <c r="V122" s="3127"/>
      <c r="W122" s="3127"/>
      <c r="X122" s="3127"/>
      <c r="Y122" s="3128"/>
      <c r="Z122" s="3125"/>
      <c r="AA122" s="3124">
        <f t="shared" si="2551"/>
        <v>0</v>
      </c>
    </row>
    <row r="123">
      <c r="A123" s="3123" t="s">
        <v>1022</v>
      </c>
      <c r="B123" s="3125"/>
      <c r="C123" s="3126">
        <v>81</v>
      </c>
      <c r="D123" s="3127"/>
      <c r="E123" s="3127">
        <v>12</v>
      </c>
      <c r="F123" s="3127"/>
      <c r="G123" s="3127"/>
      <c r="H123" s="3126"/>
      <c r="I123" s="3126"/>
      <c r="J123" s="3126"/>
      <c r="K123" s="3126"/>
      <c r="L123" s="3126"/>
      <c r="M123" s="3126"/>
      <c r="N123" s="3126"/>
      <c r="O123" s="3126"/>
      <c r="P123" s="3126"/>
      <c r="Q123" s="3126"/>
      <c r="R123" s="3126"/>
      <c r="S123" s="3126"/>
      <c r="T123" s="3127"/>
      <c r="U123" s="3127"/>
      <c r="V123" s="3127"/>
      <c r="W123" s="3127"/>
      <c r="X123" s="3127"/>
      <c r="Y123" s="3128"/>
      <c r="Z123" s="3125"/>
      <c r="AA123" s="3124">
        <f t="shared" si="2551"/>
        <v>93</v>
      </c>
    </row>
    <row r="124">
      <c r="A124" s="3123" t="s">
        <v>1023</v>
      </c>
      <c r="B124" s="3125"/>
      <c r="C124" s="3126">
        <v>9</v>
      </c>
      <c r="D124" s="3127"/>
      <c r="E124" s="3127">
        <v>8</v>
      </c>
      <c r="F124" s="3127"/>
      <c r="G124" s="3127"/>
      <c r="H124" s="3126"/>
      <c r="I124" s="3126"/>
      <c r="J124" s="3126"/>
      <c r="K124" s="3126"/>
      <c r="L124" s="3126"/>
      <c r="M124" s="3126"/>
      <c r="N124" s="3126"/>
      <c r="O124" s="3126"/>
      <c r="P124" s="3126"/>
      <c r="Q124" s="3126"/>
      <c r="R124" s="3126"/>
      <c r="S124" s="3126"/>
      <c r="T124" s="3127"/>
      <c r="U124" s="3127"/>
      <c r="V124" s="3126"/>
      <c r="W124" s="3126"/>
      <c r="X124" s="3127"/>
      <c r="Y124" s="3128"/>
      <c r="Z124" s="3125"/>
      <c r="AA124" s="3124">
        <f t="shared" si="2551"/>
        <v>17</v>
      </c>
    </row>
    <row r="125">
      <c r="A125" s="3123" t="s">
        <v>1024</v>
      </c>
      <c r="B125" s="3125"/>
      <c r="C125" s="3126">
        <v>22</v>
      </c>
      <c r="D125" s="3127"/>
      <c r="E125" s="3127">
        <v>7</v>
      </c>
      <c r="F125" s="3127"/>
      <c r="G125" s="3127"/>
      <c r="H125" s="3126"/>
      <c r="I125" s="3126"/>
      <c r="J125" s="3126"/>
      <c r="K125" s="3126"/>
      <c r="L125" s="3126"/>
      <c r="M125" s="3126"/>
      <c r="N125" s="3126"/>
      <c r="O125" s="3126"/>
      <c r="P125" s="3126"/>
      <c r="Q125" s="3126"/>
      <c r="R125" s="3126"/>
      <c r="S125" s="3126"/>
      <c r="T125" s="3127"/>
      <c r="U125" s="3127"/>
      <c r="V125" s="3126"/>
      <c r="W125" s="3126"/>
      <c r="X125" s="3127"/>
      <c r="Y125" s="3128"/>
      <c r="Z125" s="3125"/>
      <c r="AA125" s="3124">
        <f t="shared" si="2551"/>
        <v>29</v>
      </c>
    </row>
    <row r="126">
      <c r="A126" s="3123" t="s">
        <v>1025</v>
      </c>
      <c r="B126" s="3125"/>
      <c r="C126" s="3126"/>
      <c r="D126" s="3127"/>
      <c r="E126" s="3127">
        <v>1</v>
      </c>
      <c r="F126" s="3127"/>
      <c r="G126" s="3127"/>
      <c r="H126" s="3126"/>
      <c r="I126" s="3126"/>
      <c r="J126" s="3126"/>
      <c r="K126" s="3126"/>
      <c r="L126" s="3126"/>
      <c r="M126" s="3126"/>
      <c r="N126" s="3126"/>
      <c r="O126" s="3126"/>
      <c r="P126" s="3126"/>
      <c r="Q126" s="3126"/>
      <c r="R126" s="3126"/>
      <c r="S126" s="3126"/>
      <c r="T126" s="3127"/>
      <c r="U126" s="3127"/>
      <c r="V126" s="3126"/>
      <c r="W126" s="3126"/>
      <c r="X126" s="3127"/>
      <c r="Y126" s="3128"/>
      <c r="Z126" s="3125"/>
      <c r="AA126" s="3124">
        <f t="shared" si="2551"/>
        <v>1</v>
      </c>
    </row>
    <row r="127">
      <c r="A127" s="3123" t="s">
        <v>1026</v>
      </c>
      <c r="B127" s="3125"/>
      <c r="C127" s="3126"/>
      <c r="D127" s="3127"/>
      <c r="E127" s="3127"/>
      <c r="F127" s="3127"/>
      <c r="G127" s="3127"/>
      <c r="H127" s="3126"/>
      <c r="I127" s="3126"/>
      <c r="J127" s="3126"/>
      <c r="K127" s="3126"/>
      <c r="L127" s="3126"/>
      <c r="M127" s="3126"/>
      <c r="N127" s="3126"/>
      <c r="O127" s="3126"/>
      <c r="P127" s="3126"/>
      <c r="Q127" s="3126"/>
      <c r="R127" s="3126"/>
      <c r="S127" s="3126"/>
      <c r="T127" s="3126"/>
      <c r="U127" s="3126"/>
      <c r="V127" s="3126"/>
      <c r="W127" s="3126"/>
      <c r="X127" s="3126"/>
      <c r="Y127" s="1466"/>
      <c r="Z127" s="3125"/>
      <c r="AA127" s="3124">
        <f t="shared" si="2551"/>
        <v>0</v>
      </c>
    </row>
    <row r="128">
      <c r="A128" s="3123" t="s">
        <v>1027</v>
      </c>
      <c r="B128" s="3125"/>
      <c r="C128" s="3126"/>
      <c r="D128" s="3127"/>
      <c r="E128" s="3127"/>
      <c r="F128" s="3127"/>
      <c r="G128" s="3127"/>
      <c r="H128" s="3126"/>
      <c r="I128" s="3126"/>
      <c r="J128" s="3126"/>
      <c r="K128" s="3126"/>
      <c r="L128" s="3126"/>
      <c r="M128" s="3126"/>
      <c r="N128" s="3126"/>
      <c r="O128" s="3126"/>
      <c r="P128" s="3126"/>
      <c r="Q128" s="3126"/>
      <c r="R128" s="3126"/>
      <c r="S128" s="3126"/>
      <c r="T128" s="3126"/>
      <c r="U128" s="3126"/>
      <c r="V128" s="3126"/>
      <c r="W128" s="3126"/>
      <c r="X128" s="3126"/>
      <c r="Y128" s="1466"/>
      <c r="Z128" s="3125"/>
      <c r="AA128" s="3124">
        <f t="shared" si="2551"/>
        <v>0</v>
      </c>
    </row>
    <row r="129">
      <c r="A129" s="3123" t="s">
        <v>1028</v>
      </c>
      <c r="B129" s="3125"/>
      <c r="C129" s="3126"/>
      <c r="D129" s="3127"/>
      <c r="E129" s="3127"/>
      <c r="F129" s="3127"/>
      <c r="G129" s="3127"/>
      <c r="H129" s="3126"/>
      <c r="I129" s="3126"/>
      <c r="J129" s="3126"/>
      <c r="K129" s="3126"/>
      <c r="L129" s="3126"/>
      <c r="M129" s="3126"/>
      <c r="N129" s="3126"/>
      <c r="O129" s="3126"/>
      <c r="P129" s="3126"/>
      <c r="Q129" s="3126"/>
      <c r="R129" s="3126"/>
      <c r="S129" s="3126"/>
      <c r="T129" s="3126"/>
      <c r="U129" s="3126"/>
      <c r="V129" s="3126"/>
      <c r="W129" s="3126"/>
      <c r="X129" s="3126"/>
      <c r="Y129" s="1466"/>
      <c r="Z129" s="3125"/>
      <c r="AA129" s="3124">
        <f t="shared" si="2551"/>
        <v>0</v>
      </c>
    </row>
    <row r="130">
      <c r="A130" s="3123" t="s">
        <v>1029</v>
      </c>
      <c r="B130" s="3125"/>
      <c r="C130" s="3126"/>
      <c r="D130" s="3126"/>
      <c r="E130" s="3126"/>
      <c r="F130" s="3126"/>
      <c r="G130" s="3126"/>
      <c r="H130" s="3126"/>
      <c r="I130" s="3126"/>
      <c r="J130" s="3126"/>
      <c r="K130" s="3126"/>
      <c r="L130" s="3126"/>
      <c r="M130" s="3126"/>
      <c r="N130" s="3126"/>
      <c r="O130" s="3126"/>
      <c r="P130" s="3126"/>
      <c r="Q130" s="3126"/>
      <c r="R130" s="3126"/>
      <c r="S130" s="3126"/>
      <c r="T130" s="3126"/>
      <c r="U130" s="3126"/>
      <c r="V130" s="3126"/>
      <c r="W130" s="3126"/>
      <c r="X130" s="3126"/>
      <c r="Y130" s="1466"/>
      <c r="Z130" s="3125"/>
      <c r="AA130" s="3124">
        <f t="shared" si="2551"/>
        <v>0</v>
      </c>
    </row>
    <row r="131">
      <c r="A131" s="3123" t="s">
        <v>1030</v>
      </c>
      <c r="B131" s="3125"/>
      <c r="C131" s="3126"/>
      <c r="D131" s="3126"/>
      <c r="E131" s="3126"/>
      <c r="F131" s="3126"/>
      <c r="G131" s="3126"/>
      <c r="H131" s="3126"/>
      <c r="I131" s="3126"/>
      <c r="J131" s="3126"/>
      <c r="K131" s="3126"/>
      <c r="L131" s="3126"/>
      <c r="M131" s="3126"/>
      <c r="N131" s="3126"/>
      <c r="O131" s="3126"/>
      <c r="P131" s="3126"/>
      <c r="Q131" s="3126"/>
      <c r="R131" s="3126"/>
      <c r="S131" s="3126"/>
      <c r="T131" s="3126"/>
      <c r="U131" s="3126"/>
      <c r="V131" s="3126"/>
      <c r="W131" s="3126"/>
      <c r="X131" s="3126"/>
      <c r="Y131" s="1466"/>
      <c r="Z131" s="3125"/>
      <c r="AA131" s="3124">
        <f t="shared" si="2551"/>
        <v>0</v>
      </c>
    </row>
    <row r="132">
      <c r="A132" s="3123" t="s">
        <v>1031</v>
      </c>
      <c r="B132" s="3125"/>
      <c r="C132" s="3126"/>
      <c r="D132" s="3126"/>
      <c r="E132" s="3126"/>
      <c r="F132" s="3126"/>
      <c r="G132" s="3126"/>
      <c r="H132" s="3126"/>
      <c r="I132" s="3126"/>
      <c r="J132" s="3126"/>
      <c r="K132" s="3126"/>
      <c r="L132" s="3126"/>
      <c r="M132" s="3126"/>
      <c r="N132" s="3126"/>
      <c r="O132" s="3126"/>
      <c r="P132" s="3126"/>
      <c r="Q132" s="3126"/>
      <c r="R132" s="3126"/>
      <c r="S132" s="3126"/>
      <c r="T132" s="3126"/>
      <c r="U132" s="3126"/>
      <c r="V132" s="3126"/>
      <c r="W132" s="3126"/>
      <c r="X132" s="3126"/>
      <c r="Y132" s="1466"/>
      <c r="Z132" s="3125"/>
      <c r="AA132" s="3124">
        <f t="shared" si="2551"/>
        <v>0</v>
      </c>
    </row>
    <row r="133">
      <c r="A133" s="3123" t="s">
        <v>1032</v>
      </c>
      <c r="B133" s="3125"/>
      <c r="C133" s="3126"/>
      <c r="D133" s="3126"/>
      <c r="E133" s="3126"/>
      <c r="F133" s="3126"/>
      <c r="G133" s="3126"/>
      <c r="H133" s="3126"/>
      <c r="I133" s="3126"/>
      <c r="J133" s="3126"/>
      <c r="K133" s="3126"/>
      <c r="L133" s="3126"/>
      <c r="M133" s="3126"/>
      <c r="N133" s="3126"/>
      <c r="O133" s="3126"/>
      <c r="P133" s="3126"/>
      <c r="Q133" s="3126"/>
      <c r="R133" s="3126"/>
      <c r="S133" s="3126"/>
      <c r="T133" s="3126"/>
      <c r="U133" s="3126"/>
      <c r="V133" s="3126"/>
      <c r="W133" s="3126"/>
      <c r="X133" s="3126"/>
      <c r="Y133" s="1466"/>
      <c r="Z133" s="3125"/>
      <c r="AA133" s="3124"/>
    </row>
    <row r="134">
      <c r="A134" s="3112" t="s">
        <v>1033</v>
      </c>
      <c r="B134" s="3092"/>
      <c r="C134" s="2762"/>
      <c r="D134" s="2762"/>
      <c r="E134" s="2762"/>
      <c r="F134" s="2762"/>
      <c r="G134" s="2762"/>
      <c r="H134" s="2762"/>
      <c r="I134" s="2762"/>
      <c r="J134" s="2762"/>
      <c r="K134" s="2762"/>
      <c r="L134" s="2762"/>
      <c r="M134" s="2762"/>
      <c r="N134" s="2762"/>
      <c r="O134" s="2762"/>
      <c r="P134" s="2762"/>
      <c r="Q134" s="2762"/>
      <c r="R134" s="2762"/>
      <c r="S134" s="2762"/>
      <c r="T134" s="2762"/>
      <c r="U134" s="2762"/>
      <c r="V134" s="2762"/>
      <c r="W134" s="2762"/>
      <c r="X134" s="2762"/>
      <c r="Y134" s="1482"/>
      <c r="Z134" s="3092"/>
      <c r="AA134" s="3124">
        <f t="shared" si="2551"/>
        <v>0</v>
      </c>
    </row>
    <row r="135">
      <c r="A135" s="3123" t="s">
        <v>1034</v>
      </c>
      <c r="B135" s="3095"/>
      <c r="C135" s="3136">
        <v>1</v>
      </c>
      <c r="D135" s="3136"/>
      <c r="E135" s="3136">
        <v>1</v>
      </c>
      <c r="F135" s="3136"/>
      <c r="G135" s="3136"/>
      <c r="H135" s="3136"/>
      <c r="I135" s="3136"/>
      <c r="J135" s="3136"/>
      <c r="K135" s="3136"/>
      <c r="L135" s="3136"/>
      <c r="M135" s="3136"/>
      <c r="N135" s="3136"/>
      <c r="O135" s="3136"/>
      <c r="P135" s="3136"/>
      <c r="Q135" s="3136"/>
      <c r="R135" s="3136"/>
      <c r="S135" s="3136"/>
      <c r="T135" s="3136"/>
      <c r="U135" s="3136"/>
      <c r="V135" s="3136"/>
      <c r="W135" s="3136"/>
      <c r="X135" s="3136"/>
      <c r="Y135" s="1507"/>
      <c r="Z135" s="3095"/>
      <c r="AA135" s="3137">
        <f t="shared" si="2551"/>
        <v>2</v>
      </c>
    </row>
    <row r="136">
      <c r="A136" s="3120" t="s">
        <v>27</v>
      </c>
      <c r="B136" s="3104"/>
      <c r="C136" s="3105">
        <f>SUM(C119:C135)</f>
        <v>288</v>
      </c>
      <c r="D136" s="3104"/>
      <c r="E136" s="3105">
        <f>SUM(E119:E135)</f>
        <v>136</v>
      </c>
      <c r="F136" s="3104"/>
      <c r="G136" s="3105">
        <f>SUM(G119:G135)</f>
        <v>0</v>
      </c>
      <c r="H136" s="3105"/>
      <c r="I136" s="3105">
        <f>SUM(I119:I135)</f>
        <v>0</v>
      </c>
      <c r="J136" s="3105"/>
      <c r="K136" s="3105">
        <f>SUM(K119:K135)</f>
        <v>0</v>
      </c>
      <c r="L136" s="3105"/>
      <c r="M136" s="3105">
        <f>SUM(M119:M135)</f>
        <v>0</v>
      </c>
      <c r="N136" s="3105"/>
      <c r="O136" s="3105">
        <f>SUM(O119:O135)</f>
        <v>0</v>
      </c>
      <c r="P136" s="3105"/>
      <c r="Q136" s="3105">
        <f>SUM(Q119:Q135)</f>
        <v>0</v>
      </c>
      <c r="R136" s="3105"/>
      <c r="S136" s="3105">
        <f>SUM(S119:S135)</f>
        <v>0</v>
      </c>
      <c r="T136" s="3105"/>
      <c r="U136" s="3105">
        <f>SUM(U119:U135)</f>
        <v>0</v>
      </c>
      <c r="V136" s="3105"/>
      <c r="W136" s="3105">
        <f>SUM(W119:W135)</f>
        <v>0</v>
      </c>
      <c r="X136" s="3105"/>
      <c r="Y136" s="3105">
        <f>SUM(Y119:Y135)</f>
        <v>0</v>
      </c>
      <c r="Z136" s="3138"/>
      <c r="AA136" s="3139">
        <f>SUM(AA119:AA135)</f>
        <v>424</v>
      </c>
    </row>
    <row r="141" ht="45" customHeight="1">
      <c r="A141" s="3150" t="s">
        <v>1035</v>
      </c>
      <c r="B141" s="3151"/>
      <c r="C141" s="3151"/>
      <c r="D141" s="3151"/>
      <c r="E141" s="3151"/>
      <c r="F141" s="3151"/>
      <c r="G141" s="3151"/>
      <c r="H141" s="3151"/>
      <c r="I141" s="3151"/>
      <c r="J141" s="3151"/>
      <c r="K141" s="3151"/>
      <c r="L141" s="3151"/>
      <c r="M141" s="3151"/>
      <c r="N141" s="3151"/>
      <c r="O141" s="3151"/>
      <c r="P141" s="3151"/>
      <c r="Q141" s="3151"/>
      <c r="R141" s="3151"/>
      <c r="S141" s="3150" t="s">
        <v>1035</v>
      </c>
      <c r="T141" s="3151"/>
      <c r="U141" s="3151"/>
      <c r="V141" s="3151"/>
      <c r="W141" s="3151"/>
      <c r="X141" s="3151"/>
      <c r="Y141" s="3151"/>
      <c r="Z141" s="3151"/>
      <c r="AA141" s="3151"/>
      <c r="AB141" s="3151"/>
      <c r="AC141" s="3151"/>
      <c r="AD141" s="3151"/>
      <c r="AE141" s="3152" t="s">
        <v>1035</v>
      </c>
      <c r="AH141" s="3153" t="s">
        <v>323</v>
      </c>
    </row>
    <row r="142" ht="37.5" customHeight="1">
      <c r="AF142" s="3154" t="s">
        <v>347</v>
      </c>
      <c r="AG142" s="3154"/>
      <c r="AH142" s="3154"/>
      <c r="AJ142" s="3155" t="s">
        <v>335</v>
      </c>
      <c r="AK142" s="3156"/>
      <c r="AL142" s="3156"/>
      <c r="AN142" s="2541" t="s">
        <v>127</v>
      </c>
      <c r="AO142" s="2541"/>
    </row>
    <row r="143" ht="26.25" customHeight="1">
      <c r="AF143" s="3157" t="s">
        <v>1036</v>
      </c>
      <c r="AG143" s="3157" t="s">
        <v>1037</v>
      </c>
      <c r="AH143" s="3157" t="s">
        <v>1038</v>
      </c>
      <c r="AJ143" s="3022" t="s">
        <v>1036</v>
      </c>
      <c r="AK143" s="2541" t="s">
        <v>1037</v>
      </c>
      <c r="AL143" s="3022" t="s">
        <v>1038</v>
      </c>
      <c r="AN143" s="3022" t="s">
        <v>1036</v>
      </c>
      <c r="AO143" s="2541" t="s">
        <v>1037</v>
      </c>
      <c r="AP143" s="3022" t="s">
        <v>1038</v>
      </c>
    </row>
    <row r="144" ht="23.25">
      <c r="AE144" s="1202" t="s">
        <v>470</v>
      </c>
      <c r="AF144" s="3158">
        <v>19149614.949999999</v>
      </c>
      <c r="AG144" s="3158">
        <v>30648948.020000003</v>
      </c>
      <c r="AH144" s="3159">
        <v>49798562.969999999</v>
      </c>
      <c r="AI144" s="3160"/>
      <c r="AJ144" s="1167">
        <v>10472447.49</v>
      </c>
      <c r="AK144" s="1167">
        <v>30379979.390000004</v>
      </c>
      <c r="AL144" s="3161">
        <f t="shared" ref="AL144:AL146" si="2552">AJ144+AK144</f>
        <v>40852426.880000003</v>
      </c>
      <c r="AM144" s="3162"/>
      <c r="AN144" s="1169">
        <v>9958901.7599999998</v>
      </c>
      <c r="AO144" s="1169">
        <v>29123506.040000003</v>
      </c>
      <c r="AP144" s="1169">
        <f t="shared" ref="AP144:AP146" si="2553">AN144+AO144</f>
        <v>39082407.800000004</v>
      </c>
    </row>
    <row r="145" ht="23.25">
      <c r="AE145" s="1202" t="s">
        <v>473</v>
      </c>
      <c r="AF145" s="3158">
        <v>19986563.070000004</v>
      </c>
      <c r="AG145" s="3158">
        <v>30485818.790000007</v>
      </c>
      <c r="AH145" s="3159">
        <v>50472381.859999999</v>
      </c>
      <c r="AI145" s="3160"/>
      <c r="AJ145" s="1167">
        <v>11812600.420000006</v>
      </c>
      <c r="AK145" s="1167">
        <v>30372630.470000006</v>
      </c>
      <c r="AL145" s="3161">
        <f t="shared" si="2552"/>
        <v>42185230.890000015</v>
      </c>
      <c r="AM145" s="3162"/>
      <c r="AN145" s="1169">
        <v>11329236.730000002</v>
      </c>
      <c r="AO145" s="1169">
        <v>30171825.960000005</v>
      </c>
      <c r="AP145" s="1169">
        <f t="shared" si="2553"/>
        <v>41501062.690000005</v>
      </c>
    </row>
    <row r="146" ht="23.25">
      <c r="AE146" s="1202" t="s">
        <v>478</v>
      </c>
      <c r="AF146" s="3158">
        <v>16502333.809999999</v>
      </c>
      <c r="AG146" s="3158">
        <v>36772278.320000008</v>
      </c>
      <c r="AH146" s="3159">
        <v>53274612.129999995</v>
      </c>
      <c r="AI146" s="1266">
        <v>1</v>
      </c>
      <c r="AJ146" s="1167">
        <v>10878677.350000001</v>
      </c>
      <c r="AK146" s="1167">
        <v>36517526.900000006</v>
      </c>
      <c r="AL146" s="3161">
        <f t="shared" si="2552"/>
        <v>47396204.250000007</v>
      </c>
      <c r="AM146" s="3163"/>
      <c r="AN146" s="1169">
        <v>10573811.4</v>
      </c>
      <c r="AO146" s="1169">
        <v>35596710.760000005</v>
      </c>
      <c r="AP146" s="1169">
        <f t="shared" si="2553"/>
        <v>46170522.160000004</v>
      </c>
    </row>
    <row r="147" ht="31.5" customHeight="1">
      <c r="AE147" s="3164" t="s">
        <v>1039</v>
      </c>
      <c r="AF147" s="3165">
        <f>SUM(AF144:AF146)</f>
        <v>55638511.829999998</v>
      </c>
      <c r="AG147" s="3165">
        <f>SUM(AG144:AG146)</f>
        <v>97907045.130000025</v>
      </c>
      <c r="AH147" s="3166">
        <f>SUM(AH144:AH146)</f>
        <v>153545556.95999998</v>
      </c>
      <c r="AI147" s="3167"/>
      <c r="AJ147" s="3168">
        <f>SUM(AJ144:AJ146)</f>
        <v>33163725.260000005</v>
      </c>
      <c r="AK147" s="3168">
        <f>SUM(AK144:AK146)</f>
        <v>97270136.76000002</v>
      </c>
      <c r="AL147" s="3169">
        <f>SUM(AL144:AL146)</f>
        <v>130433862.02000001</v>
      </c>
      <c r="AM147" s="3170"/>
      <c r="AN147" s="3171">
        <f>SUM(AN144:AN146)</f>
        <v>31861949.890000001</v>
      </c>
      <c r="AO147" s="3171">
        <f>SUM(AO144:AO146)</f>
        <v>94892042.76000002</v>
      </c>
      <c r="AP147" s="3171">
        <f>SUM(AP144:AP146)</f>
        <v>126753992.65000001</v>
      </c>
    </row>
    <row r="148" ht="23.25">
      <c r="AE148" s="1202" t="s">
        <v>481</v>
      </c>
      <c r="AF148" s="3158">
        <v>41465188.119999997</v>
      </c>
      <c r="AG148" s="3158">
        <v>53340181.680000007</v>
      </c>
      <c r="AH148" s="3159">
        <v>45968536.949999996</v>
      </c>
      <c r="AI148" s="3172"/>
      <c r="AJ148" s="1167">
        <v>36738678.259999998</v>
      </c>
      <c r="AK148" s="1167">
        <v>52793053.140000008</v>
      </c>
      <c r="AL148" s="3161">
        <f t="shared" ref="AL148:AL150" si="2554">AJ148+AK148</f>
        <v>89531731.400000006</v>
      </c>
      <c r="AM148" s="3163"/>
      <c r="AN148" s="1169">
        <v>11251205.310000001</v>
      </c>
      <c r="AO148" s="1169">
        <v>51377573.860000007</v>
      </c>
      <c r="AP148" s="1169">
        <f t="shared" ref="AP148:AP150" si="2555">AN148+AO148</f>
        <v>62628779.170000009</v>
      </c>
    </row>
    <row r="149" ht="23.25">
      <c r="AE149" s="1202" t="s">
        <v>483</v>
      </c>
      <c r="AF149" s="3158">
        <v>20243401.860000003</v>
      </c>
      <c r="AG149" s="3158">
        <v>48279607.419999994</v>
      </c>
      <c r="AH149" s="3159">
        <v>68523009.280000001</v>
      </c>
      <c r="AI149" s="3160"/>
      <c r="AJ149" s="1298">
        <v>13835151.020000001</v>
      </c>
      <c r="AK149" s="1298">
        <v>48055254.089999996</v>
      </c>
      <c r="AL149" s="3161">
        <f t="shared" si="2554"/>
        <v>61890405.109999999</v>
      </c>
      <c r="AM149" s="3163"/>
      <c r="AN149" s="1169">
        <v>12498129.210000001</v>
      </c>
      <c r="AO149" s="1169">
        <v>45076455.619999997</v>
      </c>
      <c r="AP149" s="1169">
        <f t="shared" si="2555"/>
        <v>57574584.829999998</v>
      </c>
    </row>
    <row r="150" ht="23.25">
      <c r="AE150" s="1202" t="s">
        <v>486</v>
      </c>
      <c r="AF150" s="3158">
        <v>19103027.870000001</v>
      </c>
      <c r="AG150" s="3158">
        <v>44409358.189999998</v>
      </c>
      <c r="AH150" s="3159">
        <v>63512386.060000002</v>
      </c>
      <c r="AI150" s="3160"/>
      <c r="AJ150" s="1167">
        <v>14537043.840000002</v>
      </c>
      <c r="AK150" s="1167">
        <v>44263012.359999999</v>
      </c>
      <c r="AL150" s="3161">
        <f t="shared" si="2554"/>
        <v>58800056.200000003</v>
      </c>
      <c r="AM150" s="3162"/>
      <c r="AN150" s="1169">
        <v>13699438.85</v>
      </c>
      <c r="AO150" s="1169">
        <v>39915362.880000003</v>
      </c>
      <c r="AP150" s="1169">
        <f t="shared" si="2555"/>
        <v>53614801.730000004</v>
      </c>
    </row>
    <row r="151" ht="37.5" customHeight="1">
      <c r="AE151" s="3164" t="s">
        <v>1040</v>
      </c>
      <c r="AF151" s="3165">
        <f>SUM(AF148:AF150)</f>
        <v>80811617.850000009</v>
      </c>
      <c r="AG151" s="3165">
        <f>SUM(AG148:AG150)</f>
        <v>146029147.28999999</v>
      </c>
      <c r="AH151" s="3166">
        <f>SUM(AH148:AH150)</f>
        <v>178003932.28999999</v>
      </c>
      <c r="AI151" s="3173"/>
      <c r="AJ151" s="3174">
        <f>SUM(AJ148:AJ150)</f>
        <v>65110873.120000005</v>
      </c>
      <c r="AK151" s="3174">
        <f>SUM(AK148:AK150)</f>
        <v>145111319.59</v>
      </c>
      <c r="AL151" s="3169">
        <f>SUM(AL148:AL150)</f>
        <v>210222192.70999998</v>
      </c>
      <c r="AM151" s="3175"/>
      <c r="AN151" s="3171">
        <f>SUM(AN148:AN150)</f>
        <v>37448773.370000005</v>
      </c>
      <c r="AO151" s="3171">
        <f>SUM(AO148:AO150)</f>
        <v>136369392.36000001</v>
      </c>
      <c r="AP151" s="3171">
        <f>SUM(AP148:AP150)</f>
        <v>173818165.73000002</v>
      </c>
    </row>
    <row r="152" ht="23.25">
      <c r="AE152" s="1202" t="s">
        <v>501</v>
      </c>
      <c r="AF152" s="3158">
        <v>16867315.010000002</v>
      </c>
      <c r="AG152" s="3158">
        <v>56576911.329999991</v>
      </c>
      <c r="AH152" s="3159">
        <v>73444226.340000004</v>
      </c>
      <c r="AI152" s="3160"/>
      <c r="AJ152" s="1167">
        <v>12405143.43</v>
      </c>
      <c r="AK152" s="1167">
        <v>56408649.819999993</v>
      </c>
      <c r="AL152" s="3161">
        <f t="shared" ref="AL152:AL154" si="2556">AJ152+AK152</f>
        <v>68813793.25</v>
      </c>
      <c r="AM152" s="3163">
        <v>0</v>
      </c>
      <c r="AN152" s="1169">
        <v>11318403.68</v>
      </c>
      <c r="AO152" s="1169">
        <v>42934132.279999994</v>
      </c>
      <c r="AP152" s="1169">
        <f t="shared" ref="AP152:AP154" si="2557">AN152+AO152</f>
        <v>54252535.959999993</v>
      </c>
    </row>
    <row r="153" ht="23.25">
      <c r="AE153" s="1202" t="s">
        <v>507</v>
      </c>
      <c r="AF153" s="3158">
        <v>20385303.359999999</v>
      </c>
      <c r="AG153" s="3158">
        <v>56398330.979999997</v>
      </c>
      <c r="AH153" s="3159">
        <v>76783634.340000004</v>
      </c>
      <c r="AI153" s="3160"/>
      <c r="AJ153" s="1167">
        <v>13858005.5</v>
      </c>
      <c r="AK153" s="1167">
        <v>56252407.729999997</v>
      </c>
      <c r="AL153" s="3161">
        <f t="shared" si="2556"/>
        <v>70110413.229999989</v>
      </c>
      <c r="AM153" s="3163">
        <v>0</v>
      </c>
      <c r="AN153" s="1169">
        <v>12632038.139999999</v>
      </c>
      <c r="AO153" s="1169">
        <v>51583997.989999995</v>
      </c>
      <c r="AP153" s="1169">
        <f t="shared" si="2557"/>
        <v>64216036.129999995</v>
      </c>
    </row>
    <row r="154" ht="23.25">
      <c r="AE154" s="1202" t="s">
        <v>512</v>
      </c>
      <c r="AF154" s="3176">
        <v>19267974.630000003</v>
      </c>
      <c r="AG154" s="3176">
        <v>48777799.613999993</v>
      </c>
      <c r="AH154" s="3159">
        <v>68045774.244000003</v>
      </c>
      <c r="AI154" s="3160"/>
      <c r="AJ154" s="1167">
        <v>12037074.970000003</v>
      </c>
      <c r="AK154" s="1167">
        <v>48368871.113999993</v>
      </c>
      <c r="AL154" s="3161">
        <f t="shared" si="2556"/>
        <v>60405946.083999991</v>
      </c>
      <c r="AM154" s="3163">
        <v>0</v>
      </c>
      <c r="AN154" s="1169">
        <v>11112555.16</v>
      </c>
      <c r="AO154" s="1169">
        <v>46152776.233999997</v>
      </c>
      <c r="AP154" s="1169">
        <f t="shared" si="2557"/>
        <v>57265331.393999994</v>
      </c>
    </row>
    <row r="155" ht="36.75" customHeight="1">
      <c r="AE155" s="3164" t="s">
        <v>1041</v>
      </c>
      <c r="AF155" s="3165">
        <f>SUM(AF152:AF154)</f>
        <v>56520593.000000007</v>
      </c>
      <c r="AG155" s="3165">
        <f>SUM(AG152:AG154)</f>
        <v>161753041.92399997</v>
      </c>
      <c r="AH155" s="3166">
        <f>SUM(AH152:AH154)</f>
        <v>218273634.92400002</v>
      </c>
      <c r="AI155" s="3177"/>
      <c r="AJ155" s="3174">
        <f>SUM(AJ152:AJ154)</f>
        <v>38300223.900000006</v>
      </c>
      <c r="AK155" s="3174">
        <f>SUM(AK152:AK154)</f>
        <v>161029928.66399997</v>
      </c>
      <c r="AL155" s="3169">
        <f>SUM(AL152:AL154)</f>
        <v>199330152.56399998</v>
      </c>
      <c r="AM155" s="3178"/>
      <c r="AN155" s="3171">
        <f>SUM(AN152:AN154)</f>
        <v>35062996.980000004</v>
      </c>
      <c r="AO155" s="3171">
        <f>SUM(AO152:AO154)</f>
        <v>140670906.50399998</v>
      </c>
      <c r="AP155" s="3171">
        <f>SUM(AP152:AP154)</f>
        <v>175733903.48399997</v>
      </c>
    </row>
    <row r="156" ht="23.25">
      <c r="AE156" s="3179" t="s">
        <v>515</v>
      </c>
      <c r="AF156" s="3180">
        <v>28779741.219999999</v>
      </c>
      <c r="AG156" s="3180">
        <v>46288614.509999998</v>
      </c>
      <c r="AH156" s="3181">
        <v>75068355.730000004</v>
      </c>
      <c r="AI156" s="3182"/>
      <c r="AJ156" s="1336">
        <v>20723311.300000001</v>
      </c>
      <c r="AK156" s="1336">
        <v>45678954.049999997</v>
      </c>
      <c r="AL156" s="3183">
        <f t="shared" ref="AL156:AL158" si="2558">AJ156+AK156</f>
        <v>66402265.349999994</v>
      </c>
      <c r="AM156" s="3184">
        <v>0</v>
      </c>
      <c r="AN156" s="1127">
        <v>19707258.219999999</v>
      </c>
      <c r="AO156" s="1127">
        <v>44372893.269999996</v>
      </c>
      <c r="AP156" s="1169">
        <f t="shared" ref="AP156:AP158" si="2559">AN156+AO156</f>
        <v>64080151.489999995</v>
      </c>
    </row>
    <row r="157" ht="23.25">
      <c r="AE157" s="1202" t="s">
        <v>519</v>
      </c>
      <c r="AF157" s="3176">
        <v>22974164.129999999</v>
      </c>
      <c r="AG157" s="3176">
        <v>51023285.150000006</v>
      </c>
      <c r="AH157" s="3159">
        <v>74301254.649999991</v>
      </c>
      <c r="AI157" s="3160"/>
      <c r="AJ157" s="1167">
        <v>14393619.34</v>
      </c>
      <c r="AK157" s="1167">
        <v>50598254.130000003</v>
      </c>
      <c r="AL157" s="3183">
        <f t="shared" si="2558"/>
        <v>64991873.469999999</v>
      </c>
      <c r="AM157" s="3162"/>
      <c r="AN157" s="1169">
        <v>13848544.290000001</v>
      </c>
      <c r="AO157" s="1169">
        <v>49008561</v>
      </c>
      <c r="AP157" s="1169">
        <f t="shared" si="2559"/>
        <v>62857105.289999999</v>
      </c>
    </row>
    <row r="158" ht="23.25">
      <c r="AE158" s="1202" t="s">
        <v>522</v>
      </c>
      <c r="AF158" s="3176">
        <v>23174116.049999997</v>
      </c>
      <c r="AG158" s="3176">
        <v>36522101.700000003</v>
      </c>
      <c r="AH158" s="3159">
        <v>59696217.75</v>
      </c>
      <c r="AI158" s="3160"/>
      <c r="AJ158" s="1167">
        <v>13995006.269999996</v>
      </c>
      <c r="AK158" s="1167">
        <v>36209270.830000006</v>
      </c>
      <c r="AL158" s="3161">
        <f t="shared" si="2558"/>
        <v>50204277.100000001</v>
      </c>
      <c r="AM158" s="3162"/>
      <c r="AN158" s="1169">
        <v>13341228.779999999</v>
      </c>
      <c r="AO158" s="1169">
        <v>34583697.720000006</v>
      </c>
      <c r="AP158" s="1169">
        <f t="shared" si="2559"/>
        <v>47924926.500000007</v>
      </c>
    </row>
    <row r="159" ht="22.5">
      <c r="AE159" s="3185" t="s">
        <v>1042</v>
      </c>
      <c r="AF159" s="1797"/>
      <c r="AG159" s="1797"/>
      <c r="AH159" s="3186"/>
      <c r="AI159" s="3182"/>
      <c r="AJ159" s="3187">
        <f>SUM(AJ156:AJ158)</f>
        <v>49111936.909999996</v>
      </c>
      <c r="AK159" s="3187">
        <f>SUM(AK156:AK158)</f>
        <v>132486479.01000002</v>
      </c>
      <c r="AL159" s="1318">
        <f>SUM(AL156:AL158)</f>
        <v>181598415.91999999</v>
      </c>
      <c r="AM159" s="1064"/>
      <c r="AN159" s="1319">
        <f>SUM(AN156:AN158)</f>
        <v>46897031.289999999</v>
      </c>
      <c r="AO159" s="1319">
        <f>SUM(AO156:AO158)</f>
        <v>127965151.99000001</v>
      </c>
      <c r="AP159" s="1319">
        <f>SUM(AP156:AP158)</f>
        <v>174862183.28</v>
      </c>
    </row>
    <row r="160" ht="33.75" customHeight="1">
      <c r="AE160" s="3188" t="s">
        <v>1043</v>
      </c>
      <c r="AF160" s="3189"/>
      <c r="AG160" s="3189"/>
      <c r="AH160" s="3190"/>
      <c r="AI160" s="3191"/>
      <c r="AJ160" s="3192"/>
      <c r="AK160" s="3193"/>
      <c r="AL160" s="3194">
        <f>AL147+AL151+AL155+AL159</f>
        <v>721584623.21399999</v>
      </c>
      <c r="AM160" s="3195"/>
      <c r="AN160" s="3196"/>
      <c r="AO160" s="3196"/>
      <c r="AP160" s="3197">
        <f>AP147+AP151+AP155+AP159</f>
        <v>651168245.14399993</v>
      </c>
    </row>
    <row r="161" ht="18.75">
      <c r="AP161" s="3198">
        <f>AN161+AO161</f>
        <v>0</v>
      </c>
    </row>
    <row r="162" ht="18.75">
      <c r="AI162" s="3199" t="s">
        <v>1044</v>
      </c>
      <c r="AJ162" s="3200"/>
      <c r="AK162" s="3200"/>
      <c r="AL162" s="3199" t="s">
        <v>1045</v>
      </c>
      <c r="AM162" s="3200"/>
      <c r="AN162" s="3200"/>
      <c r="AP162" s="1169"/>
    </row>
    <row r="163" ht="18.75">
      <c r="AF163" s="3201" t="s">
        <v>1046</v>
      </c>
      <c r="AG163" s="2419" t="s">
        <v>1047</v>
      </c>
      <c r="AI163" s="3202" t="s">
        <v>1048</v>
      </c>
      <c r="AJ163" s="3203" t="s">
        <v>1046</v>
      </c>
      <c r="AK163" s="3203" t="s">
        <v>1046</v>
      </c>
      <c r="AL163" s="3204" t="s">
        <v>1049</v>
      </c>
      <c r="AM163" s="3205" t="s">
        <v>1050</v>
      </c>
      <c r="AN163" s="3202" t="s">
        <v>1051</v>
      </c>
      <c r="AP163" s="1169"/>
    </row>
    <row r="164">
      <c r="AE164" s="2373" t="s">
        <v>1052</v>
      </c>
      <c r="AF164">
        <v>7788</v>
      </c>
      <c r="AG164">
        <v>83545</v>
      </c>
      <c r="AI164" s="3206">
        <f t="shared" ref="AI164:AI168" si="2560">AJ164+AK164</f>
        <v>16748.056242937855</v>
      </c>
      <c r="AJ164" s="2369">
        <f>AJ147/$AF$164</f>
        <v>4258.3108962506431</v>
      </c>
      <c r="AK164" s="2369">
        <f>AK147/$AF$164</f>
        <v>12489.745346687214</v>
      </c>
      <c r="AL164" s="3207">
        <f>AJ147/$AG$164</f>
        <v>396.9564337782034</v>
      </c>
      <c r="AM164" s="3208">
        <f>AK147/$AG$164</f>
        <v>1164.284358848525</v>
      </c>
      <c r="AN164" s="3206">
        <f t="shared" ref="AN164:AN168" si="2561">AL164+AM164</f>
        <v>1561.2407926267283</v>
      </c>
    </row>
    <row r="165">
      <c r="AE165" s="2373" t="s">
        <v>1053</v>
      </c>
      <c r="AF165">
        <v>7885</v>
      </c>
      <c r="AG165">
        <v>82859</v>
      </c>
      <c r="AI165" s="3206">
        <f t="shared" si="2560"/>
        <v>26661.026342422323</v>
      </c>
      <c r="AJ165" s="2369">
        <f>AJ151/$AF$165</f>
        <v>8257.5615878249846</v>
      </c>
      <c r="AK165" s="2369">
        <f>AK151/$AF$165</f>
        <v>18403.464754597338</v>
      </c>
      <c r="AL165" s="3209">
        <f>AJ151/$AG$165</f>
        <v>785.80326965085271</v>
      </c>
      <c r="AM165" s="3210">
        <f>AK151/$AG$165</f>
        <v>1751.3042589217828</v>
      </c>
      <c r="AN165" s="3206">
        <f t="shared" si="2561"/>
        <v>2537.1075285726356</v>
      </c>
    </row>
    <row r="166">
      <c r="AE166" s="2373" t="s">
        <v>1054</v>
      </c>
      <c r="AF166">
        <v>7793</v>
      </c>
      <c r="AG166">
        <v>79019</v>
      </c>
      <c r="AI166" s="3206">
        <f t="shared" si="2560"/>
        <v>25578.102471962015</v>
      </c>
      <c r="AJ166" s="2369">
        <f>AJ155/$AF$166</f>
        <v>4914.6957397664582</v>
      </c>
      <c r="AK166" s="2369">
        <f>AK155/$AF$166</f>
        <v>20663.406732195555</v>
      </c>
      <c r="AL166" s="3209">
        <f>AJ155/$AG$166</f>
        <v>484.69638821043048</v>
      </c>
      <c r="AM166" s="3210">
        <f>AK155/$AG$166</f>
        <v>2037.863408344828</v>
      </c>
      <c r="AN166" s="3206">
        <f t="shared" si="2561"/>
        <v>2522.5597965552583</v>
      </c>
    </row>
    <row r="167">
      <c r="AE167" s="2373" t="s">
        <v>1055</v>
      </c>
      <c r="AF167">
        <v>8007</v>
      </c>
      <c r="AG167">
        <v>79947</v>
      </c>
      <c r="AI167" s="3206">
        <f t="shared" si="2560"/>
        <v>22679.957027600849</v>
      </c>
      <c r="AJ167" s="2369">
        <f>AJ159/$AF$167</f>
        <v>6133.6251917072559</v>
      </c>
      <c r="AK167" s="2369">
        <f>AK159/$AF$167</f>
        <v>16546.331835893594</v>
      </c>
      <c r="AL167" s="3209">
        <f>AJ159/$AG$167</f>
        <v>614.30618922536178</v>
      </c>
      <c r="AM167" s="3210">
        <f>AK159/$AG$167</f>
        <v>1657.1788686254647</v>
      </c>
      <c r="AN167" s="3206">
        <f t="shared" si="2561"/>
        <v>2271.4850578508267</v>
      </c>
    </row>
    <row r="168" s="2375" customFormat="1" ht="27" customHeight="1">
      <c r="AE168" s="2375" t="s">
        <v>990</v>
      </c>
      <c r="AF168" s="3211">
        <f>SUM(AF164:AF167)</f>
        <v>31473</v>
      </c>
      <c r="AG168" s="3211">
        <f>SUM(AG164:AG167)</f>
        <v>325370</v>
      </c>
      <c r="AI168" s="3212">
        <f t="shared" si="2560"/>
        <v>91667.142084923034</v>
      </c>
      <c r="AJ168" s="3213">
        <f>SUM(AJ164:AJ167)</f>
        <v>23564.19341554934</v>
      </c>
      <c r="AK168" s="3213">
        <f>SUM(AK164:AK167)</f>
        <v>68102.948669373698</v>
      </c>
      <c r="AL168" s="3214">
        <f>SUM(AL164:AL167)</f>
        <v>2281.7622808648484</v>
      </c>
      <c r="AM168" s="3215">
        <f>SUM(AM164:AM167)</f>
        <v>6610.6308947406005</v>
      </c>
      <c r="AN168" s="3212">
        <f t="shared" si="2561"/>
        <v>8892.3931756054481</v>
      </c>
    </row>
  </sheetData>
  <mergeCells count="113">
    <mergeCell ref="AF142:AH142"/>
    <mergeCell ref="AJ142:AL142"/>
    <mergeCell ref="AN142:AO142"/>
    <mergeCell ref="R107:S107"/>
    <mergeCell ref="T107:U107"/>
    <mergeCell ref="V107:W107"/>
    <mergeCell ref="X107:Y107"/>
    <mergeCell ref="Z107:AA107"/>
    <mergeCell ref="A117:A118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Z117:AA117"/>
    <mergeCell ref="A107:A108"/>
    <mergeCell ref="B107:C107"/>
    <mergeCell ref="D107:E107"/>
    <mergeCell ref="F107:G107"/>
    <mergeCell ref="H107:I107"/>
    <mergeCell ref="J107:K107"/>
    <mergeCell ref="L107:M107"/>
    <mergeCell ref="N107:O107"/>
    <mergeCell ref="P107:Q107"/>
    <mergeCell ref="T70:U70"/>
    <mergeCell ref="V70:W70"/>
    <mergeCell ref="R70:S70"/>
    <mergeCell ref="X70:Y70"/>
    <mergeCell ref="Z70:AA70"/>
    <mergeCell ref="A86:A87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X86:Y86"/>
    <mergeCell ref="Z86:AA86"/>
    <mergeCell ref="B70:C70"/>
    <mergeCell ref="D70:E70"/>
    <mergeCell ref="F70:G70"/>
    <mergeCell ref="H70:I70"/>
    <mergeCell ref="J70:K70"/>
    <mergeCell ref="L70:M70"/>
    <mergeCell ref="N70:O70"/>
    <mergeCell ref="P70:Q70"/>
    <mergeCell ref="X59:Y59"/>
    <mergeCell ref="Z59:AA59"/>
    <mergeCell ref="A62:A63"/>
    <mergeCell ref="B62:C62"/>
    <mergeCell ref="D62:E62"/>
    <mergeCell ref="F62:G62"/>
    <mergeCell ref="H62:I62"/>
    <mergeCell ref="J62:K62"/>
    <mergeCell ref="L62:M62"/>
    <mergeCell ref="N62:O62"/>
    <mergeCell ref="P62:Q62"/>
    <mergeCell ref="R62:S62"/>
    <mergeCell ref="T62:U62"/>
    <mergeCell ref="V62:W62"/>
    <mergeCell ref="X62:Y62"/>
    <mergeCell ref="Z62:AA62"/>
    <mergeCell ref="B59:C59"/>
    <mergeCell ref="D59:E59"/>
    <mergeCell ref="F59:G59"/>
    <mergeCell ref="H59:I59"/>
    <mergeCell ref="J59:K59"/>
    <mergeCell ref="L59:M59"/>
    <mergeCell ref="R59:S59"/>
    <mergeCell ref="R2:S2"/>
    <mergeCell ref="T2:U2"/>
    <mergeCell ref="V2:W2"/>
    <mergeCell ref="X2:Y2"/>
    <mergeCell ref="Z2:AA2"/>
    <mergeCell ref="A8:A9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2:A3"/>
    <mergeCell ref="B2:C2"/>
    <mergeCell ref="T59:U59"/>
    <mergeCell ref="V59:W59"/>
    <mergeCell ref="D2:E2"/>
    <mergeCell ref="F2:G2"/>
    <mergeCell ref="H2:I2"/>
    <mergeCell ref="J2:K2"/>
    <mergeCell ref="L2:M2"/>
    <mergeCell ref="N2:O2"/>
    <mergeCell ref="P2:Q2"/>
    <mergeCell ref="N59:O59"/>
    <mergeCell ref="P59:Q59"/>
  </mergeCells>
  <printOptions headings="0" gridLines="0"/>
  <pageMargins left="0.31496062992125984" right="0.16" top="0.44000000000000011" bottom="0.35433070866141736" header="0.31496062992125984" footer="0.31496062992125984"/>
  <pageSetup paperSize="9" scale="18" fitToWidth="1" fitToHeight="1" pageOrder="downThenOver" orientation="landscape" usePrinterDefaults="1" blackAndWhite="0" draft="0" cellComments="none" useFirstPageNumber="0" errors="displayed" horizontalDpi="600" verticalDpi="600" copies="1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zoomScale="100" workbookViewId="0">
      <selection activeCell="E13" activeCellId="0" sqref="E13"/>
    </sheetView>
  </sheetViews>
  <sheetFormatPr defaultRowHeight="12.75"/>
  <cols>
    <col customWidth="1" min="3" max="3" width="39.28515625"/>
    <col customWidth="1" min="4" max="4" width="18.5703125"/>
    <col customWidth="1" min="5" max="5" width="14.140625"/>
    <col customWidth="1" min="6" max="6" width="15.28515625"/>
    <col customWidth="1" min="7" max="7" width="16.140625"/>
    <col customWidth="1" min="8" max="8" width="17.140625"/>
    <col customWidth="1" min="9" max="9" width="3.140625"/>
    <col customWidth="1" min="10" max="11" width="27.5703125"/>
    <col customWidth="1" min="12" max="12" width="26.85546875"/>
    <col bestFit="1" customWidth="1" min="13" max="13" width="6.28515625"/>
    <col customWidth="1" min="14" max="14" width="8.42578125"/>
    <col customWidth="1" min="15" max="15" width="10"/>
    <col customWidth="1" min="16" max="16" width="13.140625"/>
    <col customWidth="1" min="17" max="17" width="20"/>
    <col customWidth="1" min="18" max="18" width="25"/>
    <col customWidth="1" min="19" max="19" width="22.85546875"/>
    <col customWidth="1" min="20" max="20" width="17.7109375"/>
    <col customWidth="1" min="21" max="21" width="5.42578125"/>
    <col customWidth="1" min="22" max="22" width="5.7109375"/>
    <col customWidth="1" min="23" max="23" width="8.42578125"/>
    <col customWidth="1" min="24" max="24" width="10"/>
    <col customWidth="1" min="25" max="25" width="14.5703125"/>
    <col customWidth="1" min="26" max="26" width="17.5703125"/>
    <col customWidth="1" min="27" max="27" width="24.28515625"/>
    <col customWidth="1" min="28" max="29" width="18.85546875"/>
    <col customWidth="1" min="30" max="31" width="5.5703125"/>
    <col customWidth="1" min="32" max="32" width="14.28515625"/>
    <col customWidth="1" min="33" max="33" width="13.85546875"/>
    <col customWidth="1" min="34" max="34" width="14.85546875"/>
    <col customWidth="1" min="35" max="35" width="17.5703125"/>
    <col customWidth="1" min="36" max="36" width="18"/>
    <col customWidth="1" min="37" max="38" width="18.5703125"/>
    <col customWidth="1" min="39" max="39" width="7.28515625"/>
    <col customWidth="1" min="40" max="40" width="4.140625"/>
    <col customWidth="1" min="41" max="41" width="11.28515625"/>
    <col customWidth="1" min="42" max="42" width="11.42578125"/>
    <col customWidth="1" min="43" max="43" width="15.85546875"/>
    <col customWidth="1" min="44" max="44" width="16"/>
    <col customWidth="1" min="45" max="45" width="19.28515625"/>
    <col customWidth="1" min="46" max="46" width="17.7109375"/>
    <col customWidth="1" min="47" max="47" width="15.28515625"/>
    <col customWidth="1" min="48" max="49" width="4.5703125"/>
    <col customWidth="1" min="50" max="50" width="14.85546875"/>
    <col customWidth="1" min="51" max="51" width="13.85546875"/>
    <col customWidth="1" min="52" max="52" width="15.28515625"/>
    <col customWidth="1" min="53" max="53" width="17.7109375"/>
    <col customWidth="1" min="54" max="54" width="16.28515625"/>
    <col customWidth="1" min="55" max="55" width="15.7109375"/>
    <col customWidth="1" min="56" max="56" width="19"/>
    <col customWidth="1" min="57" max="57" width="13.140625"/>
  </cols>
  <sheetData>
    <row r="1" ht="23.25">
      <c r="C1" s="1015" t="s">
        <v>322</v>
      </c>
      <c r="D1" s="1015"/>
      <c r="E1" s="1015"/>
      <c r="F1" s="1016" t="s">
        <v>1056</v>
      </c>
      <c r="G1" s="1017"/>
      <c r="H1" s="1018"/>
      <c r="I1" s="1019"/>
      <c r="J1" s="1020"/>
      <c r="K1" s="1020"/>
      <c r="L1" s="1021"/>
      <c r="M1" s="1022"/>
      <c r="N1" s="1023"/>
      <c r="O1" s="1024"/>
      <c r="P1" s="1023"/>
      <c r="Q1" s="1023"/>
      <c r="R1" s="1024"/>
      <c r="S1" s="1024"/>
      <c r="T1" s="1024"/>
      <c r="U1" s="1025"/>
      <c r="V1" s="1022"/>
      <c r="W1" s="1026" t="s">
        <v>324</v>
      </c>
      <c r="X1" s="1026"/>
      <c r="Y1" s="1026"/>
      <c r="Z1" s="1026"/>
      <c r="AA1" s="1026"/>
      <c r="AB1" s="1026"/>
      <c r="AC1" s="1026"/>
      <c r="AD1" s="1025"/>
      <c r="AE1" s="1022"/>
      <c r="AF1" s="1023"/>
      <c r="AG1" s="1024"/>
      <c r="AH1" s="1024"/>
      <c r="AI1" s="1023"/>
      <c r="AJ1" s="1024"/>
      <c r="AK1" s="1024"/>
      <c r="AL1" s="1024"/>
      <c r="AM1" s="1025"/>
      <c r="AN1" s="1022"/>
      <c r="AO1" s="1023"/>
      <c r="AP1" s="1024"/>
      <c r="AQ1" s="1024"/>
      <c r="AR1" s="1023"/>
      <c r="AS1" s="1024"/>
      <c r="AT1" s="1024"/>
      <c r="AU1" s="1024"/>
      <c r="AV1" s="1027"/>
      <c r="AW1" s="1028"/>
      <c r="AX1" s="1023"/>
      <c r="AY1" s="1024"/>
      <c r="AZ1" s="1024"/>
      <c r="BA1" s="1023"/>
      <c r="BB1" s="1024"/>
      <c r="BC1" s="1024"/>
      <c r="BD1" s="1029"/>
    </row>
    <row r="2" ht="23.25" customHeight="1">
      <c r="C2" s="1032"/>
      <c r="D2" s="1033"/>
      <c r="E2" s="1033"/>
      <c r="F2" s="1034" t="s">
        <v>27</v>
      </c>
      <c r="G2" s="1034"/>
      <c r="H2" s="1035"/>
      <c r="I2" s="1036"/>
      <c r="J2" s="1037"/>
      <c r="K2" s="1037"/>
      <c r="L2" s="1038"/>
      <c r="M2" s="1039"/>
      <c r="N2" s="1040" t="s">
        <v>127</v>
      </c>
      <c r="O2" s="1041"/>
      <c r="P2" s="1041"/>
      <c r="Q2" s="1041"/>
      <c r="R2" s="1041"/>
      <c r="S2" s="1041"/>
      <c r="T2" s="1042"/>
      <c r="U2" s="1042"/>
      <c r="V2" s="1039"/>
      <c r="W2" s="1043" t="s">
        <v>325</v>
      </c>
      <c r="X2" s="1044"/>
      <c r="Y2" s="1044"/>
      <c r="Z2" s="1044"/>
      <c r="AA2" s="1044"/>
      <c r="AB2" s="1045"/>
      <c r="AC2" s="1046"/>
      <c r="AD2" s="1047"/>
      <c r="AE2" s="1039"/>
      <c r="AF2" s="1043" t="s">
        <v>326</v>
      </c>
      <c r="AG2" s="1044"/>
      <c r="AH2" s="1044"/>
      <c r="AI2" s="1044"/>
      <c r="AJ2" s="1044"/>
      <c r="AK2" s="1045"/>
      <c r="AL2" s="1048"/>
      <c r="AM2" s="1047"/>
      <c r="AN2" s="1039"/>
      <c r="AO2" s="1043" t="s">
        <v>327</v>
      </c>
      <c r="AP2" s="1044"/>
      <c r="AQ2" s="1044"/>
      <c r="AR2" s="1044"/>
      <c r="AS2" s="1044"/>
      <c r="AT2" s="1045"/>
      <c r="AU2" s="1048"/>
      <c r="AV2" s="1049"/>
      <c r="AW2" s="1050"/>
      <c r="AX2" s="1043" t="s">
        <v>328</v>
      </c>
      <c r="AY2" s="1044"/>
      <c r="AZ2" s="1044"/>
      <c r="BA2" s="1044"/>
      <c r="BB2" s="1044"/>
      <c r="BC2" s="1045"/>
      <c r="BD2" s="1051"/>
    </row>
    <row r="3" ht="45" customHeight="1">
      <c r="C3" s="1055" t="s">
        <v>329</v>
      </c>
      <c r="D3" s="1056" t="s">
        <v>330</v>
      </c>
      <c r="E3" s="1057" t="s">
        <v>331</v>
      </c>
      <c r="F3" s="1058" t="s">
        <v>332</v>
      </c>
      <c r="G3" s="1058" t="s">
        <v>333</v>
      </c>
      <c r="H3" s="1059" t="s">
        <v>334</v>
      </c>
      <c r="I3" s="1060"/>
      <c r="J3" s="1061" t="s">
        <v>335</v>
      </c>
      <c r="K3" s="1062"/>
      <c r="L3" s="1063"/>
      <c r="M3" s="1064"/>
      <c r="N3" s="1065" t="s">
        <v>336</v>
      </c>
      <c r="O3" s="1065" t="s">
        <v>337</v>
      </c>
      <c r="P3" s="1066" t="s">
        <v>338</v>
      </c>
      <c r="Q3" s="1069" t="s">
        <v>1057</v>
      </c>
      <c r="R3" s="3216"/>
      <c r="S3" s="1140" t="s">
        <v>1058</v>
      </c>
      <c r="T3" s="1069" t="s">
        <v>340</v>
      </c>
      <c r="U3" s="1070" t="s">
        <v>341</v>
      </c>
      <c r="V3" s="1071"/>
      <c r="W3" s="1065" t="s">
        <v>336</v>
      </c>
      <c r="X3" s="1065" t="s">
        <v>337</v>
      </c>
      <c r="Y3" s="1066" t="s">
        <v>338</v>
      </c>
      <c r="Z3" s="1075" t="s">
        <v>1057</v>
      </c>
      <c r="AA3" s="1068"/>
      <c r="AB3" s="1140" t="str">
        <f>S3</f>
        <v xml:space="preserve">итого перевязка  ИМН</v>
      </c>
      <c r="AC3" s="1072" t="s">
        <v>340</v>
      </c>
      <c r="AD3" s="1070" t="s">
        <v>341</v>
      </c>
      <c r="AE3" s="1071"/>
      <c r="AF3" s="1065" t="s">
        <v>336</v>
      </c>
      <c r="AG3" s="1065" t="s">
        <v>337</v>
      </c>
      <c r="AH3" s="1066" t="s">
        <v>338</v>
      </c>
      <c r="AI3" s="1075" t="s">
        <v>1057</v>
      </c>
      <c r="AJ3" s="1068"/>
      <c r="AK3" s="1140" t="str">
        <f>S3</f>
        <v xml:space="preserve">итого перевязка  ИМН</v>
      </c>
      <c r="AL3" s="1069" t="s">
        <v>340</v>
      </c>
      <c r="AM3" s="1070" t="s">
        <v>341</v>
      </c>
      <c r="AN3" s="1071"/>
      <c r="AO3" s="1065" t="s">
        <v>336</v>
      </c>
      <c r="AP3" s="1065" t="s">
        <v>337</v>
      </c>
      <c r="AQ3" s="1066" t="s">
        <v>338</v>
      </c>
      <c r="AR3" s="1075" t="s">
        <v>1057</v>
      </c>
      <c r="AS3" s="1068"/>
      <c r="AT3" s="1076" t="s">
        <v>1059</v>
      </c>
      <c r="AU3" s="1069" t="s">
        <v>340</v>
      </c>
      <c r="AV3" s="1070" t="s">
        <v>341</v>
      </c>
      <c r="AW3" s="1074"/>
      <c r="AX3" s="1065" t="s">
        <v>336</v>
      </c>
      <c r="AY3" s="1065" t="s">
        <v>337</v>
      </c>
      <c r="AZ3" s="1066" t="s">
        <v>338</v>
      </c>
      <c r="BA3" s="1075" t="s">
        <v>1057</v>
      </c>
      <c r="BB3" s="1068"/>
      <c r="BC3" s="1076" t="s">
        <v>1059</v>
      </c>
      <c r="BD3" s="1069" t="s">
        <v>340</v>
      </c>
    </row>
    <row r="4" ht="81" customHeight="1">
      <c r="C4" s="1078"/>
      <c r="D4" s="1079"/>
      <c r="E4" s="1080"/>
      <c r="F4" s="1081"/>
      <c r="G4" s="1081"/>
      <c r="H4" s="1082"/>
      <c r="I4" s="1083"/>
      <c r="J4" s="1084" t="s">
        <v>342</v>
      </c>
      <c r="K4" s="1085" t="s">
        <v>339</v>
      </c>
      <c r="L4" s="1086" t="s">
        <v>343</v>
      </c>
      <c r="M4" s="1071"/>
      <c r="N4" s="1078"/>
      <c r="O4" s="1078"/>
      <c r="P4" s="3217"/>
      <c r="Q4" s="1096" t="s">
        <v>344</v>
      </c>
      <c r="R4" s="1096" t="s">
        <v>345</v>
      </c>
      <c r="S4" s="1123"/>
      <c r="T4" s="1091"/>
      <c r="U4" s="1092"/>
      <c r="V4" s="1071"/>
      <c r="W4" s="1087"/>
      <c r="X4" s="1087"/>
      <c r="Y4" s="1090"/>
      <c r="Z4" s="1096" t="s">
        <v>344</v>
      </c>
      <c r="AA4" s="1096" t="s">
        <v>345</v>
      </c>
      <c r="AB4" s="1123"/>
      <c r="AC4" s="1093"/>
      <c r="AD4" s="1092"/>
      <c r="AE4" s="1071"/>
      <c r="AF4" s="1087"/>
      <c r="AG4" s="1087"/>
      <c r="AH4" s="1090"/>
      <c r="AI4" s="1096" t="s">
        <v>344</v>
      </c>
      <c r="AJ4" s="1096" t="s">
        <v>345</v>
      </c>
      <c r="AK4" s="1123"/>
      <c r="AL4" s="1091"/>
      <c r="AM4" s="1092"/>
      <c r="AN4" s="1071"/>
      <c r="AO4" s="1087"/>
      <c r="AP4" s="1087"/>
      <c r="AQ4" s="1090"/>
      <c r="AR4" s="1096" t="s">
        <v>344</v>
      </c>
      <c r="AS4" s="1096" t="s">
        <v>345</v>
      </c>
      <c r="AT4" s="1097"/>
      <c r="AU4" s="1091"/>
      <c r="AV4" s="1092"/>
      <c r="AW4" s="1074"/>
      <c r="AX4" s="1087"/>
      <c r="AY4" s="1087"/>
      <c r="AZ4" s="1090"/>
      <c r="BA4" s="1096" t="s">
        <v>344</v>
      </c>
      <c r="BB4" s="1096" t="s">
        <v>345</v>
      </c>
      <c r="BC4" s="1097"/>
      <c r="BD4" s="1091"/>
    </row>
    <row r="9" ht="94.5">
      <c r="C9" s="1111" t="s">
        <v>346</v>
      </c>
      <c r="D9" s="1112"/>
      <c r="E9" s="1112"/>
      <c r="F9" s="3218" t="s">
        <v>347</v>
      </c>
      <c r="G9" s="3219"/>
      <c r="H9" s="3219"/>
      <c r="I9" s="1115"/>
      <c r="J9" s="1235" t="s">
        <v>335</v>
      </c>
      <c r="K9" s="1236"/>
      <c r="L9" s="1237"/>
      <c r="M9" s="1119"/>
      <c r="N9" s="1120" t="s">
        <v>127</v>
      </c>
      <c r="O9" s="1121"/>
      <c r="P9" s="1121"/>
      <c r="Q9" s="1121"/>
      <c r="R9" s="1121"/>
      <c r="S9" s="1122"/>
      <c r="T9" s="1123"/>
      <c r="U9" s="1124"/>
      <c r="V9" s="1125"/>
      <c r="W9" s="1120" t="s">
        <v>325</v>
      </c>
      <c r="X9" s="1121"/>
      <c r="Y9" s="1121"/>
      <c r="Z9" s="1121"/>
      <c r="AA9" s="1121"/>
      <c r="AB9" s="1122"/>
      <c r="AC9" s="1115"/>
      <c r="AD9" s="1126"/>
      <c r="AE9" s="1125"/>
      <c r="AF9" s="1120" t="s">
        <v>311</v>
      </c>
      <c r="AG9" s="1121"/>
      <c r="AH9" s="1121"/>
      <c r="AI9" s="1121"/>
      <c r="AJ9" s="1121"/>
      <c r="AK9" s="1122"/>
      <c r="AL9" s="1127"/>
      <c r="AM9" s="1126"/>
      <c r="AN9" s="1128"/>
      <c r="AO9" s="1043" t="s">
        <v>327</v>
      </c>
      <c r="AP9" s="1044"/>
      <c r="AQ9" s="1044"/>
      <c r="AR9" s="1044"/>
      <c r="AS9" s="1044"/>
      <c r="AT9" s="1045"/>
      <c r="AU9" s="1129"/>
      <c r="AV9" s="1130"/>
      <c r="AW9" s="1131"/>
      <c r="AX9" s="1043" t="s">
        <v>349</v>
      </c>
      <c r="AY9" s="1044"/>
      <c r="AZ9" s="1044"/>
      <c r="BA9" s="1044"/>
      <c r="BB9" s="1044"/>
      <c r="BC9" s="1045"/>
      <c r="BD9" s="1029"/>
      <c r="BE9" s="1132"/>
    </row>
    <row r="10" ht="18.75">
      <c r="C10" s="1134" t="s">
        <v>350</v>
      </c>
      <c r="D10" s="1134"/>
      <c r="E10" s="1134"/>
      <c r="F10" s="1135" t="s">
        <v>332</v>
      </c>
      <c r="G10" s="1135" t="s">
        <v>333</v>
      </c>
      <c r="H10" s="1136" t="s">
        <v>334</v>
      </c>
      <c r="I10" s="1137" t="s">
        <v>341</v>
      </c>
      <c r="J10" s="1138"/>
      <c r="K10" s="1138"/>
      <c r="L10" s="1139"/>
      <c r="M10" s="1119"/>
      <c r="N10" s="1073" t="s">
        <v>336</v>
      </c>
      <c r="O10" s="1073" t="s">
        <v>337</v>
      </c>
      <c r="P10" s="1073" t="s">
        <v>338</v>
      </c>
      <c r="Q10" s="1073" t="s">
        <v>344</v>
      </c>
      <c r="R10" s="1073" t="s">
        <v>351</v>
      </c>
      <c r="S10" s="1073" t="s">
        <v>1058</v>
      </c>
      <c r="T10" s="1141" t="s">
        <v>340</v>
      </c>
      <c r="U10" s="1142"/>
      <c r="V10" s="1128"/>
      <c r="W10" s="1073" t="s">
        <v>336</v>
      </c>
      <c r="X10" s="1073" t="s">
        <v>337</v>
      </c>
      <c r="Y10" s="1073" t="s">
        <v>338</v>
      </c>
      <c r="Z10" s="1073" t="s">
        <v>344</v>
      </c>
      <c r="AA10" s="1073" t="s">
        <v>524</v>
      </c>
      <c r="AB10" s="1073" t="str">
        <f>S10</f>
        <v xml:space="preserve">итого перевязка  ИМН</v>
      </c>
      <c r="AC10" s="1143" t="str">
        <f>T10</f>
        <v xml:space="preserve">Итого (спирт+наркотики+растворы+перевязка)</v>
      </c>
      <c r="AD10" s="1142"/>
      <c r="AE10" s="1128"/>
      <c r="AF10" s="1073" t="s">
        <v>336</v>
      </c>
      <c r="AG10" s="1073" t="s">
        <v>337</v>
      </c>
      <c r="AH10" s="1073" t="s">
        <v>338</v>
      </c>
      <c r="AI10" s="1073" t="s">
        <v>344</v>
      </c>
      <c r="AJ10" s="1073" t="s">
        <v>524</v>
      </c>
      <c r="AK10" s="1073" t="str">
        <f>S10</f>
        <v xml:space="preserve">итого перевязка  ИМН</v>
      </c>
      <c r="AL10" s="1141" t="s">
        <v>340</v>
      </c>
      <c r="AM10" s="1142"/>
      <c r="AN10" s="1128"/>
      <c r="AO10" s="1144" t="s">
        <v>336</v>
      </c>
      <c r="AP10" s="1144" t="s">
        <v>337</v>
      </c>
      <c r="AQ10" s="1144" t="s">
        <v>338</v>
      </c>
      <c r="AR10" s="1144" t="s">
        <v>344</v>
      </c>
      <c r="AS10" s="1144" t="s">
        <v>524</v>
      </c>
      <c r="AT10" s="1144" t="s">
        <v>1060</v>
      </c>
      <c r="AU10" s="1145"/>
      <c r="AV10" s="1146"/>
      <c r="AW10" s="1131"/>
      <c r="AX10" s="1144" t="s">
        <v>336</v>
      </c>
      <c r="AY10" s="1144" t="s">
        <v>337</v>
      </c>
      <c r="AZ10" s="1144" t="s">
        <v>338</v>
      </c>
      <c r="BA10" s="1144" t="s">
        <v>344</v>
      </c>
      <c r="BB10" s="1144" t="s">
        <v>524</v>
      </c>
      <c r="BC10" s="1144" t="s">
        <v>1060</v>
      </c>
      <c r="BD10" s="1147"/>
      <c r="BE10" s="1132"/>
    </row>
    <row r="11" ht="37.5">
      <c r="C11" s="1148"/>
      <c r="D11" s="1149"/>
      <c r="E11" s="1149"/>
      <c r="F11" s="1150"/>
      <c r="G11" s="1150"/>
      <c r="H11" s="1151"/>
      <c r="I11" s="1152"/>
      <c r="J11" s="1153" t="s">
        <v>342</v>
      </c>
      <c r="K11" s="1154" t="s">
        <v>339</v>
      </c>
      <c r="L11" s="1155" t="s">
        <v>335</v>
      </c>
      <c r="M11" s="1119"/>
      <c r="N11" s="1095"/>
      <c r="O11" s="1095"/>
      <c r="P11" s="1095"/>
      <c r="Q11" s="1095"/>
      <c r="R11" s="1095"/>
      <c r="S11" s="1095"/>
      <c r="T11" s="1156"/>
      <c r="U11" s="1124"/>
      <c r="V11" s="1128"/>
      <c r="W11" s="1095"/>
      <c r="X11" s="1095"/>
      <c r="Y11" s="1095"/>
      <c r="Z11" s="1095"/>
      <c r="AA11" s="1095"/>
      <c r="AB11" s="1095"/>
      <c r="AC11" s="1157"/>
      <c r="AD11" s="1124"/>
      <c r="AE11" s="1128"/>
      <c r="AF11" s="1095"/>
      <c r="AG11" s="1095"/>
      <c r="AH11" s="1095"/>
      <c r="AI11" s="1095"/>
      <c r="AJ11" s="1095"/>
      <c r="AK11" s="1095"/>
      <c r="AL11" s="1156"/>
      <c r="AM11" s="1124"/>
      <c r="AN11" s="1128"/>
      <c r="AO11" s="1158"/>
      <c r="AP11" s="1158"/>
      <c r="AQ11" s="1158"/>
      <c r="AR11" s="1158"/>
      <c r="AS11" s="1158"/>
      <c r="AT11" s="1158"/>
      <c r="AU11" s="1159"/>
      <c r="AV11" s="1160"/>
      <c r="AW11" s="1131"/>
      <c r="AX11" s="1158"/>
      <c r="AY11" s="1158"/>
      <c r="AZ11" s="1158"/>
      <c r="BA11" s="1158"/>
      <c r="BB11" s="1158"/>
      <c r="BC11" s="1158"/>
      <c r="BD11" s="1161"/>
      <c r="BE11" s="1132"/>
    </row>
    <row r="12" ht="18.75">
      <c r="C12" s="1162" t="s">
        <v>178</v>
      </c>
      <c r="D12" s="1162"/>
      <c r="E12" s="1163" t="s">
        <v>488</v>
      </c>
    </row>
    <row r="13" ht="18.75">
      <c r="C13" s="1176" t="s">
        <v>354</v>
      </c>
      <c r="D13" s="1176"/>
      <c r="E13" s="1163" t="s">
        <v>488</v>
      </c>
    </row>
    <row r="14" ht="18.75">
      <c r="C14" s="1176" t="s">
        <v>181</v>
      </c>
      <c r="D14" s="1176"/>
      <c r="E14" s="1163" t="s">
        <v>488</v>
      </c>
    </row>
    <row r="15" ht="18.75">
      <c r="C15" s="1176" t="s">
        <v>357</v>
      </c>
      <c r="D15" s="1176"/>
      <c r="E15" s="1163" t="s">
        <v>488</v>
      </c>
    </row>
    <row r="16" ht="18.75">
      <c r="C16" s="1176" t="s">
        <v>183</v>
      </c>
      <c r="D16" s="1176"/>
      <c r="E16" s="1163" t="s">
        <v>488</v>
      </c>
    </row>
    <row r="17" ht="18.75">
      <c r="C17" s="1176" t="s">
        <v>184</v>
      </c>
      <c r="D17" s="1176"/>
      <c r="E17" s="1163" t="s">
        <v>488</v>
      </c>
    </row>
    <row r="18" ht="18.75">
      <c r="C18" s="1178" t="s">
        <v>361</v>
      </c>
      <c r="D18" s="1179"/>
      <c r="E18" s="1163" t="s">
        <v>488</v>
      </c>
    </row>
    <row r="19" ht="18.75">
      <c r="C19" s="1176" t="s">
        <v>185</v>
      </c>
      <c r="D19" s="1176"/>
      <c r="E19" s="1163" t="s">
        <v>488</v>
      </c>
    </row>
    <row r="20" ht="18.75">
      <c r="C20" s="1182" t="s">
        <v>363</v>
      </c>
      <c r="D20" s="1182"/>
      <c r="E20" s="1182"/>
    </row>
    <row r="21" ht="18.75">
      <c r="C21" s="1176" t="s">
        <v>364</v>
      </c>
      <c r="D21" s="1176"/>
      <c r="E21" s="1176"/>
    </row>
    <row r="22" ht="18.75">
      <c r="C22" s="1176" t="s">
        <v>195</v>
      </c>
      <c r="D22" s="1176"/>
      <c r="E22" s="1163" t="s">
        <v>488</v>
      </c>
    </row>
    <row r="23" ht="18.75">
      <c r="C23" s="1176" t="s">
        <v>196</v>
      </c>
      <c r="D23" s="1176"/>
      <c r="E23" s="1163" t="s">
        <v>488</v>
      </c>
    </row>
    <row r="24" ht="18.75">
      <c r="C24" s="1193" t="s">
        <v>367</v>
      </c>
      <c r="D24" s="1193"/>
      <c r="E24" s="1193"/>
    </row>
    <row r="25" ht="18.75">
      <c r="C25" s="1176" t="s">
        <v>201</v>
      </c>
      <c r="D25" s="1176"/>
      <c r="E25" s="1163" t="s">
        <v>488</v>
      </c>
    </row>
    <row r="26" ht="18.75">
      <c r="C26" s="1176" t="s">
        <v>203</v>
      </c>
      <c r="D26" s="1176"/>
      <c r="E26" s="1163" t="s">
        <v>488</v>
      </c>
    </row>
    <row r="27" ht="18.75">
      <c r="C27" s="1176" t="s">
        <v>204</v>
      </c>
      <c r="D27" s="1194"/>
      <c r="E27" s="1163" t="s">
        <v>488</v>
      </c>
    </row>
    <row r="28" ht="18.75">
      <c r="C28" s="1176" t="s">
        <v>205</v>
      </c>
      <c r="D28" s="1176"/>
      <c r="E28" s="1163" t="s">
        <v>488</v>
      </c>
    </row>
    <row r="29" ht="18.75">
      <c r="C29" s="1176" t="s">
        <v>206</v>
      </c>
      <c r="D29" s="1176"/>
      <c r="E29" s="1163" t="s">
        <v>488</v>
      </c>
    </row>
    <row r="30" ht="18.75">
      <c r="C30" s="1176" t="s">
        <v>207</v>
      </c>
      <c r="D30" s="1194"/>
      <c r="E30" s="1163" t="s">
        <v>488</v>
      </c>
    </row>
    <row r="31" ht="18.75">
      <c r="C31" s="1176" t="s">
        <v>375</v>
      </c>
      <c r="D31" s="1176"/>
      <c r="E31" s="1163" t="s">
        <v>488</v>
      </c>
    </row>
    <row r="32" ht="18.75">
      <c r="C32" s="1176" t="s">
        <v>210</v>
      </c>
      <c r="D32" s="1176"/>
      <c r="E32" s="1163" t="s">
        <v>488</v>
      </c>
    </row>
    <row r="33" ht="18.75">
      <c r="C33" s="1176" t="s">
        <v>211</v>
      </c>
      <c r="D33" s="1176"/>
      <c r="E33" s="1163" t="s">
        <v>488</v>
      </c>
    </row>
    <row r="34" ht="18.75">
      <c r="C34" s="1182" t="s">
        <v>363</v>
      </c>
      <c r="D34" s="1182"/>
      <c r="E34" s="1182"/>
    </row>
    <row r="35" ht="18.75">
      <c r="C35" s="1176" t="s">
        <v>379</v>
      </c>
      <c r="D35" s="1176"/>
      <c r="E35" s="1163" t="s">
        <v>488</v>
      </c>
    </row>
    <row r="36" ht="18.75">
      <c r="C36" s="1176" t="s">
        <v>381</v>
      </c>
      <c r="D36" s="1176"/>
      <c r="E36" s="1176"/>
    </row>
    <row r="37" ht="18.75">
      <c r="C37" s="1176" t="s">
        <v>383</v>
      </c>
      <c r="D37" s="1176"/>
      <c r="E37" s="1163" t="s">
        <v>488</v>
      </c>
    </row>
    <row r="38" ht="18.75">
      <c r="C38" s="1176" t="s">
        <v>385</v>
      </c>
      <c r="D38" s="1196"/>
      <c r="E38" s="1196"/>
    </row>
    <row r="39" ht="18.75">
      <c r="C39" s="1176" t="s">
        <v>387</v>
      </c>
      <c r="D39" s="1176"/>
      <c r="E39" s="1176"/>
    </row>
    <row r="40" ht="18.75">
      <c r="C40" s="1182" t="s">
        <v>388</v>
      </c>
      <c r="D40" s="1182"/>
      <c r="E40" s="1182"/>
    </row>
    <row r="41" ht="18.75">
      <c r="C41" s="1176" t="s">
        <v>390</v>
      </c>
      <c r="D41" s="1198"/>
      <c r="E41" s="1163" t="s">
        <v>488</v>
      </c>
    </row>
    <row r="42" ht="18.75">
      <c r="C42" s="1176" t="s">
        <v>392</v>
      </c>
      <c r="D42" s="1198"/>
      <c r="E42" s="1163" t="s">
        <v>488</v>
      </c>
    </row>
    <row r="43" ht="18.75">
      <c r="C43" s="1176" t="s">
        <v>265</v>
      </c>
      <c r="D43" s="1131"/>
      <c r="E43" s="1201" t="s">
        <v>489</v>
      </c>
    </row>
    <row r="44" ht="18.75">
      <c r="C44" s="1182" t="s">
        <v>394</v>
      </c>
      <c r="D44" s="1182"/>
      <c r="E44" s="1182"/>
    </row>
    <row r="45" ht="18.75">
      <c r="C45" s="1202" t="s">
        <v>50</v>
      </c>
      <c r="D45" s="1203" t="s">
        <v>490</v>
      </c>
      <c r="E45" s="1201" t="s">
        <v>489</v>
      </c>
    </row>
    <row r="46" ht="18.75">
      <c r="C46" s="1202" t="s">
        <v>397</v>
      </c>
      <c r="D46" s="1203" t="s">
        <v>490</v>
      </c>
      <c r="E46" s="1201" t="s">
        <v>489</v>
      </c>
    </row>
    <row r="47" ht="56.25">
      <c r="C47" s="1202" t="s">
        <v>399</v>
      </c>
      <c r="D47" s="1204" t="s">
        <v>491</v>
      </c>
      <c r="E47" s="1201" t="s">
        <v>489</v>
      </c>
    </row>
    <row r="48" ht="18.75">
      <c r="C48" s="1205" t="s">
        <v>363</v>
      </c>
      <c r="D48" s="1205"/>
      <c r="E48" s="1205"/>
    </row>
    <row r="49" ht="18.75">
      <c r="C49" s="1205" t="s">
        <v>400</v>
      </c>
      <c r="D49" s="1205"/>
      <c r="E49" s="1205"/>
    </row>
    <row r="50" ht="18.75">
      <c r="C50" s="1202" t="s">
        <v>402</v>
      </c>
      <c r="D50" s="1202"/>
      <c r="E50" s="1202"/>
    </row>
    <row r="51" ht="18.75">
      <c r="C51" s="1202" t="s">
        <v>404</v>
      </c>
      <c r="D51" s="1202"/>
      <c r="E51" s="1202"/>
    </row>
    <row r="52" ht="18.75">
      <c r="C52" s="1205" t="s">
        <v>405</v>
      </c>
      <c r="D52" s="1205"/>
      <c r="E52" s="1205"/>
    </row>
    <row r="53" ht="18.75">
      <c r="C53" s="1205" t="s">
        <v>406</v>
      </c>
      <c r="D53" s="1205"/>
      <c r="E53" s="1205"/>
    </row>
    <row r="54" ht="18.75">
      <c r="C54" s="1202" t="s">
        <v>407</v>
      </c>
      <c r="D54" s="1202"/>
      <c r="E54" s="1202"/>
    </row>
    <row r="55" ht="18.75">
      <c r="C55" s="1202" t="s">
        <v>409</v>
      </c>
      <c r="D55" s="1202"/>
      <c r="E55" s="1202"/>
    </row>
    <row r="56" ht="37.5">
      <c r="C56" s="1202" t="s">
        <v>411</v>
      </c>
      <c r="D56" s="1217" t="s">
        <v>492</v>
      </c>
      <c r="E56" s="1217"/>
    </row>
    <row r="57" ht="18.75">
      <c r="C57" s="1202" t="s">
        <v>413</v>
      </c>
      <c r="D57" s="1217" t="s">
        <v>493</v>
      </c>
      <c r="E57" s="1217"/>
    </row>
    <row r="58" ht="18.75">
      <c r="C58" s="1202" t="s">
        <v>414</v>
      </c>
      <c r="D58" s="1202"/>
      <c r="E58" s="1202"/>
    </row>
    <row r="59" ht="18.75">
      <c r="C59" s="1202" t="s">
        <v>416</v>
      </c>
      <c r="D59" s="1202" t="s">
        <v>494</v>
      </c>
      <c r="E59" s="1202"/>
    </row>
    <row r="60" ht="18.75">
      <c r="C60" s="1202" t="s">
        <v>80</v>
      </c>
      <c r="D60" s="1218" t="s">
        <v>495</v>
      </c>
      <c r="E60" s="1217"/>
    </row>
    <row r="61" ht="18.75">
      <c r="C61" s="1202" t="s">
        <v>419</v>
      </c>
      <c r="D61" s="1219"/>
      <c r="E61" s="1202"/>
    </row>
    <row r="62" ht="18.75">
      <c r="C62" s="1205" t="s">
        <v>363</v>
      </c>
      <c r="D62" s="1205"/>
      <c r="E62" s="1205"/>
    </row>
    <row r="63" ht="18.75">
      <c r="C63" s="1202" t="s">
        <v>421</v>
      </c>
      <c r="D63" s="1203" t="s">
        <v>496</v>
      </c>
      <c r="E63" s="1202"/>
    </row>
    <row r="64" ht="18.75">
      <c r="C64" s="1202" t="s">
        <v>68</v>
      </c>
      <c r="D64" s="1219"/>
      <c r="E64" s="1202"/>
    </row>
    <row r="65" ht="18.75">
      <c r="C65" s="1202" t="s">
        <v>289</v>
      </c>
      <c r="D65" s="1202" t="s">
        <v>497</v>
      </c>
      <c r="E65" s="1202"/>
    </row>
    <row r="66" ht="18.75">
      <c r="C66" s="1202" t="s">
        <v>424</v>
      </c>
      <c r="D66" s="1219"/>
      <c r="E66" s="1202"/>
    </row>
    <row r="67" ht="18.75">
      <c r="C67" s="1202" t="s">
        <v>426</v>
      </c>
      <c r="D67" s="1202" t="s">
        <v>497</v>
      </c>
      <c r="E67" s="1202"/>
    </row>
    <row r="68" ht="18.75">
      <c r="C68" s="1202" t="s">
        <v>427</v>
      </c>
      <c r="D68" s="1202" t="s">
        <v>497</v>
      </c>
      <c r="E68" s="1202"/>
    </row>
    <row r="69" ht="18.75">
      <c r="C69" s="1202" t="s">
        <v>73</v>
      </c>
      <c r="D69" s="1202" t="s">
        <v>497</v>
      </c>
      <c r="E69" s="1202"/>
    </row>
    <row r="70" ht="18.75">
      <c r="C70" s="1202" t="s">
        <v>75</v>
      </c>
      <c r="D70" s="1203" t="s">
        <v>496</v>
      </c>
      <c r="E70" s="1202"/>
    </row>
    <row r="71" ht="18.75">
      <c r="C71" s="1202" t="s">
        <v>431</v>
      </c>
      <c r="D71" s="1203" t="s">
        <v>496</v>
      </c>
      <c r="E71" s="1202"/>
    </row>
    <row r="72" ht="18.75">
      <c r="C72" s="1202" t="s">
        <v>433</v>
      </c>
      <c r="D72" s="1203" t="s">
        <v>496</v>
      </c>
      <c r="E72" s="1217"/>
    </row>
    <row r="73" ht="18.75">
      <c r="C73" s="1202" t="s">
        <v>435</v>
      </c>
      <c r="D73" s="1203" t="s">
        <v>496</v>
      </c>
      <c r="E73" s="1202"/>
    </row>
    <row r="74" ht="18.75">
      <c r="C74" s="1202" t="s">
        <v>436</v>
      </c>
      <c r="D74" s="1202"/>
      <c r="E74" s="1202"/>
    </row>
    <row r="75" ht="18.75">
      <c r="C75" s="1202" t="s">
        <v>78</v>
      </c>
      <c r="D75" s="1223" t="s">
        <v>498</v>
      </c>
      <c r="E75" s="1223"/>
    </row>
    <row r="76" ht="18.75">
      <c r="C76" s="1205" t="s">
        <v>22</v>
      </c>
      <c r="D76" s="1205"/>
      <c r="E76" s="1205"/>
    </row>
    <row r="77" ht="18.75">
      <c r="C77" s="1202" t="s">
        <v>26</v>
      </c>
      <c r="D77" s="1202" t="s">
        <v>494</v>
      </c>
      <c r="E77" s="1202"/>
    </row>
    <row r="78" ht="18.75">
      <c r="C78" s="1202" t="s">
        <v>439</v>
      </c>
      <c r="D78" s="1202"/>
      <c r="E78" s="1202"/>
    </row>
    <row r="79" ht="18.75">
      <c r="C79" s="1202" t="s">
        <v>441</v>
      </c>
      <c r="D79" s="1202"/>
      <c r="E79" s="1202"/>
    </row>
    <row r="80" ht="18.75">
      <c r="C80" s="1202" t="s">
        <v>84</v>
      </c>
      <c r="D80" s="1202" t="s">
        <v>499</v>
      </c>
      <c r="E80" s="1202"/>
    </row>
    <row r="81" ht="18.75">
      <c r="C81" s="1202" t="s">
        <v>288</v>
      </c>
      <c r="D81" s="1202" t="s">
        <v>497</v>
      </c>
      <c r="E81" s="1202" t="s">
        <v>500</v>
      </c>
    </row>
    <row r="82" ht="18.75">
      <c r="C82" s="1176" t="s">
        <v>445</v>
      </c>
      <c r="D82" s="1176"/>
      <c r="E82" s="1176"/>
    </row>
    <row r="83" ht="18.75">
      <c r="C83" s="1176" t="s">
        <v>447</v>
      </c>
      <c r="D83" s="1176"/>
      <c r="E83" s="1176"/>
    </row>
    <row r="84" ht="18.75">
      <c r="C84" s="1176" t="s">
        <v>449</v>
      </c>
      <c r="D84" s="1176"/>
      <c r="E84" s="1176"/>
    </row>
    <row r="85" ht="18.75">
      <c r="C85" s="1176" t="s">
        <v>450</v>
      </c>
      <c r="D85" s="1176"/>
      <c r="E85" s="1176"/>
    </row>
    <row r="86" ht="18.75">
      <c r="C86" s="1202" t="s">
        <v>452</v>
      </c>
      <c r="D86" s="1202"/>
      <c r="E86" s="1202"/>
    </row>
    <row r="87" ht="18.75">
      <c r="C87" s="1202" t="s">
        <v>454</v>
      </c>
      <c r="D87" s="1202"/>
      <c r="E87" s="1202" t="s">
        <v>500</v>
      </c>
    </row>
    <row r="88" ht="18.75">
      <c r="C88" s="1202" t="s">
        <v>311</v>
      </c>
      <c r="D88" s="1202"/>
      <c r="E88" s="1202" t="s">
        <v>500</v>
      </c>
    </row>
    <row r="89" ht="18.75">
      <c r="C89" s="1202" t="s">
        <v>456</v>
      </c>
      <c r="D89" s="1202"/>
      <c r="E89" s="1202"/>
    </row>
    <row r="90" ht="18.75">
      <c r="C90" s="1202" t="s">
        <v>457</v>
      </c>
      <c r="D90" s="1202"/>
      <c r="E90" s="1202"/>
    </row>
    <row r="91" ht="18.75">
      <c r="C91" s="1202" t="s">
        <v>458</v>
      </c>
      <c r="D91" s="1202"/>
      <c r="E91" s="1202"/>
    </row>
    <row r="92" ht="18.75">
      <c r="C92" s="1202" t="s">
        <v>459</v>
      </c>
      <c r="D92" s="1202"/>
      <c r="E92" s="1202"/>
    </row>
    <row r="93" ht="18.75">
      <c r="C93" s="1202" t="s">
        <v>460</v>
      </c>
      <c r="D93" s="1202"/>
      <c r="E93" s="1202"/>
    </row>
    <row r="94" ht="18.75">
      <c r="C94" s="1202" t="s">
        <v>461</v>
      </c>
      <c r="D94" s="1202"/>
      <c r="E94" s="1202"/>
    </row>
    <row r="95" ht="18.75">
      <c r="C95" s="1202" t="s">
        <v>462</v>
      </c>
      <c r="D95" s="1202"/>
      <c r="E95" s="1202"/>
    </row>
    <row r="96" ht="18.75">
      <c r="C96" s="1202" t="s">
        <v>463</v>
      </c>
      <c r="D96" s="1202"/>
      <c r="E96" s="1202"/>
    </row>
    <row r="97" ht="18.75">
      <c r="C97" s="1202" t="s">
        <v>464</v>
      </c>
      <c r="D97" s="1202"/>
      <c r="E97" s="1202"/>
    </row>
    <row r="98" ht="18.75">
      <c r="C98" s="1202" t="s">
        <v>465</v>
      </c>
      <c r="D98" s="1202"/>
      <c r="E98" s="1202"/>
    </row>
    <row r="99" ht="18.75">
      <c r="C99" s="1202" t="s">
        <v>303</v>
      </c>
      <c r="D99" s="1202"/>
      <c r="E99" s="1202"/>
    </row>
    <row r="100" ht="18.75">
      <c r="C100" s="1202" t="s">
        <v>304</v>
      </c>
      <c r="D100" s="1202"/>
      <c r="E100" s="1202"/>
    </row>
    <row r="101" ht="18.75">
      <c r="C101" s="1202" t="s">
        <v>467</v>
      </c>
      <c r="D101" s="1202"/>
      <c r="E101" s="1202" t="s">
        <v>500</v>
      </c>
    </row>
    <row r="102" ht="18.75">
      <c r="C102" s="1202" t="s">
        <v>469</v>
      </c>
      <c r="D102" s="1202"/>
      <c r="E102" s="1202"/>
    </row>
  </sheetData>
  <mergeCells count="92">
    <mergeCell ref="AZ10:AZ11"/>
    <mergeCell ref="BA10:BA11"/>
    <mergeCell ref="BB10:BB11"/>
    <mergeCell ref="BC10:BC11"/>
    <mergeCell ref="BD10:BD11"/>
    <mergeCell ref="AS10:AS11"/>
    <mergeCell ref="AT10:AT11"/>
    <mergeCell ref="AU10:AU11"/>
    <mergeCell ref="AX10:AX11"/>
    <mergeCell ref="AY10:AY11"/>
    <mergeCell ref="AL10:AL11"/>
    <mergeCell ref="AO10:AO11"/>
    <mergeCell ref="AP10:AP11"/>
    <mergeCell ref="AQ10:AQ11"/>
    <mergeCell ref="AR10:AR11"/>
    <mergeCell ref="AG10:AG11"/>
    <mergeCell ref="AH10:AH11"/>
    <mergeCell ref="AI10:AI11"/>
    <mergeCell ref="AJ10:AJ11"/>
    <mergeCell ref="AK10:AK11"/>
    <mergeCell ref="Z10:Z11"/>
    <mergeCell ref="AA10:AA11"/>
    <mergeCell ref="AB10:AB11"/>
    <mergeCell ref="AC10:AC11"/>
    <mergeCell ref="AF10:AF11"/>
    <mergeCell ref="S10:S11"/>
    <mergeCell ref="T10:T11"/>
    <mergeCell ref="W10:W11"/>
    <mergeCell ref="X10:X11"/>
    <mergeCell ref="Y10:Y11"/>
    <mergeCell ref="N10:N11"/>
    <mergeCell ref="O10:O11"/>
    <mergeCell ref="P10:P11"/>
    <mergeCell ref="Q10:Q11"/>
    <mergeCell ref="R10:R11"/>
    <mergeCell ref="C10:C11"/>
    <mergeCell ref="F10:F11"/>
    <mergeCell ref="G10:G11"/>
    <mergeCell ref="H10:H11"/>
    <mergeCell ref="I10:I11"/>
    <mergeCell ref="BD3:BD4"/>
    <mergeCell ref="N9:S9"/>
    <mergeCell ref="W9:AB9"/>
    <mergeCell ref="AF9:AK9"/>
    <mergeCell ref="AO9:AT9"/>
    <mergeCell ref="AX9:BC9"/>
    <mergeCell ref="AX3:AX4"/>
    <mergeCell ref="AY3:AY4"/>
    <mergeCell ref="AZ3:AZ4"/>
    <mergeCell ref="BA3:BB3"/>
    <mergeCell ref="BC3:BC4"/>
    <mergeCell ref="AQ3:AQ4"/>
    <mergeCell ref="AR3:AS3"/>
    <mergeCell ref="AT3:AT4"/>
    <mergeCell ref="AU3:AU4"/>
    <mergeCell ref="AV3:AV4"/>
    <mergeCell ref="AK3:AK4"/>
    <mergeCell ref="AL3:AL4"/>
    <mergeCell ref="AM3:AM4"/>
    <mergeCell ref="AO3:AO4"/>
    <mergeCell ref="AP3:AP4"/>
    <mergeCell ref="AD3:AD4"/>
    <mergeCell ref="AF3:AF4"/>
    <mergeCell ref="AG3:AG4"/>
    <mergeCell ref="AH3:AH4"/>
    <mergeCell ref="AI3:AJ3"/>
    <mergeCell ref="X3:X4"/>
    <mergeCell ref="Y3:Y4"/>
    <mergeCell ref="Z3:AA3"/>
    <mergeCell ref="AB3:AB4"/>
    <mergeCell ref="AC3:AC4"/>
    <mergeCell ref="AO2:AT2"/>
    <mergeCell ref="AX2:BC2"/>
    <mergeCell ref="C3:C4"/>
    <mergeCell ref="D3:D4"/>
    <mergeCell ref="E3:E4"/>
    <mergeCell ref="F3:F4"/>
    <mergeCell ref="G3:G4"/>
    <mergeCell ref="H3:H4"/>
    <mergeCell ref="N3:N4"/>
    <mergeCell ref="O3:O4"/>
    <mergeCell ref="P3:P4"/>
    <mergeCell ref="Q3:R3"/>
    <mergeCell ref="S3:S4"/>
    <mergeCell ref="T3:T4"/>
    <mergeCell ref="U3:U4"/>
    <mergeCell ref="W3:W4"/>
    <mergeCell ref="W1:AC1"/>
    <mergeCell ref="F2:H2"/>
    <mergeCell ref="N2:U2"/>
    <mergeCell ref="W2:AB2"/>
    <mergeCell ref="AF2:AK2"/>
  </mergeCells>
  <printOptions headings="0" gridLines="0"/>
  <pageMargins left="0.69999999999999996" right="0.69999999999999996" top="0.75" bottom="0.75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zoomScale="160" workbookViewId="0">
      <pane xSplit="2" ySplit="8" topLeftCell="C9" activePane="bottomRight" state="frozen"/>
      <selection activeCell="C9" activeCellId="0" sqref="C9"/>
    </sheetView>
  </sheetViews>
  <sheetFormatPr defaultRowHeight="12.75"/>
  <cols>
    <col customWidth="1" min="1" max="1" width="3.42578125"/>
    <col customWidth="1" min="2" max="2" width="26.28515625"/>
    <col customWidth="1" min="3" max="3" width="13.5703125"/>
    <col customWidth="1" min="4" max="4" width="16"/>
    <col bestFit="1" customWidth="1" min="5" max="5" width="10.140625"/>
    <col customWidth="1" hidden="1" min="6" max="6" width="9.140625"/>
    <col customWidth="1" hidden="1" min="7" max="7" width="11.42578125"/>
    <col customWidth="1" hidden="1" min="8" max="8" width="11"/>
    <col customWidth="1" min="9" max="9" width="12.42578125"/>
    <col customWidth="1" min="12" max="12" width="9.85546875"/>
    <col customWidth="1" min="13" max="13" width="10.140625"/>
    <col customWidth="1" min="14" max="14" width="10.85546875"/>
    <col bestFit="1" customWidth="1" min="15" max="15" width="10.140625"/>
    <col customWidth="1" hidden="1" min="21" max="21" width="11.7109375"/>
    <col customWidth="1" min="22" max="22" width="14.28515625"/>
    <col customWidth="1" min="23" max="23" width="10.42578125"/>
    <col customWidth="1" min="25" max="25" width="10.85546875"/>
    <col customWidth="1" min="26" max="26" width="10.140625"/>
    <col customWidth="1" min="29" max="29" width="11.7109375"/>
  </cols>
  <sheetData>
    <row r="1" ht="13.5" customHeight="1"/>
    <row r="2" ht="27" customHeight="1">
      <c r="A2" s="3220" t="s">
        <v>1061</v>
      </c>
    </row>
    <row r="4" ht="12.75" customHeight="1">
      <c r="B4" s="64" t="s">
        <v>40</v>
      </c>
      <c r="C4" s="65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7"/>
      <c r="Z4" s="66"/>
      <c r="AA4" s="66"/>
      <c r="AB4" s="69" t="s">
        <v>42</v>
      </c>
      <c r="AC4" s="70"/>
      <c r="AD4" s="71"/>
    </row>
    <row r="5">
      <c r="B5" s="112"/>
      <c r="C5" s="113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3221"/>
      <c r="U5" s="116"/>
      <c r="V5" s="116"/>
      <c r="W5" s="117"/>
      <c r="X5" s="116"/>
      <c r="Y5" s="118"/>
      <c r="Z5" s="116"/>
      <c r="AA5" s="113"/>
      <c r="AB5" s="120"/>
      <c r="AC5" s="121"/>
      <c r="AD5" s="122"/>
    </row>
    <row r="6" ht="36">
      <c r="B6" s="112" t="s">
        <v>96</v>
      </c>
      <c r="C6" s="3222" t="s">
        <v>1062</v>
      </c>
      <c r="D6" s="3223" t="s">
        <v>68</v>
      </c>
      <c r="E6" s="3224" t="s">
        <v>69</v>
      </c>
      <c r="F6" s="3225" t="s">
        <v>1063</v>
      </c>
      <c r="G6" s="3225" t="s">
        <v>97</v>
      </c>
      <c r="H6" s="3225" t="s">
        <v>98</v>
      </c>
      <c r="I6" s="3226" t="s">
        <v>1064</v>
      </c>
      <c r="J6" s="3224" t="s">
        <v>1065</v>
      </c>
      <c r="K6" s="3227" t="s">
        <v>73</v>
      </c>
      <c r="L6" s="3224" t="s">
        <v>841</v>
      </c>
      <c r="M6" s="3224" t="s">
        <v>75</v>
      </c>
      <c r="N6" s="3224" t="s">
        <v>76</v>
      </c>
      <c r="O6" s="3224" t="s">
        <v>77</v>
      </c>
      <c r="P6" s="3224" t="s">
        <v>79</v>
      </c>
      <c r="Q6" s="3224" t="s">
        <v>50</v>
      </c>
      <c r="R6" s="3224" t="s">
        <v>397</v>
      </c>
      <c r="S6" s="3224" t="s">
        <v>546</v>
      </c>
      <c r="T6" s="3228" t="s">
        <v>265</v>
      </c>
      <c r="U6" s="114"/>
      <c r="V6" s="3223" t="s">
        <v>876</v>
      </c>
      <c r="W6" s="3229" t="s">
        <v>878</v>
      </c>
      <c r="X6" s="3227" t="s">
        <v>307</v>
      </c>
      <c r="Y6" s="3230" t="s">
        <v>53</v>
      </c>
      <c r="Z6" s="114" t="s">
        <v>1066</v>
      </c>
      <c r="AA6" s="3222" t="s">
        <v>78</v>
      </c>
      <c r="AB6" s="120"/>
      <c r="AC6" s="149" t="s">
        <v>65</v>
      </c>
      <c r="AD6" s="122"/>
    </row>
    <row r="7" ht="22.5">
      <c r="B7" s="185" t="s">
        <v>123</v>
      </c>
      <c r="C7" s="186" t="s">
        <v>108</v>
      </c>
      <c r="D7" s="187" t="s">
        <v>108</v>
      </c>
      <c r="E7" s="187" t="s">
        <v>559</v>
      </c>
      <c r="F7" s="3231" t="s">
        <v>560</v>
      </c>
      <c r="G7" s="161" t="s">
        <v>560</v>
      </c>
      <c r="H7" s="161" t="s">
        <v>560</v>
      </c>
      <c r="I7" s="187" t="s">
        <v>560</v>
      </c>
      <c r="J7" s="3232" t="s">
        <v>560</v>
      </c>
      <c r="K7" s="3232" t="s">
        <v>560</v>
      </c>
      <c r="L7" s="187" t="s">
        <v>559</v>
      </c>
      <c r="M7" s="187" t="s">
        <v>108</v>
      </c>
      <c r="N7" s="187" t="s">
        <v>108</v>
      </c>
      <c r="O7" s="187" t="s">
        <v>108</v>
      </c>
      <c r="P7" s="187" t="s">
        <v>110</v>
      </c>
      <c r="Q7" s="187" t="s">
        <v>108</v>
      </c>
      <c r="R7" s="187" t="s">
        <v>108</v>
      </c>
      <c r="S7" s="187" t="s">
        <v>108</v>
      </c>
      <c r="T7" s="188" t="s">
        <v>124</v>
      </c>
      <c r="U7" s="189" t="s">
        <v>107</v>
      </c>
      <c r="V7" s="187" t="s">
        <v>108</v>
      </c>
      <c r="W7" s="186"/>
      <c r="X7" s="187" t="s">
        <v>108</v>
      </c>
      <c r="Y7" s="190" t="s">
        <v>108</v>
      </c>
      <c r="Z7" s="187" t="s">
        <v>85</v>
      </c>
      <c r="AA7" s="186" t="s">
        <v>109</v>
      </c>
      <c r="AB7" s="192"/>
      <c r="AC7" s="193" t="s">
        <v>125</v>
      </c>
      <c r="AD7" s="122"/>
    </row>
    <row r="8" ht="15.75">
      <c r="B8" s="210"/>
      <c r="C8" s="224">
        <v>1</v>
      </c>
      <c r="D8" s="224">
        <f>C8+1</f>
        <v>2</v>
      </c>
      <c r="E8" s="224">
        <f t="shared" ref="E8:K8" si="2562">D8+1</f>
        <v>3</v>
      </c>
      <c r="F8" s="3233"/>
      <c r="G8" s="3233"/>
      <c r="H8" s="3233"/>
      <c r="I8" s="224">
        <v>4</v>
      </c>
      <c r="J8" s="225">
        <f t="shared" si="2562"/>
        <v>5</v>
      </c>
      <c r="K8" s="224">
        <f t="shared" si="2562"/>
        <v>6</v>
      </c>
      <c r="L8" s="224">
        <f t="shared" ref="L8:AA8" si="2563">K8+1</f>
        <v>7</v>
      </c>
      <c r="M8" s="224">
        <f t="shared" si="2563"/>
        <v>8</v>
      </c>
      <c r="N8" s="224">
        <f t="shared" si="2563"/>
        <v>9</v>
      </c>
      <c r="O8" s="224">
        <f t="shared" si="2563"/>
        <v>10</v>
      </c>
      <c r="P8" s="224">
        <f t="shared" si="2563"/>
        <v>11</v>
      </c>
      <c r="Q8" s="224">
        <f t="shared" si="2563"/>
        <v>12</v>
      </c>
      <c r="R8" s="224">
        <f t="shared" si="2563"/>
        <v>13</v>
      </c>
      <c r="S8" s="224">
        <f t="shared" si="2563"/>
        <v>14</v>
      </c>
      <c r="T8" s="224">
        <f t="shared" si="2563"/>
        <v>15</v>
      </c>
      <c r="U8" s="225">
        <f t="shared" si="2563"/>
        <v>16</v>
      </c>
      <c r="V8" s="224">
        <f t="shared" si="2563"/>
        <v>17</v>
      </c>
      <c r="W8" s="227">
        <f t="shared" si="2563"/>
        <v>18</v>
      </c>
      <c r="X8" s="224">
        <f t="shared" si="2563"/>
        <v>19</v>
      </c>
      <c r="Y8" s="3234">
        <f t="shared" si="2563"/>
        <v>20</v>
      </c>
      <c r="Z8" s="224">
        <f t="shared" si="2563"/>
        <v>21</v>
      </c>
      <c r="AA8" s="227">
        <f t="shared" si="2563"/>
        <v>22</v>
      </c>
      <c r="AB8" s="228"/>
      <c r="AC8" s="229"/>
      <c r="AD8" s="230"/>
      <c r="AE8" s="231"/>
    </row>
    <row r="9">
      <c r="B9" s="261"/>
      <c r="D9" s="3136"/>
      <c r="I9" s="3136"/>
      <c r="K9" s="3235"/>
      <c r="L9" s="3235"/>
      <c r="M9" s="3235"/>
      <c r="N9" s="2555"/>
      <c r="O9" s="3235"/>
      <c r="P9" s="3235"/>
      <c r="Q9" s="3235"/>
      <c r="R9" s="3235"/>
      <c r="S9" s="3235"/>
      <c r="T9" s="2555"/>
      <c r="U9" s="2367">
        <f>'2026'!T1212</f>
        <v>387009.82999999996</v>
      </c>
      <c r="V9" s="3235"/>
      <c r="W9" s="2556"/>
      <c r="X9" s="3235"/>
      <c r="Z9" s="3235"/>
      <c r="AA9" s="2371"/>
    </row>
    <row r="10">
      <c r="B10" s="261" t="s">
        <v>178</v>
      </c>
      <c r="C10" s="2367">
        <f>'2026'!T5</f>
        <v>897.52089999999998</v>
      </c>
      <c r="D10" s="3236">
        <f>'2026'!T50</f>
        <v>0</v>
      </c>
      <c r="E10" s="3237">
        <f>'2026'!T102</f>
        <v>401</v>
      </c>
      <c r="F10" s="3238">
        <f>'2026'!T659</f>
        <v>381</v>
      </c>
      <c r="G10" s="3238">
        <f>'2026'!T518</f>
        <v>770</v>
      </c>
      <c r="H10" s="3238">
        <f>'2026'!T446</f>
        <v>4736</v>
      </c>
      <c r="I10" s="3235">
        <f t="shared" ref="I10:I20" si="2564">F10+G10+H10</f>
        <v>5887</v>
      </c>
      <c r="J10" s="3238">
        <f>'2026'!T589</f>
        <v>9</v>
      </c>
      <c r="K10" s="3239">
        <f>'2026'!T318</f>
        <v>58</v>
      </c>
      <c r="L10" s="3235">
        <f>'2026'!T865</f>
        <v>23</v>
      </c>
      <c r="M10" s="3235">
        <f>'2026'!T918</f>
        <v>0</v>
      </c>
      <c r="N10" s="3240">
        <f>'2026'!T800</f>
        <v>261.5</v>
      </c>
      <c r="O10" s="3235"/>
      <c r="P10" s="3235"/>
      <c r="Q10" s="3239">
        <f>'2026'!T171</f>
        <v>0</v>
      </c>
      <c r="R10" s="3235"/>
      <c r="S10" s="3235"/>
      <c r="T10" s="2555"/>
      <c r="U10" s="2371"/>
      <c r="V10" s="3235"/>
      <c r="W10" s="3241">
        <f>'2026'!T1153</f>
        <v>6</v>
      </c>
      <c r="Y10" s="3242">
        <f>'2026'!T1019</f>
        <v>77</v>
      </c>
      <c r="Z10" s="3235">
        <f>Приемник!AD10</f>
        <v>104</v>
      </c>
      <c r="AA10" s="2371"/>
    </row>
    <row r="11">
      <c r="B11" s="261" t="s">
        <v>179</v>
      </c>
      <c r="C11" s="2367">
        <f>'2026'!T6</f>
        <v>0</v>
      </c>
      <c r="D11" s="3236">
        <f>'2026'!T51</f>
        <v>0</v>
      </c>
      <c r="E11" s="3237">
        <f>'2026'!T103</f>
        <v>2043</v>
      </c>
      <c r="F11" s="3238">
        <f>'2026'!T660</f>
        <v>2373</v>
      </c>
      <c r="G11" s="3238">
        <f>'2026'!T519</f>
        <v>2534</v>
      </c>
      <c r="H11" s="3238">
        <f>'2026'!T447</f>
        <v>8351</v>
      </c>
      <c r="I11" s="3235">
        <f t="shared" si="2564"/>
        <v>13258</v>
      </c>
      <c r="J11" s="3238">
        <f>'2026'!T590</f>
        <v>1831</v>
      </c>
      <c r="K11" s="3239">
        <f>'2026'!T319</f>
        <v>157</v>
      </c>
      <c r="L11" s="3235">
        <f>'2026'!T866</f>
        <v>815</v>
      </c>
      <c r="M11" s="3235">
        <f>'2026'!T919</f>
        <v>3603.5</v>
      </c>
      <c r="N11" s="3240">
        <f>'2026'!T801</f>
        <v>1018</v>
      </c>
      <c r="O11" s="3235"/>
      <c r="P11" s="3235"/>
      <c r="Q11" s="3239">
        <f>'2026'!T172</f>
        <v>29</v>
      </c>
      <c r="R11" s="3235"/>
      <c r="S11" s="3235"/>
      <c r="T11" s="2555"/>
      <c r="U11" s="2371"/>
      <c r="V11" s="3235"/>
      <c r="W11" s="3241">
        <f>'2026'!T1154</f>
        <v>0</v>
      </c>
      <c r="Y11" s="3242">
        <f>'2026'!T1020</f>
        <v>181</v>
      </c>
      <c r="Z11" s="3235">
        <f>Приемник!AD11</f>
        <v>139</v>
      </c>
      <c r="AA11" s="2371"/>
    </row>
    <row r="12">
      <c r="B12" s="261" t="s">
        <v>181</v>
      </c>
      <c r="C12" s="2367">
        <f>'2026'!T7</f>
        <v>0</v>
      </c>
      <c r="D12" s="3236">
        <f>'2026'!T52</f>
        <v>13336038.867999999</v>
      </c>
      <c r="E12" s="3237">
        <f>'2026'!T104</f>
        <v>543.5</v>
      </c>
      <c r="F12" s="3238">
        <f>'2026'!T661</f>
        <v>839</v>
      </c>
      <c r="G12" s="3238">
        <f>'2026'!T520</f>
        <v>2985</v>
      </c>
      <c r="H12" s="3238">
        <f>'2026'!T448</f>
        <v>8999</v>
      </c>
      <c r="I12" s="3235">
        <f t="shared" si="2564"/>
        <v>12823</v>
      </c>
      <c r="J12" s="3238">
        <f>'2026'!T591</f>
        <v>157</v>
      </c>
      <c r="K12" s="3239">
        <f>'2026'!T320</f>
        <v>694</v>
      </c>
      <c r="L12" s="3235">
        <f>'2026'!T867</f>
        <v>302</v>
      </c>
      <c r="M12" s="3235">
        <f>'2026'!T920</f>
        <v>48</v>
      </c>
      <c r="N12" s="3240">
        <f>'2026'!T802</f>
        <v>3108</v>
      </c>
      <c r="O12" s="3235"/>
      <c r="P12" s="3235"/>
      <c r="Q12" s="3239">
        <f>'2026'!T173</f>
        <v>28</v>
      </c>
      <c r="R12" s="3235"/>
      <c r="S12" s="3235"/>
      <c r="T12" s="2555"/>
      <c r="U12" s="2371"/>
      <c r="V12" s="3235"/>
      <c r="W12" s="3241">
        <f>'2026'!T1155</f>
        <v>0</v>
      </c>
      <c r="Y12" s="3242">
        <f>'2026'!T1021</f>
        <v>1</v>
      </c>
      <c r="Z12" s="3235">
        <f>Приемник!AD12</f>
        <v>175</v>
      </c>
      <c r="AA12" s="2371"/>
    </row>
    <row r="13">
      <c r="B13" s="261" t="s">
        <v>182</v>
      </c>
      <c r="C13" s="2367">
        <f>'2026'!T8</f>
        <v>0</v>
      </c>
      <c r="D13" s="3236">
        <f>'2026'!T53</f>
        <v>0</v>
      </c>
      <c r="E13" s="3237">
        <f>'2026'!T105</f>
        <v>555</v>
      </c>
      <c r="F13" s="3238">
        <f>'2026'!T662</f>
        <v>1272</v>
      </c>
      <c r="G13" s="3238">
        <f>'2026'!T521</f>
        <v>650</v>
      </c>
      <c r="H13" s="3238">
        <f>'2026'!T449</f>
        <v>3525</v>
      </c>
      <c r="I13" s="3235">
        <f t="shared" si="2564"/>
        <v>5447</v>
      </c>
      <c r="J13" s="3238">
        <f>'2026'!T592</f>
        <v>1010</v>
      </c>
      <c r="K13" s="3239">
        <f>'2026'!T321</f>
        <v>138</v>
      </c>
      <c r="L13" s="3235">
        <f>'2026'!T868</f>
        <v>466</v>
      </c>
      <c r="M13" s="3235">
        <f>'2026'!T921</f>
        <v>6852</v>
      </c>
      <c r="N13" s="3240">
        <f>'2026'!T803</f>
        <v>244</v>
      </c>
      <c r="O13" s="3235"/>
      <c r="P13" s="3235"/>
      <c r="Q13" s="3239">
        <f>'2026'!T174</f>
        <v>28</v>
      </c>
      <c r="R13" s="3235"/>
      <c r="S13" s="3235"/>
      <c r="T13" s="2555"/>
      <c r="U13" s="2371"/>
      <c r="V13" s="3235"/>
      <c r="W13" s="3241">
        <f>'2026'!T1156</f>
        <v>0</v>
      </c>
      <c r="Y13" s="3242">
        <f>'2026'!T1022</f>
        <v>1</v>
      </c>
      <c r="Z13" s="3235">
        <f>Приемник!AD13</f>
        <v>109</v>
      </c>
      <c r="AA13" s="2371"/>
    </row>
    <row r="14">
      <c r="B14" s="261" t="s">
        <v>183</v>
      </c>
      <c r="C14" s="2367">
        <f>'2026'!T9</f>
        <v>17551.617200000001</v>
      </c>
      <c r="D14" s="3236">
        <f>'2026'!T54</f>
        <v>1423.037</v>
      </c>
      <c r="E14" s="3237">
        <f>'2026'!T106</f>
        <v>325</v>
      </c>
      <c r="F14" s="3238">
        <f>'2026'!T663</f>
        <v>600</v>
      </c>
      <c r="G14" s="3238">
        <f>'2026'!T522</f>
        <v>1631</v>
      </c>
      <c r="H14" s="3238">
        <f>'2026'!T450</f>
        <v>4210</v>
      </c>
      <c r="I14" s="3235">
        <f t="shared" si="2564"/>
        <v>6441</v>
      </c>
      <c r="J14" s="3238">
        <f>'2026'!T593</f>
        <v>714</v>
      </c>
      <c r="K14" s="3239">
        <f>'2026'!T322</f>
        <v>149</v>
      </c>
      <c r="L14" s="3235">
        <f>'2026'!T869</f>
        <v>45</v>
      </c>
      <c r="M14" s="3235">
        <f>'2026'!T922</f>
        <v>98</v>
      </c>
      <c r="N14" s="3240">
        <f>'2026'!T804</f>
        <v>410.5</v>
      </c>
      <c r="O14" s="3235"/>
      <c r="P14" s="3235"/>
      <c r="Q14" s="3239">
        <f>'2026'!T175</f>
        <v>2</v>
      </c>
      <c r="R14" s="3235"/>
      <c r="S14" s="3235"/>
      <c r="T14" s="2555"/>
      <c r="U14" s="2371"/>
      <c r="V14" s="3235"/>
      <c r="W14" s="3241">
        <f>'2026'!T1157</f>
        <v>0</v>
      </c>
      <c r="Y14" s="3242">
        <f>'2026'!T1023</f>
        <v>0</v>
      </c>
      <c r="Z14" s="3235">
        <f>Приемник!AD14</f>
        <v>94</v>
      </c>
      <c r="AA14" s="2371"/>
    </row>
    <row r="15">
      <c r="B15" s="261" t="s">
        <v>184</v>
      </c>
      <c r="C15" s="2367">
        <f>'2026'!T10</f>
        <v>0</v>
      </c>
      <c r="D15" s="3236">
        <f>'2026'!T55</f>
        <v>0</v>
      </c>
      <c r="E15" s="3237">
        <f>'2026'!T107</f>
        <v>1258.5</v>
      </c>
      <c r="F15" s="3238">
        <f>'2026'!T664</f>
        <v>803</v>
      </c>
      <c r="G15" s="3238">
        <f>'2026'!T523</f>
        <v>414</v>
      </c>
      <c r="H15" s="3238">
        <f>'2026'!T451</f>
        <v>1279</v>
      </c>
      <c r="I15" s="3235">
        <f t="shared" si="2564"/>
        <v>2496</v>
      </c>
      <c r="J15" s="3238">
        <f>'2026'!T594</f>
        <v>124</v>
      </c>
      <c r="K15" s="3239">
        <f>'2026'!T323</f>
        <v>68</v>
      </c>
      <c r="L15" s="3235">
        <f>'2026'!T870</f>
        <v>107.5</v>
      </c>
      <c r="M15" s="3235">
        <f>'2026'!T923</f>
        <v>10027</v>
      </c>
      <c r="N15" s="3240">
        <f>'2026'!T805</f>
        <v>308</v>
      </c>
      <c r="O15" s="3235"/>
      <c r="P15" s="3235"/>
      <c r="Q15" s="3239">
        <f>'2026'!T176</f>
        <v>23</v>
      </c>
      <c r="R15" s="3235"/>
      <c r="S15" s="3235"/>
      <c r="T15" s="2555"/>
      <c r="U15" s="2371"/>
      <c r="V15" s="3235"/>
      <c r="W15" s="3241">
        <f>'2026'!T1158</f>
        <v>3</v>
      </c>
      <c r="Y15" s="3242">
        <f>'2026'!T1024</f>
        <v>11</v>
      </c>
      <c r="Z15" s="3235">
        <f>Приемник!AD15</f>
        <v>125</v>
      </c>
      <c r="AA15" s="2371"/>
    </row>
    <row r="16">
      <c r="B16" s="261" t="s">
        <v>197</v>
      </c>
      <c r="C16" s="2367">
        <f>'2026'!T11</f>
        <v>0</v>
      </c>
      <c r="D16" s="3236">
        <f>'2026'!T56</f>
        <v>0</v>
      </c>
      <c r="E16" s="3237">
        <f>'2026'!T108</f>
        <v>98.5</v>
      </c>
      <c r="F16" s="3238">
        <f>'2026'!T665</f>
        <v>47</v>
      </c>
      <c r="G16" s="3238">
        <f>'2026'!T524</f>
        <v>471</v>
      </c>
      <c r="H16" s="3238">
        <f>'2026'!T452</f>
        <v>1173</v>
      </c>
      <c r="I16" s="3235">
        <f t="shared" si="2564"/>
        <v>1691</v>
      </c>
      <c r="J16" s="3238">
        <f>'2026'!T595</f>
        <v>0</v>
      </c>
      <c r="K16" s="3239">
        <f>'2026'!T324</f>
        <v>87</v>
      </c>
      <c r="L16" s="3235">
        <f>'2026'!T871</f>
        <v>0</v>
      </c>
      <c r="M16" s="3235">
        <f>'2026'!T924</f>
        <v>0</v>
      </c>
      <c r="N16" s="3240">
        <f>'2026'!T806</f>
        <v>41.5</v>
      </c>
      <c r="O16" s="3235"/>
      <c r="P16" s="3235"/>
      <c r="Q16" s="3239">
        <f>'2026'!T177</f>
        <v>0</v>
      </c>
      <c r="R16" s="3235"/>
      <c r="S16" s="3235"/>
      <c r="T16" s="2555"/>
      <c r="U16" s="2371"/>
      <c r="V16" s="3235"/>
      <c r="W16" s="3241">
        <f>'2026'!T1159</f>
        <v>0</v>
      </c>
      <c r="Y16" s="3242">
        <f>'2026'!T1025</f>
        <v>0</v>
      </c>
      <c r="Z16" s="3235">
        <f>Приемник!AD21</f>
        <v>26</v>
      </c>
      <c r="AA16" s="2371"/>
    </row>
    <row r="17">
      <c r="B17" s="261" t="s">
        <v>185</v>
      </c>
      <c r="C17" s="2367">
        <f>'2026'!T12</f>
        <v>0</v>
      </c>
      <c r="D17" s="3236">
        <f>'2026'!T57</f>
        <v>0</v>
      </c>
      <c r="E17" s="3237">
        <f>'2026'!T109</f>
        <v>503.5</v>
      </c>
      <c r="F17" s="3238">
        <f>'2026'!T666</f>
        <v>493</v>
      </c>
      <c r="G17" s="3238">
        <f>'2026'!T525</f>
        <v>49</v>
      </c>
      <c r="H17" s="3238">
        <f>'2026'!T453</f>
        <v>1345</v>
      </c>
      <c r="I17" s="3235">
        <f t="shared" si="2564"/>
        <v>1887</v>
      </c>
      <c r="J17" s="3238">
        <f>'2026'!T596</f>
        <v>15</v>
      </c>
      <c r="K17" s="3239">
        <f>'2026'!T325</f>
        <v>33</v>
      </c>
      <c r="L17" s="3235">
        <f>'2026'!T872</f>
        <v>25.5</v>
      </c>
      <c r="M17" s="3235">
        <f>'2026'!T925</f>
        <v>4576</v>
      </c>
      <c r="N17" s="3240">
        <f>'2026'!T807</f>
        <v>226.5</v>
      </c>
      <c r="O17" s="3235"/>
      <c r="P17" s="3235"/>
      <c r="Q17" s="3239">
        <f>'2026'!T178</f>
        <v>3</v>
      </c>
      <c r="R17" s="3235"/>
      <c r="S17" s="3235"/>
      <c r="T17" s="2555"/>
      <c r="U17" s="2371"/>
      <c r="V17" s="3235"/>
      <c r="W17" s="3241">
        <f>'2026'!T1160</f>
        <v>0</v>
      </c>
      <c r="Y17" s="3242">
        <f>'2026'!T1026</f>
        <v>0</v>
      </c>
      <c r="Z17" s="3235">
        <f>Приемник!AD16</f>
        <v>83</v>
      </c>
      <c r="AA17" s="2371"/>
    </row>
    <row r="18">
      <c r="B18" s="261" t="s">
        <v>186</v>
      </c>
      <c r="C18" s="3243"/>
      <c r="D18" s="3236">
        <f>'2026'!T91</f>
        <v>0</v>
      </c>
      <c r="E18" s="3237">
        <f>'2026'!T144</f>
        <v>0</v>
      </c>
      <c r="F18" s="3238">
        <f>'2026'!T702</f>
        <v>0</v>
      </c>
      <c r="G18" s="3238">
        <f>'2026'!T561</f>
        <v>0</v>
      </c>
      <c r="H18" s="3238">
        <f>'2026'!T489</f>
        <v>170</v>
      </c>
      <c r="I18" s="3235">
        <f t="shared" si="2564"/>
        <v>170</v>
      </c>
      <c r="J18" s="3238">
        <f>'2026'!T632</f>
        <v>13</v>
      </c>
      <c r="K18" s="3244"/>
      <c r="L18" s="3245"/>
      <c r="M18" s="3235"/>
      <c r="N18" s="3240"/>
      <c r="O18" s="3235"/>
      <c r="P18" s="3235"/>
      <c r="Q18" s="3239">
        <f>'2026'!T180</f>
        <v>0</v>
      </c>
      <c r="R18" s="3235"/>
      <c r="S18" s="3235"/>
      <c r="T18" s="2555"/>
      <c r="U18" s="2371"/>
      <c r="V18" s="3235"/>
      <c r="W18" s="3241">
        <f>'2026'!T1196</f>
        <v>0</v>
      </c>
      <c r="Y18" s="3242">
        <f>'2026'!T1060</f>
        <v>213</v>
      </c>
      <c r="Z18" s="3235">
        <f>Приемник!AD17</f>
        <v>0</v>
      </c>
      <c r="AA18" s="2371"/>
    </row>
    <row r="19">
      <c r="B19" s="261" t="s">
        <v>187</v>
      </c>
      <c r="C19" s="2367">
        <f>'2026'!T32</f>
        <v>5238.5157999999992</v>
      </c>
      <c r="D19" s="3236">
        <f>'2026'!T77</f>
        <v>40340564.8125</v>
      </c>
      <c r="E19" s="3237">
        <f>'2026'!T129</f>
        <v>1070.5</v>
      </c>
      <c r="F19" s="3238">
        <f>'2026'!T687</f>
        <v>2016</v>
      </c>
      <c r="G19" s="3238">
        <f>'2026'!T546</f>
        <v>21894</v>
      </c>
      <c r="H19" s="3238">
        <f>'2026'!T474</f>
        <v>9735</v>
      </c>
      <c r="I19" s="3235">
        <f t="shared" si="2564"/>
        <v>33645</v>
      </c>
      <c r="J19" s="3238">
        <f>'2026'!T617</f>
        <v>299</v>
      </c>
      <c r="K19" s="3239">
        <f>'2026'!T346</f>
        <v>2497</v>
      </c>
      <c r="L19" s="3235">
        <f>'2026'!T892</f>
        <v>132</v>
      </c>
      <c r="M19" s="3235">
        <f>'2026'!T946</f>
        <v>3089</v>
      </c>
      <c r="N19" s="3240">
        <f>'2026'!T827</f>
        <v>2332</v>
      </c>
      <c r="O19" s="3235"/>
      <c r="P19" s="3235"/>
      <c r="Q19" s="3239">
        <f>'2026'!T198</f>
        <v>0</v>
      </c>
      <c r="R19" s="3235"/>
      <c r="S19" s="3235"/>
      <c r="T19" s="3246">
        <f>'2026'!T250</f>
        <v>0</v>
      </c>
      <c r="U19" s="2371"/>
      <c r="V19" s="3235"/>
      <c r="W19" s="3241">
        <f>'2026'!T1180</f>
        <v>2</v>
      </c>
      <c r="Y19" s="3242">
        <f>'2026'!T1047</f>
        <v>99</v>
      </c>
      <c r="Z19" s="3235">
        <f>Приемник!AD18</f>
        <v>275</v>
      </c>
      <c r="AA19" s="2371"/>
    </row>
    <row r="20">
      <c r="B20" s="261" t="s">
        <v>1067</v>
      </c>
      <c r="C20" s="2367">
        <f>'2026'!T33</f>
        <v>37730.234099999994</v>
      </c>
      <c r="D20" s="3236">
        <f>'2026'!T78</f>
        <v>1939561.4205</v>
      </c>
      <c r="E20" s="3237">
        <f>'2026'!T130</f>
        <v>2026.5</v>
      </c>
      <c r="F20" s="3238">
        <f>'2026'!T688</f>
        <v>1368</v>
      </c>
      <c r="G20" s="3238">
        <f>'2026'!T547</f>
        <v>4709</v>
      </c>
      <c r="H20" s="3238">
        <f>'2026'!T475</f>
        <v>5188</v>
      </c>
      <c r="I20" s="3235">
        <f t="shared" si="2564"/>
        <v>11265</v>
      </c>
      <c r="J20" s="3238">
        <f>'2026'!T618</f>
        <v>506</v>
      </c>
      <c r="K20" s="3239">
        <f>'2026'!T347+'2026'!T349</f>
        <v>2184</v>
      </c>
      <c r="L20" s="3235">
        <f>'2026'!T893</f>
        <v>1266</v>
      </c>
      <c r="M20" s="3235">
        <f>'2026'!T947</f>
        <v>0</v>
      </c>
      <c r="N20" s="3240">
        <f>'2026'!T828</f>
        <v>884</v>
      </c>
      <c r="O20" s="3235"/>
      <c r="P20" s="3235"/>
      <c r="Q20" s="3239">
        <f>'2026'!T199</f>
        <v>0</v>
      </c>
      <c r="R20" s="3235"/>
      <c r="S20" s="3235"/>
      <c r="T20" s="3246">
        <f>'2026'!T251</f>
        <v>760</v>
      </c>
      <c r="U20" s="2371"/>
      <c r="V20" s="3235"/>
      <c r="W20" s="3241">
        <f>'2026'!T1181</f>
        <v>0</v>
      </c>
      <c r="Y20" s="3242">
        <f>'2026'!T1048</f>
        <v>103</v>
      </c>
      <c r="Z20" s="3235">
        <f>Приемник!AD19</f>
        <v>143</v>
      </c>
      <c r="AA20" s="2371"/>
    </row>
    <row r="21">
      <c r="B21" s="261"/>
      <c r="D21" s="3126"/>
      <c r="I21" s="3235"/>
      <c r="K21" s="3235"/>
      <c r="L21" s="3235"/>
      <c r="M21" s="3235"/>
      <c r="N21" s="2555"/>
      <c r="O21" s="3235"/>
      <c r="P21" s="3235"/>
      <c r="Q21" s="3235"/>
      <c r="R21" s="3235"/>
      <c r="S21" s="3235"/>
      <c r="T21" s="2555"/>
      <c r="U21" s="2371"/>
      <c r="V21" s="3235"/>
      <c r="W21" s="2556"/>
      <c r="X21" s="3235"/>
      <c r="Z21" s="3235"/>
      <c r="AA21" s="2371"/>
    </row>
    <row r="22" ht="20.25" customHeight="1">
      <c r="B22" s="459" t="s">
        <v>22</v>
      </c>
      <c r="C22" s="3247">
        <f>SUM(C10:C20)</f>
        <v>61417.887999999992</v>
      </c>
      <c r="D22" s="3248">
        <f>SUM(D10:D20)</f>
        <v>55617588.138000004</v>
      </c>
      <c r="E22" s="3249">
        <f t="shared" ref="E22:AD22" si="2565">SUM(E10:E20)</f>
        <v>8825</v>
      </c>
      <c r="F22" s="3247">
        <f>SUM(F10:F20)</f>
        <v>10192</v>
      </c>
      <c r="G22" s="3247">
        <f t="shared" si="2565"/>
        <v>36107</v>
      </c>
      <c r="H22" s="3247">
        <f t="shared" si="2565"/>
        <v>48711</v>
      </c>
      <c r="I22" s="3248">
        <f t="shared" si="2565"/>
        <v>95010</v>
      </c>
      <c r="J22" s="3250">
        <f t="shared" si="2565"/>
        <v>4678</v>
      </c>
      <c r="K22" s="3248">
        <f t="shared" si="2565"/>
        <v>6065</v>
      </c>
      <c r="L22" s="3248">
        <f t="shared" si="2565"/>
        <v>3182</v>
      </c>
      <c r="M22" s="3248">
        <f t="shared" si="2565"/>
        <v>28293.5</v>
      </c>
      <c r="N22" s="3247">
        <f>SUM(N10:N20)</f>
        <v>8834</v>
      </c>
      <c r="O22" s="3248">
        <f t="shared" si="2565"/>
        <v>0</v>
      </c>
      <c r="P22" s="3248">
        <f t="shared" si="2565"/>
        <v>0</v>
      </c>
      <c r="Q22" s="3248">
        <f t="shared" si="2565"/>
        <v>113</v>
      </c>
      <c r="R22" s="3248">
        <f t="shared" si="2565"/>
        <v>0</v>
      </c>
      <c r="S22" s="3248">
        <f t="shared" si="2565"/>
        <v>0</v>
      </c>
      <c r="T22" s="3247">
        <f t="shared" si="2565"/>
        <v>760</v>
      </c>
      <c r="U22" s="3247">
        <f t="shared" si="2565"/>
        <v>0</v>
      </c>
      <c r="V22" s="3248">
        <f t="shared" si="2565"/>
        <v>0</v>
      </c>
      <c r="W22" s="3251">
        <f>SUM(W10:W20)</f>
        <v>11</v>
      </c>
      <c r="X22" s="3251">
        <f>SUM(X10:X20)</f>
        <v>0</v>
      </c>
      <c r="Y22" s="3250">
        <f>SUM(Y10:Y20)</f>
        <v>686</v>
      </c>
      <c r="Z22" s="3248">
        <f>SUM(Z10:Z20)</f>
        <v>1273</v>
      </c>
      <c r="AA22" s="3250">
        <f>SUM(AA10:AA20)</f>
        <v>0</v>
      </c>
      <c r="AB22" s="3247">
        <f t="shared" si="2565"/>
        <v>0</v>
      </c>
      <c r="AC22" s="3247">
        <f t="shared" si="2565"/>
        <v>0</v>
      </c>
      <c r="AD22" s="3247">
        <f t="shared" si="2565"/>
        <v>0</v>
      </c>
    </row>
    <row r="23">
      <c r="B23" s="261"/>
      <c r="D23" s="3235"/>
      <c r="E23" s="3252"/>
      <c r="I23" s="3235"/>
      <c r="K23" s="3235"/>
      <c r="L23" s="3235"/>
      <c r="M23" s="3235"/>
      <c r="N23" s="2555"/>
      <c r="O23" s="3235"/>
      <c r="P23" s="3235"/>
      <c r="Q23" s="3235"/>
      <c r="R23" s="3235"/>
      <c r="S23" s="3235"/>
      <c r="T23" s="2555"/>
      <c r="U23" s="2371"/>
      <c r="V23" s="3235"/>
      <c r="W23" s="2556"/>
      <c r="X23" s="3235"/>
      <c r="Z23" s="3235"/>
      <c r="AA23" s="2371"/>
    </row>
    <row r="24">
      <c r="B24" s="261" t="s">
        <v>195</v>
      </c>
      <c r="C24" s="2367">
        <f>'2026'!T15</f>
        <v>1529659.6332999999</v>
      </c>
      <c r="D24" s="3236">
        <f>'2026'!T60</f>
        <v>140493.53460000001</v>
      </c>
      <c r="E24" s="3252">
        <f>'2026'!T112</f>
        <v>965</v>
      </c>
      <c r="F24" s="3238">
        <f>'2026'!T669</f>
        <v>551</v>
      </c>
      <c r="G24" s="3238">
        <f>'2026'!T528</f>
        <v>2251</v>
      </c>
      <c r="H24" s="3238">
        <f>'2026'!T456</f>
        <v>6669</v>
      </c>
      <c r="I24" s="3235">
        <f t="shared" ref="I24:I34" si="2566">F24+G24+H24</f>
        <v>9471</v>
      </c>
      <c r="J24" s="3238">
        <f>'2026'!T599</f>
        <v>680</v>
      </c>
      <c r="K24" s="3239">
        <f>'2026'!T328</f>
        <v>79</v>
      </c>
      <c r="L24" s="3235">
        <f>'2026'!T875</f>
        <v>1398.5</v>
      </c>
      <c r="M24" s="3235">
        <f>'2026'!T928</f>
        <v>1094</v>
      </c>
      <c r="N24" s="3240">
        <f>'2026'!T810</f>
        <v>269</v>
      </c>
      <c r="O24" s="3235"/>
      <c r="P24" s="3235"/>
      <c r="Q24" s="3239">
        <f>'2026'!T181</f>
        <v>184</v>
      </c>
      <c r="R24" s="3235"/>
      <c r="S24" s="3235"/>
      <c r="T24" s="2555"/>
      <c r="U24" s="2371">
        <v>0.59999999999999998</v>
      </c>
      <c r="V24" s="2936">
        <f t="shared" ref="V24:V34" si="2567">U24*$U$9/$U$93</f>
        <v>13659.170470588233</v>
      </c>
      <c r="W24" s="3241">
        <f>'2026'!T1163</f>
        <v>509</v>
      </c>
      <c r="Y24" s="3242">
        <f>'2026'!T1029</f>
        <v>598</v>
      </c>
      <c r="Z24" s="3235">
        <f>Приемник!AD24</f>
        <v>198</v>
      </c>
      <c r="AA24" s="2371"/>
    </row>
    <row r="25">
      <c r="B25" s="261" t="s">
        <v>196</v>
      </c>
      <c r="C25" s="2367">
        <f>'2026'!T16</f>
        <v>211698.48789999995</v>
      </c>
      <c r="D25" s="3236">
        <f>'2026'!T61</f>
        <v>0</v>
      </c>
      <c r="E25" s="3252">
        <f>'2026'!T113</f>
        <v>794.5</v>
      </c>
      <c r="F25" s="3238">
        <f>'2026'!T670</f>
        <v>688</v>
      </c>
      <c r="G25" s="3238">
        <f>'2026'!T529</f>
        <v>1475</v>
      </c>
      <c r="H25" s="3238">
        <f>'2026'!T457</f>
        <v>3529</v>
      </c>
      <c r="I25" s="3235">
        <f t="shared" si="2566"/>
        <v>5692</v>
      </c>
      <c r="J25" s="3238">
        <f>'2026'!T600</f>
        <v>123</v>
      </c>
      <c r="K25" s="3239">
        <f>'2026'!T329</f>
        <v>82</v>
      </c>
      <c r="L25" s="3235">
        <f>'2026'!T876</f>
        <v>28.5</v>
      </c>
      <c r="M25" s="3235">
        <f>'2026'!T929</f>
        <v>3111</v>
      </c>
      <c r="N25" s="3240">
        <f>'2026'!T811</f>
        <v>467</v>
      </c>
      <c r="O25" s="3235"/>
      <c r="P25" s="3235"/>
      <c r="Q25" s="3239">
        <f>'2026'!T182</f>
        <v>57</v>
      </c>
      <c r="R25" s="3235"/>
      <c r="S25" s="3235"/>
      <c r="T25" s="2555"/>
      <c r="U25" s="2371">
        <v>0.80000000000000004</v>
      </c>
      <c r="V25" s="2936">
        <f t="shared" si="2567"/>
        <v>18212.227294117649</v>
      </c>
      <c r="W25" s="3241">
        <f>'2026'!T1164</f>
        <v>20</v>
      </c>
      <c r="Y25" s="3242">
        <f>'2026'!T1030</f>
        <v>69</v>
      </c>
      <c r="Z25" s="3235">
        <f>Приемник!AD25</f>
        <v>205</v>
      </c>
      <c r="AA25" s="2371"/>
    </row>
    <row r="26">
      <c r="B26" s="261" t="s">
        <v>201</v>
      </c>
      <c r="C26" s="2367">
        <f>'2026'!T18</f>
        <v>560399.77880000009</v>
      </c>
      <c r="D26" s="3236">
        <f>'2026'!T63</f>
        <v>2772590.7604999999</v>
      </c>
      <c r="E26" s="3252">
        <f>'2026'!T115</f>
        <v>360.5</v>
      </c>
      <c r="F26" s="3238">
        <f>'2026'!T672</f>
        <v>343</v>
      </c>
      <c r="G26" s="3238">
        <f>'2026'!T531</f>
        <v>955</v>
      </c>
      <c r="H26" s="3238">
        <f>'2026'!T459</f>
        <v>2134</v>
      </c>
      <c r="I26" s="3235">
        <f t="shared" si="2566"/>
        <v>3432</v>
      </c>
      <c r="J26" s="3238">
        <f>'2026'!T602</f>
        <v>81</v>
      </c>
      <c r="K26" s="3239">
        <f>'2026'!T331</f>
        <v>175</v>
      </c>
      <c r="L26" s="3235">
        <f>'2026'!T878</f>
        <v>136.5</v>
      </c>
      <c r="M26" s="3235">
        <f>'2026'!T931</f>
        <v>925</v>
      </c>
      <c r="N26" s="3240">
        <f>'2026'!T813</f>
        <v>898.5</v>
      </c>
      <c r="O26" s="3235"/>
      <c r="P26" s="3235"/>
      <c r="Q26" s="3239">
        <f>'2026'!T184</f>
        <v>60</v>
      </c>
      <c r="R26" s="3235"/>
      <c r="S26" s="3235"/>
      <c r="T26" s="2555"/>
      <c r="U26" s="2371">
        <v>0.29999999999999999</v>
      </c>
      <c r="V26" s="2936">
        <f t="shared" si="2567"/>
        <v>6829.5852352941165</v>
      </c>
      <c r="W26" s="3241">
        <f>'2026'!T1166</f>
        <v>282</v>
      </c>
      <c r="Y26" s="3242">
        <f>'2026'!T1032</f>
        <v>516</v>
      </c>
      <c r="Z26" s="3235">
        <f>Приемник!AD27</f>
        <v>128</v>
      </c>
      <c r="AA26" s="2371"/>
    </row>
    <row r="27">
      <c r="B27" s="261" t="s">
        <v>203</v>
      </c>
      <c r="C27" s="2367">
        <f>'2026'!T19</f>
        <v>165209.9921</v>
      </c>
      <c r="D27" s="3236">
        <f>'2026'!T64</f>
        <v>0</v>
      </c>
      <c r="E27" s="3252">
        <f>'2026'!T116</f>
        <v>271.5</v>
      </c>
      <c r="F27" s="3238">
        <f>'2026'!T673</f>
        <v>643</v>
      </c>
      <c r="G27" s="3238">
        <f>'2026'!T532</f>
        <v>231</v>
      </c>
      <c r="H27" s="3238">
        <f>'2026'!T460</f>
        <v>1843</v>
      </c>
      <c r="I27" s="3235">
        <f t="shared" si="2566"/>
        <v>2717</v>
      </c>
      <c r="J27" s="3238">
        <f>'2026'!T603</f>
        <v>399</v>
      </c>
      <c r="K27" s="3239">
        <f>'2026'!T332</f>
        <v>13</v>
      </c>
      <c r="L27" s="3235">
        <f>'2026'!T879</f>
        <v>34</v>
      </c>
      <c r="M27" s="3235">
        <f>'2026'!T932</f>
        <v>1876.5</v>
      </c>
      <c r="N27" s="3240">
        <f>'2026'!T814</f>
        <v>78</v>
      </c>
      <c r="O27" s="3235"/>
      <c r="P27" s="3235"/>
      <c r="Q27" s="3239">
        <f>'2026'!T185</f>
        <v>0</v>
      </c>
      <c r="R27" s="3235"/>
      <c r="S27" s="3235"/>
      <c r="T27" s="2555"/>
      <c r="U27" s="2371">
        <v>0.29999999999999999</v>
      </c>
      <c r="V27" s="2936">
        <f t="shared" si="2567"/>
        <v>6829.5852352941165</v>
      </c>
      <c r="W27" s="3241">
        <f>'2026'!T1167</f>
        <v>187</v>
      </c>
      <c r="Y27" s="3242">
        <f>'2026'!T1033</f>
        <v>111</v>
      </c>
      <c r="Z27" s="3235">
        <f>Приемник!AD28</f>
        <v>165</v>
      </c>
      <c r="AA27" s="2371"/>
    </row>
    <row r="28">
      <c r="B28" s="261" t="s">
        <v>204</v>
      </c>
      <c r="C28" s="2367">
        <f>'2026'!T20</f>
        <v>75522.785180000006</v>
      </c>
      <c r="D28" s="3236">
        <f>'2026'!T65</f>
        <v>0</v>
      </c>
      <c r="E28" s="3252">
        <f>'2026'!T117</f>
        <v>120.5</v>
      </c>
      <c r="F28" s="3238">
        <f>'2026'!T674</f>
        <v>583</v>
      </c>
      <c r="G28" s="3238">
        <f>'2026'!T533</f>
        <v>246</v>
      </c>
      <c r="H28" s="3238">
        <f>'2026'!T461</f>
        <v>462</v>
      </c>
      <c r="I28" s="3235">
        <f t="shared" si="2566"/>
        <v>1291</v>
      </c>
      <c r="J28" s="3238">
        <f>'2026'!T604</f>
        <v>325</v>
      </c>
      <c r="K28" s="3239">
        <f>'2026'!T333</f>
        <v>5</v>
      </c>
      <c r="L28" s="3235">
        <f>'2026'!T880</f>
        <v>27</v>
      </c>
      <c r="M28" s="3235">
        <f>'2026'!T933</f>
        <v>2190</v>
      </c>
      <c r="N28" s="3240">
        <f>'2026'!T815</f>
        <v>11.5</v>
      </c>
      <c r="O28" s="3235"/>
      <c r="P28" s="3235"/>
      <c r="Q28" s="3239">
        <f>'2026'!T186</f>
        <v>10</v>
      </c>
      <c r="R28" s="3235"/>
      <c r="S28" s="3235"/>
      <c r="T28" s="2555"/>
      <c r="U28" s="2371">
        <v>0.29999999999999999</v>
      </c>
      <c r="V28" s="2936">
        <f t="shared" si="2567"/>
        <v>6829.5852352941165</v>
      </c>
      <c r="W28" s="3241">
        <f>'2026'!T1168</f>
        <v>92</v>
      </c>
      <c r="Y28" s="3242">
        <f>'2026'!T1034</f>
        <v>179</v>
      </c>
      <c r="Z28" s="3235">
        <f>Приемник!AD29</f>
        <v>124</v>
      </c>
      <c r="AA28" s="2371"/>
    </row>
    <row r="29">
      <c r="B29" s="261" t="s">
        <v>205</v>
      </c>
      <c r="C29" s="2367">
        <f>'2026'!T21</f>
        <v>10955.181200000001</v>
      </c>
      <c r="D29" s="3236">
        <f>'2026'!T66</f>
        <v>41384.879000000001</v>
      </c>
      <c r="E29" s="3252">
        <f>'2026'!T118</f>
        <v>298</v>
      </c>
      <c r="F29" s="3238">
        <f>'2026'!T675</f>
        <v>719</v>
      </c>
      <c r="G29" s="3238">
        <f>'2026'!T534</f>
        <v>2767</v>
      </c>
      <c r="H29" s="3238">
        <f>'2026'!T462</f>
        <v>2245</v>
      </c>
      <c r="I29" s="3235">
        <f t="shared" si="2566"/>
        <v>5731</v>
      </c>
      <c r="J29" s="3238">
        <f>'2026'!T605</f>
        <v>484</v>
      </c>
      <c r="K29" s="3239">
        <f>'2026'!T334</f>
        <v>54</v>
      </c>
      <c r="L29" s="3235">
        <f>'2026'!T881</f>
        <v>200</v>
      </c>
      <c r="M29" s="3235">
        <f>'2026'!T934</f>
        <v>1556</v>
      </c>
      <c r="N29" s="3240">
        <f>'2026'!T816</f>
        <v>176</v>
      </c>
      <c r="O29" s="3235"/>
      <c r="P29" s="3235"/>
      <c r="Q29" s="3239">
        <f>'2026'!T187</f>
        <v>44</v>
      </c>
      <c r="R29" s="3235"/>
      <c r="S29" s="3235"/>
      <c r="T29" s="2555"/>
      <c r="U29" s="2371">
        <v>0.40000000000000002</v>
      </c>
      <c r="V29" s="2936">
        <f t="shared" si="2567"/>
        <v>9106.1136470588244</v>
      </c>
      <c r="W29" s="3241">
        <f>'2026'!T1169</f>
        <v>236</v>
      </c>
      <c r="Y29" s="3242">
        <f>'2026'!T1035</f>
        <v>601</v>
      </c>
      <c r="Z29" s="3235">
        <f>Приемник!AD30</f>
        <v>98</v>
      </c>
      <c r="AA29" s="2371"/>
    </row>
    <row r="30">
      <c r="B30" s="261" t="s">
        <v>206</v>
      </c>
      <c r="C30" s="2367">
        <f>'2026'!T22</f>
        <v>106314.79230000003</v>
      </c>
      <c r="D30" s="3236">
        <f>'2026'!T67</f>
        <v>15631.1965</v>
      </c>
      <c r="E30" s="3252">
        <f>'2026'!T119</f>
        <v>802.5</v>
      </c>
      <c r="F30" s="3238">
        <f>'2026'!T676</f>
        <v>627</v>
      </c>
      <c r="G30" s="3238">
        <f>'2026'!T535</f>
        <v>1399</v>
      </c>
      <c r="H30" s="3238">
        <f>'2026'!T463</f>
        <v>3319</v>
      </c>
      <c r="I30" s="3235">
        <f t="shared" si="2566"/>
        <v>5345</v>
      </c>
      <c r="J30" s="3238">
        <f>'2026'!T606</f>
        <v>737</v>
      </c>
      <c r="K30" s="3239">
        <f>'2026'!T335</f>
        <v>135</v>
      </c>
      <c r="L30" s="3235">
        <f>'2026'!T882</f>
        <v>80.5</v>
      </c>
      <c r="M30" s="3235">
        <f>'2026'!T935</f>
        <v>561.5</v>
      </c>
      <c r="N30" s="3240">
        <f>'2026'!T817</f>
        <v>549</v>
      </c>
      <c r="O30" s="3235"/>
      <c r="P30" s="3235"/>
      <c r="Q30" s="3239">
        <f>'2026'!T188</f>
        <v>40</v>
      </c>
      <c r="R30" s="3235"/>
      <c r="S30" s="3235"/>
      <c r="T30" s="2555"/>
      <c r="U30" s="2371">
        <v>0.59999999999999998</v>
      </c>
      <c r="V30" s="2936">
        <f t="shared" si="2567"/>
        <v>13659.170470588233</v>
      </c>
      <c r="W30" s="3241">
        <f>'2026'!T1170</f>
        <v>216</v>
      </c>
      <c r="Y30" s="3242">
        <f>'2026'!T1036</f>
        <v>427</v>
      </c>
      <c r="Z30" s="3235">
        <f>Приемник!AD31</f>
        <v>168</v>
      </c>
      <c r="AA30" s="2371"/>
    </row>
    <row r="31">
      <c r="B31" s="261" t="s">
        <v>207</v>
      </c>
      <c r="C31" s="2367">
        <f>'2026'!T23</f>
        <v>67320.895019999996</v>
      </c>
      <c r="D31" s="3236">
        <f>'2026'!T68</f>
        <v>489928.38800000004</v>
      </c>
      <c r="E31" s="3252">
        <f>'2026'!T120</f>
        <v>958.5</v>
      </c>
      <c r="F31" s="3238">
        <f>'2026'!T677</f>
        <v>317</v>
      </c>
      <c r="G31" s="3238">
        <f>'2026'!T536</f>
        <v>917</v>
      </c>
      <c r="H31" s="3238">
        <f>'2026'!T464</f>
        <v>1879</v>
      </c>
      <c r="I31" s="3235">
        <f t="shared" si="2566"/>
        <v>3113</v>
      </c>
      <c r="J31" s="3238">
        <f>'2026'!T607</f>
        <v>341</v>
      </c>
      <c r="K31" s="3239">
        <f>'2026'!T336</f>
        <v>134</v>
      </c>
      <c r="L31" s="3235">
        <f>'2026'!T883</f>
        <v>646.5</v>
      </c>
      <c r="M31" s="3235">
        <f>'2026'!T936</f>
        <v>3053</v>
      </c>
      <c r="N31" s="3240">
        <f>'2026'!T818</f>
        <v>138</v>
      </c>
      <c r="O31" s="3235"/>
      <c r="P31" s="3235"/>
      <c r="Q31" s="3239">
        <f>'2026'!T189</f>
        <v>95</v>
      </c>
      <c r="R31" s="3235"/>
      <c r="S31" s="3235"/>
      <c r="T31" s="2555"/>
      <c r="U31" s="2371">
        <v>0.5</v>
      </c>
      <c r="V31" s="2936">
        <f t="shared" si="2567"/>
        <v>11382.642058823529</v>
      </c>
      <c r="W31" s="3241">
        <f>'2026'!T1171</f>
        <v>118</v>
      </c>
      <c r="Y31" s="3242">
        <f>'2026'!T1037</f>
        <v>278</v>
      </c>
      <c r="Z31" s="3235">
        <f>Приемник!AD32</f>
        <v>111</v>
      </c>
      <c r="AA31" s="2371"/>
    </row>
    <row r="32">
      <c r="B32" s="532" t="s">
        <v>209</v>
      </c>
      <c r="C32" s="2367">
        <f>'2026'!T24</f>
        <v>211106.53830000001</v>
      </c>
      <c r="D32" s="3236">
        <f>'2026'!T69</f>
        <v>0</v>
      </c>
      <c r="E32" s="3252">
        <f>'2026'!T121</f>
        <v>337</v>
      </c>
      <c r="F32" s="3238">
        <f>'2026'!T678</f>
        <v>243</v>
      </c>
      <c r="G32" s="3238">
        <f>'2026'!T537</f>
        <v>881</v>
      </c>
      <c r="H32" s="3238">
        <f>'2026'!T465</f>
        <v>1108</v>
      </c>
      <c r="I32" s="3235">
        <f t="shared" si="2566"/>
        <v>2232</v>
      </c>
      <c r="J32" s="3238">
        <f>'2026'!T608</f>
        <v>261</v>
      </c>
      <c r="K32" s="3239">
        <f>'2026'!T337</f>
        <v>19</v>
      </c>
      <c r="L32" s="3235">
        <f>'2026'!T884</f>
        <v>2341</v>
      </c>
      <c r="M32" s="3235">
        <f>'2026'!T937</f>
        <v>140</v>
      </c>
      <c r="N32" s="3240">
        <f>'2026'!T819</f>
        <v>77</v>
      </c>
      <c r="O32" s="3235"/>
      <c r="P32" s="3235"/>
      <c r="Q32" s="3239">
        <f>'2026'!T190</f>
        <v>5</v>
      </c>
      <c r="R32" s="3235"/>
      <c r="S32" s="3235"/>
      <c r="T32" s="2555"/>
      <c r="U32" s="2371">
        <v>0.40000000000000002</v>
      </c>
      <c r="V32" s="2936">
        <f t="shared" si="2567"/>
        <v>9106.1136470588244</v>
      </c>
      <c r="W32" s="3241">
        <f>'2026'!T1172</f>
        <v>437</v>
      </c>
      <c r="Y32" s="3242">
        <f>'2026'!T1038</f>
        <v>135</v>
      </c>
      <c r="Z32" s="3235">
        <f>Приемник!AD33</f>
        <v>216</v>
      </c>
      <c r="AA32" s="2371"/>
    </row>
    <row r="33">
      <c r="B33" s="261" t="s">
        <v>210</v>
      </c>
      <c r="C33" s="2367">
        <f>'2026'!T25</f>
        <v>12424.4228</v>
      </c>
      <c r="D33" s="3236">
        <f>'2026'!T70</f>
        <v>7959.0803999999989</v>
      </c>
      <c r="E33" s="3252">
        <f>'2026'!T122</f>
        <v>952.5</v>
      </c>
      <c r="F33" s="3238">
        <f>'2026'!T679</f>
        <v>331</v>
      </c>
      <c r="G33" s="3238">
        <f>'2026'!T538</f>
        <v>686</v>
      </c>
      <c r="H33" s="3238">
        <f>'2026'!T466</f>
        <v>1516</v>
      </c>
      <c r="I33" s="3235">
        <f t="shared" si="2566"/>
        <v>2533</v>
      </c>
      <c r="J33" s="3238">
        <f>'2026'!T609</f>
        <v>261</v>
      </c>
      <c r="K33" s="3239">
        <f>'2026'!T338</f>
        <v>56</v>
      </c>
      <c r="L33" s="3235">
        <f>'2026'!T885</f>
        <v>633</v>
      </c>
      <c r="M33" s="3235">
        <f>'2026'!T938</f>
        <v>540</v>
      </c>
      <c r="N33" s="3240">
        <f>'2026'!T820</f>
        <v>549</v>
      </c>
      <c r="O33" s="3235"/>
      <c r="P33" s="3235"/>
      <c r="Q33" s="3239">
        <f>'2026'!T191</f>
        <v>46</v>
      </c>
      <c r="R33" s="3235"/>
      <c r="S33" s="3235"/>
      <c r="T33" s="2555"/>
      <c r="U33" s="2371">
        <v>1.7</v>
      </c>
      <c r="V33" s="2936">
        <f t="shared" si="2567"/>
        <v>38700.982999999993</v>
      </c>
      <c r="W33" s="3241">
        <f>'2026'!T1173</f>
        <v>78</v>
      </c>
      <c r="Y33" s="3242">
        <f>'2026'!T1039</f>
        <v>890</v>
      </c>
      <c r="Z33" s="3235">
        <f>Приемник!AD34</f>
        <v>83</v>
      </c>
      <c r="AA33" s="2371"/>
    </row>
    <row r="34">
      <c r="B34" s="261" t="s">
        <v>211</v>
      </c>
      <c r="C34" s="2367">
        <f>'2026'!T26</f>
        <v>128401.25805</v>
      </c>
      <c r="D34" s="3236">
        <f>'2026'!T71</f>
        <v>6539.1769999999997</v>
      </c>
      <c r="E34" s="3252">
        <f>'2026'!T123</f>
        <v>94</v>
      </c>
      <c r="F34" s="3238">
        <f>'2026'!T680</f>
        <v>2255</v>
      </c>
      <c r="G34" s="3238">
        <f>'2026'!T539</f>
        <v>3438</v>
      </c>
      <c r="H34" s="3238">
        <f>'2026'!T467</f>
        <v>3690</v>
      </c>
      <c r="I34" s="3235">
        <f t="shared" si="2566"/>
        <v>9383</v>
      </c>
      <c r="J34" s="3238">
        <f>'2026'!T610</f>
        <v>2388</v>
      </c>
      <c r="K34" s="3239">
        <f>'2026'!T339</f>
        <v>27</v>
      </c>
      <c r="L34" s="3235">
        <f>'2026'!T886</f>
        <v>32</v>
      </c>
      <c r="M34" s="3235">
        <f>'2026'!T939</f>
        <v>1364</v>
      </c>
      <c r="N34" s="3240">
        <f>'2026'!T821</f>
        <v>1599</v>
      </c>
      <c r="O34" s="3235"/>
      <c r="P34" s="3235"/>
      <c r="Q34" s="3239">
        <f>'2026'!T192</f>
        <v>9</v>
      </c>
      <c r="R34" s="3235"/>
      <c r="S34" s="3235"/>
      <c r="T34" s="2555"/>
      <c r="U34" s="2371">
        <v>0.5</v>
      </c>
      <c r="V34" s="2936">
        <f t="shared" si="2567"/>
        <v>11382.642058823529</v>
      </c>
      <c r="W34" s="3241">
        <f>'2026'!T1174</f>
        <v>712</v>
      </c>
      <c r="Y34" s="3242">
        <f>'2026'!T1040</f>
        <v>587</v>
      </c>
      <c r="Z34" s="3235">
        <f>Приемник!AD35</f>
        <v>340</v>
      </c>
      <c r="AA34" s="2371"/>
    </row>
    <row r="35">
      <c r="B35" s="261"/>
      <c r="C35" s="2367"/>
      <c r="D35" s="3235"/>
      <c r="E35" s="3252"/>
      <c r="I35" s="3235"/>
      <c r="K35" s="3235"/>
      <c r="L35" s="3235"/>
      <c r="M35" s="3235"/>
      <c r="N35" s="2555"/>
      <c r="O35" s="3235"/>
      <c r="P35" s="3235"/>
      <c r="Q35" s="3235"/>
      <c r="R35" s="3235"/>
      <c r="S35" s="3235"/>
      <c r="T35" s="2555"/>
      <c r="U35" s="2371"/>
      <c r="V35" s="3235"/>
      <c r="W35" s="2556"/>
      <c r="X35" s="3235"/>
      <c r="Z35" s="3235"/>
      <c r="AA35" s="2371"/>
    </row>
    <row r="36" ht="19.5" customHeight="1">
      <c r="B36" s="459" t="s">
        <v>22</v>
      </c>
      <c r="C36" s="3250">
        <f>SUM(C24:C34)</f>
        <v>3079013.7649499997</v>
      </c>
      <c r="D36" s="3248">
        <f t="shared" ref="D36:AD36" si="2568">SUM(D24:D34)</f>
        <v>3474527.0160000003</v>
      </c>
      <c r="E36" s="3249">
        <f t="shared" si="2568"/>
        <v>5954.5</v>
      </c>
      <c r="F36" s="3250">
        <f t="shared" si="2568"/>
        <v>7300</v>
      </c>
      <c r="G36" s="3250">
        <f t="shared" si="2568"/>
        <v>15246</v>
      </c>
      <c r="H36" s="3250">
        <f t="shared" si="2568"/>
        <v>28394</v>
      </c>
      <c r="I36" s="3248">
        <f t="shared" si="2568"/>
        <v>50940</v>
      </c>
      <c r="J36" s="3250">
        <f t="shared" si="2568"/>
        <v>6080</v>
      </c>
      <c r="K36" s="3248">
        <f t="shared" si="2568"/>
        <v>779</v>
      </c>
      <c r="L36" s="3248">
        <f t="shared" si="2568"/>
        <v>5557.5</v>
      </c>
      <c r="M36" s="3248">
        <f t="shared" si="2568"/>
        <v>16411</v>
      </c>
      <c r="N36" s="3247">
        <f t="shared" si="2568"/>
        <v>4812</v>
      </c>
      <c r="O36" s="3248">
        <f t="shared" si="2568"/>
        <v>0</v>
      </c>
      <c r="P36" s="3248">
        <f t="shared" si="2568"/>
        <v>0</v>
      </c>
      <c r="Q36" s="3248">
        <f t="shared" si="2568"/>
        <v>550</v>
      </c>
      <c r="R36" s="3248">
        <f t="shared" si="2568"/>
        <v>0</v>
      </c>
      <c r="S36" s="3248">
        <f t="shared" si="2568"/>
        <v>0</v>
      </c>
      <c r="T36" s="3247">
        <f t="shared" si="2568"/>
        <v>0</v>
      </c>
      <c r="U36" s="3250">
        <f t="shared" si="2568"/>
        <v>6.4000000000000004</v>
      </c>
      <c r="V36" s="3248">
        <f t="shared" si="2568"/>
        <v>145697.81835294116</v>
      </c>
      <c r="W36" s="3251">
        <f>SUM(W24:W34)</f>
        <v>2887</v>
      </c>
      <c r="X36" s="3251">
        <f>SUM(X24:X34)</f>
        <v>0</v>
      </c>
      <c r="Y36" s="3250">
        <f>SUM(Y24:Y34)</f>
        <v>4391</v>
      </c>
      <c r="Z36" s="3248">
        <f>SUM(Z24:Z34)</f>
        <v>1836</v>
      </c>
      <c r="AA36" s="3250">
        <f>SUM(AA24:AA34)</f>
        <v>0</v>
      </c>
      <c r="AB36" s="3250">
        <f t="shared" si="2568"/>
        <v>0</v>
      </c>
      <c r="AC36" s="3250">
        <f t="shared" si="2568"/>
        <v>0</v>
      </c>
      <c r="AD36" s="3250">
        <f t="shared" si="2568"/>
        <v>0</v>
      </c>
    </row>
    <row r="37">
      <c r="B37" s="3235"/>
      <c r="D37" s="3235"/>
      <c r="E37" s="3252"/>
      <c r="I37" s="3235"/>
      <c r="K37" s="3235"/>
      <c r="L37" s="3235"/>
      <c r="M37" s="3235"/>
      <c r="N37" s="2555"/>
      <c r="O37" s="3235"/>
      <c r="P37" s="3235"/>
      <c r="Q37" s="3235"/>
      <c r="R37" s="3235"/>
      <c r="S37" s="3235"/>
      <c r="T37" s="2555"/>
      <c r="U37" s="2371"/>
      <c r="V37" s="3235"/>
      <c r="W37" s="2556"/>
      <c r="X37" s="3235"/>
      <c r="Z37" s="3235"/>
      <c r="AA37" s="2371"/>
    </row>
    <row r="38">
      <c r="B38" s="261" t="s">
        <v>213</v>
      </c>
      <c r="C38" s="2367">
        <f>'2026'!T28</f>
        <v>0</v>
      </c>
      <c r="D38" s="3236">
        <f>'2026'!T73</f>
        <v>0</v>
      </c>
      <c r="E38" s="3252">
        <f>'2026'!T125</f>
        <v>0</v>
      </c>
      <c r="F38" s="3238">
        <f>'2026'!T682</f>
        <v>1530</v>
      </c>
      <c r="G38" s="3238">
        <f>'2026'!T541</f>
        <v>148</v>
      </c>
      <c r="H38" s="3238">
        <f>'2026'!T469</f>
        <v>3739</v>
      </c>
      <c r="I38" s="3235">
        <f t="shared" ref="I38:I41" si="2569">F38+G38+H38</f>
        <v>5417</v>
      </c>
      <c r="J38" s="3238">
        <f>'2026'!T612</f>
        <v>0</v>
      </c>
      <c r="K38" s="3239">
        <f>'2026'!T341</f>
        <v>0</v>
      </c>
      <c r="L38" s="3235">
        <f>'2026'!T888</f>
        <v>0</v>
      </c>
      <c r="M38" s="3235">
        <f>'2026'!T941</f>
        <v>3719.5</v>
      </c>
      <c r="N38" s="3240">
        <f>'2026'!T823</f>
        <v>12</v>
      </c>
      <c r="O38" s="3236">
        <f>'2026'!T859</f>
        <v>17766</v>
      </c>
      <c r="P38" s="3239">
        <f>'2026'!T304+'2026'!T307</f>
        <v>83</v>
      </c>
      <c r="Q38" s="3235"/>
      <c r="R38" s="3239">
        <f>'2026'!T215</f>
        <v>322</v>
      </c>
      <c r="S38" s="3235"/>
      <c r="T38" s="2555"/>
      <c r="U38" s="2371">
        <v>4.2000000000000002</v>
      </c>
      <c r="V38" s="2936">
        <f t="shared" ref="V38:V41" si="2570">U38*$U$9/$U$93</f>
        <v>95614.193294117635</v>
      </c>
      <c r="W38" s="3241">
        <f>'2026'!T1176</f>
        <v>0</v>
      </c>
      <c r="Y38" s="3242">
        <f>'2026'!T1042</f>
        <v>906</v>
      </c>
      <c r="Z38" s="3235">
        <f>Приемник!AD37</f>
        <v>455</v>
      </c>
      <c r="AA38" s="2371"/>
    </row>
    <row r="39">
      <c r="B39" s="261" t="s">
        <v>215</v>
      </c>
      <c r="C39" s="2367">
        <f>'2026'!T29</f>
        <v>0</v>
      </c>
      <c r="D39" s="3236">
        <f>'2026'!T74</f>
        <v>0</v>
      </c>
      <c r="E39" s="3252">
        <f>'2026'!T126</f>
        <v>0</v>
      </c>
      <c r="F39" s="3238">
        <f>'2026'!T683</f>
        <v>0</v>
      </c>
      <c r="G39" s="3238">
        <f>'2026'!T542</f>
        <v>0</v>
      </c>
      <c r="H39" s="3238">
        <f>'2026'!T470</f>
        <v>9320</v>
      </c>
      <c r="I39" s="3235">
        <f t="shared" si="2569"/>
        <v>9320</v>
      </c>
      <c r="J39" s="3238">
        <f>'2026'!T613</f>
        <v>1323</v>
      </c>
      <c r="K39" s="3239">
        <f>'2026'!T342</f>
        <v>3016</v>
      </c>
      <c r="L39" s="3235">
        <f>'2026'!T889</f>
        <v>0</v>
      </c>
      <c r="M39" s="3235">
        <f>'2026'!T942</f>
        <v>906</v>
      </c>
      <c r="N39" s="3240">
        <f>'2026'!T824</f>
        <v>0</v>
      </c>
      <c r="O39" s="3235"/>
      <c r="P39" s="3239">
        <f>'2026'!T291</f>
        <v>333</v>
      </c>
      <c r="Q39" s="3235"/>
      <c r="R39" s="3239">
        <f>'2026'!T216</f>
        <v>9</v>
      </c>
      <c r="S39" s="3235"/>
      <c r="T39" s="2555"/>
      <c r="U39" s="2371">
        <v>4.2000000000000002</v>
      </c>
      <c r="V39" s="2936">
        <f t="shared" si="2570"/>
        <v>95614.193294117635</v>
      </c>
      <c r="W39" s="3241">
        <f>'2026'!T1177</f>
        <v>0</v>
      </c>
      <c r="Y39" s="3242">
        <f>'2026'!T1043</f>
        <v>131</v>
      </c>
      <c r="Z39" s="3235">
        <f>Приемник!AD38</f>
        <v>109</v>
      </c>
      <c r="AA39" s="2371"/>
    </row>
    <row r="40">
      <c r="B40" s="261" t="s">
        <v>218</v>
      </c>
      <c r="C40" s="2367">
        <f>'2026'!T30</f>
        <v>0</v>
      </c>
      <c r="D40" s="3236">
        <f>'2026'!T75</f>
        <v>0</v>
      </c>
      <c r="E40" s="3252">
        <f>'2026'!T127</f>
        <v>0</v>
      </c>
      <c r="F40" s="3238">
        <f>'2026'!T684</f>
        <v>0</v>
      </c>
      <c r="G40" s="3238">
        <f>'2026'!T543</f>
        <v>0</v>
      </c>
      <c r="H40" s="3238">
        <f>'2026'!T471</f>
        <v>7742</v>
      </c>
      <c r="I40" s="3235">
        <f t="shared" si="2569"/>
        <v>7742</v>
      </c>
      <c r="J40" s="3238">
        <f>'2026'!T615</f>
        <v>2185</v>
      </c>
      <c r="K40" s="3239">
        <f>'2026'!T344</f>
        <v>54</v>
      </c>
      <c r="L40" s="3235">
        <f>'2026'!T890</f>
        <v>0</v>
      </c>
      <c r="M40" s="3235">
        <f>'2026'!T944</f>
        <v>0</v>
      </c>
      <c r="N40" s="3240">
        <f>'2026'!T825</f>
        <v>0</v>
      </c>
      <c r="O40" s="3235"/>
      <c r="P40" s="3235"/>
      <c r="Q40" s="3235"/>
      <c r="R40" s="3235"/>
      <c r="S40" s="3235"/>
      <c r="T40" s="2555"/>
      <c r="U40" s="2371">
        <v>1.8999999999999999</v>
      </c>
      <c r="V40" s="2936">
        <f t="shared" si="2570"/>
        <v>43254.039823529405</v>
      </c>
      <c r="W40" s="3241">
        <f>'2026'!T1178</f>
        <v>0</v>
      </c>
      <c r="Y40" s="3242">
        <f>'2026'!T1045</f>
        <v>817</v>
      </c>
      <c r="Z40" s="3235">
        <f>Приемник!AD39</f>
        <v>506</v>
      </c>
      <c r="AA40" s="2371"/>
    </row>
    <row r="41">
      <c r="B41" s="261" t="s">
        <v>222</v>
      </c>
      <c r="C41" s="3253"/>
      <c r="D41" s="3245"/>
      <c r="E41" s="3253"/>
      <c r="F41" s="3253"/>
      <c r="G41" s="3253"/>
      <c r="H41" s="3254">
        <f>'2026'!T493</f>
        <v>0</v>
      </c>
      <c r="I41" s="3235">
        <f t="shared" si="2569"/>
        <v>0</v>
      </c>
      <c r="J41" s="3238">
        <f>'2026'!T636</f>
        <v>0</v>
      </c>
      <c r="K41" s="3239"/>
      <c r="L41" s="3245"/>
      <c r="M41" s="3235"/>
      <c r="N41" s="2555"/>
      <c r="O41" s="3235"/>
      <c r="P41" s="3235"/>
      <c r="Q41" s="3235"/>
      <c r="R41" s="3235"/>
      <c r="S41" s="3235"/>
      <c r="T41" s="2555"/>
      <c r="U41" s="2371">
        <v>0.29999999999999999</v>
      </c>
      <c r="V41" s="2936">
        <f t="shared" si="2570"/>
        <v>6829.5852352941165</v>
      </c>
      <c r="W41" s="3241"/>
      <c r="X41" s="3235"/>
      <c r="Z41" s="3235"/>
      <c r="AA41" s="2371"/>
    </row>
    <row r="42">
      <c r="B42" s="261"/>
      <c r="D42" s="3235"/>
      <c r="E42" s="3252"/>
      <c r="I42" s="3235"/>
      <c r="K42" s="3235"/>
      <c r="L42" s="3235"/>
      <c r="M42" s="3235"/>
      <c r="N42" s="2555"/>
      <c r="O42" s="3235"/>
      <c r="P42" s="3235"/>
      <c r="Q42" s="3235"/>
      <c r="R42" s="3235"/>
      <c r="S42" s="3235"/>
      <c r="T42" s="2555"/>
      <c r="U42" s="2371"/>
      <c r="V42" s="3235"/>
      <c r="W42" s="2556"/>
      <c r="X42" s="3235"/>
      <c r="Z42" s="3235"/>
      <c r="AA42" s="2371"/>
    </row>
    <row r="43">
      <c r="B43" s="272" t="s">
        <v>22</v>
      </c>
      <c r="C43" s="2752">
        <f>SUM(C38:C42)</f>
        <v>0</v>
      </c>
      <c r="D43" s="2999">
        <f t="shared" ref="D43:AD43" si="2571">SUM(D38:D42)</f>
        <v>0</v>
      </c>
      <c r="E43" s="2752">
        <f t="shared" si="2571"/>
        <v>0</v>
      </c>
      <c r="F43" s="2752">
        <f t="shared" si="2571"/>
        <v>1530</v>
      </c>
      <c r="G43" s="2752">
        <f t="shared" si="2571"/>
        <v>148</v>
      </c>
      <c r="H43" s="2752">
        <f t="shared" si="2571"/>
        <v>20801</v>
      </c>
      <c r="I43" s="2999">
        <f t="shared" si="2571"/>
        <v>22479</v>
      </c>
      <c r="J43" s="2752">
        <f t="shared" si="2571"/>
        <v>3508</v>
      </c>
      <c r="K43" s="2999">
        <f t="shared" si="2571"/>
        <v>3070</v>
      </c>
      <c r="L43" s="2999">
        <f t="shared" si="2571"/>
        <v>0</v>
      </c>
      <c r="M43" s="2999">
        <f t="shared" si="2571"/>
        <v>4625.5</v>
      </c>
      <c r="N43" s="1530">
        <f t="shared" si="2571"/>
        <v>12</v>
      </c>
      <c r="O43" s="2999">
        <f t="shared" si="2571"/>
        <v>17766</v>
      </c>
      <c r="P43" s="2999">
        <f>SUM(P39:P42)</f>
        <v>333</v>
      </c>
      <c r="Q43" s="2999">
        <f t="shared" si="2571"/>
        <v>0</v>
      </c>
      <c r="R43" s="2999">
        <f t="shared" si="2571"/>
        <v>331</v>
      </c>
      <c r="S43" s="2999">
        <f t="shared" si="2571"/>
        <v>0</v>
      </c>
      <c r="T43" s="1530">
        <f t="shared" si="2571"/>
        <v>0</v>
      </c>
      <c r="U43" s="2752">
        <f t="shared" si="2571"/>
        <v>10.600000000000001</v>
      </c>
      <c r="V43" s="2999">
        <f t="shared" si="2571"/>
        <v>241312.0116470588</v>
      </c>
      <c r="W43" s="3255">
        <f>SUM(W38:W42)</f>
        <v>0</v>
      </c>
      <c r="X43" s="3255">
        <f>SUM(X38:X42)</f>
        <v>0</v>
      </c>
      <c r="Y43" s="2752">
        <f>SUM(Y38:Y42)</f>
        <v>1854</v>
      </c>
      <c r="Z43" s="2999">
        <f>SUM(Z38:Z42)</f>
        <v>1070</v>
      </c>
      <c r="AA43" s="3255">
        <f>SUM(AA38:AA42)</f>
        <v>0</v>
      </c>
      <c r="AB43" s="2752">
        <f t="shared" si="2571"/>
        <v>0</v>
      </c>
      <c r="AC43" s="2752">
        <f t="shared" si="2571"/>
        <v>0</v>
      </c>
      <c r="AD43" s="2752">
        <f t="shared" si="2571"/>
        <v>0</v>
      </c>
    </row>
    <row r="44">
      <c r="B44" s="3235"/>
      <c r="D44" s="3235"/>
      <c r="E44" s="3252"/>
      <c r="I44" s="3235"/>
      <c r="K44" s="3235"/>
      <c r="L44" s="3235"/>
      <c r="M44" s="3235"/>
      <c r="N44" s="2555"/>
      <c r="O44" s="3235"/>
      <c r="P44" s="3235"/>
      <c r="Q44" s="3235"/>
      <c r="R44" s="3235"/>
      <c r="S44" s="3235"/>
      <c r="T44" s="2555"/>
      <c r="U44" s="2371"/>
      <c r="V44" s="3235"/>
      <c r="W44" s="2556"/>
      <c r="X44" s="3235"/>
      <c r="Z44" s="3235"/>
      <c r="AA44" s="2371"/>
    </row>
    <row r="45">
      <c r="B45" s="261" t="s">
        <v>226</v>
      </c>
      <c r="C45" s="2367">
        <f>'2026'!T42</f>
        <v>0</v>
      </c>
      <c r="D45" s="3236">
        <f>'2026'!T87</f>
        <v>0</v>
      </c>
      <c r="E45" s="3252">
        <f>'2026'!T141</f>
        <v>8754.5</v>
      </c>
      <c r="F45" s="3238">
        <f>'2026'!T696</f>
        <v>4075</v>
      </c>
      <c r="G45" s="3238">
        <f>'2026'!T555</f>
        <v>332</v>
      </c>
      <c r="H45" s="3238">
        <f>'2026'!T483</f>
        <v>10061</v>
      </c>
      <c r="I45" s="3235">
        <f t="shared" ref="I45:I47" si="2572">F45+G45+H45</f>
        <v>14468</v>
      </c>
      <c r="J45" s="3238">
        <f>'2026'!T626</f>
        <v>1465</v>
      </c>
      <c r="K45" s="3239">
        <f>'2026'!T356</f>
        <v>1445</v>
      </c>
      <c r="L45" s="3235">
        <f>'2026'!T902</f>
        <v>2268.5</v>
      </c>
      <c r="M45" s="3235">
        <f>'2026'!T955</f>
        <v>16959</v>
      </c>
      <c r="N45" s="3240">
        <f>'2026'!T838</f>
        <v>6461</v>
      </c>
      <c r="O45" s="3236"/>
      <c r="P45" s="3235"/>
      <c r="Q45" s="3235"/>
      <c r="R45" s="3235"/>
      <c r="S45" s="3235"/>
      <c r="T45" s="2555"/>
      <c r="U45" s="2371"/>
      <c r="V45" s="3235"/>
      <c r="W45" s="3241">
        <f>'2026'!T1190</f>
        <v>344</v>
      </c>
      <c r="X45" s="3235"/>
      <c r="Y45" s="3238">
        <f>'2026'!T1055</f>
        <v>88</v>
      </c>
      <c r="Z45" s="3235"/>
      <c r="AA45" s="2371"/>
    </row>
    <row r="46">
      <c r="B46" s="261" t="s">
        <v>228</v>
      </c>
      <c r="C46" s="2367">
        <f>'2026'!T43</f>
        <v>0</v>
      </c>
      <c r="D46" s="3236">
        <f>'2026'!T88</f>
        <v>0</v>
      </c>
      <c r="E46" s="3252">
        <f>'2026'!T142</f>
        <v>538.5</v>
      </c>
      <c r="F46" s="3238">
        <f>'2026'!T697</f>
        <v>1324</v>
      </c>
      <c r="G46" s="3238">
        <f>'2026'!T556</f>
        <v>0</v>
      </c>
      <c r="H46" s="3238">
        <f>'2026'!T484</f>
        <v>2942</v>
      </c>
      <c r="I46" s="3235">
        <f t="shared" si="2572"/>
        <v>4266</v>
      </c>
      <c r="J46" s="3238">
        <f>'2026'!T627</f>
        <v>155</v>
      </c>
      <c r="K46" s="3239">
        <f>'2026'!T357</f>
        <v>251</v>
      </c>
      <c r="L46" s="3235">
        <f>'2026'!T903</f>
        <v>0</v>
      </c>
      <c r="M46" s="3235">
        <f>'2026'!T956</f>
        <v>461</v>
      </c>
      <c r="N46" s="3240">
        <f>'2026'!T839</f>
        <v>4248.3000000000002</v>
      </c>
      <c r="O46" s="3235"/>
      <c r="P46" s="3235"/>
      <c r="Q46" s="3235"/>
      <c r="R46" s="3235"/>
      <c r="S46" s="3235"/>
      <c r="T46" s="2555"/>
      <c r="U46" s="2371"/>
      <c r="V46" s="3235"/>
      <c r="W46" s="3241">
        <f>'2026'!T1191</f>
        <v>4</v>
      </c>
      <c r="X46" s="3235"/>
      <c r="Y46" s="3238">
        <f>'2026'!T1056</f>
        <v>293</v>
      </c>
      <c r="Z46" s="3235"/>
      <c r="AA46" s="2371"/>
    </row>
    <row r="47">
      <c r="B47" s="261" t="s">
        <v>1068</v>
      </c>
      <c r="C47" s="3253"/>
      <c r="D47" s="3245"/>
      <c r="E47" s="3253"/>
      <c r="F47" s="3238">
        <f>'2026'!T705</f>
        <v>1792</v>
      </c>
      <c r="G47" s="3253"/>
      <c r="H47" s="3238">
        <f>'2026'!T492</f>
        <v>114</v>
      </c>
      <c r="I47" s="3235">
        <f t="shared" si="2572"/>
        <v>1906</v>
      </c>
      <c r="J47" s="3238">
        <f>'2026'!T635</f>
        <v>0</v>
      </c>
      <c r="K47" s="3239">
        <f>'2026'!T363</f>
        <v>316</v>
      </c>
      <c r="L47" s="3245"/>
      <c r="M47" s="3235"/>
      <c r="N47" s="3240"/>
      <c r="O47" s="3236">
        <f>'2026'!T858</f>
        <v>8946.5</v>
      </c>
      <c r="P47" s="3235"/>
      <c r="Q47" s="3235"/>
      <c r="R47" s="3235"/>
      <c r="S47" s="3235"/>
      <c r="T47" s="2555"/>
      <c r="U47" s="2371"/>
      <c r="V47" s="3235"/>
      <c r="W47" s="2556"/>
      <c r="X47" s="3235"/>
      <c r="Y47" s="3238">
        <f>'2026'!T1066</f>
        <v>19</v>
      </c>
      <c r="Z47" s="3235"/>
      <c r="AA47" s="2371"/>
    </row>
    <row r="48">
      <c r="B48" s="261"/>
      <c r="C48" s="3253"/>
      <c r="D48" s="3245"/>
      <c r="E48" s="3253"/>
      <c r="F48" s="3253"/>
      <c r="G48" s="3253"/>
      <c r="I48" s="3235"/>
      <c r="K48" s="3235"/>
      <c r="L48" s="3235"/>
      <c r="M48" s="3235"/>
      <c r="N48" s="2555"/>
      <c r="O48" s="3235"/>
      <c r="P48" s="3235"/>
      <c r="Q48" s="3235"/>
      <c r="R48" s="3235"/>
      <c r="S48" s="3235"/>
      <c r="T48" s="2555"/>
      <c r="U48" s="2371"/>
      <c r="V48" s="3235"/>
      <c r="W48" s="2556"/>
      <c r="X48" s="3235"/>
      <c r="Z48" s="3235"/>
      <c r="AA48" s="2371"/>
    </row>
    <row r="49">
      <c r="B49" s="272" t="s">
        <v>22</v>
      </c>
      <c r="C49" s="2752">
        <f>SUM(C45:C48)</f>
        <v>0</v>
      </c>
      <c r="D49" s="2999">
        <f t="shared" ref="D49:AD49" si="2573">SUM(D45:D48)</f>
        <v>0</v>
      </c>
      <c r="E49" s="2752">
        <f t="shared" si="2573"/>
        <v>9293</v>
      </c>
      <c r="F49" s="2752">
        <f t="shared" si="2573"/>
        <v>7191</v>
      </c>
      <c r="G49" s="2752">
        <f t="shared" si="2573"/>
        <v>332</v>
      </c>
      <c r="H49" s="2752">
        <f t="shared" si="2573"/>
        <v>13117</v>
      </c>
      <c r="I49" s="2999">
        <f t="shared" si="2573"/>
        <v>20640</v>
      </c>
      <c r="J49" s="2752">
        <f t="shared" si="2573"/>
        <v>1620</v>
      </c>
      <c r="K49" s="2999">
        <f t="shared" si="2573"/>
        <v>2012</v>
      </c>
      <c r="L49" s="2999">
        <f t="shared" si="2573"/>
        <v>2268.5</v>
      </c>
      <c r="M49" s="2999">
        <f t="shared" si="2573"/>
        <v>17420</v>
      </c>
      <c r="N49" s="1530">
        <f t="shared" si="2573"/>
        <v>10709.299999999999</v>
      </c>
      <c r="O49" s="2999">
        <f>SUM(O45:O48)</f>
        <v>8946.5</v>
      </c>
      <c r="P49" s="2999">
        <f t="shared" si="2573"/>
        <v>0</v>
      </c>
      <c r="Q49" s="2999">
        <f t="shared" si="2573"/>
        <v>0</v>
      </c>
      <c r="R49" s="2999">
        <f t="shared" si="2573"/>
        <v>0</v>
      </c>
      <c r="S49" s="2999">
        <f t="shared" si="2573"/>
        <v>0</v>
      </c>
      <c r="T49" s="1530">
        <f t="shared" si="2573"/>
        <v>0</v>
      </c>
      <c r="U49" s="2752">
        <f t="shared" si="2573"/>
        <v>0</v>
      </c>
      <c r="V49" s="2999">
        <f t="shared" si="2573"/>
        <v>0</v>
      </c>
      <c r="W49" s="3255">
        <f>SUM(W45:W48)</f>
        <v>348</v>
      </c>
      <c r="X49" s="2999">
        <f t="shared" si="2573"/>
        <v>0</v>
      </c>
      <c r="Y49" s="2752">
        <f t="shared" si="2573"/>
        <v>400</v>
      </c>
      <c r="Z49" s="2999">
        <f t="shared" si="2573"/>
        <v>0</v>
      </c>
      <c r="AA49" s="2752">
        <f>SUM(AA45:AA48)</f>
        <v>0</v>
      </c>
      <c r="AB49" s="2752">
        <f t="shared" si="2573"/>
        <v>0</v>
      </c>
      <c r="AC49" s="2752">
        <f t="shared" si="2573"/>
        <v>0</v>
      </c>
      <c r="AD49" s="2752">
        <f t="shared" si="2573"/>
        <v>0</v>
      </c>
    </row>
    <row r="50">
      <c r="B50" s="261"/>
      <c r="D50" s="3235"/>
      <c r="E50" s="3252"/>
      <c r="I50" s="3235"/>
      <c r="K50" s="3235"/>
      <c r="L50" s="3235"/>
      <c r="M50" s="3235"/>
      <c r="N50" s="2555"/>
      <c r="O50" s="3235"/>
      <c r="P50" s="3235"/>
      <c r="Q50" s="3235"/>
      <c r="R50" s="3235"/>
      <c r="S50" s="3235"/>
      <c r="T50" s="2555"/>
      <c r="U50" s="2371"/>
      <c r="V50" s="3235"/>
      <c r="W50" s="2556"/>
      <c r="X50" s="3235"/>
      <c r="Z50" s="3235"/>
      <c r="AA50" s="2371"/>
    </row>
    <row r="51">
      <c r="B51" s="655" t="s">
        <v>235</v>
      </c>
      <c r="D51" s="3235"/>
      <c r="E51" s="3252"/>
      <c r="F51" s="3238">
        <f>'2026'!T712</f>
        <v>6995</v>
      </c>
      <c r="G51" s="3238">
        <f>'2026'!T567</f>
        <v>1060</v>
      </c>
      <c r="H51" s="3238">
        <f>'2026'!T495+'2026'!T496+'2026'!T497+'2026'!T498</f>
        <v>35348</v>
      </c>
      <c r="I51" s="3235">
        <f>F51+G51+H51</f>
        <v>43403</v>
      </c>
      <c r="J51" s="3238">
        <f>'2026'!T638+'2026'!T639+'2026'!T640+'2026'!T641</f>
        <v>989</v>
      </c>
      <c r="K51" s="3239">
        <f>'2026'!T361+'2026'!T362</f>
        <v>0</v>
      </c>
      <c r="L51" s="3245"/>
      <c r="M51" s="3235"/>
      <c r="N51" s="2555"/>
      <c r="O51" s="3235"/>
      <c r="P51" s="3235"/>
      <c r="Q51" s="3235"/>
      <c r="R51" s="3235"/>
      <c r="S51" s="3235"/>
      <c r="T51" s="2555"/>
      <c r="U51" s="2371"/>
      <c r="V51" s="3235"/>
      <c r="W51" s="3241">
        <f>'2026'!T1195</f>
        <v>0</v>
      </c>
      <c r="X51" s="3235"/>
      <c r="Z51" s="3235"/>
      <c r="AA51" s="2371"/>
    </row>
    <row r="52">
      <c r="B52" s="655" t="s">
        <v>236</v>
      </c>
      <c r="D52" s="3235"/>
      <c r="E52" s="3252"/>
      <c r="I52" s="3235"/>
      <c r="K52" s="3235"/>
      <c r="L52" s="3235"/>
      <c r="M52" s="3235"/>
      <c r="N52" s="2555"/>
      <c r="O52" s="3235"/>
      <c r="P52" s="3235"/>
      <c r="Q52" s="3235"/>
      <c r="R52" s="3235"/>
      <c r="S52" s="3235"/>
      <c r="T52" s="2555"/>
      <c r="U52" s="2371"/>
      <c r="V52" s="3235"/>
      <c r="W52" s="3241">
        <f>'2026'!T1194</f>
        <v>0</v>
      </c>
      <c r="X52" s="3235"/>
      <c r="Z52" s="3235"/>
      <c r="AA52" s="2371"/>
    </row>
    <row r="53">
      <c r="B53" s="252" t="s">
        <v>65</v>
      </c>
      <c r="C53" s="2759">
        <f>SUM(C51:C52)</f>
        <v>0</v>
      </c>
      <c r="D53" s="2762">
        <f t="shared" ref="D53:AD53" si="2574">SUM(D51:D52)</f>
        <v>0</v>
      </c>
      <c r="E53" s="2759">
        <f t="shared" si="2574"/>
        <v>0</v>
      </c>
      <c r="F53" s="2759">
        <f t="shared" si="2574"/>
        <v>6995</v>
      </c>
      <c r="G53" s="2759">
        <f t="shared" si="2574"/>
        <v>1060</v>
      </c>
      <c r="H53" s="2759">
        <f t="shared" si="2574"/>
        <v>35348</v>
      </c>
      <c r="I53" s="2762">
        <f t="shared" si="2574"/>
        <v>43403</v>
      </c>
      <c r="J53" s="2759">
        <f t="shared" si="2574"/>
        <v>989</v>
      </c>
      <c r="K53" s="2762">
        <f t="shared" si="2574"/>
        <v>0</v>
      </c>
      <c r="L53" s="2762">
        <f t="shared" si="2574"/>
        <v>0</v>
      </c>
      <c r="M53" s="2762">
        <f t="shared" si="2574"/>
        <v>0</v>
      </c>
      <c r="N53" s="1482">
        <f t="shared" si="2574"/>
        <v>0</v>
      </c>
      <c r="O53" s="2762">
        <f t="shared" si="2574"/>
        <v>0</v>
      </c>
      <c r="P53" s="2762">
        <f t="shared" si="2574"/>
        <v>0</v>
      </c>
      <c r="Q53" s="2762">
        <f t="shared" si="2574"/>
        <v>0</v>
      </c>
      <c r="R53" s="2762">
        <f t="shared" si="2574"/>
        <v>0</v>
      </c>
      <c r="S53" s="2762">
        <f t="shared" si="2574"/>
        <v>0</v>
      </c>
      <c r="T53" s="1482">
        <f t="shared" si="2574"/>
        <v>0</v>
      </c>
      <c r="U53" s="2759">
        <f>SUM(U51:U52)</f>
        <v>0</v>
      </c>
      <c r="V53" s="2762">
        <f t="shared" si="2574"/>
        <v>0</v>
      </c>
      <c r="W53" s="2760">
        <f>SUM(W51:W52)</f>
        <v>0</v>
      </c>
      <c r="X53" s="2762">
        <f t="shared" si="2574"/>
        <v>0</v>
      </c>
      <c r="Y53" s="2762">
        <f t="shared" si="2574"/>
        <v>0</v>
      </c>
      <c r="Z53" s="2762">
        <f t="shared" si="2574"/>
        <v>0</v>
      </c>
      <c r="AA53" s="2759">
        <f>SUM(AA51:AA52)</f>
        <v>0</v>
      </c>
      <c r="AB53" s="2759">
        <f t="shared" si="2574"/>
        <v>0</v>
      </c>
      <c r="AC53" s="2759">
        <f t="shared" si="2574"/>
        <v>0</v>
      </c>
      <c r="AD53" s="2759">
        <f t="shared" si="2574"/>
        <v>0</v>
      </c>
    </row>
    <row r="54">
      <c r="B54" s="1"/>
      <c r="C54" s="2555"/>
      <c r="D54" s="3235"/>
      <c r="E54" s="3252"/>
      <c r="F54" s="2371"/>
      <c r="G54" s="2371"/>
      <c r="H54" s="2371"/>
      <c r="I54" s="3235"/>
      <c r="J54" s="2555"/>
      <c r="K54" s="3235"/>
      <c r="L54" s="3235"/>
      <c r="M54" s="3235"/>
      <c r="N54" s="2555"/>
      <c r="O54" s="3235"/>
      <c r="P54" s="3235"/>
      <c r="Q54" s="3235"/>
      <c r="R54" s="3235"/>
      <c r="S54" s="3235"/>
      <c r="T54" s="2555"/>
      <c r="U54" s="2371"/>
      <c r="V54" s="3235"/>
      <c r="W54" s="2556"/>
      <c r="X54" s="3235"/>
      <c r="Y54" s="3235"/>
      <c r="Z54" s="3235"/>
      <c r="AA54" s="2371"/>
    </row>
    <row r="55">
      <c r="B55" s="1"/>
      <c r="C55" s="2555"/>
      <c r="D55" s="3235"/>
      <c r="E55" s="3252"/>
      <c r="F55" s="3238"/>
      <c r="G55" s="2371"/>
      <c r="H55" s="2371"/>
      <c r="I55" s="3235"/>
      <c r="J55" s="2555"/>
      <c r="K55" s="3235"/>
      <c r="L55" s="3235"/>
      <c r="M55" s="3235"/>
      <c r="N55" s="2555"/>
      <c r="O55" s="3235"/>
      <c r="P55" s="3235"/>
      <c r="Q55" s="3235"/>
      <c r="R55" s="3235"/>
      <c r="S55" s="3235"/>
      <c r="T55" s="2555"/>
      <c r="U55" s="2371"/>
      <c r="V55" s="3235"/>
      <c r="W55" s="2556"/>
      <c r="X55" s="3235"/>
      <c r="Y55" s="3235"/>
      <c r="Z55" s="3235"/>
      <c r="AA55" s="2371"/>
    </row>
    <row r="56">
      <c r="B56" s="344"/>
      <c r="C56" s="2555"/>
      <c r="D56" s="3235"/>
      <c r="E56" s="3252"/>
      <c r="F56" s="3238"/>
      <c r="G56" s="2371"/>
      <c r="H56" s="2371"/>
      <c r="I56" s="3235"/>
      <c r="J56" s="2555"/>
      <c r="K56" s="3235"/>
      <c r="L56" s="3235"/>
      <c r="M56" s="3235"/>
      <c r="N56" s="2555"/>
      <c r="O56" s="3235"/>
      <c r="P56" s="3235"/>
      <c r="Q56" s="3235"/>
      <c r="R56" s="3235"/>
      <c r="S56" s="3235"/>
      <c r="T56" s="2555"/>
      <c r="U56" s="2371"/>
      <c r="V56" s="3235"/>
      <c r="W56" s="2556"/>
      <c r="X56" s="3235"/>
      <c r="Y56" s="3235"/>
      <c r="Z56" s="3235"/>
      <c r="AA56" s="2371"/>
    </row>
    <row r="57">
      <c r="B57" s="37" t="s">
        <v>251</v>
      </c>
      <c r="C57" s="3240">
        <f>'2026'!T37</f>
        <v>0</v>
      </c>
      <c r="D57" s="3236">
        <f>'2026'!T82</f>
        <v>0</v>
      </c>
      <c r="E57" s="3252">
        <f>'2026'!T134</f>
        <v>695</v>
      </c>
      <c r="F57" s="3238">
        <f>'2026'!T692</f>
        <v>359</v>
      </c>
      <c r="G57" s="3238">
        <f>'2026'!T551</f>
        <v>15029</v>
      </c>
      <c r="H57" s="3238">
        <f>'2026'!T479</f>
        <v>52</v>
      </c>
      <c r="I57" s="3235">
        <f t="shared" ref="I57:I90" si="2575">F57+G57+H57</f>
        <v>15440</v>
      </c>
      <c r="J57" s="3242">
        <f>'2026'!T622</f>
        <v>498</v>
      </c>
      <c r="K57" s="3239">
        <f>'2026'!T352</f>
        <v>113</v>
      </c>
      <c r="L57" s="3235">
        <f>'2026'!T897</f>
        <v>45</v>
      </c>
      <c r="M57" s="3235">
        <f>'2026'!T951</f>
        <v>576</v>
      </c>
      <c r="N57" s="3240">
        <f>'2026'!T833</f>
        <v>239</v>
      </c>
      <c r="O57" s="3235"/>
      <c r="P57" s="3235"/>
      <c r="Q57" s="3235"/>
      <c r="R57" s="3235"/>
      <c r="S57" s="3235"/>
      <c r="T57" s="2555"/>
      <c r="U57" s="2371"/>
      <c r="V57" s="3235"/>
      <c r="W57" s="3241">
        <f>'2026'!T1185</f>
        <v>0</v>
      </c>
      <c r="X57" s="3235"/>
      <c r="Y57" s="3239">
        <f>'2026'!T1052</f>
        <v>1415</v>
      </c>
      <c r="Z57" s="3235"/>
      <c r="AA57" s="2371"/>
    </row>
    <row r="58">
      <c r="B58" s="37" t="s">
        <v>80</v>
      </c>
      <c r="C58" s="3256"/>
      <c r="D58" s="3257"/>
      <c r="E58" s="3258"/>
      <c r="F58" s="3258"/>
      <c r="G58" s="3238"/>
      <c r="H58" s="2371"/>
      <c r="I58" s="3235">
        <f t="shared" si="2575"/>
        <v>0</v>
      </c>
      <c r="J58" s="3259"/>
      <c r="K58" s="3245"/>
      <c r="L58" s="3245"/>
      <c r="M58" s="3235"/>
      <c r="N58" s="2555"/>
      <c r="O58" s="3235"/>
      <c r="P58" s="3235"/>
      <c r="Q58" s="3235"/>
      <c r="R58" s="3235"/>
      <c r="S58" s="3235"/>
      <c r="T58" s="2555"/>
      <c r="U58" s="2371"/>
      <c r="V58" s="3235"/>
      <c r="W58" s="2556"/>
      <c r="X58" s="3235"/>
      <c r="Y58" s="3239"/>
      <c r="Z58" s="3235"/>
      <c r="AA58" s="2371"/>
    </row>
    <row r="59">
      <c r="B59" s="37" t="s">
        <v>265</v>
      </c>
      <c r="C59" s="3240">
        <f>'2026'!T34</f>
        <v>1052.3809000000001</v>
      </c>
      <c r="D59" s="3236">
        <f>'2026'!T79</f>
        <v>122482.09700000001</v>
      </c>
      <c r="E59" s="3252">
        <f>'2026'!T131</f>
        <v>1101.5</v>
      </c>
      <c r="F59" s="3238">
        <f>'2026'!T689</f>
        <v>1198</v>
      </c>
      <c r="G59" s="3238">
        <f>'2026'!T548</f>
        <v>9121</v>
      </c>
      <c r="H59" s="3238">
        <f>'2026'!T476</f>
        <v>498</v>
      </c>
      <c r="I59" s="3235">
        <f t="shared" si="2575"/>
        <v>10817</v>
      </c>
      <c r="J59" s="3242">
        <f>'2026'!T619</f>
        <v>0</v>
      </c>
      <c r="K59" s="3239">
        <f>'2026'!T348</f>
        <v>271</v>
      </c>
      <c r="L59" s="3235">
        <f>'2026'!T894</f>
        <v>0</v>
      </c>
      <c r="M59" s="3235">
        <f>'2026'!T948</f>
        <v>0</v>
      </c>
      <c r="N59" s="2555"/>
      <c r="O59" s="3235"/>
      <c r="P59" s="3235"/>
      <c r="Q59" s="3235"/>
      <c r="R59" s="3235"/>
      <c r="S59" s="3235"/>
      <c r="T59" s="2555"/>
      <c r="U59" s="2371"/>
      <c r="V59" s="3235"/>
      <c r="W59" s="3241">
        <f>'2026'!T1182</f>
        <v>0</v>
      </c>
      <c r="X59" s="3235"/>
      <c r="Y59" s="3239">
        <f>'2026'!T1049</f>
        <v>809</v>
      </c>
      <c r="Z59" s="3235"/>
      <c r="AA59" s="2371"/>
    </row>
    <row r="60">
      <c r="B60" s="37" t="s">
        <v>267</v>
      </c>
      <c r="C60" s="3240">
        <f>'2026'!T38</f>
        <v>0</v>
      </c>
      <c r="D60" s="3236">
        <f>'2026'!T83</f>
        <v>0</v>
      </c>
      <c r="E60" s="3252">
        <f>'2026'!T135</f>
        <v>0</v>
      </c>
      <c r="F60" s="3238">
        <f>'2026'!T693</f>
        <v>0</v>
      </c>
      <c r="G60" s="3238">
        <f>'2026'!T552</f>
        <v>0</v>
      </c>
      <c r="H60" s="3238">
        <f>'2026'!T480</f>
        <v>2333</v>
      </c>
      <c r="I60" s="3235">
        <f t="shared" si="2575"/>
        <v>2333</v>
      </c>
      <c r="J60" s="3242">
        <f>'2026'!T623</f>
        <v>0</v>
      </c>
      <c r="K60" s="3239">
        <f>'2026'!T353</f>
        <v>35</v>
      </c>
      <c r="L60" s="3235">
        <f>'2026'!T898</f>
        <v>0</v>
      </c>
      <c r="M60" s="3235">
        <f>'2026'!T952</f>
        <v>0</v>
      </c>
      <c r="N60" s="2555"/>
      <c r="O60" s="3235"/>
      <c r="P60" s="3239">
        <f>'2026'!T300</f>
        <v>0</v>
      </c>
      <c r="Q60" s="3235"/>
      <c r="R60" s="3235"/>
      <c r="S60" s="3235"/>
      <c r="T60" s="2555"/>
      <c r="U60" s="2371"/>
      <c r="V60" s="3235"/>
      <c r="W60" s="3241">
        <f>'2026'!T1186</f>
        <v>0</v>
      </c>
      <c r="X60" s="3235"/>
      <c r="Y60" s="3239">
        <f>'2026'!T1053</f>
        <v>519</v>
      </c>
      <c r="Z60" s="3235"/>
      <c r="AA60" s="2371"/>
    </row>
    <row r="61">
      <c r="B61" s="37" t="s">
        <v>270</v>
      </c>
      <c r="C61" s="3240">
        <f>'2026'!T39</f>
        <v>0</v>
      </c>
      <c r="D61" s="3236">
        <f>'2026'!T84</f>
        <v>0</v>
      </c>
      <c r="E61" s="3252">
        <f>'2026'!T136</f>
        <v>0</v>
      </c>
      <c r="F61" s="3238">
        <f>'2026'!T694</f>
        <v>534</v>
      </c>
      <c r="G61" s="3238">
        <f>'2026'!T553</f>
        <v>0</v>
      </c>
      <c r="H61" s="3238">
        <f>'2026'!T481</f>
        <v>4716</v>
      </c>
      <c r="I61" s="3235">
        <f t="shared" si="2575"/>
        <v>5250</v>
      </c>
      <c r="J61" s="3242">
        <f>'2026'!T624</f>
        <v>1238</v>
      </c>
      <c r="K61" s="3239">
        <f>'2026'!T354</f>
        <v>11</v>
      </c>
      <c r="L61" s="3235">
        <f>'2026'!T899</f>
        <v>0</v>
      </c>
      <c r="M61" s="3235">
        <f>'2026'!T953</f>
        <v>0</v>
      </c>
      <c r="N61" s="2555"/>
      <c r="O61" s="3235"/>
      <c r="P61" s="3235"/>
      <c r="Q61" s="3235"/>
      <c r="R61" s="3235"/>
      <c r="S61" s="3235"/>
      <c r="T61" s="2555"/>
      <c r="U61" s="2371"/>
      <c r="V61" s="3235"/>
      <c r="W61" s="3241">
        <f>'2026'!T1187</f>
        <v>0</v>
      </c>
      <c r="X61" s="3235"/>
      <c r="Y61" s="3239">
        <f>'2026'!T1054</f>
        <v>761</v>
      </c>
      <c r="Z61" s="3235"/>
      <c r="AA61" s="2371"/>
    </row>
    <row r="62">
      <c r="B62" s="344" t="s">
        <v>272</v>
      </c>
      <c r="C62" s="3259"/>
      <c r="D62" s="3257"/>
      <c r="E62" s="3258"/>
      <c r="F62" s="3258"/>
      <c r="G62" s="3258"/>
      <c r="H62" s="2371"/>
      <c r="I62" s="3235">
        <f t="shared" si="2575"/>
        <v>0</v>
      </c>
      <c r="J62" s="3242">
        <f>'2026'!T614</f>
        <v>238</v>
      </c>
      <c r="K62" s="3239">
        <f>'2026'!T343</f>
        <v>303</v>
      </c>
      <c r="L62" s="3235">
        <f>'2026'!T900</f>
        <v>0</v>
      </c>
      <c r="M62" s="3235">
        <f>'2026'!T943</f>
        <v>190</v>
      </c>
      <c r="N62" s="2555"/>
      <c r="O62" s="3235"/>
      <c r="P62" s="3235"/>
      <c r="Q62" s="3235"/>
      <c r="R62" s="3235"/>
      <c r="S62" s="3235"/>
      <c r="T62" s="2555"/>
      <c r="U62" s="2371"/>
      <c r="V62" s="3235"/>
      <c r="W62" s="2556"/>
      <c r="X62" s="3235"/>
      <c r="Y62" s="3239">
        <f>'2026'!T1044</f>
        <v>1797</v>
      </c>
      <c r="Z62" s="3235"/>
      <c r="AA62" s="2371"/>
    </row>
    <row r="63">
      <c r="B63" s="37"/>
      <c r="C63" s="2555"/>
      <c r="D63" s="3236"/>
      <c r="E63" s="3252"/>
      <c r="F63" s="2371"/>
      <c r="G63" s="2371"/>
      <c r="H63" s="2371"/>
      <c r="I63" s="3235">
        <f t="shared" si="2575"/>
        <v>0</v>
      </c>
      <c r="J63" s="2555"/>
      <c r="K63" s="3235"/>
      <c r="L63" s="3235"/>
      <c r="M63" s="3235"/>
      <c r="N63" s="2555"/>
      <c r="O63" s="3235"/>
      <c r="P63" s="3235"/>
      <c r="Q63" s="3235"/>
      <c r="R63" s="3235"/>
      <c r="S63" s="3235"/>
      <c r="T63" s="2555"/>
      <c r="U63" s="2371"/>
      <c r="V63" s="3235"/>
      <c r="W63" s="2556"/>
      <c r="X63" s="3235"/>
      <c r="Y63" s="3235"/>
      <c r="Z63" s="3235"/>
      <c r="AA63" s="2371"/>
    </row>
    <row r="64">
      <c r="B64" s="37" t="s">
        <v>275</v>
      </c>
      <c r="C64" s="3240">
        <f>'2026'!T44</f>
        <v>0</v>
      </c>
      <c r="D64" s="3236">
        <f>'2026'!T90</f>
        <v>0</v>
      </c>
      <c r="E64" s="3252">
        <f>'2026'!T150</f>
        <v>13353.5</v>
      </c>
      <c r="F64" s="2371"/>
      <c r="G64" s="3238">
        <f>'2026'!T559</f>
        <v>39758</v>
      </c>
      <c r="H64" s="3238">
        <f>'2026'!T487</f>
        <v>4</v>
      </c>
      <c r="I64" s="3235">
        <f t="shared" si="2575"/>
        <v>39762</v>
      </c>
      <c r="J64" s="3242">
        <f>'2026'!T630</f>
        <v>0</v>
      </c>
      <c r="K64" s="3239">
        <f>'2026'!T359</f>
        <v>4686</v>
      </c>
      <c r="L64" s="3235">
        <f>'2026'!T907</f>
        <v>328</v>
      </c>
      <c r="M64" s="3235"/>
      <c r="N64" s="3240">
        <f>'2026'!T841</f>
        <v>3576</v>
      </c>
      <c r="O64" s="3235"/>
      <c r="P64" s="3235"/>
      <c r="Q64" s="3235"/>
      <c r="R64" s="3235"/>
      <c r="S64" s="3235"/>
      <c r="T64" s="2555"/>
      <c r="U64" s="2371"/>
      <c r="V64" s="3235"/>
      <c r="W64" s="3241">
        <f>'2026'!T1188</f>
        <v>0</v>
      </c>
      <c r="X64" s="3235"/>
      <c r="Y64" s="3239">
        <f>'2026'!T1058</f>
        <v>687</v>
      </c>
      <c r="Z64" s="3235"/>
      <c r="AA64" s="2371"/>
    </row>
    <row r="65">
      <c r="B65" s="37" t="s">
        <v>1069</v>
      </c>
      <c r="C65" s="3260"/>
      <c r="D65" s="3257"/>
      <c r="E65" s="3252">
        <f>'2026'!T138</f>
        <v>1988</v>
      </c>
      <c r="F65" s="2371"/>
      <c r="G65" s="2371"/>
      <c r="H65" s="3238">
        <f>'2026'!T488</f>
        <v>19384</v>
      </c>
      <c r="I65" s="3235">
        <f t="shared" si="2575"/>
        <v>19384</v>
      </c>
      <c r="J65" s="2555"/>
      <c r="K65" s="3239">
        <f>'2026'!T360</f>
        <v>261</v>
      </c>
      <c r="L65" s="3245"/>
      <c r="M65" s="3235"/>
      <c r="N65" s="2555"/>
      <c r="O65" s="3235"/>
      <c r="P65" s="3235"/>
      <c r="Q65" s="3235"/>
      <c r="R65" s="3235"/>
      <c r="S65" s="3235"/>
      <c r="T65" s="2555"/>
      <c r="U65" s="2371"/>
      <c r="V65" s="3235"/>
      <c r="W65" s="3241">
        <f>'2026'!T1189</f>
        <v>19</v>
      </c>
      <c r="X65" s="3235"/>
      <c r="Y65" s="3239">
        <f>'2026'!T1063</f>
        <v>197</v>
      </c>
      <c r="Z65" s="3235"/>
      <c r="AA65" s="2371"/>
    </row>
    <row r="66">
      <c r="B66" s="37" t="s">
        <v>78</v>
      </c>
      <c r="C66" s="3260"/>
      <c r="D66" s="3257"/>
      <c r="E66" s="3258"/>
      <c r="F66" s="2371"/>
      <c r="G66" s="2371"/>
      <c r="H66" s="2371"/>
      <c r="I66" s="3235">
        <f t="shared" si="2575"/>
        <v>0</v>
      </c>
      <c r="J66" s="2555"/>
      <c r="K66" s="3235"/>
      <c r="L66" s="3235"/>
      <c r="M66" s="3235"/>
      <c r="N66" s="2555"/>
      <c r="O66" s="3235"/>
      <c r="P66" s="3235"/>
      <c r="Q66" s="3235"/>
      <c r="R66" s="3235"/>
      <c r="S66" s="3235"/>
      <c r="T66" s="2555"/>
      <c r="U66" s="2371"/>
      <c r="V66" s="3235"/>
      <c r="W66" s="2556"/>
      <c r="X66" s="3235"/>
      <c r="Y66" s="3235"/>
      <c r="Z66" s="3235"/>
      <c r="AA66" s="2371"/>
    </row>
    <row r="67">
      <c r="B67" s="37" t="s">
        <v>277</v>
      </c>
      <c r="C67" s="3260"/>
      <c r="D67" s="3257"/>
      <c r="E67" s="3258"/>
      <c r="F67" s="2371"/>
      <c r="G67" s="2371"/>
      <c r="H67" s="2371"/>
      <c r="I67" s="3235">
        <f t="shared" si="2575"/>
        <v>0</v>
      </c>
      <c r="J67" s="2555"/>
      <c r="K67" s="3235"/>
      <c r="L67" s="3235"/>
      <c r="M67" s="3235"/>
      <c r="N67" s="2555"/>
      <c r="O67" s="3235"/>
      <c r="P67" s="3235"/>
      <c r="Q67" s="3235"/>
      <c r="R67" s="3235"/>
      <c r="S67" s="3235"/>
      <c r="T67" s="2555"/>
      <c r="U67" s="2371"/>
      <c r="V67" s="3235"/>
      <c r="W67" s="2556"/>
      <c r="X67" s="3235"/>
      <c r="Y67" s="3239">
        <f>'2026'!T1064</f>
        <v>7809</v>
      </c>
      <c r="Z67" s="3235"/>
      <c r="AA67" s="2371"/>
    </row>
    <row r="68">
      <c r="B68" s="37" t="s">
        <v>278</v>
      </c>
      <c r="C68" s="3260"/>
      <c r="D68" s="3257"/>
      <c r="E68" s="3258"/>
      <c r="F68" s="2371"/>
      <c r="G68" s="2371"/>
      <c r="H68" s="3238">
        <f>'2026'!T491</f>
        <v>4446</v>
      </c>
      <c r="I68" s="3235">
        <f t="shared" si="2575"/>
        <v>4446</v>
      </c>
      <c r="J68" s="2555"/>
      <c r="K68" s="3235"/>
      <c r="L68" s="3235"/>
      <c r="M68" s="3235"/>
      <c r="N68" s="2555"/>
      <c r="O68" s="3235"/>
      <c r="P68" s="3235"/>
      <c r="Q68" s="3235"/>
      <c r="R68" s="3235"/>
      <c r="S68" s="3235"/>
      <c r="T68" s="2555"/>
      <c r="U68" s="2371"/>
      <c r="V68" s="3235"/>
      <c r="W68" s="2556"/>
      <c r="X68" s="3235"/>
      <c r="Y68" s="3239">
        <f>'2026'!T1065</f>
        <v>5103</v>
      </c>
      <c r="Z68" s="3235"/>
      <c r="AA68" s="2371"/>
    </row>
    <row r="69">
      <c r="B69" s="37" t="s">
        <v>279</v>
      </c>
      <c r="C69" s="3260"/>
      <c r="D69" s="3257"/>
      <c r="E69" s="3258"/>
      <c r="F69" s="2371"/>
      <c r="G69" s="2371"/>
      <c r="H69" s="2371"/>
      <c r="I69" s="3235">
        <f t="shared" si="2575"/>
        <v>0</v>
      </c>
      <c r="J69" s="2555"/>
      <c r="K69" s="3235"/>
      <c r="L69" s="3235"/>
      <c r="M69" s="3235"/>
      <c r="N69" s="2555"/>
      <c r="O69" s="3235"/>
      <c r="P69" s="3235"/>
      <c r="Q69" s="3235"/>
      <c r="R69" s="3235"/>
      <c r="S69" s="3235"/>
      <c r="T69" s="2555"/>
      <c r="U69" s="2371"/>
      <c r="V69" s="3235"/>
      <c r="W69" s="2556"/>
      <c r="X69" s="3235"/>
      <c r="Y69" s="3235"/>
      <c r="Z69" s="3235"/>
      <c r="AA69" s="2371"/>
    </row>
    <row r="70">
      <c r="B70" s="37" t="s">
        <v>281</v>
      </c>
      <c r="C70" s="3260"/>
      <c r="D70" s="3257"/>
      <c r="E70" s="3258"/>
      <c r="F70" s="3238">
        <f>'2026'!T707</f>
        <v>0</v>
      </c>
      <c r="G70" s="3238">
        <f>'2026'!T566</f>
        <v>4</v>
      </c>
      <c r="H70" s="3238">
        <f>'2026'!T494</f>
        <v>9</v>
      </c>
      <c r="I70" s="3235">
        <f t="shared" si="2575"/>
        <v>13</v>
      </c>
      <c r="J70" s="2555"/>
      <c r="K70" s="3239">
        <f>'2026'!T366</f>
        <v>83</v>
      </c>
      <c r="L70" s="3235"/>
      <c r="M70" s="3235"/>
      <c r="N70" s="2555"/>
      <c r="O70" s="3235"/>
      <c r="P70" s="3235"/>
      <c r="Q70" s="3235"/>
      <c r="R70" s="3235"/>
      <c r="S70" s="3235"/>
      <c r="T70" s="2555"/>
      <c r="U70" s="2371"/>
      <c r="V70" s="3235"/>
      <c r="W70" s="2556"/>
      <c r="X70" s="3235"/>
      <c r="Y70" s="3235"/>
      <c r="Z70" s="3235"/>
      <c r="AA70" s="2371"/>
    </row>
    <row r="71" ht="15.75">
      <c r="B71" s="3261" t="s">
        <v>283</v>
      </c>
      <c r="C71" s="3240">
        <f>'2026'!T41</f>
        <v>0</v>
      </c>
      <c r="D71" s="3236">
        <f>'2026'!T86</f>
        <v>0</v>
      </c>
      <c r="E71" s="3252"/>
      <c r="F71" s="2371"/>
      <c r="G71" s="3238">
        <f>'2026'!T579</f>
        <v>301</v>
      </c>
      <c r="H71" s="3238">
        <f>'2026'!T507</f>
        <v>2319</v>
      </c>
      <c r="I71" s="3235">
        <f t="shared" si="2575"/>
        <v>2620</v>
      </c>
      <c r="J71" s="3242">
        <f>'2026'!T649</f>
        <v>0</v>
      </c>
      <c r="K71" s="3235"/>
      <c r="L71" s="3235"/>
      <c r="M71" s="3235"/>
      <c r="N71" s="3240">
        <f>'2026'!T849</f>
        <v>20</v>
      </c>
      <c r="O71" s="3235"/>
      <c r="P71" s="3235"/>
      <c r="Q71" s="3235"/>
      <c r="R71" s="3235"/>
      <c r="S71" s="3235"/>
      <c r="T71" s="2555"/>
      <c r="U71" s="2371"/>
      <c r="V71" s="3235"/>
      <c r="W71" s="2556"/>
      <c r="X71" s="3235"/>
      <c r="Y71" s="3235"/>
      <c r="Z71" s="3235">
        <f>Приемник!AD42</f>
        <v>25</v>
      </c>
      <c r="AA71" s="2371"/>
    </row>
    <row r="72">
      <c r="B72" s="37" t="s">
        <v>84</v>
      </c>
      <c r="C72" s="3259"/>
      <c r="D72" s="3245"/>
      <c r="E72" s="3258"/>
      <c r="F72" s="2371"/>
      <c r="G72" s="2371"/>
      <c r="H72" s="3238">
        <f>'2026'!T501</f>
        <v>0</v>
      </c>
      <c r="I72" s="3235">
        <f t="shared" si="2575"/>
        <v>0</v>
      </c>
      <c r="J72" s="3242">
        <f>'2026'!T644</f>
        <v>381</v>
      </c>
      <c r="K72" s="3235"/>
      <c r="L72" s="3235"/>
      <c r="M72" s="3235"/>
      <c r="N72" s="2555"/>
      <c r="O72" s="3235"/>
      <c r="P72" s="3235"/>
      <c r="Q72" s="3235"/>
      <c r="R72" s="3235"/>
      <c r="S72" s="3235"/>
      <c r="T72" s="2555"/>
      <c r="U72" s="2371"/>
      <c r="V72" s="3235"/>
      <c r="W72" s="2556"/>
      <c r="X72" s="3235"/>
      <c r="Y72" s="3235"/>
      <c r="Z72" s="3235"/>
      <c r="AA72" s="2371"/>
    </row>
    <row r="73">
      <c r="B73" s="37" t="s">
        <v>75</v>
      </c>
      <c r="C73" s="3259"/>
      <c r="D73" s="3245"/>
      <c r="E73" s="3258"/>
      <c r="F73" s="2371"/>
      <c r="G73" s="2371"/>
      <c r="H73" s="2371"/>
      <c r="I73" s="3235">
        <f t="shared" si="2575"/>
        <v>0</v>
      </c>
      <c r="J73" s="2555"/>
      <c r="K73" s="3235"/>
      <c r="L73" s="3235"/>
      <c r="M73" s="3235"/>
      <c r="N73" s="2555"/>
      <c r="O73" s="3235"/>
      <c r="P73" s="3235"/>
      <c r="Q73" s="3235"/>
      <c r="R73" s="3235"/>
      <c r="S73" s="3235"/>
      <c r="T73" s="2555"/>
      <c r="U73" s="2371"/>
      <c r="V73" s="3235"/>
      <c r="W73" s="2556"/>
      <c r="X73" s="3235"/>
      <c r="Y73" s="3235"/>
      <c r="Z73" s="3235"/>
      <c r="AA73" s="2371"/>
    </row>
    <row r="74">
      <c r="B74" s="37" t="s">
        <v>285</v>
      </c>
      <c r="C74" s="3259"/>
      <c r="D74" s="3245"/>
      <c r="E74" s="3258"/>
      <c r="F74" s="2371"/>
      <c r="G74" s="2371"/>
      <c r="H74" s="2371"/>
      <c r="I74" s="3235">
        <f t="shared" si="2575"/>
        <v>0</v>
      </c>
      <c r="J74" s="2555"/>
      <c r="K74" s="3235"/>
      <c r="L74" s="3235"/>
      <c r="M74" s="3235"/>
      <c r="N74" s="2555"/>
      <c r="O74" s="3235"/>
      <c r="P74" s="3235"/>
      <c r="Q74" s="3235"/>
      <c r="R74" s="3235"/>
      <c r="S74" s="3235"/>
      <c r="T74" s="2555"/>
      <c r="U74" s="2371"/>
      <c r="V74" s="3235"/>
      <c r="W74" s="3241">
        <f>'2026'!T1193</f>
        <v>258</v>
      </c>
      <c r="X74" s="3235"/>
      <c r="Y74" s="3239">
        <f>'2026'!T1062</f>
        <v>103</v>
      </c>
      <c r="Z74" s="3235"/>
      <c r="AA74" s="2371"/>
    </row>
    <row r="75">
      <c r="B75" s="37" t="s">
        <v>73</v>
      </c>
      <c r="C75" s="3259"/>
      <c r="D75" s="3245"/>
      <c r="E75" s="3258"/>
      <c r="F75" s="2371"/>
      <c r="G75" s="2371"/>
      <c r="H75" s="2371"/>
      <c r="I75" s="3235">
        <f t="shared" si="2575"/>
        <v>0</v>
      </c>
      <c r="J75" s="2555"/>
      <c r="K75" s="3235"/>
      <c r="L75" s="3235"/>
      <c r="M75" s="3235"/>
      <c r="N75" s="2555"/>
      <c r="O75" s="3235"/>
      <c r="P75" s="3235"/>
      <c r="Q75" s="3235"/>
      <c r="R75" s="3235"/>
      <c r="S75" s="3235"/>
      <c r="T75" s="2555"/>
      <c r="U75" s="2371"/>
      <c r="V75" s="3235"/>
      <c r="W75" s="2556"/>
      <c r="X75" s="3235"/>
      <c r="Y75" s="3235"/>
      <c r="Z75" s="3235"/>
      <c r="AA75" s="2371"/>
    </row>
    <row r="76">
      <c r="B76" s="37" t="s">
        <v>289</v>
      </c>
      <c r="C76" s="3259"/>
      <c r="D76" s="3245"/>
      <c r="E76" s="3258"/>
      <c r="F76" s="2371"/>
      <c r="G76" s="2371"/>
      <c r="H76" s="2371"/>
      <c r="I76" s="3235">
        <f t="shared" si="2575"/>
        <v>0</v>
      </c>
      <c r="J76" s="2555"/>
      <c r="K76" s="3235"/>
      <c r="L76" s="3235"/>
      <c r="M76" s="3235"/>
      <c r="N76" s="2555"/>
      <c r="O76" s="3235"/>
      <c r="P76" s="3235"/>
      <c r="Q76" s="3235"/>
      <c r="R76" s="3235"/>
      <c r="S76" s="3235"/>
      <c r="T76" s="2555"/>
      <c r="U76" s="2371"/>
      <c r="V76" s="3235"/>
      <c r="W76" s="2556"/>
      <c r="X76" s="3235"/>
      <c r="Y76" s="3235"/>
      <c r="Z76" s="3235"/>
      <c r="AA76" s="2371"/>
    </row>
    <row r="77">
      <c r="B77" s="37" t="s">
        <v>291</v>
      </c>
      <c r="C77" s="3259"/>
      <c r="D77" s="3245"/>
      <c r="E77" s="3258"/>
      <c r="F77" s="2371"/>
      <c r="G77" s="2371"/>
      <c r="H77" s="2371"/>
      <c r="I77" s="3235">
        <f t="shared" si="2575"/>
        <v>0</v>
      </c>
      <c r="J77" s="2555"/>
      <c r="K77" s="3235"/>
      <c r="L77" s="3235"/>
      <c r="M77" s="3235"/>
      <c r="N77" s="2555"/>
      <c r="O77" s="3235"/>
      <c r="P77" s="3235"/>
      <c r="Q77" s="3235"/>
      <c r="R77" s="3235"/>
      <c r="S77" s="3235"/>
      <c r="T77" s="2555"/>
      <c r="U77" s="2371"/>
      <c r="V77" s="3235"/>
      <c r="W77" s="2556"/>
      <c r="X77" s="3235"/>
      <c r="Y77" s="3235"/>
      <c r="Z77" s="3235"/>
      <c r="AA77" s="2371"/>
    </row>
    <row r="78">
      <c r="B78" s="37" t="s">
        <v>292</v>
      </c>
      <c r="C78" s="3259"/>
      <c r="D78" s="3245"/>
      <c r="E78" s="3258"/>
      <c r="F78" s="2371"/>
      <c r="G78" s="2371"/>
      <c r="H78" s="2371"/>
      <c r="I78" s="3235">
        <f t="shared" si="2575"/>
        <v>0</v>
      </c>
      <c r="J78" s="2555"/>
      <c r="K78" s="3235"/>
      <c r="L78" s="3235"/>
      <c r="M78" s="3235"/>
      <c r="N78" s="2555"/>
      <c r="O78" s="3235"/>
      <c r="P78" s="3235"/>
      <c r="Q78" s="3235"/>
      <c r="R78" s="3235"/>
      <c r="S78" s="3235"/>
      <c r="T78" s="2555"/>
      <c r="U78" s="2371"/>
      <c r="V78" s="3235"/>
      <c r="W78" s="2556"/>
      <c r="X78" s="3235"/>
      <c r="Y78" s="3235"/>
      <c r="Z78" s="3235"/>
      <c r="AA78" s="2371"/>
    </row>
    <row r="79">
      <c r="B79" s="37" t="s">
        <v>293</v>
      </c>
      <c r="C79" s="3259"/>
      <c r="D79" s="3245"/>
      <c r="E79" s="3258"/>
      <c r="F79" s="2371"/>
      <c r="G79" s="2371"/>
      <c r="H79" s="2371"/>
      <c r="I79" s="3235">
        <f t="shared" si="2575"/>
        <v>0</v>
      </c>
      <c r="J79" s="2555"/>
      <c r="K79" s="3235"/>
      <c r="L79" s="3235"/>
      <c r="M79" s="3235"/>
      <c r="N79" s="2555"/>
      <c r="O79" s="3235"/>
      <c r="P79" s="3235"/>
      <c r="Q79" s="3235"/>
      <c r="R79" s="3235"/>
      <c r="S79" s="3235"/>
      <c r="T79" s="2555"/>
      <c r="U79" s="2371"/>
      <c r="V79" s="3235"/>
      <c r="W79" s="2556"/>
      <c r="X79" s="3235"/>
      <c r="Y79" s="3235"/>
      <c r="Z79" s="3235"/>
      <c r="AA79" s="2371"/>
    </row>
    <row r="80">
      <c r="B80" s="37" t="s">
        <v>294</v>
      </c>
      <c r="C80" s="3259"/>
      <c r="D80" s="3245"/>
      <c r="E80" s="3258"/>
      <c r="F80" s="2371"/>
      <c r="G80" s="2371"/>
      <c r="H80" s="2371"/>
      <c r="I80" s="3235">
        <f t="shared" si="2575"/>
        <v>0</v>
      </c>
      <c r="J80" s="2555"/>
      <c r="K80" s="3235"/>
      <c r="L80" s="3235"/>
      <c r="M80" s="3235"/>
      <c r="N80" s="2555"/>
      <c r="O80" s="3235"/>
      <c r="P80" s="3239">
        <f>'2026'!T303</f>
        <v>58</v>
      </c>
      <c r="Q80" s="3235"/>
      <c r="R80" s="3235"/>
      <c r="S80" s="3235"/>
      <c r="T80" s="2555"/>
      <c r="U80" s="2371"/>
      <c r="V80" s="3235"/>
      <c r="W80" s="2556"/>
      <c r="X80" s="3235"/>
      <c r="Y80" s="3239">
        <f>'2026'!T1068</f>
        <v>0</v>
      </c>
      <c r="Z80" s="3235"/>
      <c r="AA80" s="2371"/>
    </row>
    <row r="81">
      <c r="B81" s="37" t="s">
        <v>296</v>
      </c>
      <c r="C81" s="3259"/>
      <c r="D81" s="3245"/>
      <c r="E81" s="3258"/>
      <c r="F81" s="2371"/>
      <c r="G81" s="2371"/>
      <c r="H81" s="2371"/>
      <c r="I81" s="3235">
        <f t="shared" si="2575"/>
        <v>0</v>
      </c>
      <c r="J81" s="2555"/>
      <c r="K81" s="3235"/>
      <c r="L81" s="3235"/>
      <c r="M81" s="3235"/>
      <c r="N81" s="2555"/>
      <c r="O81" s="3235"/>
      <c r="P81" s="3235"/>
      <c r="Q81" s="3235"/>
      <c r="R81" s="3235"/>
      <c r="S81" s="3235"/>
      <c r="T81" s="2555"/>
      <c r="U81" s="2371"/>
      <c r="V81" s="3235"/>
      <c r="W81" s="2556"/>
      <c r="X81" s="3235"/>
      <c r="Y81" s="3235"/>
      <c r="Z81" s="3235"/>
      <c r="AA81" s="2371"/>
    </row>
    <row r="82">
      <c r="B82" s="37" t="s">
        <v>68</v>
      </c>
      <c r="C82" s="3259"/>
      <c r="D82" s="3245"/>
      <c r="E82" s="3258"/>
      <c r="F82" s="2371"/>
      <c r="G82" s="2371"/>
      <c r="H82" s="2371"/>
      <c r="I82" s="3235">
        <f t="shared" si="2575"/>
        <v>0</v>
      </c>
      <c r="J82" s="2555"/>
      <c r="K82" s="3235"/>
      <c r="L82" s="3235"/>
      <c r="M82" s="3235"/>
      <c r="N82" s="2555"/>
      <c r="O82" s="3235"/>
      <c r="P82" s="3235"/>
      <c r="Q82" s="3235"/>
      <c r="R82" s="3235"/>
      <c r="S82" s="3235"/>
      <c r="T82" s="2555"/>
      <c r="U82" s="2371"/>
      <c r="V82" s="3235"/>
      <c r="W82" s="2556"/>
      <c r="X82" s="3235"/>
      <c r="Y82" s="3239">
        <f>'2026'!T1059</f>
        <v>2290</v>
      </c>
      <c r="Z82" s="3235"/>
      <c r="AA82" s="2371"/>
    </row>
    <row r="83">
      <c r="B83" s="37" t="s">
        <v>297</v>
      </c>
      <c r="C83" s="3259"/>
      <c r="D83" s="3245"/>
      <c r="E83" s="3258"/>
      <c r="F83" s="2371"/>
      <c r="G83" s="2371"/>
      <c r="H83" s="2371"/>
      <c r="I83" s="3235">
        <f t="shared" si="2575"/>
        <v>0</v>
      </c>
      <c r="J83" s="2555"/>
      <c r="K83" s="3235"/>
      <c r="L83" s="3235"/>
      <c r="M83" s="3235"/>
      <c r="N83" s="2555"/>
      <c r="O83" s="3235"/>
      <c r="P83" s="3235"/>
      <c r="Q83" s="3235"/>
      <c r="R83" s="3235"/>
      <c r="S83" s="3235"/>
      <c r="T83" s="2555"/>
      <c r="U83" s="2371"/>
      <c r="V83" s="3235"/>
      <c r="W83" s="2556"/>
      <c r="X83" s="3235"/>
      <c r="Y83" s="3235"/>
      <c r="Z83" s="3235"/>
      <c r="AA83" s="2371"/>
    </row>
    <row r="84">
      <c r="B84" s="37" t="s">
        <v>298</v>
      </c>
      <c r="C84" s="3259"/>
      <c r="D84" s="3245"/>
      <c r="E84" s="3258"/>
      <c r="F84" s="2371"/>
      <c r="G84" s="2371"/>
      <c r="H84" s="2371"/>
      <c r="I84" s="3235">
        <f t="shared" si="2575"/>
        <v>0</v>
      </c>
      <c r="J84" s="3242">
        <f>'2026'!T646</f>
        <v>6317</v>
      </c>
      <c r="K84" s="3235"/>
      <c r="L84" s="3235"/>
      <c r="M84" s="3235"/>
      <c r="N84" s="2555"/>
      <c r="O84" s="3235"/>
      <c r="P84" s="3235"/>
      <c r="Q84" s="3235"/>
      <c r="R84" s="3235"/>
      <c r="S84" s="3235"/>
      <c r="T84" s="2555"/>
      <c r="U84" s="2371"/>
      <c r="V84" s="3235"/>
      <c r="W84" s="2556"/>
      <c r="X84" s="3235"/>
      <c r="Y84" s="3239">
        <f>'2026'!T1069+'2026'!T1070</f>
        <v>202</v>
      </c>
      <c r="Z84" s="3235"/>
      <c r="AA84" s="2371"/>
    </row>
    <row r="85">
      <c r="B85" s="37" t="s">
        <v>299</v>
      </c>
      <c r="C85" s="3259"/>
      <c r="D85" s="3245"/>
      <c r="E85" s="3258"/>
      <c r="F85" s="2371"/>
      <c r="G85" s="2371"/>
      <c r="H85" s="2371"/>
      <c r="I85" s="3235">
        <f t="shared" si="2575"/>
        <v>0</v>
      </c>
      <c r="J85" s="2555"/>
      <c r="K85" s="3235"/>
      <c r="L85" s="3235"/>
      <c r="M85" s="3235"/>
      <c r="N85" s="2555"/>
      <c r="O85" s="3235"/>
      <c r="P85" s="3235"/>
      <c r="Q85" s="3235"/>
      <c r="R85" s="3235"/>
      <c r="S85" s="3235"/>
      <c r="T85" s="2555"/>
      <c r="U85" s="2371"/>
      <c r="V85" s="3235"/>
      <c r="W85" s="2556"/>
      <c r="X85" s="3235"/>
      <c r="Y85" s="3235"/>
      <c r="Z85" s="3235"/>
      <c r="AA85" s="2371"/>
    </row>
    <row r="86">
      <c r="B86" s="37" t="s">
        <v>300</v>
      </c>
      <c r="C86" s="3259"/>
      <c r="D86" s="3245"/>
      <c r="E86" s="3258"/>
      <c r="F86" s="3238">
        <f>'2026'!T713</f>
        <v>1924</v>
      </c>
      <c r="G86" s="2371"/>
      <c r="H86" s="2371"/>
      <c r="I86" s="3235">
        <f t="shared" si="2575"/>
        <v>1924</v>
      </c>
      <c r="J86" s="2555"/>
      <c r="K86" s="3235"/>
      <c r="L86" s="3235"/>
      <c r="M86" s="3235"/>
      <c r="N86" s="3240">
        <f>'2026'!T851</f>
        <v>20</v>
      </c>
      <c r="O86" s="3235"/>
      <c r="P86" s="3235"/>
      <c r="Q86" s="3235"/>
      <c r="R86" s="3235"/>
      <c r="S86" s="3235"/>
      <c r="T86" s="2555"/>
      <c r="U86" s="2371"/>
      <c r="V86" s="3235"/>
      <c r="W86" s="2556"/>
      <c r="X86" s="3235"/>
      <c r="Y86" s="3235"/>
      <c r="Z86" s="3235"/>
      <c r="AA86" s="2371"/>
    </row>
    <row r="87">
      <c r="B87" s="37" t="s">
        <v>301</v>
      </c>
      <c r="C87" s="3259"/>
      <c r="D87" s="3245"/>
      <c r="E87" s="3258"/>
      <c r="F87" s="2371"/>
      <c r="G87" s="2371"/>
      <c r="H87" s="2371"/>
      <c r="I87" s="3235">
        <f t="shared" si="2575"/>
        <v>0</v>
      </c>
      <c r="J87" s="2555"/>
      <c r="K87" s="3235"/>
      <c r="L87" s="3235"/>
      <c r="M87" s="3235"/>
      <c r="N87" s="2555"/>
      <c r="O87" s="3235"/>
      <c r="P87" s="3235"/>
      <c r="Q87" s="3235"/>
      <c r="R87" s="3235"/>
      <c r="S87" s="3235"/>
      <c r="T87" s="2555"/>
      <c r="U87" s="2371"/>
      <c r="V87" s="3235"/>
      <c r="W87" s="2556"/>
      <c r="X87" s="3235"/>
      <c r="Y87" s="3235"/>
      <c r="Z87" s="3235"/>
      <c r="AA87" s="2371"/>
    </row>
    <row r="88">
      <c r="B88" s="37" t="s">
        <v>302</v>
      </c>
      <c r="C88" s="3259"/>
      <c r="D88" s="3245"/>
      <c r="E88" s="3258"/>
      <c r="F88" s="2371"/>
      <c r="G88" s="2371"/>
      <c r="H88" s="2371"/>
      <c r="I88" s="3235">
        <f t="shared" si="2575"/>
        <v>0</v>
      </c>
      <c r="J88" s="2555"/>
      <c r="K88" s="3235"/>
      <c r="L88" s="3235"/>
      <c r="M88" s="3235"/>
      <c r="N88" s="2555"/>
      <c r="O88" s="3235"/>
      <c r="P88" s="3235"/>
      <c r="Q88" s="3235"/>
      <c r="R88" s="3235"/>
      <c r="S88" s="3235"/>
      <c r="T88" s="2555"/>
      <c r="U88" s="2371"/>
      <c r="V88" s="3235"/>
      <c r="W88" s="2556"/>
      <c r="X88" s="3235"/>
      <c r="Y88" s="3235"/>
      <c r="Z88" s="3235"/>
      <c r="AA88" s="2371"/>
    </row>
    <row r="89">
      <c r="C89" s="2555"/>
      <c r="D89" s="3235"/>
      <c r="E89" s="3252"/>
      <c r="F89" s="2371"/>
      <c r="G89" s="2371"/>
      <c r="H89" s="2371"/>
      <c r="I89" s="3235">
        <f t="shared" si="2575"/>
        <v>0</v>
      </c>
      <c r="J89" s="2555"/>
      <c r="K89" s="3235"/>
      <c r="L89" s="3235"/>
      <c r="M89" s="3235"/>
      <c r="N89" s="2555"/>
      <c r="O89" s="3235"/>
      <c r="P89" s="3235"/>
      <c r="Q89" s="3235"/>
      <c r="R89" s="3235"/>
      <c r="S89" s="3235"/>
      <c r="T89" s="2555"/>
      <c r="U89" s="2371"/>
      <c r="V89" s="3235"/>
      <c r="W89" s="2556"/>
      <c r="X89" s="3235"/>
      <c r="Y89" s="3235"/>
      <c r="Z89" s="3235"/>
      <c r="AA89" s="2371"/>
    </row>
    <row r="90">
      <c r="B90" s="852" t="s">
        <v>306</v>
      </c>
      <c r="C90" s="3262"/>
      <c r="D90" s="3126"/>
      <c r="E90" s="3263">
        <f>'2026'!T145+'2026'!T139</f>
        <v>1526.5</v>
      </c>
      <c r="F90" s="3264">
        <f>'2026'!T717+'2026'!T723</f>
        <v>953</v>
      </c>
      <c r="G90" s="3264">
        <f>'2026'!T582</f>
        <v>1346</v>
      </c>
      <c r="H90" s="3264">
        <f>'2026'!T510</f>
        <v>313</v>
      </c>
      <c r="I90" s="3126">
        <f t="shared" si="2575"/>
        <v>2612</v>
      </c>
      <c r="J90" s="1466"/>
      <c r="K90" s="3126"/>
      <c r="L90" s="3126"/>
      <c r="M90" s="3126"/>
      <c r="N90" s="1466"/>
      <c r="O90" s="3126"/>
      <c r="P90" s="3126"/>
      <c r="Q90" s="3126"/>
      <c r="R90" s="3126"/>
      <c r="S90" s="3126"/>
      <c r="T90" s="1466"/>
      <c r="U90" s="2628"/>
      <c r="V90" s="3126"/>
      <c r="W90" s="3265">
        <f>'2026'!T1198</f>
        <v>0</v>
      </c>
      <c r="X90" s="3126"/>
      <c r="Y90" s="3266">
        <f>'2026'!T1086</f>
        <v>13</v>
      </c>
      <c r="Z90" s="3126"/>
      <c r="AA90" s="2628"/>
    </row>
    <row r="93">
      <c r="B93" s="2373" t="s">
        <v>1070</v>
      </c>
      <c r="C93" s="2367">
        <f t="shared" ref="C93:AB93" si="2576">SUM(C57:C92)+C53+C49+C43+C36+C22</f>
        <v>3141484.0338499998</v>
      </c>
      <c r="D93" s="2367">
        <f t="shared" si="2576"/>
        <v>59214597.251000002</v>
      </c>
      <c r="E93" s="2367">
        <f t="shared" si="2576"/>
        <v>42737</v>
      </c>
      <c r="F93" s="3238">
        <f t="shared" si="2576"/>
        <v>38176</v>
      </c>
      <c r="G93" s="3238">
        <f t="shared" si="2576"/>
        <v>118452</v>
      </c>
      <c r="H93" s="3238">
        <f t="shared" si="2576"/>
        <v>180445</v>
      </c>
      <c r="I93" s="2367">
        <f t="shared" si="2576"/>
        <v>337073</v>
      </c>
      <c r="J93" s="3267">
        <f t="shared" si="2576"/>
        <v>25547</v>
      </c>
      <c r="K93" s="2367">
        <f t="shared" si="2576"/>
        <v>17689</v>
      </c>
      <c r="L93" s="2367">
        <f t="shared" si="2576"/>
        <v>11381</v>
      </c>
      <c r="M93" s="2367">
        <f t="shared" si="2576"/>
        <v>67516</v>
      </c>
      <c r="N93" s="2367">
        <f t="shared" si="2576"/>
        <v>28222.299999999999</v>
      </c>
      <c r="O93" s="2367">
        <f t="shared" si="2576"/>
        <v>26712.5</v>
      </c>
      <c r="P93" s="2367">
        <f t="shared" si="2576"/>
        <v>391</v>
      </c>
      <c r="Q93" s="2367">
        <f t="shared" si="2576"/>
        <v>663</v>
      </c>
      <c r="R93" s="2367">
        <f t="shared" si="2576"/>
        <v>331</v>
      </c>
      <c r="S93" s="2367">
        <f t="shared" si="2576"/>
        <v>0</v>
      </c>
      <c r="T93" s="2367">
        <f t="shared" si="2576"/>
        <v>760</v>
      </c>
      <c r="U93" s="2367">
        <f t="shared" si="2576"/>
        <v>17</v>
      </c>
      <c r="V93" s="2367">
        <f t="shared" si="2576"/>
        <v>387009.82999999996</v>
      </c>
      <c r="W93" s="2367">
        <f t="shared" si="2576"/>
        <v>3523</v>
      </c>
      <c r="X93" s="2367">
        <f t="shared" si="2576"/>
        <v>0</v>
      </c>
      <c r="Y93" s="2367">
        <f t="shared" si="2576"/>
        <v>29036</v>
      </c>
      <c r="Z93" s="2367">
        <f t="shared" si="2576"/>
        <v>4204</v>
      </c>
      <c r="AA93" s="2367">
        <f t="shared" si="2576"/>
        <v>0</v>
      </c>
      <c r="AB93" s="2367">
        <f t="shared" si="2576"/>
        <v>0</v>
      </c>
    </row>
  </sheetData>
  <mergeCells count="1">
    <mergeCell ref="AB4:AB7"/>
  </mergeCells>
  <printOptions headings="0" gridLines="0"/>
  <pageMargins left="0.69999999999999996" right="0.69999999999999996" top="0.75" bottom="0.75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0" copies="1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ONLYOFFICE/8.3.2.19</Application>
  <DocSecurity>0</DocSecurity>
  <ScaleCrop>0</ScaleCrop>
  <HeadingPairs>
    <vt:vector size="0" baseType="variant"/>
  </HeadingPairs>
  <TitlesOfParts>
    <vt:vector size="0" baseType="lpstr"/>
  </TitlesOfParts>
  <Company>Excel Development</Company>
  <LinksUpToDate>0</LinksUpToDate>
  <SharedDoc>0</SharedDoc>
  <HyperlinksChanged>0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 Camarillo</dc:creator>
  <cp:revision>4</cp:revision>
  <dcterms:created xsi:type="dcterms:W3CDTF">1996-10-08T23:32:33Z</dcterms:created>
  <dcterms:modified xsi:type="dcterms:W3CDTF">2026-04-02T07:08:50Z</dcterms:modified>
</cp:coreProperties>
</file>